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sheetId="1" r:id="rId4"/>
  </sheets>
  <definedNames/>
  <calcPr/>
  <extLst>
    <ext uri="GoogleSheetsCustomDataVersion2">
      <go:sheetsCustomData xmlns:go="http://customooxmlschemas.google.com/" r:id="rId5" roundtripDataChecksum="Dd7GcRsyqwKRWtm4gVsZAyTaYBYho/1DOnFRm0KbrDw="/>
    </ext>
  </extLst>
</workbook>
</file>

<file path=xl/sharedStrings.xml><?xml version="1.0" encoding="utf-8"?>
<sst xmlns="http://schemas.openxmlformats.org/spreadsheetml/2006/main" count="6442" uniqueCount="4688">
  <si>
    <t>id</t>
  </si>
  <si>
    <t>authors</t>
  </si>
  <si>
    <t>authors_id</t>
  </si>
  <si>
    <t>document_title</t>
  </si>
  <si>
    <t>publication_year</t>
  </si>
  <si>
    <t>source_title</t>
  </si>
  <si>
    <t>volume</t>
  </si>
  <si>
    <t>issue</t>
  </si>
  <si>
    <t>art_no</t>
  </si>
  <si>
    <t>start_page</t>
  </si>
  <si>
    <t>end_page</t>
  </si>
  <si>
    <t>page_count</t>
  </si>
  <si>
    <t>cited_by</t>
  </si>
  <si>
    <t>doi</t>
  </si>
  <si>
    <t>doi_link</t>
  </si>
  <si>
    <t>affiliations</t>
  </si>
  <si>
    <t>authors_with_affiliations</t>
  </si>
  <si>
    <t>abstract</t>
  </si>
  <si>
    <t>author_keywords</t>
  </si>
  <si>
    <t>index_keywords</t>
  </si>
  <si>
    <t>molecular_sequence_numbers</t>
  </si>
  <si>
    <t>chemicals_cas</t>
  </si>
  <si>
    <t>tradenames</t>
  </si>
  <si>
    <t>manufacturers</t>
  </si>
  <si>
    <t>references</t>
  </si>
  <si>
    <t>editor</t>
  </si>
  <si>
    <t>sponsors</t>
  </si>
  <si>
    <t>publisher</t>
  </si>
  <si>
    <t>conference_name</t>
  </si>
  <si>
    <t>conference_date</t>
  </si>
  <si>
    <t>conference_location</t>
  </si>
  <si>
    <t>conference_code</t>
  </si>
  <si>
    <t>issn</t>
  </si>
  <si>
    <t>isbn</t>
  </si>
  <si>
    <t>coden</t>
  </si>
  <si>
    <t>pubmed_id</t>
  </si>
  <si>
    <t>abbreviated_source_title</t>
  </si>
  <si>
    <t>publication_stage</t>
  </si>
  <si>
    <t>open_access</t>
  </si>
  <si>
    <t>source</t>
  </si>
  <si>
    <t>eid</t>
  </si>
  <si>
    <t>origem</t>
  </si>
  <si>
    <t>counter</t>
  </si>
  <si>
    <t>document_title1</t>
  </si>
  <si>
    <t>duplicado</t>
  </si>
  <si>
    <t>excluido</t>
  </si>
  <si>
    <t>habilidades_socioemocionais</t>
  </si>
  <si>
    <t>bem_estar</t>
  </si>
  <si>
    <t>well_being_theory</t>
  </si>
  <si>
    <t>seligmans_perma_model</t>
  </si>
  <si>
    <t>self_determination_theory</t>
  </si>
  <si>
    <t>corey_keyes_flourishing_theory</t>
  </si>
  <si>
    <t>viktor_frankl_meaning_life</t>
  </si>
  <si>
    <t>positive_emotions_theory</t>
  </si>
  <si>
    <t>psychological_strengths_theory</t>
  </si>
  <si>
    <t>carol_ryff_self_discovery_theory</t>
  </si>
  <si>
    <t>abraham_maslow_self_actualization_theory</t>
  </si>
  <si>
    <t>brian_little_authenticity_theory</t>
  </si>
  <si>
    <t>robert_emmons_gratitude_theory</t>
  </si>
  <si>
    <t>mihaly_csikszentmihalyi_flow_theory</t>
  </si>
  <si>
    <t>robert_emmons_positive_spirituality_theory</t>
  </si>
  <si>
    <t>theory_happiness</t>
  </si>
  <si>
    <t>theory_subjective_well_being</t>
  </si>
  <si>
    <t>kah_theory_personal_engagement</t>
  </si>
  <si>
    <t>crossover_theory</t>
  </si>
  <si>
    <t>rational_choice_theory</t>
  </si>
  <si>
    <t>actor_network_theory</t>
  </si>
  <si>
    <t>goal_setting_theory</t>
  </si>
  <si>
    <t>theory_planned_behavior</t>
  </si>
  <si>
    <t>viktor_frankl_meaning_life_theory</t>
  </si>
  <si>
    <t>emotional_intelligence_theory</t>
  </si>
  <si>
    <t>resilience</t>
  </si>
  <si>
    <t>motivation</t>
  </si>
  <si>
    <t>grit</t>
  </si>
  <si>
    <t>self_knowledge</t>
  </si>
  <si>
    <t>decision_making</t>
  </si>
  <si>
    <t>self_management</t>
  </si>
  <si>
    <t>self_control</t>
  </si>
  <si>
    <t>self_regulation</t>
  </si>
  <si>
    <t>cooperation_collaboration</t>
  </si>
  <si>
    <t>polides</t>
  </si>
  <si>
    <t>empathy</t>
  </si>
  <si>
    <t>compassion</t>
  </si>
  <si>
    <t>self_confidence</t>
  </si>
  <si>
    <t>optimism</t>
  </si>
  <si>
    <t>perseverance</t>
  </si>
  <si>
    <t>leadership</t>
  </si>
  <si>
    <t>creativity</t>
  </si>
  <si>
    <t>attention</t>
  </si>
  <si>
    <t>self_efficacy</t>
  </si>
  <si>
    <t>body_language_reading</t>
  </si>
  <si>
    <t>self_leadership</t>
  </si>
  <si>
    <t>purpose</t>
  </si>
  <si>
    <t>life_satisfaction</t>
  </si>
  <si>
    <t>physical_health</t>
  </si>
  <si>
    <t>competence</t>
  </si>
  <si>
    <t>engagement2</t>
  </si>
  <si>
    <t>optimism2</t>
  </si>
  <si>
    <t>positive_relationship</t>
  </si>
  <si>
    <t>financial_status</t>
  </si>
  <si>
    <t>comfort</t>
  </si>
  <si>
    <t>positive_psychological_capital</t>
  </si>
  <si>
    <t>productivity</t>
  </si>
  <si>
    <t>happiness</t>
  </si>
  <si>
    <t>positive_emotion</t>
  </si>
  <si>
    <t>resilience2</t>
  </si>
  <si>
    <t>quality_of_life</t>
  </si>
  <si>
    <t>self_esteem</t>
  </si>
  <si>
    <t>subjective_well_being</t>
  </si>
  <si>
    <t>vitality</t>
  </si>
  <si>
    <t>meaning</t>
  </si>
  <si>
    <t>spirituality</t>
  </si>
  <si>
    <t>sleep_quality</t>
  </si>
  <si>
    <t>emotional_stability</t>
  </si>
  <si>
    <t>common_sense_reasoning</t>
  </si>
  <si>
    <t>automated_reasoning</t>
  </si>
  <si>
    <t>knowledge_representation</t>
  </si>
  <si>
    <t>planning_scheduling</t>
  </si>
  <si>
    <t>searching</t>
  </si>
  <si>
    <t>optimisation</t>
  </si>
  <si>
    <t>machine_learning</t>
  </si>
  <si>
    <t>natural_language_processing</t>
  </si>
  <si>
    <t>computer_vision</t>
  </si>
  <si>
    <t>audio_processing</t>
  </si>
  <si>
    <t>agent_based_modelling</t>
  </si>
  <si>
    <t>agreement_technologies</t>
  </si>
  <si>
    <t>computational_economics</t>
  </si>
  <si>
    <t>game_theory</t>
  </si>
  <si>
    <t>intelligent_agent</t>
  </si>
  <si>
    <t>negotiation_algorithm</t>
  </si>
  <si>
    <t>network_intelligence</t>
  </si>
  <si>
    <t>q_learning</t>
  </si>
  <si>
    <t>cognitive_system</t>
  </si>
  <si>
    <t>swarm_intelligence</t>
  </si>
  <si>
    <t>human_ai_interaction</t>
  </si>
  <si>
    <t>industrial_robot</t>
  </si>
  <si>
    <t>robot_system</t>
  </si>
  <si>
    <t>service_robot</t>
  </si>
  <si>
    <t>social_robot</t>
  </si>
  <si>
    <t>ai_application</t>
  </si>
  <si>
    <t>ai_benchmark</t>
  </si>
  <si>
    <t>ai_competition</t>
  </si>
  <si>
    <t>ai_software_toolkit</t>
  </si>
  <si>
    <t>analytics_platform</t>
  </si>
  <si>
    <t>big_data</t>
  </si>
  <si>
    <t>business_intelligence</t>
  </si>
  <si>
    <t>cpu</t>
  </si>
  <si>
    <t>computational_creativity</t>
  </si>
  <si>
    <t>computational_neuroscience</t>
  </si>
  <si>
    <t>data_analytics</t>
  </si>
  <si>
    <t>decision_analytics</t>
  </si>
  <si>
    <t>decision_support</t>
  </si>
  <si>
    <t>distributed_computing</t>
  </si>
  <si>
    <t>gpu</t>
  </si>
  <si>
    <t>intelligence_software</t>
  </si>
  <si>
    <t>intelligent_control</t>
  </si>
  <si>
    <t>intelligent_control_system</t>
  </si>
  <si>
    <t>intelligent_hardware</t>
  </si>
  <si>
    <t>intelligent_software</t>
  </si>
  <si>
    <t>intelligent_user_interface</t>
  </si>
  <si>
    <t>iot</t>
  </si>
  <si>
    <t>machine_learning_framework</t>
  </si>
  <si>
    <t>machine_learning_library</t>
  </si>
  <si>
    <t>machine_learning_platform</t>
  </si>
  <si>
    <t>personal_assistant</t>
  </si>
  <si>
    <t>platform_as_a_service</t>
  </si>
  <si>
    <t>tpu</t>
  </si>
  <si>
    <t>virtual_environment</t>
  </si>
  <si>
    <t>virtual_reality</t>
  </si>
  <si>
    <t>gamification</t>
  </si>
  <si>
    <t>blockchain</t>
  </si>
  <si>
    <t>data_mining</t>
  </si>
  <si>
    <t>wearable</t>
  </si>
  <si>
    <t>chatbots_virtual_assistance</t>
  </si>
  <si>
    <t>intelligent_tutoring_systems</t>
  </si>
  <si>
    <t>personalized_education</t>
  </si>
  <si>
    <t>automated_assessment</t>
  </si>
  <si>
    <t>machine_translation</t>
  </si>
  <si>
    <t>sentiment_analysis</t>
  </si>
  <si>
    <t>text_summarization</t>
  </si>
  <si>
    <t>automated_text_generation</t>
  </si>
  <si>
    <t>speech_recognition</t>
  </si>
  <si>
    <t>image_recognition</t>
  </si>
  <si>
    <t>object_detection</t>
  </si>
  <si>
    <t>motion_tracking</t>
  </si>
  <si>
    <t>image_segmentation</t>
  </si>
  <si>
    <t>reading_mind_eyes_test</t>
  </si>
  <si>
    <t>ar</t>
  </si>
  <si>
    <t>virtual_reality2</t>
  </si>
  <si>
    <t>robotic_process_automation</t>
  </si>
  <si>
    <t>eye_tracking</t>
  </si>
  <si>
    <t>language_analysis</t>
  </si>
  <si>
    <t>human_activity_recognition</t>
  </si>
  <si>
    <t>linguistic_vocalization_analysis</t>
  </si>
  <si>
    <t>non_linguistic_vocalization_analysis</t>
  </si>
  <si>
    <t>acoustic_characteristics</t>
  </si>
  <si>
    <t>gamification2</t>
  </si>
  <si>
    <t>blockchain2</t>
  </si>
  <si>
    <t>data_mining2</t>
  </si>
  <si>
    <t>wearable2</t>
  </si>
  <si>
    <t>persuasive_technology</t>
  </si>
  <si>
    <t>affective_computing</t>
  </si>
  <si>
    <t>social_skills_rating_system</t>
  </si>
  <si>
    <t>matson_evaluation_social_skills</t>
  </si>
  <si>
    <t>matson_social_skills_inventory</t>
  </si>
  <si>
    <t>rathus_assertiveness_schedule</t>
  </si>
  <si>
    <t>communication_skills_inventory</t>
  </si>
  <si>
    <t>vineland_adaptive_behavior_scales</t>
  </si>
  <si>
    <t>davis_interpersonal_reactivity_index</t>
  </si>
  <si>
    <t>social_emotional_learning_assessment</t>
  </si>
  <si>
    <t>life_skills_scale</t>
  </si>
  <si>
    <t>wong_law_emotional_intelligence_scale</t>
  </si>
  <si>
    <t>connor_davidson_resilience_scale</t>
  </si>
  <si>
    <t>casel</t>
  </si>
  <si>
    <t>ruler</t>
  </si>
  <si>
    <t>levels_emotional_awareness_scale</t>
  </si>
  <si>
    <t>bar_on_emotional_quotient_inventory</t>
  </si>
  <si>
    <t>mayer_salovey_caruso_emotional_intelligence_test</t>
  </si>
  <si>
    <t>emotion_regulation_skills_questionnaire</t>
  </si>
  <si>
    <t>century_learning</t>
  </si>
  <si>
    <t>act_holistic_framework</t>
  </si>
  <si>
    <t>big_five_personality_traits</t>
  </si>
  <si>
    <t>building_blocks_learning</t>
  </si>
  <si>
    <t>casel2</t>
  </si>
  <si>
    <t>character_strengths_framework</t>
  </si>
  <si>
    <t>clover_model</t>
  </si>
  <si>
    <t>developmental_assets</t>
  </si>
  <si>
    <t>edc_work_ready_now_framework</t>
  </si>
  <si>
    <t>nezet</t>
  </si>
  <si>
    <t>emotional_intelligence</t>
  </si>
  <si>
    <t>employability_skills</t>
  </si>
  <si>
    <t>habits_mind</t>
  </si>
  <si>
    <t>head_start</t>
  </si>
  <si>
    <t>hilton_pellegrino_clusters</t>
  </si>
  <si>
    <t>ib_learner_profile</t>
  </si>
  <si>
    <t>irc_social_emotional_learning_competencies</t>
  </si>
  <si>
    <t>k12_sel_standards</t>
  </si>
  <si>
    <t>k3_sel_standards</t>
  </si>
  <si>
    <t>kipp</t>
  </si>
  <si>
    <t>kenya_becf_core_competencies</t>
  </si>
  <si>
    <t>kenya_tvet_values_framework</t>
  </si>
  <si>
    <t>lego_skills_holistic_development</t>
  </si>
  <si>
    <t>melqo_model_framework</t>
  </si>
  <si>
    <t>mindsets_essential_skills_habits</t>
  </si>
  <si>
    <t>oecd_framework</t>
  </si>
  <si>
    <t>pratham_life_skills_framework</t>
  </si>
  <si>
    <t>preparing_youth_thrive</t>
  </si>
  <si>
    <t>room_read_life_skills_education</t>
  </si>
  <si>
    <t>sesame_workshop_global_framework</t>
  </si>
  <si>
    <t>singapore_framework</t>
  </si>
  <si>
    <t>see_learning_framework</t>
  </si>
  <si>
    <t>five_cs_model</t>
  </si>
  <si>
    <t>practice_model</t>
  </si>
  <si>
    <t>unicef_india_comprehensive_life_skills_framework</t>
  </si>
  <si>
    <t>unicef_mena_life_skills_citizenship</t>
  </si>
  <si>
    <t>usaid_youthpower_action_key_soft_skills</t>
  </si>
  <si>
    <t>haitian_child_social_emotional_framework</t>
  </si>
  <si>
    <t>who_skills_health</t>
  </si>
  <si>
    <t>young_adult_success</t>
  </si>
  <si>
    <t>outros</t>
  </si>
  <si>
    <t>heart_rate</t>
  </si>
  <si>
    <t>temperature</t>
  </si>
  <si>
    <t>electroencephalography_eeg</t>
  </si>
  <si>
    <t>electrocardiography_ecg</t>
  </si>
  <si>
    <t>meg</t>
  </si>
  <si>
    <t>fmri</t>
  </si>
  <si>
    <t>skin_conductance_response</t>
  </si>
  <si>
    <t>brain_activity</t>
  </si>
  <si>
    <t>gsr</t>
  </si>
  <si>
    <t>ppg</t>
  </si>
  <si>
    <t>ecg2</t>
  </si>
  <si>
    <t>facial_biometrics</t>
  </si>
  <si>
    <t>body_posture</t>
  </si>
  <si>
    <t>environmental_location</t>
  </si>
  <si>
    <t>human_computer_interaction</t>
  </si>
  <si>
    <t>human_robot_interaction</t>
  </si>
  <si>
    <t>brain_computer_interface</t>
  </si>
  <si>
    <t>sensogrip</t>
  </si>
  <si>
    <t>contextual_data</t>
  </si>
  <si>
    <t>synthetic_data_generation</t>
  </si>
  <si>
    <t>eda</t>
  </si>
  <si>
    <t>scales_psychological_well_being</t>
  </si>
  <si>
    <t>general_well_being_schedule</t>
  </si>
  <si>
    <t>life_satisfaction_index_a</t>
  </si>
  <si>
    <t>multidimensional_personality_questionnaire</t>
  </si>
  <si>
    <t>quality_of_life_scale_casp_19</t>
  </si>
  <si>
    <t>mental_health_continuum_short_form</t>
  </si>
  <si>
    <t>flourishing_scale</t>
  </si>
  <si>
    <t>flourishing_index</t>
  </si>
  <si>
    <t>perma_profiler</t>
  </si>
  <si>
    <t>comprehensive_inventory_thriving</t>
  </si>
  <si>
    <t>panas</t>
  </si>
  <si>
    <t>affect_balance_scale</t>
  </si>
  <si>
    <t>mood_anxiety_symptom_questionnaire</t>
  </si>
  <si>
    <t>day_reconstruction_method</t>
  </si>
  <si>
    <t>dispositional_positive_emotion_scale</t>
  </si>
  <si>
    <t>life_engagement_test</t>
  </si>
  <si>
    <t>_eeking_of_noetic_goals_test</t>
  </si>
  <si>
    <t>sense_coherence_scale</t>
  </si>
  <si>
    <t>meaning_life_questionnaire</t>
  </si>
  <si>
    <t>satisfaction_with_life_scale</t>
  </si>
  <si>
    <t>life_satisfaction_scale2</t>
  </si>
  <si>
    <t>pearlin_mastery_scale</t>
  </si>
  <si>
    <t>internal_external_locus_control_scale</t>
  </si>
  <si>
    <t>subjective_happiness_scale</t>
  </si>
  <si>
    <t>life_orientation_test</t>
  </si>
  <si>
    <t>ikigai</t>
  </si>
  <si>
    <t>emotional_vitality</t>
  </si>
  <si>
    <t>subjective_well_being_index_swb</t>
  </si>
  <si>
    <t>symptom_checklist90_revised_SCL_90</t>
  </si>
  <si>
    <t>responses_to_educational_disruption_surveyreds</t>
  </si>
  <si>
    <t>freiburg_mindfulness_inventory</t>
  </si>
  <si>
    <t>religious_commitment_inventory</t>
  </si>
  <si>
    <t>swbi_subjective_well_being_index</t>
  </si>
  <si>
    <t>psychological_well_being_scale</t>
  </si>
  <si>
    <t>swl_subjective_well_being_daily_inventory</t>
  </si>
  <si>
    <t>life_satisfaction_scale3</t>
  </si>
  <si>
    <t>ryffs_psychological_well_being_scale</t>
  </si>
  <si>
    <t>dieners_satisfaction_with_life_scale</t>
  </si>
  <si>
    <t>bradburns_affect_balance_scale</t>
  </si>
  <si>
    <t>shs_subjective_happiness_scale</t>
  </si>
  <si>
    <t>wbi_work_well_being_inventory</t>
  </si>
  <si>
    <t>swbs_spiritual_well_being_scale</t>
  </si>
  <si>
    <t>flourishing_scale2</t>
  </si>
  <si>
    <t>general_well_being_schedule2_gwb</t>
  </si>
  <si>
    <t>world_health_organizationwho_five_well_being_index_who5</t>
  </si>
  <si>
    <t>oxford_happiness_questionnaire_ohq</t>
  </si>
  <si>
    <t>life_satisfaction_index_lsi</t>
  </si>
  <si>
    <t>perceived_stress_scale_pss</t>
  </si>
  <si>
    <t>panas_positive_and_negative_affect_schedule</t>
  </si>
  <si>
    <t xml:space="preserve">warwick_edinburghs_mental_wellbeing_scale </t>
  </si>
  <si>
    <t>counseling</t>
  </si>
  <si>
    <t>educational_programs</t>
  </si>
  <si>
    <t>meditation</t>
  </si>
  <si>
    <t>mindfulness</t>
  </si>
  <si>
    <t>blended_care</t>
  </si>
  <si>
    <t>asynchronous_telepsychiatry</t>
  </si>
  <si>
    <t>jitai</t>
  </si>
  <si>
    <t>physical_activity</t>
  </si>
  <si>
    <t>sleep_hygiene</t>
  </si>
  <si>
    <t>behavior_change</t>
  </si>
  <si>
    <t>interpersonal_therapy</t>
  </si>
  <si>
    <t>behavioral_therapy</t>
  </si>
  <si>
    <t>long_duration_meditation</t>
  </si>
  <si>
    <t>music_therapy</t>
  </si>
  <si>
    <t>nature_sounds</t>
  </si>
  <si>
    <t>coaching</t>
  </si>
  <si>
    <t>computerized_cognitive_training_ctb</t>
  </si>
  <si>
    <t>breathing_training</t>
  </si>
  <si>
    <t>fairness</t>
  </si>
  <si>
    <t>accountability</t>
  </si>
  <si>
    <t>transparency</t>
  </si>
  <si>
    <t>ethics</t>
  </si>
  <si>
    <t>privacy_data_protection</t>
  </si>
  <si>
    <t>teacher_resistance</t>
  </si>
  <si>
    <t>lack_training</t>
  </si>
  <si>
    <t>lack_infrastructure</t>
  </si>
  <si>
    <t>technological_paternalism</t>
  </si>
  <si>
    <t>well_being_detrimental_surveillance</t>
  </si>
  <si>
    <t>self_fulfilling_prophecy_interventions</t>
  </si>
  <si>
    <t>lack_trust</t>
  </si>
  <si>
    <t>explainability</t>
  </si>
  <si>
    <t>bias</t>
  </si>
  <si>
    <t>social_responsibility_iso26000</t>
  </si>
  <si>
    <t>human_centered</t>
  </si>
  <si>
    <t>justice</t>
  </si>
  <si>
    <t>Thelwall M., Buckley K., Paltoglou G., Cai D., Kappas A.</t>
  </si>
  <si>
    <t>57527841900;24823952000;23502436700;23396162600;7101642010;</t>
  </si>
  <si>
    <t>Sentiment in short strength detection informal text</t>
  </si>
  <si>
    <t>Journal of the American Society for Information Science and Technology</t>
  </si>
  <si>
    <t>61</t>
  </si>
  <si>
    <t>12</t>
  </si>
  <si>
    <t>2544</t>
  </si>
  <si>
    <t>2558</t>
  </si>
  <si>
    <t>10.1002/asi.21416</t>
  </si>
  <si>
    <t>https://www.scopus.com/inward/record.uri?eid=2-s2.0-78449308783&amp;doi=10.1002%2fasi.21416&amp;partnerID=40&amp;md5=83297af4131a46333e3ea8f6328a6506</t>
  </si>
  <si>
    <t>Statistical Cybermetrics Research Group, School of Computing and Information Technology, University of Wolverhampton, Wulfruna Street, Wolverhampton WV1 1SB, United Kingdom; School of Humanities and Social Sciences, Jacobs University Bremen, Campus Ring 1, 28759 Bremen, Germany</t>
  </si>
  <si>
    <t>Thelwall, M., Statistical Cybermetrics Research Group, School of Computing and Information Technology, University of Wolverhampton, Wulfruna Street, Wolverhampton WV1 1SB, United Kingdom; Buckley, K., Statistical Cybermetrics Research Group, School of Computing and Information Technology, University of Wolverhampton, Wulfruna Street, Wolverhampton WV1 1SB, United Kingdom; Paltoglou, G., Statistical Cybermetrics Research Group, School of Computing and Information Technology, University of Wolverhampton, Wulfruna Street, Wolverhampton WV1 1SB, United Kingdom; Cai, D., Statistical Cybermetrics Research Group, School of Computing and Information Technology, University of Wolverhampton, Wulfruna Street, Wolverhampton WV1 1SB, United Kingdom; Kappas, A., School of Humanities and Social Sciences, Jacobs University Bremen, Campus Ring 1, 28759 Bremen, Germany</t>
  </si>
  <si>
    <t>A huge number of informal messages are posted every day in social network sites, blogs, and discussion forums. Emotions seem to be frequently important in these texts for expressing friendship, showing social support or as part of online arguments. Algorithms to identify sentiment and sentiment strength are needed to help understand the role of emotion in this informal communication and also to identify inappropriate or anomalous affective utterances, potentially associated with threatening behavior to the self or others. Nevertheless, existing sentiment detection algorithms tend to be commercially oriented, designed to identify opinions about products rather than user behaviors. This article partly fills this gap with a new algorithm, SentiStrength, to extract sentiment strength from informal English text, using new methods to exploit the de facto grammars and spelling styles of cyberspace. Applied to MySpace comments and with a lookup table of term sentiment strengths optimized by machine learning, SentiStrength is able to predict positive emotion with 60.6% accuracy and negative emotion with 72.8% accuracy, both based upon strength scales of 1"5. The former, but not the latter, is better than baseline and a wide range of general machine learning approaches. © 2010 ASIS&amp;T.</t>
  </si>
  <si>
    <t>Cyberspaces; De facto; Detection algorithm; Discussion forum; Informal communication; Look up table; Machine-learning; Positive emotions; Sentiment strengths; Social Networks; Social support; User behaviors; Algorithms; Learning systems; Table lookup; Behavioral research</t>
  </si>
  <si>
    <t>Abbasi, A., Chen, H., Salem, A., Sentiment analysis in multiple languages: Feature selection for opinion classification in web forums (2008) ACM Transactions on Information Systems, 26 (3), pp. 1211-1234; Abbasi, A., Chen, H., Thoms, S., Fu, T., Affect analysis of web forums and bBlogs using correlation ensembles (2008) IEEE Transactions on Knowledge and Data Engineering, 20 (9), pp. 1168-1180; Agerri, R., García-Serrano, A., Q-WordNet: Extracting polarity from WordNet senses (2010) Seventh Conference on International Language Resources and Evaluation, , (, May) Malta. Retrieved May 25, 2010; Argamon, S., Whitelaw, C., Chase, P., Hota, S.R., Garg, N., Levitan, S., Stylistic text classification using functional lexical features (2007) Journal of the American Society for Information Science and Technology, 58 (6), pp. 802-822; Artstein, R., Poesio, M., Inter-coder agreement for computational linguistics (2008) Journal of Computational Linguistics, 34 (4), pp. 555-596; Baccianella, S., Esuli, A., Sebastiani, F., SentiWordNet 3.0: An enhanced lexical resource for sentiment analysis and opinion mining (2010) Seventh Conference on International Language Resources and Evaluation, , Malta. Retrieved May 25, 2010; Balahur, A., Kozareva, Z., Montoyo, A., Determining the polarity and source of opinions expressed in political debates (2009) Lecture Notes in Computer Science, 5449, pp. 468-480; Balahur, A., Steinberger, R., Kabadjov, M., Zavarella, V., Goot, E.V.D., Halkia, M., Sentiment analysis in the news (2010) Seventh Conference on International Language Resources and Evaluation, , (May). Retrieved May 25, 2010, from; Baron, N.S., Language of the Internet (2003) The Stanford Handbook for Language Engineers, pp. 59-127. , A. Farghali (Ed.) Stanford, CA: CSLI Publications; Barrett, L.F., Valence as a basic building block of emotional life (2006) Journal of Research in Personality, 40 (1), pp. 35-55; Boyd, D., (2008) Taken out of Context: American Teen Sociality in Networked Publics, , Unpublished doctoral dissertation, University of California, Berkeley; Boyd, D., Why youth (heart) social network sites: The role of networked publics in teenage social life (2008) Youth, Identity, and Digital Media, pp. 119-142. , D. Buckingham (Ed.). Cambridge, MA: MIT Press; Brill, E., A simple rule-based part of speech tagger (1992) Proceedings of the Third Conference on Applied Natural Language Processing, pp. 152-155. , M. Bates &amp; O. Stock (Eds.) College Park, MD: Association for Computational Linguistics; Chaumartin, F.-R., UPAR7: A knowledge-based system for headline sentiment tagging (2007) Proceedings of the Fourth International Workshop on Semantic Evaluations (SemEval-2007), pp. 422-425. , E. Aqirre, L. Marquez, &amp; R. Wicentowski (Eds.). College Park, MD: Association for Computational Linguistics; Choi, Y., Cardie, C., Learning with compositional semantics as structural inference for subsentential sentiment analysis (2008) Proceedings of the Conference on Empirical Methods in Natural Language Processing, pp. 793-801. , College Park, MD: Association for Computational Linguistics; Cohen, W., Fast effective rule induction (1995) Proceedings of the Twelfth International Conference on Machine Learning, pp. 115-123. , San Francisco: Morgan Kaufmann; Cornelius, R.R., (1996) The Science of Emotion, , Upper Saddle River, NJ: Prentice Hall; Crystal, D., (2006) Language and the Internet, , (2nd ed.). Cambridge, United Kingdom: Cambridge University Press; Das, S., Chen, M., Yahoo! for Amazon: Extracting market sentiment from stock message boards (2001) Asia Pacific Finance Association Annual Conference (APFA), , (July), Bangkok, Thailand. Retrieved July 17, 2009, from; Denecke, K., Nejdl, W., How valuable is medical social media data? Content analysis of the medical web (2009) Information Sciences, 179 (12), pp. 1870-1880; Derks, D., Bos, A.E.R., Von Grumbkow, J., Emoticons and online message interpretation (2008) Social Science Computer Review, 26 (3), pp. 379-388; Derks, D., Fischer, A.H., Bos, A.E.R., The role of emotion in computer-mediated communication: A review (2008) Computers in Human Behavior, 24 (3), pp. 766-785; Diener, E., Emmons, R.A., The independence of positive and negative affect (1984) Journal of Personality and Social Psychology, 47 (5), pp. 1105-1117; Ekman, P., An argument for basic emotions (1992) Cognition and Emotion, 6 (34), pp. 169-200; Esuli, A., Sebastiani, F., SENTIWORDNET: A publicly available lexical resource for opinion mining (2006) Proceedings of Language Resources and Evaluation (LREC) 2006, , Paris: European Language Resources Association. Retrieved July 28, 2009, from; Fox, E., (2008) Emotion Science, , Basingstoke, United Kingdom: Palgrave Macmillan; Fullwood, C., Martino, O.I., Emoticons and impression formation (2007) The Visual in Popular Culture, 19 (7), pp. 4-14; Gamon, M., Sentiment classification on customer feedback data: Noisy data, large feature vectors, and the role of linguistic analysis (2004) Proceedings of the 20th International Conference on Computational Linguistics (Article No. 841), , Morristown, NJ: Association for Computational Linguistics; Gamon, M., Aue, A., Corston-Oliver, S., Ringger, E., Pulse: Mining customer opinions from free text (2005) Lecture Notes in Computer Science, 3646, pp. 121-132; Gill, A.J., Gergle, D., French, R.M., Oberlander, J., Emotion rating from short blog texts (2008) Proceeding of the 26th Annual SIGCHI Conference on Human Factors in Computing Systems, pp. 1121-1124. , New York: ACM Press; Grinter, R.E., Eldridge, M., (2003) Wan2tlk? Everyday Text Messaging. in Proceedings of Computer-Human Interaction Conference (CHI 2003), pp. 441-448. , New York: ACM Press; Hancock, J.T., Gee, K., Ciaccio, K., Lin, J.M.-H., I'm sad you're sad: Emotional contagion in CMC (2008) Proceedings of the ACM 2008 Conference on Computer Supported Cooperative Work, pp. 295-298. , New York: ACM Press; Hopkins, D.J., King, G., A method of automated nonparametric content analysis for social science (2010) American Journal of Political Science, 54 (1), pp. 229-247; Huang, Y.-P., Goh, T., Liew, C.L., Hunting suicide notes in Web 2.0 - Preliminary findings (2007) Proceedings of the Ninth IEEE International Symposium on Multimedia, pp. 517-521. , Piscataway, NJ: IEEE; Huppert, F.A., Whittington, J.E., Evidence for the independence of positive and negative well-being: Implications for quality of life assessment (2003) British Journal of Health Psychology, 8 (1), pp. 107-122; Kaji, N., Kitsuregawa, M., Building lexicon for sentiment analysis from massive collection of HTML documents (2007) Proceedings of the 2007 Joint Conference on Empirical Methods in Natural Language Processing and Computational Natural Language Learning, pp. 1075-1083. , College Park, MD: Association for Computational Linguistics. Retrieved July 28, 2010, from; Krippendorff, K., (2004) Content Analysis: An Introduction to Its Methodology, , Thousand Oaks, CA: Sage; Kukich, K., Techniques for automatically correcting words in text (1992) ACM Computing Surveys, 24 (4), pp. 377-439; Liu, H., Lieberman, H., Selker, T., A model of textual affect sensing using real-world knowledge (2003) Proceedings of the 2003 International Conference on Intelligent User Interfaces, IUI 2003, pp. 125-132. , New York: ACM Press; Mauss, I.B., Robinson, M.D., Measures of emotion: A review (2009) Cognition and Emotion, 23 (2), pp. 209-237; Mishne, G., Experiments with mood classification in Blog posts (2005) First Workshop for Stylistic Analysis of Text for Information Access (Style 2005) at SIGIR 2005, , (August), Salvador, Brazil. Retrieved August 3, 2010, from; Mishne, G., De Rijke, M., Capturing global mood levels using Blog posts (2006) Proceedings of the AAAI Spring Symposium on Computational Approaches to Analysing Weblogs (AAAI-CAAW), pp. 145-152. , Menlo Park, CA: AAAI Press; Nardi, B.A., Beyond bandwidth: Dimensions of connection in interpersonal communication (2005) Computer-Supported Cooperative Work, 14 (1), pp. 91-130; Neviarouskaya, A., Prendinger, H., Ishizuka, M., Textual affect sensing for sociable and expressive online communication (2007) Lecture Notes in Computer Science, 4738, pp. 218-229; Ng, V., Dasgupta, S., Arifin, S.M.N., Examining the role of linguistic knowledge sources in the automatic identification and classification of reviews (2006) Proceedings of the COLING/ACL 20th Conference, pp. 611-618. , College Park, MD: Association for Computational Linguistics; Pang, B., Lee, L., Sentimental education: Sentiment analysis using subjectivity summarization based on minimum cuts (2004) Proceedings of ACL 2004, pp. 271-278. , College Park, MD: Association for Computational Linguistics; Pang, B., Lee, L., Seeing stars: Exploiting class relationships for sentiment categorization with respect to rating scales (2005) Proceedings of the 43rd Annual Meeting of the ACL (Pp. 115"124), , . College Park, MD: Association for Computational Linguistics; Pang, B., Lee, L., Opinion mining and sentiment analysis (2008) Foundations and Trends in Information Retrieval, 1 (1-2), pp. 1-135; Pennebaker, J., Mehl, M., Niederhoffer, K., Psychological aspects of natural language use: Our words, our selves (2003) Annual Review of Psychology, 54, pp. 547-577; Pennebaker, J.W., Mayne, T., Francis, M.E., Linguistic predictors of adaptive bereavement (1997) Journal of Personality and Social Psychology, 72 (4), pp. 863-871; Pollock, J.J., Zamora, A., Automatic spelling correction in scientific and scholarly text (1984) Communications of the ACM, 27 (4), pp. 358-368; Prabowo, R., Thelwall, M., Sentiment analysis: A combined approach (2009) Journal of Informetrics, 3 (1), pp. 143-157; Read, J., Using emoticons to reduce dependency in machine learning techniques for sentiment classification (2005) Proceedings of the ACL 2005 Student Research Workshop, pp. 43-48. , College Park, MD: Association for Computational Linguistics; Riloff, E., Patwardhan, S., Wiebe, J., Feature subsumption for opinion analysis (2006) Proceedings of the Conference on Empirical Methods in Natural Language Processing, pp. 440-448. , College Park, MD: Association for Computational Linguistics; Riloff, E., Wiebe, J., Learning extraction patterns for subjective expressions (2003) Proceedings of the 2003 Conference on Empirical Methods in Natural Language Processing (EMNLP-03), , College Park, MD: Association for Computational Linguistics. Retrieved April 11, 2010, from; Russell, J.A., Affective space is bipolar (1979) Journal of Personality and Social Psychology, 37 (3), pp. 345-356; Schapire, R., Singer, Y., BoosTexter: A boosting-based system for text categorization (2000) Machine Learning, 39 (23), pp. 135-168; Short, J.C., Palmer, T.B., The application of DICTION to content analysis research in strategic management (2008) Organizational Research Methods, 11 (4), pp. 727-752; Snyder, B., Barzilay, R., Multiple aspect ranking using the good grief algorithm (2007) Proceedings of NAACL HLT, pp. 300-307. , College Park, MD: Association for Computational Linguistics; Stone, P.J., Dunphy, D.C., Smith, M.S., Ogilvie, D.M., (1966) The General Inquirer: A Computer Approach to Content Analysis, , Cambridge, MA: The MIT Press; Stoppard, J.M., Gunn Gruchy, C.D., Gender, context, and expression of positive emotion (1993) Personality and Social Psychology Bulletin, 19 (2), pp. 143-150; Strapparava, C., Mihalcea, R., Learning to identify emotions in text (2008) Proceedings of the 2008 ACM Symposium on Applied Computing, pp. 1556-1560. , New York: ACM Press; Strapparava, C., Valitutti, A., Wordnet-affect: An affective extension of wordnet (2004) Proceedings of the Fourth International Conference on Language Resources and Evaluation, pp. 1083-1086. , Paris: European Language Resources Association; Tang, H., Tan, S., Cheng, X., A survey on sentiment detection of reviews (2009) Expert Systems with Applications, 36 (7), pp. 10760-10773; Thelwall, M., MySpace comments (2009) Online Information Review, 33 (1), pp. 58-76; Thelwall, M., Wilkinson, D., Uppal, S., Data mining emotion in social network communication: Gender differences in MySpace (2010) Journal of the American Society for Information Science and Technology, 21 (1), pp. 190-199; Thurlow, C., Generation Txt? the sociolinguistics of young people's text-messaging (2003) Discourse Analysis Online, 1 (1). , Retrieved January 3, 2008, from; Turney, P.D., Thumbs up or thumbs down? Semantic orientation applied to unsupervised classification of reviews (2002) Proceedings of the 40th Annual Meeting of the Association for Computational Linguistics, pp. 417-424. , College Park, MD: Association for Computational Linguistics; Walther, J., Parks, M., Cues filtered out, cues filtered in: Computer-mediated communication and relationships (2002) The Handbook of Interpersonal Communication, pp. 529-563. , M. Knapp, J. Daly, &amp; G. Miller (Eds.), (3rd ed.). Thousand Oaks, CA: Sage; Watson, D., Intraindividual and interindividual analyses of positive and negative affect: Their relation to health complaints, perceived stress, and daily activities (1988) Journal of Personality and Social Psychology, 54 (6), pp. 1020-1030; Watson, D., Clark, L.A., Tellegen, A., Development and validation of brief measures of positive and negative affect: The PANAS scales (1988) Journal of Personality and Social Psychology, 54 (6), pp. 1063-1070; Wiebe, J., Wilson, T., Bruce, R., Bell, M., Martin, M., Learning subjective language (2004) Computational Linguistics, 30 (3), pp. 277-308; Wiebe, J., Wilson, T., Cardie, C., Annotating expressions of opinions and emotions in language (2005) Language Resources and Evaluation, 39 (2-3), pp. 165-210; Wilson, T., (2008) Fine-grained Subjectivity and Sentiment Analysis: Recognizing the Intensity, Polarity, and Attitudes of Private States, , Unpublished manuscript, University of Pittsburgh, PA; Wilson, T., Wiebe, J., Hoffman, P., Recognizing contextual polarity: An exploration of features for phrase-level sentiment analysis (2009) Computational Linguistics, 35 (3), pp. 399-433; Wilson, T., Wiebe, J., Hwa, R., Recognizing strong and weak opinion clauses (2006) Computational Intelligence, 22 (2), pp. 73-99; Witten, I.H., Frank, E., (2005) Data Mining: Practical Machine Learning Tools and Techniques, , San Francisco: Morgan Kaufmann; Wu, C.-H., Chuang, Z.-J., Lin, Y.-C., Emotion recognition from text using semantic labels and separable mixture models (2006) ACM Transactions on Asian Language Information Processing, 5 (2), pp. 165-183</t>
  </si>
  <si>
    <t>15322882</t>
  </si>
  <si>
    <t>AISJB</t>
  </si>
  <si>
    <t>J. Am. Soc. Inf. Sci. Technol.</t>
  </si>
  <si>
    <t>Final</t>
  </si>
  <si>
    <t>All Open Access, Green</t>
  </si>
  <si>
    <t>Scopus</t>
  </si>
  <si>
    <t>2-s2.0-78449308783</t>
  </si>
  <si>
    <t>Ermes M., Pärkkä J., Mäntyjärvi J., Korhonen I.</t>
  </si>
  <si>
    <t>11440260500;6507717377;6602500425;7007171604;</t>
  </si>
  <si>
    <t>Detection of daily activities and sports with wearable sensors in controlled and uncontrolled conditions</t>
  </si>
  <si>
    <t>IEEE Transactions on Information Technology in Biomedicine</t>
  </si>
  <si>
    <t>1</t>
  </si>
  <si>
    <t>20</t>
  </si>
  <si>
    <t>26</t>
  </si>
  <si>
    <t>10.1109/TITB.2007.899496</t>
  </si>
  <si>
    <t>https://www.scopus.com/inward/record.uri?eid=2-s2.0-39449090035&amp;doi=10.1109%2fTITB.2007.899496&amp;partnerID=40&amp;md5=12c9d715e9a7590e44c0d12adc58d384</t>
  </si>
  <si>
    <t>VTT Technical Research Centre of Finland, 33101 Tampere, Finland; VTT Technical Research Centre of Finland, 90571 Oulu, Finland</t>
  </si>
  <si>
    <t>Ermes, M., VTT Technical Research Centre of Finland, 33101 Tampere, Finland; Pärkkä, J., VTT Technical Research Centre of Finland, 33101 Tampere, Finland; Mäntyjärvi, J., VTT Technical Research Centre of Finland, 90571 Oulu, Finland; Korhonen, I., VTT Technical Research Centre of Finland, 90571 Oulu, Finland</t>
  </si>
  <si>
    <t>Physical activity has a positive impact on people's well-being, and it may also decrease the occurrence of chronic diseases. Activity recognition with wearable sensors can provide feedback to the user about his/her lifestyle regarding physical activity and sports, and thus, promote a more active lifestyle. So far, activity recognition has mostly been studied in supervised laboratory settings. The aim of this study was to examine how well the daily activities and sports performed by the subjects in unsupervised settings can be recognized compared to supervised settings. The activities were recognized by using a hybrid classifier combining a tree structure containing a priori knowledge and artificial neural networks, and also by using three reference classifiers. Activity data were collected for 68 h from 12 subjects, out of which the activity was supervised for 21 h and unsupervised for 47 h. Activities were recognized based on signal features from 3-D accelerometers on hip and wrist and GPS information. The activities included lying down, sitting and standing, walking, running, cycling with an exercise bike, rowing with a rowing machine, playing football, Nordic walking, and cycling with a regular bike. The total accuracy of the activity recognition using both supervised and unsupervised data was 89% that was only 1% unit lower than the accuracy of activity recognition using only supervised data. However, the accuracy decreased by 17% unit when only supervised data were used for training and only unsupervised data for validation, which emphasizes the need for out-of-laboratory data in the development of activity-recognition systems. The results support a vision of recognizing a wider spectrum, and more complex activities in real life settings. © 2008 IEEE.</t>
  </si>
  <si>
    <t>Activity classification; Context awareness; Physical activity; Wearable sensors</t>
  </si>
  <si>
    <t>Accelerometers; Biomedical engineering; Classification (of information); Global positioning system; Neural networks; Context awareness; Three-dimensional accelerometers; Wearable sensors; Sensors; article; daily life activity; genetic procedures; human; sport; Activities of Daily Living; Biosensing Techniques; Humans; Sports</t>
  </si>
  <si>
    <t>(2002), http://www.who.int/whr/2002/en/whr02_en.pdf, WHO World Health Report, Online, Available; Kottke, T., Puska, P., Salonen, J., Projected effects of high-risk versus population-based prevention strategies in coronary heart disease (1985) Amer. J. Epidemiol, 121, pp. 697-704; Ashton, D., (1993) Exercise, Health Benefits and Risks (European Occupational Health Series 7), Copenhagen, Denmark: Villadsen &amp; Christensen; Tonino, R., Effect of physical training on the insulin resistance of aging (1989) Amer. J. Physiol. Endocrinol. Metab, 256, pp. E352-E356; Dargent-Molina, P., Favier, F., Grandjean, H., Baudoin, C., Schott, A., Hausherr, E., Meunier, P., Breart, G., Fall-related factors and risk of hip fracture: The EPIDOS prospective study (1996) Lancet, 348, pp. 145-149; Bouten, C., Sauren, A., Verduin, M., Janssen, J., Effects of placement and orientation of body-fixed accelerometers on the assessment of energy expenditure during walking (1997) Med. Biol. Eng. Comput, 35, pp. 50-56; Fruin, M., Rankin, J., Validity of a multi-sensor armband in estimating rest and exercise energy expenditure (2004) Med. Sci. Sports Exercise, 36, pp. 1063-1069; (1994) Physical Activity, Fitness, and Health: International Processings and Consensus Statement, , C. Bouchard, R. Shephard, and T. Stephens, Eds, Champaign, IL: Human Kinetics; Tapia, E., Intille, S., Larson, K., Activity recognition in the home using simple and ubiquitous sensors (2004) Proc. 2nd Int. Conf. Pervasive Comput, pp. 158-175; Mathie, M., Coster, A., Lovell, N., Celler, B., Accelerometry: Providing an integrated, practical method for long-term, ambulatory monitoring of human movement (2004) Physiol. Meas, 25, pp. R1-R20; Aminian, K., Najafi, B., Capturing human motion using body-fixed sensors: Outdoor measurement and clinical applications (2004) Comput. Animation Virtual Worlds, 15, pp. 79-94; Mathie, M., Foster, A., Lovell, N., Celler, B., Detection of daily physical activities using a triaxial accelerometers (2003) Med. Biol. Eng. Comput, 41, pp. 296-301; Aminian, K., Robert, P., Buchser, E., Rutschmann, B., Hayoz, D., Depairon, M., Physical activity monitoring based on accelerometry: Validation and comparison with video observation (1999) Med. Biol. Eng. Comput, 37, pp. 304-308; Foerster, F., Fahrenberg, J., Motion pattern and posture: Correctly assessed by calibrated accelerometers (2000) Behav. Res. Methods Instrum. Comput, 32 (3), pp. 450-457; Ng, J., Sahakian, A., Swiryn, S., Accelerometer-based body-position sensing for ambulatory electrocardiographic monitoring (2003) Biomed. Instrum. Technol, 37, pp. 338-346; Foerster, F., Smeja, M., Fahrenberg, J., Detection of posture and motion by accelerometry: A validation study in ambulatory monitoring (1999) Comput. Human Behav, 15, pp. 571-583; Karantonis, D., Narayanan, M., Mathie, M., Lovell, N., Celler, B., Implementation of a real-time human movement classifier using a triaxial accelerometer for ambulatory monitoring (2006) IEEE Trans. Inf. Technol. Biomed, 10 (1), pp. 156-167. , Jan; Maurer, U., Smailagic, A., Siewiorek, D., Deisher, M., Activity recognition and monitoring using multiple sensors on different body positions (2006) Int. Workshop Wearable Implantable Body Sensor Netw, , presented at the, Cambridge, MA; Bao, L., Intille, S., Activity recognition from user-annotated acceleration data (2004) Proc. 2nd Int. Conf. Pervasive Comput, pp. 1-17; Pärkkä, J., Ermes, M., Korpipää, P., Mäntyjärvi, J., Peltola, J., Korhonen, I., Activity classification using realistic data from wearable sensors (2006) IEEE Trans. Inf. Technol. Biomed, 10 (1), pp. 119-128. , Jan; Pärkkä, J., Cluitmans, L., Korpipää, P., Palantir context data collection, annotation and PSV file format Proc. Pervasive 2004 Workshop, pp. 9-16; Johnson, R., Shore, J., Which is the better entropy expression for speech processing: -S log S or log S? (1984) IEEE Trans. Acoust, 32 (1), pp. 129-137. , Feb; Lee, S.-W., Mase, K., Activity and location recognition using wearable sensors (2002) Pervasive Comput, 1 (3), pp. 24-32; Sun, M., Hill, J., A method for measuring mechanical work and work efficiency during human activities (1993) J. Biomech, 26, pp. 229-242</t>
  </si>
  <si>
    <t>10897771</t>
  </si>
  <si>
    <t>ITIBF</t>
  </si>
  <si>
    <t>IEEE Trans Inf Technol Biomed</t>
  </si>
  <si>
    <t>2-s2.0-39449090035</t>
  </si>
  <si>
    <t>Kohn N., Eickhoff S.B., Scheller M., Laird A.R., Fox P.T., Habel U.</t>
  </si>
  <si>
    <t>15765684200;9742676000;55976543400;7004999301;7402680249;7003802906;</t>
  </si>
  <si>
    <t>Neural network of cognitive emotion regulation - An ALE meta-analysis and MACM analysis</t>
  </si>
  <si>
    <t>NeuroImage</t>
  </si>
  <si>
    <t>87</t>
  </si>
  <si>
    <t>345</t>
  </si>
  <si>
    <t>355</t>
  </si>
  <si>
    <t>10.1016/j.neuroimage.2013.11.001</t>
  </si>
  <si>
    <t>https://www.scopus.com/inward/record.uri?eid=2-s2.0-84891063100&amp;doi=10.1016%2fj.neuroimage.2013.11.001&amp;partnerID=40&amp;md5=cf4cf03066ba1763dbbb10a1ed62c9d6</t>
  </si>
  <si>
    <t>Department of Psychiatry, Psychotherapy and Psychosomatic Medicine, RWTH Aachen University, Aachen, Germany; JARA Brain, Translational Brain Medicine, Jülich, Aachen, Germany; Institute of Neuroscience and Medicine (INM-1), Research Center, Jülich, Germany; Institute for Clinical Neuroscience and Medical Psychology, Heinrich-Heine University, Düsseldorf, Germany; Department of Physics, Florida International University, Miami, FL, United States; Research Imaging Institute, University of Texas Health Science Center, San Antonio, TX, United States; Audie L. Murphy South Texas Veterans Administration Medical Center, San Antonio, TX, United States</t>
  </si>
  <si>
    <t>Kohn, N., Department of Psychiatry, Psychotherapy and Psychosomatic Medicine, RWTH Aachen University, Aachen, Germany, JARA Brain, Translational Brain Medicine, Jülich, Aachen, Germany; Eickhoff, S.B., Institute of Neuroscience and Medicine (INM-1), Research Center, Jülich, Germany, Institute for Clinical Neuroscience and Medical Psychology, Heinrich-Heine University, Düsseldorf, Germany; Scheller, M., Department of Psychiatry, Psychotherapy and Psychosomatic Medicine, RWTH Aachen University, Aachen, Germany, JARA Brain, Translational Brain Medicine, Jülich, Aachen, Germany; Laird, A.R., Department of Physics, Florida International University, Miami, FL, United States; Fox, P.T., Research Imaging Institute, University of Texas Health Science Center, San Antonio, TX, United States, Audie L. Murphy South Texas Veterans Administration Medical Center, San Antonio, TX, United States; Habel, U., Department of Psychiatry, Psychotherapy and Psychosomatic Medicine, RWTH Aachen University, Aachen, Germany, JARA Brain, Translational Brain Medicine, Jülich, Aachen, Germany</t>
  </si>
  <si>
    <t>Cognitive regulation of emotions is a fundamental prerequisite for intact social functioning which impacts on both well being and psychopathology. The neural underpinnings of this process have been studied intensively in recent years, without, however, a general consensus. We here quantitatively summarize the published literature on cognitive emotion regulation using activation likelihood estimation in fMRI and PET (23 studies/479 subjects). In addition, we assessed the particular functional contribution of identified regions and their interactions using quantitative functional inference and meta-analytic connectivity modeling, respectively. In doing so, we developed a model for the core brain network involved in emotion regulation of emotional reactivity. According to this, the superior temporal gyrus, angular gyrus and (pre) supplementary motor area should be involved in execution of regulation initiated by frontal areas. The dorsolateral prefrontal cortex may be related to regulation of cognitive processes such as attention, while the ventrolateral prefrontal cortex may not necessarily reflect the regulatory process per se, but signals salience and therefore the need to regulate. We also identified a cluster in the anterior middle cingulate cortex as a region, which is anatomically and functionally in an ideal position to influence behavior and subcortical structures related to affect generation. Hence this area may play a central, integrative role in emotion regulation. By focusing on regions commonly active across multiple studies, this proposed model should provide important a priori information for the assessment of dysregulated emotion regulation in psychiatric disorders. © 2013 Elsevier Inc.</t>
  </si>
  <si>
    <t>ALE; AMCC; Angular gyrus; DLPFC; Emotion regulation; MACM; SMA; STG; VLPFC</t>
  </si>
  <si>
    <t>angular gyrus; anterior middle cingulate cortex; article; attention; behavior; brain mapping; cognition; emotion; functional magnetic resonance imaging; human; mental disease; nerve cell network; positron emission tomography; prefrontal cortex; priority journal; regulatory mechanism; social status; statistical analysis; superior temporal gyrus; supplementary motor area; ventrolateral prefrontal cortex; wellbeing; ALE; aMCC; Angular gyrus; DLPFC; Emotion regulation; MACM; SMA; STG; VLPFC; Brain; Cognition; Emotions; Female; Humans; Likelihood Functions; Male; Nerve Net</t>
  </si>
  <si>
    <t>Andrews-Hanna, J.R., Reidler, J.S., Sepulcre, J., Poulin, R., Buckner, R.L., Functional-anatomic fractionation of the brain's default network (2010) Neuron., 65, pp. 550-562; Anticevic, A., Repovs, G., Shulman, G.L., Barch, D.M., When less is more: TPJ and default network deactivation during encoding predicts working memory performance (2010) Neuroimage, 49, pp. 2638-2648; Arnold, M., (1960) Emotion and Personality, , Columbia University Press, New York, NY, US; Barbas, H., (2000) Proceedings of the Human Cerebral Cortex: From Gene to Structure and Function Connections Underlying the Synthesis of Cognition, Memory, and Emotion in Primate Prefrontal Cortices, 52, pp. 319-330; Barsalou, L.W., Grounded cognition (2008) Ann. Rev. Psychol., 59, pp. 617-645; Beauregard, M., Levesque, J., Bourgouin, P., Neural correlates of conscious self-regulation of emotion (2001) J. Neurosci., 21, pp. RC165; Buhle, J.T., Silvers, J.A., Wager, T.D., Lopez, R., Onyemekwu, C., Kober, H., Weber, J., Ochsner, K.N., Cognitive reappraisal of emotion: a meta-analysis of human neuroimaging studies (2013) Cereb. Cortex, , (bht154-); Bush, G., Luu, P., Posner, M., Cognitive and emotional influences in anterior cingulate cortex (2000) Trends Cogn. Sci., 4, pp. 215-222; Campbell-Sills, L., Simmons, A.N., Lovero, K.L., Rochlin, A., Paulus, M.P., Stein, M.B., Functioning of neural systems supporting emotion regulation in anxiety-prone individuals (2011) Neuroimage, 54, pp. 689-696; Cauda, F., Costa, T., Torta, D.M.E., Sacco, K., D'Agata, F., Duca, S., Geminiani, G., Vercelli, A., Meta-analytic clustering of the insular cortex: characterizing the meta-analytic connectivity of the insula when involved in active tasks (2012) Neuroimage, 62, pp. 343-355; Chase, H.W., Eickhoff, S.B., Laird, A.R., Hogarth, L., The neural basis of drug stimulus processing and craving: an activation likelihood estimation meta-analysis (2011) Biol. Psychiatry, 70, pp. 785-793; Cieslik, E.C., Zilles, K., Caspers, S., Roski, C., Kellermann, T.S., Jakobs, O., Langner, R., Eickhoff, S.B., Is there "one" DLPFC in cognitive action control? Evidence for heterogeneity from co-activation-based parcellation (2012) Cereb. Cortex, 22, pp. 2677-2689; D'Esposito, M., Postle, B.R., Rypma, B., Prefrontal cortical contributions to working memory: evidence from event-related fMRI studies (2000) Exp. Brain Res., 133, pp. 3-11; Delgado, M.R., Nearing, K.I., Ledoux, J.E., Phelps, E., Neural circuitry underlying the regulation of conditioned fear and its relation to extinction (2008) Neuron, 59, pp. 829-838; Damasio, A.R., The somatic marker hypothesis and the possible functions of the prefrontal cortex (1996) Philos. Trans. R. Soc. Lond. B Biol. Sci., 351, pp. 1413-1420; Diekhof, E.K., Geier, K., Falkai, P., Gruber, O., Fear is only as deep as the mind allows: a coordinate-based meta-analysis of neuroimaging studies on the regulation of negative affect (2011) Neuroimage, 58, pp. 275-285; Domes, G., Schulze, L., Böttger, M., Grossmann, A., Hauenstein, K., Wirtz, P.H., Heinrichs, M., Herpertz, S.C., The neural correlates of sex differences in emotional reactivity and emotion regulation (2010) Hum. Brain Mapp., 31, pp. 758-769; Dosenbach, N.U.F., Visscher, K.M., Palmer, E.D., Miezin, F.M., Wenger, K.K., Kang, H.C., Burgund, E.D., Petersen, S.E., A core system for the implementation of task sets (2006) Neuron, 50, pp. 799-812; Dosenbach, N.U.F., Fair, D.A., Miezin, F.M., Cohen, A.L., Wenger, K.K., Dosenbach, R.A.T., Fox, M.D., Petersen, S.E., Distinct brain networks for adaptive and stable task control in humans (2007) Proc. Natl. Acad. Sci. U. S. A., 104, pp. 11073-11078; Eickhoff, S.B., Stephan, K.E., Mohlberg, H., Grefkes, C., Fink, G.R., Amunts, K., Zilles, K., A new SPM toolbox for combining probabilistic cytoarchitectonic maps and functional imaging data (2005) Neuroimage, 25, pp. 1325-1335; Eickhoff, S.B., Heim, S., Zilles, K., Amunts, K., Testing anatomically specified hypotheses in functional imaging using cytoarchitectonic maps (2006) Neuroimage, 32, pp. 570-582; Eickhoff, S.B., Paus, T., Caspers, S., Grosbras, M.-H., Evans, A.C., Zilles, K., Amunts, K., Assignment of functional activations to probabilistic cytoarchitectonic areas revisited (2007) Neuroimage, 36, pp. 511-521; Eickhoff, S.B., Laird, A.R., Grefkes, C., Wang, L.E., Zilles, K., Fox, P.T., Coordinate-based activation likelihood estimation meta-analysis of neuroimaging data: a random-effects approach based on empirical estimates of spatial uncertainty (2009) Hum. Brain Mapp., 30, pp. 2907-2926; Eickhoff, S.B., Bzdok, D., Laird, A.R., Roski, C., Caspers, S., Zilles, K., Fox, P.T., Co-activation patterns distinguish cortical modules, their connectivity and functional differentiation (2011) Neuroimage, 57, pp. 938-949; Eickhoff, S.B., Bzdok, D., Laird, A.R., Kurth, F., Fox, P.T., Activation likelihood estimation meta-analysis revisited (2012) Neuroimage, 59, pp. 2349-2361; Eippert, F., Regulation of emotional responses elicited by threat-related stimuli (2007) Hum. Brain Mapp., 28, pp. 409-423; Erk, S., Mikschl, A., Stier, S., Ciaramidaro, A., Gapp, V., Weber, B., Walter, H., Acute and sustained effects of cognitive emotion regulation in major depression (2010) J. Neurosci., 30, pp. 15726-15734; Evans, A., Kamber, M., Collins, D., An MRI-based probabilistic atlas of neuroanatomy (1994) NATO ASI Series A Life; Friston, K.J., Harrison, L., Penny, W., Dynamic causal modelling (2003) Neuroimage, 19, pp. 1273-1302; Goldin, P.R., McRae, K., Ramel, W., Gross, J.J., The neural bases of emotion regulation: reappraisal and suppression of negative emotion (2008) Biol. Psychiatry, 63, pp. 577-586; Grabner, R.H., Ansari, D., Koschutnig, K., Reishofer, G., Ebner, F., Neuper, C., To retrieve or to calculate? Left angular gyrus mediates the retrieval of arithmetic facts during problem solving (2009) Neuropsychologia, 47, pp. 604-608; Gross, J.J., The emerging field of emotion regulation: an integrative review (1998) Rev. Gen. Psychol., 2, p. 271; Gross, J.J., Emotion regulation: conceptual foundations (2007) Handbook of Emotion Regulation, 3, pp. 3-24; Gross, J.J., Muñoz, R.F., Emotion regulation and mental health (1995) Clin. Psychol. Sci. Pract., 2, pp. 151-164; Haber, S.N., Connectivity of Primate Reward Centers (2009), pp. 91-98. , In: Neuroscience E-CLRSBT-E of, editor. Oxford: Academic Press; Haber, S.N., Chapter 1 - anatomy and connectivity of the reward circuit (2009) H of R and DM, pp. 1-27. , Academic Press, New York, J.-C. Dreher, L. Tremblay (Eds.); Haber, S.N., Knutson, B., The reward circuit: linking primate anatomy and human imaging (2010) Neuropsychopharmacology, 35, pp. 4-26; Halberstadt, J., Winkielmann, P., Niedenthal, P., Dalle, J., Emotional conception how embodied emotion concepts guide perception and facial action (2009) Psychol. Sci., 20, pp. 1254-1261; Hampshire, A., Chamberlain, S.R., Monti, M.M., Duncan, J., Owen, A.M., The role of the right inferior frontal gyrus: inhibition and attentional control (2010) Neuroimage, 50, pp. 1313-1319; Harenski, C.L., Hamann, S., Neural correlates of regulating negative emotions related to moral violations (2006) Neuroimage, 30, pp. 313-324; Hayes, J.P., Staying cool when things get hot: emotion regulation modulates neural mechanisms of memory encoding (2010) Front. Hum. Neurosci., 4, p. 230; Hoffstaedter, F., Grefkes, C., Zilles, K., Eickhoff, S.B., The "what" and "when" of self-initiated movements (2012) Cereb. Cortex, pp. 1-11; Jackson, D.C., Malmstadt, J.R., Larson, C.L., Davidson, R.J., Suppression and enhancement of emotional responses to unpleasant pictures (2000) Psychophysiology, 37, pp. 515-522; Johnson-Frey, S., Newman-Norlund, R., Grafton, S., A distributed left hemisphere network active during planning of everyday tool use skills (2005) Cereb. Cortex, 15, pp. 681-695; Kalisch, R., The functional neuroanatomy of reappraisal: time matters (2009) Neurosci. Biobehav. Rev., 33, pp. 1215-1226; Kandel, E., Schwartz, J., Jessell, T., (2000) Principles of Neural Science, , Mcgraw-Hill Professional; Kanske, P., Heissler, J., Schönfelder, S., Bongers, A., Wessa, M., How to regulate emotion? (2011) Neural networks for reappraisal and distraction. Cereb. Cortex, 21, pp. 1379-1388; Kober, H., Prefrontal-striatal pathway underlies cognitive regulation of craving (2010) Proc. Natl. Acad. Sci. U. S. A., 107, pp. 14811-14816; Kim, S.H., Hamann, S., Neural correlates of positive and negative emotion regulation (2007) J. Cogn. Neurosci., 19, pp. 776-798; Koenigsberg, H.W., Fan, J., Ochsner, K.N., Liu, X., Guise, K.G., Pizzarello, S., Dorantes, C., Siever, L.J., Neural correlates of the use of psychological distancing to regulate responses to negative social cues: a study of patients with borderline personality disorder (2009) Biol. Psychiatry, 66, pp. 854-863; Kohn, N., Kellermann, T., Gur, R.C., Schneider, F., Habel, U., Gender differences in the neural correlates of humor processing: implications for different processing modes (2011) Neuropsychologia, 49, pp. 888-897; Laird, A.R., Fox, P.M., Price, C.J., Glahn, D.C., Uecker, A.M., Lancaster, J.L., Turkeltaub, P.E., Fox, P.T., ALE meta-analysis: controlling the false discovery rate and performing statistical contrasts (2005) Hum. Brain Mapp., 25, pp. 155-164; Laird, A.R., Eickhoff, S.B., Kurth, F., Fox, P.M., Uecker, A.M., Turner, J.A., Robinson, J.L., Fox, P.T., ALE meta-analysis workflows via the brainmap database: progress towards a probabilistic functional brain atlas (2009) Front. Neuroinformatics, 3, p. 23; Laird, A.R., Eickhoff, S.B., Li, K., Robin, D.A., Glahn, D.C., Fox, P.T., Investigating the functional heterogeneity of the default mode network using coordinate-based meta-analytic modeling (2009) J. Neurosci., 29, pp. 14496-14505; Laird, A.R., Robinson, J.L., McMillan, K.M., Tordesillas-Gutiérrez, D., Moran, S.T., Gonzales, S.M., Ray, K.L., Lancaster, J.L., Comparison of the disparity between Talairach and MNI coordinates in functional neuroimaging data: validation of the Lancaster transform (2010) Neuroimage, 51, pp. 677-683; Laird, A.R., Eickhoff, S.B., Fox, P.M., Uecker, A.M., Ray, K.L., Saenz, J.J., McKay, D.R., Fox, P.T., The BrainMap strategy for standardization, sharing, and meta-analysis of neuroimaging data (2011) BMC Res. Notes, 4, p. 349; Lancaster, J.L., Tordesillas-Gutiérrez, D., Martinez, M., Salinas, F., Evans, A., Zilles, K., Mazziotta, J.C., Fox, P.T., Bias between MNI and Talairach coordinates analyzed using the ICBM-152 brain template (2007) Hum. Brain Mapp., 28, pp. 1194-1205; Lang, S., Cognitive reappraisal in trauma-exposed women with borderline personality disorder (2012) Neuroimage, 59, pp. 1727-1734; Lazarus, R.S., (1966) Psychological Stress and the Coping Process, , McGraw-Hill, New York, NY, US; Lazarus, R.S., (1991) Emotion and Adaptation, , Oxford University Press, New York and Oxford; Levenson, R.W., Human emotions: a functional view (1994) The Nature of Emotion: Fundamental Questions, pp. 123-126. , Oxford University Press, New York, P. Ekman, R.J. Davidson (Eds.); Lindquist, K., Wager, T., Kober, H., Bliss-Moreau, E., Barrett, L., The brain basis of emotion: a meta-analytic review (2011) Behav. Brain Sci., pp. 1-121; Mak, A.K.Y., Hu, Z., Zhang, J.X.X., Xiao, Z., Lee, T.M.C., Sex-related differences in neural activity during emotion regulation (2009) Neuropsychologia, 47, pp. 2900-2908; Mazoyer, B., Zago, L., Mellet, E., Bricogne, S., Etard, O., HoudeD́, O., Crivello, F., Tzourio-Mazoyer, N., Cortical networks for working memory and executive functions sustain the conscious resting state in man (2001) Brain Res. Bull., 54, pp. 287-298; McRae, K., Ochsner, K.N., Mauss, I.B., Gabrieli, J.J.D., Gross, J.J., (2008) Gender differences in emotion regulation: an fMRI study of cognitive reappraisal.; McRae, K., Hughes, B., Chopra, S., Gabrieli, J.D.E., Gross, J.J., Ochsner, K.N., The neural bases of distraction and reappraisal (2010) J. Cogn. Neurosci., 22, pp. 248-262; Miller, E.K., Cohen, J.D., An integrative theory of prefrontal cortex function (2001) Annu. Rev. Neurosci., 24, pp. 167-202; Modinos, G., Ormel, J., Aleman, A., Individual differences in dispositional mindfulness and brain activity involved in reappraisal of emotion (2010) Soc. Cogn. Affect Neurosci., 5, pp. 369-377; Müller, V.I., Cieslik, E.C., Turetsky, B.I., Eickhoff, S.B., Crossmodal interactions in audiovisual emotion processing (2012) Neuroimage, 60, pp. 553-561; Nelson, S.M., Dosenbach, N.U.F., Cohen, A.L., Wheeler, M.E., Schlaggar, B.L., Petersen, S.E., Role of the anterior insula in task-level control and focal attention (2010) Brain Struct. Funct., 214, pp. 669-680; Nickl-Jockschat, T., Habel, U., Michel, T.M., Manning, J., Laird, A.R., Fox, P.T., Schneider, F., Eickhoff, S.B., Brain structure anomalies in autism spectrum disorder-a meta-analysis of VBM studies using anatomic likelihood estimation (2012) Hum. Brain Mapp., 33, pp. 1470-1489; Niedenthal, P.M., Embodying emotion (2007) Science, 316, pp. 1002-1005; Niedenthal, P.M., Winkielman, P., Mondillon, L., Vermeulen, N., Embodiment of emotion concepts (2009) J. Pers. Soc. Psychol., 96, pp. 1120-1136; Ochsner, K.N., Gross, J.J., The cognitive control of emotion (2005) Trends Cogn. Sci., 9, pp. 242-249; Ochsner, K.N., Bunge, S.A., Gross, J.J., Gabrieli, J.D.E., Rethinking feelings: an FMRI study of the cognitive regulation of emotion (2002) J. Cogn. Neurosci., 14, pp. 1215-1229; Ochsner, K.N., Knierim, K., Ludlow, D.H., Hanelin, J., Ramachandran, T., Glover, G., Mackey, S.C., Reflecting upon feelings: an fMRI study of neural systems supporting the attribution of emotion to self and other (2004) J. Cogn. Neurosci., 16, pp. 1746-1772; Ongür, D., Price, J.L., The organization of networks within the orbital and medial prefrontal cortex of rats, monkeys and humans (2000) Cereb. Cortex, 10, pp. 206-219; Ongür, D., Ferry, A.T., Price, J.L., Architectonic subdivision of the human orbital and medial prefrontal cortex (2003) J. Comp. Neurol., 460, pp. 425-449; Phan, K.L., Wager, T., Taylor, S.F., Liberzon, I., Functional neuroanatomy of emotion: a meta-analysis of emotion activation studies in PET and fMRI (2002) Neuroimage, 16, pp. 331-348; Phan, K.L., Neural substrates for voluntary suppression of negative affect: a functional magnetic resonance imaging study (2005) Biol. Psychiatry, 57, pp. 210-219; Phillips, M.L., Drevets, W.C., Rauch, S.L., Lane, R., Neurobiology of emotion perception I: the neural basis of normal emotion perception (2003) Biol. Psychiatry, 54, pp. 504-514; Phillips, M.L., Ladouceur, C.D., Drevets, W.C., A neural model of voluntary and automatic emotion regulation: implications for understanding the pathophysiology and neurodevelopment of bipolar disorder (2008) Mol. Psychiatry, 13, pp. 829+833-829+857; Poldrack, R.A., Inferring mental states from neuroimaging data: from reverse inference to large-scale decoding (2011) Neuron, 72, pp. 692-697; Quirk, G.J., Beer, J.S., Prefrontal involvement in the regulation of emotion: convergence of rat and human studies (2006) Curr. Opin. Neurobiol., 16, pp. 723-727; Ray, R.D., Zald, D.H., Anatomical insights into the interaction of emotion and cognition in the prefrontal cortex (2012) Neurosci. Biobehav. Rev., 36, pp. 479-501; Reetz, K., Dogan, I., Rolfs, A., Binkofski, F., Schulz, J.B., Laird, A.R., Fox, P.T., Eickhoff, S.B., Investigating function and connectivity of morphometric findings-exemplified on cerebellar atrophy in spinocerebellar ataxia 17 (SCA17) (2012) Neuroimage, 62, pp. 1354-1366; Rottschy, C., Caspers, S., Roski, C., Reetz, K., Dogan, I., Schulz, J.B., Zilles, K., Eickhoff, S.B., Differentiated parietal connectivity of frontal regions for "what" and "where" memory (2012) Brain Struct. Funct., pp. 1-17; Salimi-Khorshidi, G., Smith, S.M., Keltner, J.R., Wager, T.D., Nichols, T.E., Meta-analysis of neuroimaging data: a comparison of image-based and coordinate-based pooling of studies (2009) Neuroimage, 45, pp. 810-823; Schachter, S., Singer, J., Cognitive, social, and physiological determinants of emotional state (1962) Psychol. Rev., 69, pp. 379-399; Schulze, L., Domes, G., Krüger, A., Berger, C., Fleischer, M., Prehn, K., Schmahl, C., Herpertz, S.C., Neuronal correlates of cognitive reappraisal in borderline patients with affective instability (2011) Biol. Psychiatry, 69, pp. 564-573; Seghier, M.L., Fagan, E., Price, C.J., UKPMC funders group author manuscript functional subdivisions in the left angular gyrus where the semantic system meets and diverges from the default network (2011) J. Neurosci., 30, pp. 16809-16817; Smith, E.R., Semin, G.R., Situated social cognition (2007) Curr. Dir. Psychol. Sci., 16, pp. 132-135; Turkeltaub, P.E., Eden, G.F., Jones, K.M., Zeffiro, T.A., Meta-analysis of the functional neuroanatomy of single-word reading: method and validation (2002) Neuroimage, 16, pp. 765-780; Turkeltaub, P.E., Minimizing within-experiment and within-group effects in Activation Likelihood Estimation meta-analyses (2012) Hum. Brain Mapp., 33, pp. 1-13; Turner, J.A., Laird, A.R., The cognitive paradigm ontology: design and application (2011) Neuroinformatics, 10, pp. 57-66; Urry, H.L., van Reekum, C.M., Johnstone, T., Kalin, N.H., Thurow, M.E., Schaefer, H.S., Jackson, C.A., Davidson, R.J., Amygdala and ventromedial prefrontal cortex are inversely coupled during regulation of negative affect and predict the diurnal pattern of cortisol secretion among older adults (2006) J. Neurosci., 26, pp. 4415-4425; Van Reekum, C.M., Johnstone, T., Urry, H.L., Thurow, M.E., Schaefer, H.S., Alexander, A.L., Davidson, R.J., Gaze fixations predict brain activation during the voluntary regulation of picture-induced negative affect (2007) Neuroimage, 36, pp. 1041-1055; Vogt, B.A., Regions and subregions of the cingulate gyrus (2009) Cingulate Neurobiology and Disease, pp. 3-30. , Oxford University Press, Oxford, England, B.A. Vogt (Ed.); Wager, T.D., Phan, K.L., Liberzon, I., Taylor, S.F., Valence, gender, and lateralization of functional brain anatomy in emotion: a meta-analysis of findings from neuroimaging (2003) Neuroimage, 19, pp. 513-531; Wager, T.D., Lindquist, M., Kaplan, L., Meta-analysis of functional neuroimaging data: current and future directions (2007) Soc. Cogn. Affect. Neurosci., 2, pp. 150-158; Wager, T.D., Davidson, M.L., Hughes, B.L., Lindquist, M.A., Ochsner, K.N., Prefrontal-subcortical pathways mediating successful emotion regulation (2008) Neuron, 59, pp. 1037-1050; Walter, H., The temporal dynamics of voluntary emotion regulation (2009) PLoS One, 4, pp. e6726; Winecoff, A., Labar, K.S., Madden, D.J., Cabeza, R., Huettel, S., Cognitive and neural contributors to emotion regulation in aging (2011) Soc. Cogn. Affect Neurosci., 6, pp. 165-176; Yang, J., Weng, X., Zang, Y., Xu, M., Xu, X., Sustained activity within the default mode network during an implicit memory task (2010) Cortex, 46, pp. 354-366</t>
  </si>
  <si>
    <t>Academic Press Inc.</t>
  </si>
  <si>
    <t>10538119</t>
  </si>
  <si>
    <t>NEIME</t>
  </si>
  <si>
    <t>2-s2.0-84891063100</t>
  </si>
  <si>
    <t>Neural network of cognitive emotion regulation - an ale meta-analysis and macm analysis</t>
  </si>
  <si>
    <t>Li N., Wu D.D.</t>
  </si>
  <si>
    <t>55605764204;34769206000;</t>
  </si>
  <si>
    <t>Using text mining and sentiment analysis for online forums hotspot detection and forecast</t>
  </si>
  <si>
    <t>Decision Support Systems</t>
  </si>
  <si>
    <t>48</t>
  </si>
  <si>
    <t>2</t>
  </si>
  <si>
    <t>354</t>
  </si>
  <si>
    <t>368</t>
  </si>
  <si>
    <t>10.1016/j.dss.2009.09.003</t>
  </si>
  <si>
    <t>https://www.scopus.com/inward/record.uri?eid=2-s2.0-71649085616&amp;doi=10.1016%2fj.dss.2009.09.003&amp;partnerID=40&amp;md5=47c1212f2a039aff15144ce4c2ba7c71</t>
  </si>
  <si>
    <t>Department of Computer Science, University of California, Santa Barbara, United States; Reykjavík University, Iceland; RiskLab, University of Toronto, Canada</t>
  </si>
  <si>
    <t>Li, N., Department of Computer Science, University of California, Santa Barbara, United States; Wu, D.D., Reykjavík University, Iceland, RiskLab, University of Toronto, Canada</t>
  </si>
  <si>
    <t>Text sentiment analysis, also referred to as emotional polarity computation, has become a flourishing frontier in the text mining community. This paper studies online forums hotspot detection and forecast using sentiment analysis and text mining approaches. First, we create an algorithm to automatically analyze the emotional polarity of a text and to obtain a value for each piece of text. Second, this algorithm is combined with K-means clustering and support vector machine (SVM) to develop unsupervised text mining approach. We use the proposed text mining approach to group the forums into various clusters, with the center of each representing a hotspot forum within the current time span. The data sets used in our empirical studies are acquired and formatted from Sina sports forums, which spans a range of 31 different topic forums and 220,053 posts. Experimental results demonstrate that SVM forecasting achieves highly consistent results with K-means clustering. The top 10 hotspot forums listed by SVM forecasting resembles 80% of K-means clustering results. Both SVM and K-means achieve the same results for the top 4 hotspot forums of the year. © 2009 Elsevier B.V. All rights reserved.</t>
  </si>
  <si>
    <t>Cluster analysis; Dynamic interacting network analysis; Hotspot detection; Machine learning; Online sports forums; Sentiment analysis; Support vector machine; Text mining</t>
  </si>
  <si>
    <t>Hot spot; Machine-learning; Network analysis; Sentiment analysis; Text mining; Clustering algorithms; Dynamic analysis; Electric network analysis; Fluorine containing polymers; Forecasting; Image retrieval; Mining; Robot learning; Support vector machines; Water supply systems; Cluster analysis</t>
  </si>
  <si>
    <t>Ahmad, K., Almas, Y., Visualising sentiments in financial texts? (2005) Proceedings of the Ninth International Conference on Information Visualisation, pp. 363-368; Asavathiratham, C., The Influence Model: A Tractable Representation for the Dynamics of Networked Markov Chains (2000) Dept. of EECS. 2000, p. 188. , MIT, Cambridge; Chaovalit, P., Zhou, L., Movie review mining: a comparison between supervised and unsupervised classification approaches (2005) Proceedings of the 38th Hawaii International Conference on System Sciences; Cheung, K.W., Kwok, J.T., Law, M.H., Tsui, K.C., Mining customer product ratings for personalized marketing (2003) Decision Support Systems, 35 (2), pp. 231-243; Coble, J., Cook, D., Rathi, R., Holder, L., Iterative structure discovery in graph-based data (2005) International Journal of Artificial Intelligence Techniques, 1-2 (14), pp. 101-124; Dash, M., Liu, H., Feature selection for classification (1997) Intelligent Data Analysis, 1 (3), pp. 131-156; Freifeld, C.C., Mandl, K.D., Reis, B.Y., Brownstein, J.S., HealthMap: global infectious disease monitoring through automated classification and visualization of internet media reports (2008) Journal of the American Medical Informatics Association, 15, pp. 150-157; Gaurav, J., Ginwala, A., Aslandogan, Y.A., An approach to text classification using dimensionality reduction and combination of classifiers (2004) Proceedings of the 2004 IEEE International Conference on Information Reuse and Integration, pp. 564-569; Goswami, A., Jin, R.M., Agrawal, G., Fast and exact out-of-core k-means clustering (2004) Fourth IEEE International Conference on Data Mining, pp. 83-90; Guralnik, V., Karypis, G., A scalable algorithm for clustering protein sequences (2001) Proc. Workshop Data Mining in Bioinformatics (BIOKDD), pp. 73-80; Han, K.F., Baker, D., Recurring local sequence motifs in proteins (1995) Journal of Molecular Biology, 251 (1), pp. 176-187; Han, K.F., Baker, D., Global properties of the mapping between local amino acid sequence and local structure in proteins (1996) Proceedings of the National Academy of Sciences of the United States of America, pp. 5814-5818; Hatzivassiloglou, V., McKeown, K.R., Predicting the semantic orientation of adjectives (1997) Proceedings of the 35th Annual Meeting of the ACL and the 8th Conference of the European Chapter of the ACL, New Brunswick, NJ, pp. 174-181; Huang, R.Q., Hansen, J.H.L., Dialect classification on printed text using perplexity measure and conditional random fields (2007) IEEE International Conference on Acoustics, Speech and Signal Processing, pp. 993-996; Joachims, T., Text categorization with SVM: learning with many relevant features (1998) Proceedings of ECM, 10th European Conference on Machine Learning; Khan, J.I., Shaikh, S., Relationship algebra for computing in social networks and social network based applications (2006) 2006 IEEE/WIC/ACM International Conference on Web Intelligence, pp. 113-116; Li, N., Liang, X., Li, X., Wang, C., Wu, D., Network environment and financial risk using machine learning and sentiment analysis (2009) Human and Ecological Risk Assessment, 15 (2), pp. 227-252; Pang, B., Lee, L., Vaithyanathan, S., Thumbs up? Sentiment classification using machine learning techniques (2002) Proceedings of the Conference on Empirical Methods in Natural Language Processing (EMNLP), pp. 79-86; Saegusa, T., Maruyama, T., Real-time segmentation of color images based on the K-means CLUSTERING on FPGA (2007) International Conference on Field-Programmable Technology, pp. 329-332; Schauland, S., Kummert, A., Su-Birm, P., Uri, I., Zhang, Y., Vision-based pedestrian detection-improvement and verification of feature extraction methods and SVM-based classification (2006) IEEE Intelligent Transportation Systems Conference, pp. 97-102; Sun, Z.H., Sun, Y.X., Fuzzy support vector machine for regression estimation (2003) IEEE International Conference on Systems, Man and Cybernetics, 4, pp. 3336-3341; Tan, S., Zhang, J., An empirical study of sentiment analysis for chinese documents (2008) Expert Systems with Applications, 34 (4), pp. 2622-2629; Thanh-Nghi, D., Fekete, J.D., Large scale classification with support vector machine algorithms (2007) ICMLA 2007, Sixth International Conference on Machine Learning and Applications, pp. 7-12; Tong, S., Chang, E., Support vector machine active learning for image retrieval (2001) Proceedings of ACM International Conference on Multimedia, pp. 107-118; Trafalis, T.B., Ince, H., Support vector machine for regression and applications to financial forecasting (2000) Proceedings of the IEEE-INNS-ENNS International Joint Conference on Neural Networks, 6, pp. 348-353; Turney, P.D., Mining the web for synonyms: PMI-IR versus LSA on TOEFL (2001) Proceedings of the Twelfth European Conference on Machine Learning, pp. 491-502. , Springer-Verlag, Berlin; Turney, P.D., Thumbs up or thumbs down? Semantic orientation applied to unsupervised classification of reviews (2002) presented at the Association for Computational Linguistics 40th Anniversary Meeting, , New Brunswick, N.J; Turney, P.D., Littman, M.L., Measuring praise and criticism: inference of semantic orientation from association (2003) ACM Transactions on Information Systems, 21, pp. 315-346. , 315-346; Vapnik, V., (1998) Statistical Learning Theory, , Wiley, New York; Vahidov, R., Elrod, R., Incorporating critique and argumentation in DSS (1999) Decision Support Systems, 26 (3), pp. 249-258; Wu, D., Performance evaluation: an integrated method using data envelopment analysis and fuzzy preference relations (2009) European Journal of Operational Research, 194 (1), pp. 227-235; Wu, D., Yang, Z., Liang, L., Using DEA-neural network approach to evaluate branch efficiency of a large Canadian bank (2006) Expert Systems with Applications, 31 (1), pp. 108-115; Xu, D., Liao, S., Li, Q., Combining empirical experimentation and modeling techniques: a design research approach for personalized mobile advertising applications (2008) Decision Support Systems, 44 (3); Yang, J.M., Huang, X.Z., Zhuang, D., Zhang, S.T., The complex network analysis of competitive relationships between manufacturers in Foshan Ceramic Industry Cluster (2006) 2006 International Conference on Management Science and Engineering, pp. 1020-1023; Yuan, S., A personalized and integrative comparison-shopping engine and its applications (2003) Decision Support Systems, 34 (2); Zhang, Y., Dang, Y., Chen, H., Thurmond, M., Larson, C., Automatic online news monitoring and classification for syndromic surveillance (2009) Decision Support Systems, 47 (4), pp. 508-517; Zhang, X.H., Lu, Z.B., Kang, C.Y., Underwater acoustic targets classification using support vector machine (2003) Proceedings of the International Conference on Neural Networks and Signal Processing, 2, pp. 932-935; Zhao, Y.G., He, Q.M., An unbalanced dataset classification approach based on v-support vector machine (2006) The Sixth World Congress on Intelligent Control and Automation, 2, pp. 10496-10501; Zhong, W., Altun, G., Harrison, R., Tai, P.C., Pan, Y., Improved K-means clustering algorithm for exploring local protein sequence motifs representing common structural property (2005) IEEE Transactions on NanoBioscience, 4 (3), pp. 255-265; Zhou, S., Ling, T.W., Guan, J., Hu, J.T., Zhou, A., Fast text classification: a training-corpus pruning based approach (2003) Proceedings of the Eighth International Conference on Database Systems for Advanced Applications, pp. 127-13; http://domino.research.ibm.com/comm/research_projects.nsf/pages/cni.index.html; http://finance.google.com/finance?q=NYSE%3AIBM; http://finance.yahoo.com/q/co?s=INTC; http://www.youtube.com; http://zp.isoche.com</t>
  </si>
  <si>
    <t>01679236</t>
  </si>
  <si>
    <t>DSSYD</t>
  </si>
  <si>
    <t>Decis Support Syst</t>
  </si>
  <si>
    <t>2-s2.0-71649085616</t>
  </si>
  <si>
    <t>Picard R.W., Papert S., Bender W., Blumberg B., Breazeal C., Cavallo D., Machover T., Resnick M., Roy D., Strohecker C.</t>
  </si>
  <si>
    <t>7005583409;6603238713;7102910201;7101933939;7003691791;7003847942;6505579602;7201681944;7402439504;6602269227;</t>
  </si>
  <si>
    <t>Affective learning - a manifesto</t>
  </si>
  <si>
    <t>BT Technology Journal</t>
  </si>
  <si>
    <t>22</t>
  </si>
  <si>
    <t>4</t>
  </si>
  <si>
    <t>253</t>
  </si>
  <si>
    <t>269</t>
  </si>
  <si>
    <t>10.1023/B:BTTJ.0000047603.37042.33</t>
  </si>
  <si>
    <t>https://www.scopus.com/inward/record.uri?eid=2-s2.0-8644249082&amp;doi=10.1023%2fB%3aBTTJ.0000047603.37042.33&amp;partnerID=40&amp;md5=591893e00ed6597117a7c308680952ec</t>
  </si>
  <si>
    <t>Lab's Affective Computing grp.; MIT Media Laboratory, Electron. Publishing group, United States; Media Lab; Lab's Robotic Life group; Lab's Future of Learning grp.; Media Lab's Hyperinstruments, Opera of the Future grp.; Lab's Digital Nations consortium; Media Lab's Cognitive Machines grp.; Media Lab Europe, Ireland</t>
  </si>
  <si>
    <t>Picard, R.W., Lab's Affective Computing grp.; Papert, S.; Bender, W., MIT Media Laboratory, Electron. Publishing group, United States; Blumberg, B., Media Lab; Breazeal, C., Lab's Robotic Life group; Cavallo, D., Lab's Future of Learning grp.; Machover, T., Media Lab's Hyperinstruments, Opera of the Future grp.; Resnick, M., Lab's Digital Nations consortium; Roy, D., Media Lab's Cognitive Machines grp.; Strohecker, C., Media Lab Europe, Ireland</t>
  </si>
  <si>
    <t>The use of the computer as a model, metaphor, and modelling tool has tended to privilege the 'cognitive' over the 'affective' by engendering theories in which thinking and learning are viewed as information processing and affect is ignored or marginalised. In the last decade there has been an accelerated flow of findings in multiple disciplines supporting a view of affect as complexly intertwined with cognition in guiding rational behaviour, memory retrieval, decision-making, creativity, and more. It is time to redress the imbalance by developing theories and technologies in which affect and cognition are appropriately integrated with one another. This paper describes work in that direction at the MIT Media Lab and projects a large perspective of new research in which computer technology is used to redress the imbalance that was caused (or, at least, accentuated) by the computer itself.</t>
  </si>
  <si>
    <t>Animation; Cognitive systems; Decision making; Human computer interaction; Information technology; Intelligent control; Learning algorithms; Learning systems; Problem solving; Robot learning; Speech recognition; System theory; Affective learning; Affective state information; Curious robot; Dopamine systems; Emotion expression recognition; Emotion recognition; Emotional intelligence; Reasoning algorithm; Artificial intelligence</t>
  </si>
  <si>
    <t>Simon, H.A., Motivational and emotional controls of cognition (1967) Models of Thought, pp. 29-38. , Yale University Press, New Haven; Norman, D.A., Twelve issues for cognitive science (1981) Perspectives on Cognitive Science, pp. 265-295. , Norman D A (Ed):, Erlbaum, Hillsdale, NJ; Isen, A.M., Positive affect and decision making (2000) Handbook of Emotions, , Lewis M and Haviland J (Eds):, Guilford, New York; Lane, R., Reiman, E.M., Ahern, G.L., Schwartz, G.E., Davidson, R.J., Neuroanatomical correlates of happiness, sadness and disgust (1997) American Journal of Psychiatry, 154, pp. 926-933; Damasio, A.R., Grabowski, T.J., Bechara, A., Damasio, H., Ponto, L.L.B., Parvizi, J., Hichwa, R.D., Subcortical and cortical brain activity during the feeling of self-generated emotions (2000) Nature Neuroscience, 3, pp. 1049-1056; Ashby, F.G., Isen, A.M., Turken, U., A neuropsychological theory of positive affect and its influence on cognition (1999) Psychological Review, 106 (3), pp. 529-550; Estrada, C., Isen, A.M., Young, M.J., Positive affect influences creative problem solving reported source of practice satisfaction in physicians (1994) Motivation and Emotion, 18, pp. 285-299; Minsky, M., (2003) The Emotional Machine, , http://web.media.mit.edu/-minsky; Bransford, J.D., Brown, A.L., Cocking, R.R., (1999) How People Learn: Brain, Mind, Experience and School, , National Academy Press, Washington, DC; Piaget, J., (1971) Six Etudes de Psychologie, , Pub Gonthier, Paris; Vygotsky, L., (1962) Thought and Language, , The MIT Press, Cambridge, MA; Vygotsky, L., (1978) Mind in Society: The Development of the Higher Psychological Processes, , The Harvard University Press, Cambridge, MA. Originally published 1930, Oxford University Press, New York; Darwin, C., (1872) The Expression of Emotions in Man and Animals, , The University of Chicago Press, Chicago, IL (reprinted in 1965); James, W., Writings 1879-1899 (1890) Chapter on Emotion, pp. 350-365. , The Library of America, (originally published in 1890 as Principles of Psychology, Holt, NY; Kleinginna Jr., P.R., Kleinginna, A.M., A categorised list of emotion definitions, with suggestions for a consensual definition (1981) Motivation and Emotion, 5 (4), pp. 345-379; Ortony, A., Clore, G.L., Collins, A., (1988) The Cognitive Structure of Emotions, , Cambridge University Press, Cambridge; Csikszentmihályi, M., (1991) Flow: The Psychology of Optimal Experience, , HarperCollins; Lepper, M.R., Chabay, R.W., Socialising the intelligent tutor: Bringing empathy to computer tutors (1988) Learning Issues for Intelligent Tutoring Systems, pp. 242-257. , Mandl H and Lesgold A (Eds); Mandler, G., (1984) Mind and Body: Psychology of Emotion and Stress, , W W Norton and Co, New York, NY; Kort, B., Reilly, R., Picard, R.W., An affective model of interplay between emotions and learning: Reengineering educational pedagogy-building a learning companion (2001) Proceedings of International Conference on Advanced Learning Technologies (ICALT 2001), , Madison Wisconsin, August; Kort, B., Reilly, R., Picard, R.W., External representation of learning process and domain knowledge: Affective state as a determinate of its structure and function (2001) Workshop on Artificial Intelligence in Education (AI-ED 2001), , San Antonio, May; Vroom, V.H., (1964) Work and Motivation, , Wiley, New York; Keller, J.M., Motivational design of instruction (1983) Instructional Design Theories and Models: an Overview of Their Current Status, , Reigeluth C.M. (Ed): Erlbaum, Hillsdale, NJ; Keller, E.F., (1983) A Feeling for the Organism: The Life and Work of Barbara McClintock, , San Francisco, W H Freeman; Kell, J.M., Strategies for stimulating the motivation to learn (1987) Performance and Instruction, 26 (8), pp. 362-632; Keller, J.M., (1987) IMMS: Instructional Materials Motivation Survey, , Florida State University; Ames, C., Classrooms: Goals, structures, and student motivation (1992) Journal of Educational Psychology, 84 (3), pp. 261-271; Vail, P., (1994) Emotions: The On/Off Switch for Learning, , Modern Learning Press; Bandura, A., Self-efficacy: Toward a unifying theory of behaviour change (1977) Psychological Review, 84, pp. 191-215; Bandura, A., (1977) Social Learning Theory, , Prentice-Hall, Englewood Cliffs, NJ; Pajares, F., Self-efficacy beliefs in academic settings (1996) Review of Educational Research, 66, pp. 543-578; Schunk, D.H., Self-efficacy and achievement behaviours (1989) Educational Psychology Review, 1, pp. 173-208; Zimmerman, B.J., Self-efficacy: An essential motive to learn (2000) Contemporary Educational Psychology, 25, pp. 82-91; Maehr, M.L., Meaning and motivation: Toward a theory of personal investment (1984) Research on Motivation in Education, pp. 39-73. , Ames R and Ames C (Eds): Academic Press, San Diego, CA; Dweck, C.S., Motivational processes affecting learning (1986) American Psychologist, 41, pp. 1040-1048; Amu, C., Archer, I., Achievement goals in the classroom: Students' learning strategies and motivation processes (1988) Journal of Educational Psychology, 80, pp. 260-267; Dweck, C.S., Leggett, E.L., A social-cognitive approach to motivation and personality (1988) Psychological Review, 25, pp. 256-273; Elliott, E.S., Dweck, C.I., Goals: An approach to motivation and achievement (1988) Journal of Personality and Social Psychology, 141, pp. 5-12; Matsubara, Y., Nagamachi, M., Motivation systems and motivation models for intelligent tutoring (1996) Proceedings of the Third International Conference in Intelligent Tutoring Systems, pp. 139-147. , Frasson C (Ed); De Vicente, A., Pain, H., Motivation diagnosis (1998) Intelligent Tutoring Systems; Whitelock, D., Scanlon, E., Motivation, media and motion: Reviewing a computer supported collaborative learning experience (1996) Proceedings of the European Conference, , Bma P et al (Eds); Keller, J.M., Keller, B.H., (1989) Motivational Delivery Checklist, , Florida State University; Kagan, J., (2002), Personal communication; http://www.cra.org, Computing Research Association; Fernald, A., Intonation and communicative intent in mother's speech to infants: Is the melody the message? (1989) Child Development, 60, pp. 1497-1510; Salovey, P., Mayer, J.D., Emotional intelligence (1990) Imagination, Cognition and Personality, 9 (3), pp. 185-211; Goleman, D., (1995) Emotional Intelligence, , Bantam Books, NY; Picard, R.W., (1997) Affective Computing, , The MIT Press, Cambridge, MA; Scherer, K.R., Chapter 10: Speech and emotional states (1981) Speech Evaluation in Psychiatry, , Darby J K (Ed): Grune and Stratton Inc; Hansen, J., (1999) Speech Under Stress, , ICASSP'99, Pheonix, Arizona; Ekman, P., Friesen, W., (1977) Facial Action Coding System, , Consulting Psychologists Press; Cohn, J.F., Zlochower, A.J., Lien, J., Kanade, T., Automated face analysis by feature point tracking has high concurrent validity with manual FACS coding (1999) Psychophysiology, 36, pp. 35-43; Bartlett, M.S., Hager, J.C., Ekman, P., Sejnowski, T.J., Measuring facial expressions by computer image analysis (1999) Psychophysiology, 36, pp. 253-263; Donato, G., Bartlett, S., Hager, M., Ekman, J.C.P., Seinowski, T., Classifying facial actions (1999) IEEE Transactions on Pattern Analysis and Machine Intelligence, 21 (10), pp. 974-989; Tian, Y., Kanade, T., Cohn, J.F., Recognising action units for facial expression analysis (2001) IEEE Trans Pattern Analysis and Machine Intelligence, 23 (2). , February; Kapoor, A., Picard, R.W., Real-time, fully automatic upper facial feature tracking (2002) Proceedings of the 5th International Conference on Automatic Face and Gesture Recognition 2002, , Washington DC, May; Kapoor, A., Picard, R.W., A real-time head nod and shake detector (2001) Workshop on Perceptive User Interfaces, , Orlando, FL, November; Mota, S., Picard, R.W., Automated posture analysis for detecting learner's interest level (2003) 1st IEEE Workshop on Computer Vision and Pattern Recognition, , CVPR HCI 2003; Bartlett, M.S., Littlewort, G., Braathen, B., Sejnowski, T.J., Movellan, J.R., A prototype for automatic recognition of spontaneous facial actions (2003) Advances in Neural Information Processing Systems, , Becker S and Obermayer K (Eds): The MIT Press, Cambridge, MA; DeSilva, L.C., Miyasato, T., Nakatsu, R., Facial emotion recognition using multi-model information (1997) Proceedings of IEEE International Conference on Information, Communication and Signal Processing, pp. 397-401. , Singapore; Huang, T.S., Chen, L.S., Tao, H., Bimodal emotion recognition by man and machine (1998) ATR Workshop on Virtual Communication Environments, , Kyoto, Japan, April; Chen, L.S., Huang, T.S., Miyasato, T., Nakatsu, R., Multimodal human emotion/expression recognition (1998) Proceedings of International Conference on Automatic Face and Gesture Recognition, , Nara, Japan, IEEE Computer Society, April; Kapoor, A., Picard, R.W., Ivanov, Y., Probabilistic combination of multiple modalities to detect interest (2004) Proceedings of Int Conf on Pattern Recognition, , Cambridge, England, August; Kapoor, A., Mota, S., Picard, R.W., Towards a learning companion that recognises affect (2001) AAAI Fall Symposium 2001, , North Falmouth, MA, November; Conati, C., 'Probabilistic assessment of users' emotions in educational games (2002) Applied Artificial Intelligence, 16 (7-8), pp. 555-575; Zhou, X., Conati, C., Inferring user goals from personality and behaviour in a causal model of user affect (2003) Intelligent User Interfaces 2003, pp. 211-218; Zhou, X., Conati, C., Modeling students emotions from cognitive appraisal in educational games (2002) Intelligent Tutoring Systems, 2002, pp. 944-954; Sheldon-Biddle, E., Malone, L., McBride, D., Objective measurement of student affect to optimise automated instruction (2003) Proceedings of Workshop on Modelling User Attitudes and Affect, User Modeling '03; Scheirer, J., Fernandez, R., Picard, R.W., (1999) Expression Glasses: A Wearable Device for Facial Expression Recognition, , CHI'99 Short Papers, Pittsburgh, PA; Healey, J., Picard, R.W., SmartCar: Detecting driver stress (2000) Proceedings of ICPR'00, , Barcelona, Spain, May; (1997) Tekscan Body Pressure Measurement System User's Manual, , Tekscan: Tekscan Inc, South Buston, MA USA; Reeves, B., Nass, C., (1996) The Media Equation, , Center for the Study of Language and Information, Cambridge University Press; Picard, R.W., Scheirer, J., The galvactivator: A glove that senses and communicates skin conductivity (2001) Proceedings from the 9th International Conference on Human-Computer Interaction, , New Orleans, August; Dennerlein, J.T., Becker, T., Johnson, T., Reynolds, C., Picard, R.W., Frustrating computer users increases exposure to physical risk factors (2003) Proceedings of International Ergonomics Association, , Seoul, Korea; Bechara, A., Damasio, H., Tranel, D., Damasio, A., Deciding advantageously before knowing the advantageous strategy (1997) Science, 275, pp. 1293-1295; Hirstine, W., Iversen, P., Ramachandran, V.S., Autonomic responses of autistic children to people and objects (2001) Proceedings of the Royal Society, 268, pp. 1883-1888. , April London, B; La France, M., Posture mirroring and rapport (1982) Interaction Rhythms: Periodicity in Communicative Behaviour, pp. 279-298. , David M (Ed): Human Sciences Press, New York, NY; Liu, K., Picard, R.W., Subtle expressivity in a robotic computer (2003) CHI 2003 Workshop on Subtle Expressiveness in Characters and Robots; Neisser, U., The imitation of man by machine (1963) Science, 39, pp. 193-197; Sutton, R., Barto, A., (1998) Reinforcement Learning: an Introduction, , The MIT Press, Cambridge, MA; Shuttleworth, S.J., (1998) Cognition, Evolution and Behaviour, , Oxford University Press, New York, NY; Gould, J., Gould, C., (1999) The Animal Mind, , W H Freeman, New York, NY; Wilkes, G., (1995) Click and Treat Training Kit, , Click and Treat Inc, Mesa, AZ; Marler, P., Song learning: The interface between behaviour and neuroethology: Philosophical transactions (1990) Biological Sciences, 329 (1253), pp. 109-114; Markham, E., Constraints children place on word memirigs (1990) Cognitive Science, 14, pp. 57-77; Breazeal, C., Edsinger, A., Fitzpatrick, P., Scassellati, B., Active vision systems for sociable robots (2001) IEEE Transactions on Systems, Man and Cybernetics, 31 (5 PART A), pp. 443-453. , Dautenhan K (Ed); Feinman, S., Roberts, D., Hseih, K., Sawyer, D., Swanson, D., A critical review of social referencing in infancy (1992) Social Referencing and the Social Construction of Reality in Infancy, pp. 15-54. , Feinman S (Ed): Plenum Press, New York; Breazeal, C., Hoffman, G., Lockerd, A., Teaching and working with robots as a collaboration (2004) Proceedings of AAMAS 2004, , Columbia NY; Biswas, G., Katzlberger, T., Bransford, J., Schwartz, D., Extending intelligent learning environments with teachable agents to enhance learning (2001) 10th International Conference on Al in Education: AI-ED in the Wired and Wireless Future, pp. 389-397. , TAG-V (the teachable agents group at Vanderbilt): (Moore J D, Redfield C L and Johnson W L (Eds)), IOS Press, Amsterdam; Biswas, G., Schwartz, D., Bransford, J., Technology support for complex problem solving: From SAD environments to al, smart machines in education (2001) The Coming Revolution in Education Technology, , TAG-V (the teachable agents group at Vanderbilt): in Forbus K D and Feltovich P J (Eds): AAAI/MIT Press, Menlo Park, CA; Pryor, K., (1999) Clicker Training for Dogs, , Sunshine Books Inc, Waltham, MA; Lindsay, S.R., (2000) Applied Dog Behaviour and Training, , Iowa State University Press, Ames, IA; Blumberg, B., Downie, M., Integrated learning for interactive synthetic characters (2002) Transactions on Graphic, Proceedings of ACM SIGGRAPH 2002, 21 (3); Blumberg, B., D-learning: What learning in dogs tells us about building characters that learn what they ought to learn (2002) Exploring Artificial Intelligence in the New Millenium, , Lakerneyer G and Nebel B (Eds): Morgan Kaufman Publishers, San Francisco, CA; Lorenz, K., Leyhausen, P., (1973) Motivation of Human and Animal Behaviour: an Ethological View, , Van Nostrand Reinhold Co, New York, NY; Panksepp, J., (1998) Affective Neuroscience, , Oxford University Press; Bull, P.E., Posture and gesture (1987) International Series in Experimental Social Physchology, , Pergamon Press; Hatfield, E., Cacioppo, J., Rapson, R.L., (1994) Emotional Contagion, , New York, Cambridge University Press; Burleson, W., Picard, R.W., Perlin, K., Lippincott, J., A platform for affective agent research (2004) Proceedings of the AAMAS Workshop on Empathetic Agents, , Columbia University, New York, NY, July; Wentzel, K., Student motivation in middle school: The role of perceived pedagogical caring (1997) Journal of Educational Psychology, 89 (3), pp. 411-419; Pianta, R.C., Beyond the parent: The role of other adults in children's lives (1992) New Directions in Child Development, 57. , Jossey-Bass, San Francisco; Wentzel, K., Asher, S.R., Academic lives of neglected, rejected, popular, and controversial children (1995) Child Development, L6, pp. 754-763; Birch, S.H., Ladd, G.W., Interpersonal relationships in the school environment and children's early school adjustment: The role of teachers and peers (1996) Social Motivation: Understanding Children's School Adjustment, , Juvonen J and Wentzel K (Eds): Cambridge University Press, New York; Bickmore, T., Picard, R.W., Establishing and maintaining long- term human-computer relationships (2004) Transactions on Computer Human Interaction, , to appear; Csikszentmihályi, M., Finding flow: The psychology of engagement with everyday life (1997) HarperCollins; Papert, S., (1993) The Children's Machine, , Basic Books; Kafai, Y., Resnick, M., (1996) Constructionism in Practice: Designing, Thinking, and Learning in a Digital World, , (Eds): Mahwah, NJ, Lawrence Erlbaum; Brosterman, N., (1997) Inventing Kindergarten, , Harry Abrams Publishing; Resnick, M., Berg, R., Eisenberg, M., Beyond black boxes: Bringing transparency and aesthetics back to scientific investigation (2000) Journal of the Learning Sciences, 2 (1), pp. 7-30; Lave, J., Wenger, E., (1991) Situated Learning: Legitimate Peripheral Participation, , University Press, Cambridge; Turkle, S., Papert, S., Epistemological pluralism (1990) Signs, 16 (1), pp. 128-157; Papert, S., Teaching children to be mathematicians versus teaching about mathematics (1972) International Journal of Mathematics Education in Science and Technology, 3, pp. 249-262; Papert, S., (1980) Mindstorms: Children, Computers, and Powerful Ideas, , Basic Books; Abelson, H., diSessa, A., (1980) Turtle Geometry, , The MIT Press; Austin, H., (1974) A Computation Theory of Physical Skill, , MIT Artificial Intelligence Laboratory Note AIM-330; Burton, R., Skiing as a model of instruction (1984) Everyday Cognition: Development in Social Context, , Rogoff B and Lave J (Eds): Harvard University Press; O'Modhrain, S., (2000) Playing By Feel: Incorporating Haptic Feedback Into Computer-Based Musical Instruments, , unpublished PhD Dissertation, Stanford University; Sloane, N.J.A., Wyner, A.D., (1940) Claude Elwood Shannon: Collected Papers, , (Eds): Piscataway, NJ, IEEE Press; Strohecker, C., (1991) Why Knot?, , unpublished doctoral dissertation, MIT Media Laboratory, Cambridge, MA; Strohecker, C., Learning about topology and learning about learning (1996) Proceedings A the Second International Conference on the Learning Sciences, , Association for the Advancement of Computing in Education; Strohecker, C., (1996) Understanding Topological Relationships Through Comparisons of Similar Knots, 10, pp. 58-69. , AI and Society: Learning with Artifacts; Strohecker, Q., Cognitive zoom: From object to path and back again (2000) Spatial Cognition II, pp. 1-15; Cavallo, D., Blikstein, P., Sipitakiat Basu, A., Camargo, A., de Deus Lopes, R., Cavallo, A., The city that we want: Generative themes, constructionist technologies and school/social change (2004) Proceedings of IEEE Technology and Education in Developing Countries 2004, , Joennsu, Finland; Cavallo, D., Sipitakiat, A., Basu, A., Bryant, S., Welti-Santos, L., Maloney, J., Chen, S., Ackermann, E., RoBallet: Exploring learning through expression in the arts through constructing in a technologically immersive environment (2004) Proceedings of International Conference on the Learning Sciences 2004, , Los Angeles, California; Cavallo, D., Sipitakiat, A., Basu, A., Bryant, S., Opening pathways to higher education through engineering projects (2004) Proceedings of the American Society of Engineering Education 2004, , Salt Lake City, Utah; Machover, T., (2002) Toy Symphony, , http://www.toysymphony.net, Boosey and Hawkes, New York and London; Tomaino, C., How music can reach the silenced brain (2002) Cerebrum: The Dana Forum on Brain Science, 4 (1), pp. 23-24; Lim, M.M., Ventral striatopallidal oxytocin and vasopresson Vla receptors in the monogamous prairie vole (2004) J Comp Neurol, 468 (4), pp. 555-570. , January; Barsalou, L.W., Niedenthal, P.M., Barbey, A.K., Ruppert, J.A., (2003) Social Embodiment, in the Psychology of Learning and Motivation: Advances in Research Theory, 43. , Ross B H (Ed), Academic Press, Elsevier Science, USA; Minsky, M., (1985) The Society of Mind, , Simon and Schuster, New York, NY; Kay, A., Computer software (1984) Scientific American, 251 (3), pp. 41-47. , September; Winnicott, D.W., (1971) Playing and Reality, , London, Tavistock; Greenberg, J.R., Mitchell, S.A., (1983) Object Relations in Psycho- Analytic Theory, , Harvard Press; Resnick, M., Thinking like a toe and other forms of ecological thinking (2003) International Journal of Computers for Mathematical Learning, 8 (1), pp. 43-62; Wilenski, U., Statistical mechanics for secondary school: The gaslab modeling toolkit (2003) International Journal of Computers for Mathematical Learning, 8 (1), pp. 1-41; Papert, S., Foreword (2003) International Journal of Computers for Mathematical Learning, 8 (1). , Special Issue on Multi-Agent Programming; Resnick, M., (1994) Turtles, Termites and Traffic Jams, , The MIT Press; Rogoff, B., Observing sociocultural activity on three planes: Participatory appropriation, guided participation and apprencticeship (1995) Sociocultural Studies of the Mind, pp. 139-164. , Wertsch J V, Rio P D and Alvarez A (Eds): Cambridge University Press, Cambridge; Papert, S., An exploration in the space of mathematics educations (1996) International Journal of Computers for Mathematical Learning, 1 (1), pp. 95-123; Cavallo, D., (2003) Epistemology All the Way Down, , EuroLogo, Polo, Portugal 2003; Cavallo, D., Emergent design and leaning environments: Building on indigenous knowledge (2000) IBM Systems Journal, 39 (3-4), pp. 768-781; Smith, B., Bender, W., Driscoll, J., Endter, I., Turpeinen, M., Quan, D., Silver stringers and junior journalists: Active information producers (2000) IBM Systems Journal, 39 (3-4); Monroy-Gomez, C., (2004) ERadio, , MIT SM Thesis; (2000) The Condition of Education 2000, , US Department of Education, National Center for Education Statistics, NCES 2000-62, US Government Printing Office, Washington, DC</t>
  </si>
  <si>
    <t>Kluwer Academic Publishers</t>
  </si>
  <si>
    <t>13583948</t>
  </si>
  <si>
    <t>BTTJE</t>
  </si>
  <si>
    <t>BT Technol J</t>
  </si>
  <si>
    <t>2-s2.0-8644249082</t>
  </si>
  <si>
    <t>Inkster B., Sarda S., Subramanian V.</t>
  </si>
  <si>
    <t>23008845000;57205516135;57205510795;</t>
  </si>
  <si>
    <t>An empathy-driven, conversational artificial intelligence agent (Wysa) for digital mental well-being: Real-world data evaluation mixed-methods study</t>
  </si>
  <si>
    <t>JMIR mHealth and uHealth</t>
  </si>
  <si>
    <t>6</t>
  </si>
  <si>
    <t>11</t>
  </si>
  <si>
    <t>e12106</t>
  </si>
  <si>
    <t>10.2196/12106</t>
  </si>
  <si>
    <t>https://www.scopus.com/inward/record.uri?eid=2-s2.0-85060334446&amp;doi=10.2196%2f12106&amp;partnerID=40&amp;md5=ee4042f0f43089954f87f8eb3205565f</t>
  </si>
  <si>
    <t>School of Clinical Medicine, Department of Psychiatry, University of Cambridge, Cambridge, United Kingdom; Wysa, London, United Kingdom; Wysa, Bangalore, India</t>
  </si>
  <si>
    <t>Inkster, B., School of Clinical Medicine, Department of Psychiatry, University of Cambridge, Cambridge, United Kingdom; Sarda, S., Wysa, London, United Kingdom; Subramanian, V., Wysa, Bangalore, India</t>
  </si>
  <si>
    <t>Background: A World Health Organization 2017 report stated that major depression affects almost 5% of the human population. Major depression is associated with impaired psychosocial functioning and reduced quality of life. Challenges such as shortage of mental health personnel, long waiting times, perceived stigma, and lower government spends pose barriers to the alleviation of mental health problems. Face-to-face psychotherapy alone provides only point-in-time support and cannot scale quickly enough to address this growing global public health challenge. Artificial intelligence (AI)-enabled, empathetic, and evidence-driven conversational mobile app technologies could play an active role in filling this gap by increasing adoption and enabling reach. Although such a technology can help manage these barriers, they should never replace time with a health care professional for more severe mental health problems. However, app technologies could act as a supplementary or intermediate support system. Mobile mental well-being apps need to uphold privacy and foster both short-and long-term positive outcomes. Objective: This study aimed to present a preliminary real-world data evaluation of the effectiveness and engagement levels of an AI-enabled, empathetic, text-based conversational mobile mental well-being app, Wysa, on users with self-reported symptoms of depression. Methods: In the study, a group of anonymous global users were observed who voluntarily installed the Wysa app, engaged in text-based messaging, and self-reported symptoms of depression using the Patient Health Questionnaire-9. On the basis of the extent of app usage on and between 2 consecutive screening time points, 2 distinct groups of users (high users and low users) emerged. The study used mixed-methods approach to evaluate the impact and engagement levels among these users. The quantitative analysis measured the app impact by comparing the average improvement in symptoms of depression between high and low users. The qualitative analysis measured the app engagement and experience by analyzing in-app user feedback and evaluated the performance of a machine learning classifier to detect user objections during conversations. Results: The average mood improvement (ie, difference in pre-and post-self-reported depression scores) between the groups (ie, high vs low users; n=108 and n=21, respectively) revealed that the high users group had significantly higher average improvement (mean 5.84 [SD 6.66]) compared with the low users group (mean 3.52 [SD 6.15]); Mann-Whitney P=.03 and with a moderate effect size of 0.63. Moreover, 67.7% of user-provided feedback responses found the app experience helpful and encouraging. Conclusions: The real-world data evaluation findings on the effectiveness and engagement levels of Wysa app on users with self-reported symptoms of depression show promise. However, further work is required to validate these initial findings in much larger samples and across longer periods. © Becky Inkster, Shubhankar Sarda, Vinod Subramanian.</t>
  </si>
  <si>
    <t>Artificial intelligence; Chatbots; Conversational agents; Coping skills; Depression; Emotions; Empathy; Mental health; mHealth; Psychological; Resilience</t>
  </si>
  <si>
    <t>(2017) Geneva: World Health Organization, , http://www.who.int/mental_health/management/depression/prevalence:global_health_estimates/en/, Depression and Other Common Mental Disorders: Global Health Estimates, WebCite Cache ID 71tDp00UM; Ishak, W.W., Balayan, K., Bresee, C., Greenberg, J.M., Fakhry, H., Christensen, S., A descriptive analysis of quality of life using patient-reported measures in major depressive disorder in a naturalistic outpatient setting (2013) Qual Life Res, 22 (3), pp. 585-596. , Apr, Medline: 22544416; Fried, E.I., Nesse, R.M., The impact of individual depressive symptoms on impairment of psychosocial functioning (2014) Plos One, 9 (2); Pulcu, E., Elliott, R., Neural origins of psychosocial functioning impairments in major depression (2015) Lancet Psychiatry, 2 (9), pp. 835-843; Greenberg, P.E., Fournier, A., Sisitsky, T., Pike, C.T., Kessler, R.C., The economic burden of adults with major depressive disorder in the United States (2005 and 2010) (2015) J Clin Psychiatry, 76 (2), pp. 155-162. , Feb; (2010) The Economic and Social Costs of Mental Health Problems in 2009/10, , https://www.centreformentalhealth.org.uk/economic-and-social-costs-of-mental-health-problems, accessed 2018-08-23; Farmer, P., Stevenson, D., Thriving at Work: A Review of Mental Health and Employers, , https://www.gov.uk/government/publications/thriving-at-work-a-review-of-mental-health-and-employers, GOV.UK2017 Oct 26, WebCite Cache ID 71tDyIsy2; (2018), http://www.who.int/mental_health/evidence/atlas/mental_health_atlas_2017/en/, Geneva: World Health Organization, Mental Health Atlas 2017, [WebCite Cache ID 71tEB6iJK]; Cuijpers, P., Sijbrandij, M., Koole, S.L., Andersson, G., Beekman, A.T., Reynolds, C.F., The efficacy of psychotherapy and pharmacotherapy in treating depressive and anxiety disorders: A meta-analysis of direct comparisons (2013) World Psychiatry, 12 (2), pp. 137-148; Patel, V., SUNDAR: Mental health for all by all (2015) Bjpsych Int, 12 (1), pp. 21-23. , Feb, FREE Full text, Medline: 29093840; (2014) Access and Waiting Times Standards for 2015-16 in Mental Health Services: Impact Assessment, , https://www.bl.uk/britishlibrary/~/media/bl/global/social-welfare/pdfs/non-secure/a/c/c/access-and-waiting-time-standards-for-201516-in-mental-health-services-impact-assessment.pdf, British Library, accessed 2018-08-23; (2018) New BMA Research Unveils Blindspot in Mental Healthcare, , https://www.bma.org.uk/news/media-centre/press-releases/2018/february/new-bma-research-unveils-blindspot-in-mental-healthcare, Feb 26, WebCite Cache ID 71tETlIw7; Pedersen, E.R., Paves, A.P., Comparing perceived public stigma and personal stigma of mental health treatment seeking in a young adult sample (2014) Psychiatry Res, 219 (1), pp. 143-150. , Sep 30, FREE Full text, Medline: 24889842; Andrade, L.H., Alonso, J., Mneimneh, Z., Wells, J.E., Al-Hamzawi, A., Borges, G., Barriers to mental health treatment: Results from the WHO World Mental Health surveys (2014) Psychol Med, 44 (6), pp. 1303-1317; Tindall, L., Mikocka-Walus, A., McMillan, D., Wright, B., Hewitt, C., Gascoyne, S., Is behavioural activation effective in the treatment of depression in young people? A systematic review and meta-analysis (2017) Psychol Psychother, 90 (4), pp. 770-796. , Dec, FREE Full text, Medline: 28299896; Cuijpers, P., Donker, T., van Straten, A., Li, J., Andersson, G., Is guided self-help as effective as face-to-face psychotherapy for depression and anxiety disorders? A systematic review and meta-analysis of comparative outcome studies (2010) Psychol Med, 40 (12), pp. 1943-1957; Lucas, G.M., Rizzo, A., Gratch, J., Scherer, S., Stratou, G., Boberg, J., Reporting mental health symptoms: Breaking down barriers to care with virtual human interviewers (2017) Front Robot AI, 4. , Oct 12; Callan, J.A., Wright, J., Siegle, G.J., Howland, R.H., Kepler, B.B., Use of computer and mobile technologies in the treatment of depression (2017) Arch Psychiatr Nurs, 31 (3), pp. 311-318; Carlbring, P., Andersson, G., Cuijpers, P., Riper, H., Hedman-Lagerlöf, E., Internet-based vs face-to-face cognitive behavior therapy for psychiatric and somatic disorders: An updated systematic review and meta-analysis (2018) Cogn Behav Ther, 47 (1), pp. 1-18; Ebert, D.D., Donkin, L., Andersson, G., Andrews, G., Berger, T., Carlbring, P., Does Internet-based guided-self-help for depression cause harm? An individual participant data meta-analysis on deterioration rates and its moderators in randomized controlled trials (2016) Psychol Med, 46 (13), pp. 2679-2693. , Oct, Medline: 27649340; Karyotaki, E., Riper, H., Twisk, J., Hoogendoorn, A., Kleiboer, A., Mira, A., Efficacy of self-guided internet-based cognitive behavioral therapy in the treatment of depressive symptoms: A meta-analysis of individual participant data (2017) J am Med Assoc Psychiatry, 74 (4), pp. 351-359. , Apr 01, Medline: 28241179; Andrews, G., Basu, A., Cuijpers, P., Craske, M.G., McEvoy, P., English, C.L., Computer therapy for the anxiety and depression disorders is effective, acceptable and practical health care: An updated meta-analysis (2018) J Anxiety Disord, 55, pp. 70-78. , Apr, FREE Full text, Medline: 29422409; Rathbone, A.L., Clarry, L., Prescott, J., Assessing the efficacy of mobile health apps using the basic principles of cognitive behavioral therapy: Systematic review (2017) J Med Internet Res, 19 (11); Firth, J., Torous, J., Nicholas, J., Carney, R., Pratap, A., Rosenbaum, S., The efficacy of smartphone-based mental health interventions for depressive symptoms: A meta-analysis of randomized controlled trials (2017) World Psychiatry, 16 (3), pp. 287-298. , Oct, FREE Full text, Medline: 28941113; Ly, K.H., Topooco, N., Cederlund, H., Wallin, A., Bergström, J., Molander, O., Smartphone-supported versus full behavioural activation for depression: A randomised controlled trial (2015) Plos One, 10 (5); Ly, K.H., Trüschel, A., Jarl, L., Magnusson, S., Windahl, T., Johansson, R., Behavioural activation versus mindfulness-based guided self-help treatment administered through a smartphone application: A randomised controlled trial (2014) Br Med J Open, 4 (1). , FREE Full text, Medline: 24413342; Ly, K.H., Janni, E., Wrede, R., Sedem, M., Donker, T., Carlbring, P., Experiences of a guided smartphone-based behavioral activation therapy for depression: A qualitative study (2015) Internet Interv, 2 (1), pp. 60-68. , Mar; Ben-Zeev, D., Brian, R.M., Jonathan, G., Razzano, L., Pashka, N., Carpenter-Song, E., Mobile health (MHealth) versus clinic-based group intervention for people with serious mental illness: A randomized controlled trial (2018) Psychiatr Serv; Noone, C., Hogan, M.J., A randomised active-controlled trial to examine the effects of an online mindfulness intervention on executive control, critical thinking and key thinking dispositions in a university student sample (2018) BMC Psychol, 6 (1), p. 13. , Apr 05, FREE Full text, Medline: 29622047; Hoermann, S., McCabe, K.L., Milne, D.N., Calvo, R.A., Application of synchronous text-based dialogue systems in mental health interventions: Systematic review (2017) J Med Internet Res, 19 (8); Fitzpatrick, K.K., Darcy, A., Vierhile, M., Delivering cognitive behavior therapy to young adults with symptoms of depression and anxiety using a fully automated conversational agent (Woebot): A randomized controlled trial (2017) JMIR Ment Health, 4 (2); Ly, K.H., Ly, A., Andersson, G., A fully automated conversational agent for promoting mental well-being: A pilot RCT using mixed methods (2017) Internet Interv, 10, pp. 39-46. , Dec; (2017) BBC, , http://www.bbc.co.uk/guides/zt8h2nb, Would you trust a chatbot therapist?, accessed 2018-09-04] [WebCite Cache ID 72B9r5lgZ; Wysa, E.S., NHS Children Services: How the North East London NHS Foundation Trust Uses Wysa for Children's Mental Health, , https://www.wysa.io/blog/nhs-children-services, Wysa Case Studies; 2018 Apr 18, accessed 2018-09-04; Braun, A., Clarke, V., Using thematic analysis in psychology (2006) Qual Res Psychol, 3 (2), pp. 77-101. , Jan; Braun, V., Clarke, V., What can “thematic analysis” offer health and wellbeing researchers? (2014) Int J Qual Stud Health Well-Being, 9; Mitchell, A.J., Yadegarfar, M., Gill, J., Stubbs, B., Case finding and screening clinical utility of the Patient Health Questionnaire (PHQ-9 and PHQ-2) for depression in primary care: A diagnostic meta-analysis of 40 studies (2016) Bjpsych Open, 2 (2), pp. 127-138. , Mar, FREE Full text, Medline: 27703765; Ruscio, J., A probability-based measure of effect size: Robustness to base rates and other factors (2008) Psychol Methods, 13 (1), pp. 19-30; Rice, M.E., Harris, G.T., Comparing effect sizes in follow-up studies: ROC Area, Cohen's d, and r (2005) Law Hum Behav, 29 (5), pp. 615-620; Barnett, A.G., van der Pols, J.C., Dobson, A.J., Regression to the mean: What it is and how to deal with it (2005) Int J Epidemiol, 34 (1), pp. 215-220; Zimmerman, D.W., Invalidation of parametric and nonparametric statistical tests by concurrent violation of two assumptions (1998) J Exp Educ, 67 (1), pp. 55-68. , Jan; Wagnild, G.M., Young, H.M., Development and psychometric evaluation of the Resilience Scale (1993) J Nurs Meas, 1 (2), pp. 165-178; McAlpine, D.D., McCreedy, E., Alang, S., The meaning and predictive value of self-rated mental health among persons with a mental health problem (2018) J Health Soc Behav, 59 (2), pp. 200-214. , Jun;, Medline: 29406825; Kramer, J., Conijn, B., Oijevaar, P., Riper, H., Effectiveness of a web-based solution-focused brief chat treatment for depressed adolescents and young adults: Randomized controlled trial (2014) J Med Internet Res, 16 (5). , FREE Full text, Medline: 24874006; Kessler, D., Lewis, G., Kaur, S., Wiles, N., King, M., Weich, S., Therapist-delivered internet psychotherapy for depression in primary care: A randomised controlled trial (2009) Lancet, 374 (9690), pp. 628-634. , Aug 22</t>
  </si>
  <si>
    <t>JMIR Publications Inc.</t>
  </si>
  <si>
    <t>22915222</t>
  </si>
  <si>
    <t>JMIR mHealth uHealth</t>
  </si>
  <si>
    <t>All Open Access, Gold, Green</t>
  </si>
  <si>
    <t>2-s2.0-85060334446</t>
  </si>
  <si>
    <t>An empathy-driven, conversational artificial intelligence agent (wysa) for digital mental well-being: real-world data evaluation mixed-methods study</t>
  </si>
  <si>
    <t>Greenfield P.M.</t>
  </si>
  <si>
    <t>23113763600;</t>
  </si>
  <si>
    <t>Technology and informal education: What is taught, what is learned</t>
  </si>
  <si>
    <t>Science</t>
  </si>
  <si>
    <t>323</t>
  </si>
  <si>
    <t>5910</t>
  </si>
  <si>
    <t>69</t>
  </si>
  <si>
    <t>71</t>
  </si>
  <si>
    <t>10.1126/science.1167190</t>
  </si>
  <si>
    <t>https://www.scopus.com/inward/record.uri?eid=2-s2.0-58149270966&amp;doi=10.1126%2fscience.1167190&amp;partnerID=40&amp;md5=c190e85cbfb7523cc70d14d0fb1942b3</t>
  </si>
  <si>
    <t>Department of Psychology, University of California, Los Angeles, CA 90095, United States</t>
  </si>
  <si>
    <t>Greenfield, P.M., Department of Psychology, University of California, Los Angeles, CA 90095, United States</t>
  </si>
  <si>
    <t>The informal learning environments of television, video games, and the Internet are producing learners with a new profile of cognitive skills. This profile features widespread and sophisticated development of visual-spatial skills, such as iconic representation and spatial visualization. A pressing social problem is the prevalence of violent video games, leading to desensitization, aggressive behavior, and gender inequity in opportunities to develop visual-spatial skills. Formal education must adapt to these changes, taking advantage of new strengths in visual-spatial intelligence and compensating for new weaknesses in higher-order cognitive processes: abstract vocabulary, mindfulness, reflection, inductive problem solving, critical thinking, and imagination. These develop through the use of an older technology, reading, which, along with audio media such as radio, also stimulates imagination. Informal education therefore requires a balanced media diet using each technology's specific strengths in order to develop a complete profile of cognitive skills.</t>
  </si>
  <si>
    <t>aggression; cognition; education; learning; social problem; technological development; television; visualization; aggression; cognition; cost; cost benefit analysis; critical thinking; educational technology; imagination; intelligence; intelligence quotient; Internet; learning environment; learning style; linguistics; machine learning; mass medium; priority journal; problem solving; reading; recreation; review; sex difference; skill; social problem; social psychology; spatial orientation; surgical training; task performance; teaching; telecommunication; television; training; violence; vision; visual information; Aggression; Cognition; Education; Educational Measurement; Female; Humans; Imagination; Intelligence; Internet; Laparoscopy; Learning; Male; Mental Processes; Problem Solving; Television; Thinking; Video Games; Violence</t>
  </si>
  <si>
    <t>Flynn, J.R., (1984) Psychol. Bull, 95, p. 29; Flynn, J.R., (1987) Psychol. Bull, 101, p. 171; Flynn, J.R., (1994) Encyclopedia of Human Intelligence, pp. 617-623. , R. J. Sternberg, Ed, Macmillan, New York; J. R. Flynn, in The Rising Curve: Long-Term Gains in IQ and Related Measures, U. Neisser, Ed. [American Psychological Association (APA), Washington, DC, 1998], pp. 25-66; Daley, T., Whaley, S., Sigman, M., (2003) Psychol. Sci, 9, p. 215; Greenfield, P.M., (1998) The Rising Curve: Long-Term Gains in IQ and Related Measures, pp. 81-133. , U. Neisser, Ed, APA, Washington, DC; Schooler, C., (1998) The Rising Curve: Long-Term Gains in IQ and Related Measures, pp. 67-79. , U. Neisser, Ed, APA, Washington, DC; Greenfield, P.M., Dev. Psychol, , in press; Klineberg, O., (1935) Race Differences, , Harper and Row, New York; Wheeler, L.R., (1970) Cross-Cultural Studies of Behavior, pp. 120-133. , I. Al-Issa, W. Dennis, Eds, Holt, Rinehart, and Winston, New York; Rice, M.L., Huston, A.C., Truglio, R., Wright, J.C., (1990) Dev. Psychol, 26, p. 421; Glenn, N.D., (1994) Sociol. Educ, 67, p. 216; Healy, J.M., (1990) Endangered Minds: Why Children Don't Think and What We Can Do About It, , Simon and Schuster, New York; Gardner, H., (1983) Frames of Mind: The Theory of Multiple Intelligences, , Basic Books, New York; Rideout, V.J., Roberts, D., Foehr, U., (2005) Generation M: Media in the Lives of 8-18 Year-Olds, , Henry J. Kaiser Family Foundation, Menlo Park, CA; Lenhart, A., (2008) Teens, Video Games, and Civics, , Pew Internet and American Life Project, Washington, DC; Bruner, J.S., (1965) Am. Psychol, 20, p. 1007; Greenfield, P.M., (1994) J. Appl. Dev. Psychol, 15, p. 59; Salomon, G., (1979) Interaction of Media, Cognition and Learning, , Jossey-Bass, San Francisco, CA; Gagnon, D., (1985) Educ. Commun. Technol. J, 33, p. 263; McClurg, P.A., Chaillé, C., (1987) J. Educ. Comput. Res, 3, p. 95; Dorval, X., Pepin, X., (1986) Percept. Mot. Skills, 62, p. 159; De Lisi, R., Cammarano, D.M., (1996) Comput. Human Behav, 12, p. 351; De Lisi, R., Wolford, J.L., (2002) J. Genet. Psychol, 163, p. 272; Okagaki, L., Frensch, P.A., (1994) J. Appl. Dev. Psychol, 15, p. 33; Greenfield, P.M., Brannon, C., Lohr, D., (1994) J. Appl. Dev. Psychol, 15, p. 87; Subrahmanyam, K., Greenfield, P.M., (1994) J. Appl. Dev. Psychol, 15, p. 13; Greenfield, P.M., (1984) Mind and Media: The Effects of Television, Video Games, and Computers, , Harvard Univ. Press, Cambridge, MA; Greenfield, P.M., (1993) The Development and Meaning of Psychological Distance, pp. 161-183. , R. R. Cocking, K. A. Renninger, Eds, Lawrence Erlbaum Associates, Hillsdale, NJ; Mayo, M.J., (2009) Science, 323, p. 66; Dede, C., (2009) Science, 323, p. 79; Greenfield, P.M., deWinstanley, P., Kilpatrick, H., Kaye, D., (1994) J. Appl. Dev. Psychol, 15, p. 105; Green, C.S., Bavelier, D., (2003) Nature, 423, p. 534; Dye, M.W.G., Bavelier, D., (2004) J. Vis, 4, p. 40; Green, C.S., Bavelier, D., (2006) J. Exp. Psychol. Hum. Percept. Perform, 32, p. 1465; Green, C.S., Bavelier, D., (2007) Psychol. Sci, 18, p. 88; Kearney, P., (2005) Proceedings of the DiGRA World Conference; Gross, E.F., (2004) J. Appl. Dev. Psychol, 25, p. 633; Foehr, U.G., (2006) Media Multitasking Among American Youth: Prevalence, Predictors, and Pairings, , Henry J. Kaiser Family Foundation, Menlo Park, CA; Foerde, K., Knowlton, B.J., Poldrack, R.A., (2006) Proc. Natl. Acad. Sci. U.S.A, 103, p. 11778; Bergen, L., Grimes, T., Potter, D., (2005) Hum. Commun. Res, 31, p. 311; McClellan, S., Kerschbaumer, K., (2001) Broadcasting Cable, 131, p. 16; Hembrooke, H., Gay, G., (2003) J. Comput. Higher Educ, 15, p. 46; Rosser, J.C., (2007) Arch. Surg, 142, p. 181; Carnagey, N.L., Anderson, C.A., Bushman, B.J., (2007) J. Exp. Soc. Psychol, 43, p. 489; Anderson, C.A., (2004) Adv. Exp. Soc. Psychol, 36, p. 199; Liu, X., Su, L., He, B., (2001) Chin. J. Clin. Psychol, 9, p. 268; Kagan, J., (1965) Child Dev, 36, p. 609; Kagan, J., Pearson, L., Welch, L., (1966) Child Dev, 37, p. 583; Gadberry, S., (1980) J. Appl. Dev. Psychol, 1, p. 45; Terenzini, P.T., Springer, L., Pascarella, E.T., Nora, A., (1995) Res. Higher Educ, 36, p. 23; Salomon, G., (1984) J. Educ. Psychol, 76, p. 647; Greenfield, P.M., Beagles-Roos, J., (1988) J. Commun, 38, p. 71; Beentjes, J.W.J., van der Voort, T.H.A., (1993) Commun. Educ, 42, p. 191; Valkenburg, P., (2000) Handbook of Children and the Media, pp. 121-134. , D. G. Singer, J. L. Singer, Eds, Sage, Thousand Oaks, CA; Many thanks to K. Subrahmanyam and B. Tynes for valuable and timely input on the first draft</t>
  </si>
  <si>
    <t>00368075</t>
  </si>
  <si>
    <t>SCIEA</t>
  </si>
  <si>
    <t>2-s2.0-58149270966</t>
  </si>
  <si>
    <t>Technology and informal education: what is taught, what is learned</t>
  </si>
  <si>
    <t>Incel O.D., Kose M., Ersoy C.</t>
  </si>
  <si>
    <t>15131686400;55292965600;6701485879;</t>
  </si>
  <si>
    <t>A Review and Taxonomy of Activity Recognition on Mobile Phones</t>
  </si>
  <si>
    <t>BioNanoScience</t>
  </si>
  <si>
    <t>3</t>
  </si>
  <si>
    <t>145</t>
  </si>
  <si>
    <t>171</t>
  </si>
  <si>
    <t>10.1007/s12668-013-0088-3</t>
  </si>
  <si>
    <t>https://www.scopus.com/inward/record.uri?eid=2-s2.0-84878102799&amp;doi=10.1007%2fs12668-013-0088-3&amp;partnerID=40&amp;md5=7c6235ddfe473e73a1104c2870a96b6d</t>
  </si>
  <si>
    <t>Department of Computer Engineering, Bogazici University, Bebek, 34342 Istanbul, Turkey</t>
  </si>
  <si>
    <t>Incel, O.D., Department of Computer Engineering, Bogazici University, Bebek, 34342 Istanbul, Turkey; Kose, M., Department of Computer Engineering, Bogazici University, Bebek, 34342 Istanbul, Turkey; Ersoy, C., Department of Computer Engineering, Bogazici University, Bebek, 34342 Istanbul, Turkey</t>
  </si>
  <si>
    <t>The release of smart phones equipped with a rich set of sensors has enabled human activity recognition on mobile platforms. Monitoring the daily activities and their levels helps in recognizing the health and wellness of the users as a practical application. Mobile phone's ubiquity, unobtrusiveness, ease of use, communication channels, and playfulness make mobile phones a suitable platform also for inducing behavior change for a healthier and more active lifestyle. In this paper, we provide a review on the activity recognition systems that use integrated sensors in the mobile phone with a special focus on the systems that target personal health and well-being applications. Initially, we provide background information about the activity recognition process, such as the sensors used, activities targeted, and the steps of activity recognition using machine learning algorithms, before listing the challenges of activity recognition on mobile phones. Next, we focus on the classification of existing work on the topic together with a detailed taxonomy. Finally, we investigate the directions for future research. © 2013 Springer Science+Business Media New York.</t>
  </si>
  <si>
    <t>Classification; Human activity recognition; Mobile phone sensing</t>
  </si>
  <si>
    <t>Active lifestyles; Activity recognition; Background information; Behavior change; Health and wellness; Human activity recognition; Integrated sensors; Mobile phone sensing; Cellular telephones; Classification (of information); Learning algorithms; Mobile devices; Mobile phones; Sensors; Taxonomies; Pattern recognition; accelerometer; activity recognition; article; behavior; classification; fitness; global positioning system; human; lifestyle modification; machine learning; microphone; mobile phone; performance; physical activity; recognition; sensor; taxonomy; training; wellbeing</t>
  </si>
  <si>
    <t>http://www.technologyreview.com/news/425758/smart-phone-app-tracks-heart-rate/, Pulse phone: smart-phone app tracks heart rate Accessed May 2013; http://www.cs.waikato.ac.nz/ml/index.html, Weka machine learning toolkit Accessed May 2013; (2012), http://www.myzeo.com/sleep/, Zeo sleep manager Accessed May 2013; (2013) A bio-alarmclock, , http://www.sleepcycle.com/, Sleepcycle Accessed May 2013; Abdullah, M.F.A.B., Negara, A.F.P., Sayeed, S., Choi, D.-J., Muthu, K.S., Classification algorithms in human activity recognition using smartphones (2012) World Academy of Science, Engineering and Technology, 68, pp. 422-430; Ahtinen, A., Huuskonen, P., Häkkilä, J., Let's all get up and walk to the north pole: design and evaluation of a mobile wellness application (2010) In Proceedings of the 6th Nordic Conference on Human-Computer Interaction: Extending Boundaries, NordiCHI '10, pp. 3-12. , New York: ACM; Alqassim, S., Ganesh, M., Khoja, S., Zaidi, M., Aloul, F., Sagahyroon, A., Sleep apnea monitoring using mobile phones (2012) E-Health networking, applications and services (Healthcom), 2012 IEEE 14th International Conference on, pp. 443-446; Alvarez, G.G., Ayas, N.T., The impact of daily sleep duration on health: a review of the literature (2004) Progress in Cardiovascular Nursing, 19 (2), pp. 56-59; Ananthanarayan, S., Siek, K., Persuasive wearable technology design for health and wellness (2012) Pervasive Computing Technologies for Healthcare (PervasiveHealth), 2012 6th International Conference on, pp. 236-240; Anderson, I., Maitland, J., Sherwood, S., Barkhuus, L., Chalmers, M., Hall, M., Brown, B., Muller, H., Shakra: tracking and sharing daily activity levels with unaugmented mobile phones (2007) Mobile Networks and Applications, 12 (2-3), pp. 185-199; Arase, Y., Ren, F., Xie, X., User activity understanding from mobile phone sensors (2010) In Ubicomp '10: Proceedings of the 12th ACM International Conference Adjunct Papers on Ubiquitous Computing, pp. 391-392. , New York: ACM; Arteaga, S., Persuasive mobile exercise companion for teenagers with weight management issues. SIGACCESS Access (2010) Accessibility and Computing, 96, pp. 4-10; Avci, A., Bosch, S., Marin-Perianu, M., Marin-Perianu, R., Havinga, P., Activity recognition using inertial sensing for healthcare, wellbeing and sports applications: a survey (2010) 23th International Conference on Architecture of Computing Systems, ARCS 2010, pp. 167-176; Steele, B.G., Belza, B., Cain, K., Warms, C., Coppersmith, J., Howard, J., Bodies in motion: monitoring daily activity and exercise with motion sensors in people with chronic pulmonary disease (2003) Rehabilitation Research and Development, 40 (5), pp. 404-412; Bao, L., Intille, S.S., Activity recognition from user-annotated acceleration data (2004) Proceedings of Pervasive Conference, pp. 1-17; Berchtold, M., Budde, M., Gordon, D., Schmidtke, H., Beigl, M., Actiserv: activity recognition service for mobile phones (2010) 2010 International symposium on wearable computers (ISWC), pp. 1-8. , doi: 10. 1109/ISWC. 2010. 5665868; Bieber, G., Koldrack, P., Sablowski, C., Peter, C., Urban, B., Mobile physical activity recognition of stand-up and sit-down transitions for user behavior analysis (2010) In Proceedings of the 3rd International Conference on Pervasive Technologies Related to Assistive Environments, PETRA '10, Vol. 50, p. 5. , 10.1145/18392941839354, New York: ACM; Bishop, C.M., (2006) Pattern Recognition and Machine Learning (Information Science and Statistics), , New York: Springer; Blanke, U., Larlus, D., Laerhoven, K., Schiele, B., Standing on the shoulders of other researchers-a position statement (2010) Pervasive workshop-how to do good activity recognition research? Experimental methodologies, evaluation metrics and reproducibility issues, , Helsinki, Finland; Cai, L., Chen, H., TouchLogger: inferring keystrokes on touch screen from smartphone motion (2011) Proceedings of the 6th USENIX conference on hot topics in security, HotSec'11, p. 9. , USENIX Association Berkeley; Choudhury, T., Consolvo, S., Harrison, B., Hightower, J., LaMarca, A., LeGrand, L., Rahimi, A., Haehnel, D., The mobile sensing platform: an embedded activity recognition system (2008) Pervasive Computing, IEEE, 7 (2), pp. 32-41; Choujaa, D., Dulay, N., Tracme: temporal activity recognition using mobile phone data (2008) EUC '08: Proceedings of the 2008 IEEE/IFIP International conference on embedded and ubiquitous computing. IEEE Computer Society; Choujaa, D., Dulay, N., Activity recognition using mobile phones: achievements, challenges and recommendations (2010) How to do good research in activity recognition: Experimental methodology, performance evaluation and reproducibility. Workshop in conjunction with Pervasive 2010; Chu, D., Lane, N.D., Lai, T.T.T., Pang, C., Meng, X., Guo, Q., Li, F., Zhao, F., Balancing energy, latency and accuracy for mobile sensor data classification (2011) In Proceedings of the 9th ACM Conference on Embedded Networked Sensor Systems, SenSys '11, pp. 54-67. , New York: ACM; Consolvo, S., McDonald, D.W., Toscos, T., Chen, M.Y., Froehlich, J., Harrison, B., Klasnja, P., Landay, J.A., (2008) Activity Sensing in the Wild: A Field Trial of Ubifit Garden, pp. 1797-1806. , New York: ACM; Dai, J., Bai, X., Yang, Z., Shen, Z., Xuan, D., Perfalld: a pervasive fall detection system using mobile phones (2010) PerCom workshops, pp. 292-297; Dantzig, S., Geleijnse, G., Halteren, A., Toward a persuasive mobile application to reduce sedentary behavior (2012) Personal Ubiquitous Computing, pp. 1-10. , doi: 10. 1007/s00779-012-0588-0; De Cristofaro, E., Durussel, A., Aad, I., Reclaiming privacy for smartphone applications (2011) In Proceedings of the 2011 IEEE International Conference on Pervasive Computing and Communications, PERCOM '11, pp. 84-92. , Washington DC: IEEE Computer Society; Dernbach, S., Das, B., Krishnan, N.C., Thomas, B.L., Cook, D.J., Simple and complex activity recognition through smart phones (2012) Intelligent Environments, pp. 214-221; Eagle, N., Sandy, P.A., Reality mining: sensing complex social systems (2006) Personal Ubiquitous Computer, 10 (4), pp. 255-268; Fitz-Walter, Z., Tjondronegoro, D., Simple classification of walking activities using commodity smart phones (2009) OZCHI '09 Proceedings of the 21st annual conference of the australian computer-human interaction special interest group: Design: Open 24/7, pp. 409-412; Fogg, B., Persuasive computers: perspectives and research directions (1998) In Proceedings of the SIGCHI Conference on Human Factors in Computing Systems, CHI '98, pp. 225-232. , New York: ACM/Addison-Wesley Publishing Co; Fogg, B., Mobile Persuasion: 20 perspectives on the future of behavior change (2007) Stanford Captology Media; Fontecha, J., Navarro, F., Hervas, R., Bravo, J., Elderly frailty detection by using accelerometer-enabled smartphones and clinical information records (2012) Personal and Ubiquitous Computing, , doi: 10. 1007/s00779-012-0559-5; Garcia Wylie, C., Coulton, P., Persuasive mobile health applications (2009) In Electronic Healthcare. Vol. 0001, pp. 90-97. , Berlin: Springer; Hariharan, R., Krumm, J., Horvitz, E., Web-enhanced GPS (2005) In Proceedings of the First International Conference on Location- and Context-Awareness, LoCA'05, pp. 95-104. , Heidelberg: Springer; Henpraserttae, A., Thiemjarus, S., Marukatat, S., Accurate activity recognition using a mobile phone regardless of device orientation and location (2011) In Proceedings of the 2011 International Conference on Body Sensor Networks, BSN '11, pp. 41-46. , Washington DC: IEEE Computer Society; Hynes, M., Wang, H., Mccarrick, E., Kilmartin, L., Accurate monitoring of human physical activity levels for medical diagnosis and monitoring using off-the-shelf cellular handsets (2011) Personal Ubiquitous Computer, 15 (7), pp. 667-678; Iso, T., Yamazaki, K., Gait analyzer based on a cell phone with a single three-axis accelerometer (2006) In Proceedings of the 8th Conference on Human-Computer Interaction with Mobile Devices and Services, MobileHCI '06, pp. 141-144. , New York: ACM; Liu, J., Goraczko, M., Kansal, A., Lymberopoulos, D., Nath, S., Priyantha, B., (2010) Subjective sensing: Mission statement and a research agenda, , Technical Report; Ju, Y., Lee, Y., Yu, J., Min, C., Shin, I., Song, J., Symphoney: a coordinated sensing flow execution engine for concurrent mobile sensing applications (2012) In Proceedings of the 10th ACM Conference on Embedded Network Sensor Systems, SenSys '12, pp. 211-224. , New York: ACM; Kaspar, R., Oswald, F., Wahl, H.W., Voss, E., Wettstein, M., Daily mood and out-of-home mobility in older adults: does cognitive impairment matter? (2012) Journal of Applied Gerontology, , doi: 10. 1177/0733464812466290; van Kasteren, T., Alemdar, H., Ersoy, C., Effective performance metrics for evaluating activity recognition methods (2011) ARCS 2011 VDE; van Kasteren, T., Noulas, A., Englebienne, G., Kröse, B., Accurate activity recognition in a home setting (2008) In Proceedings of the 10th International Conference on Ubiquitous Computing, UbiComp '08, pp. 1-9. , New York: ACM; Kiukkonen, N.J.B., Dousse, O., Gatica-Perez, D.J., Towards rich mobile phone data sets: Lausanne data collection campaign (2010) Proceedings ACM International Conference on Pervasive Services (ICPS2010); Könönen, V., Mäntyjärvi, J., Similä, H., Pärkkä, J., Ermes, M., Automatic feature selection for context recognition in mobile devices (2010) Pervasive and Mobile Computing, 6 (2), pp. 181-197; Kose, M., (2012) Performance evaluation of classification methods for online activity recognition on smart phones, , Technical Report; Kose, M., Incel, O.D., Ersoy, C., Online human activity recognition on smart phones (2012) Workshop on mobile sensing: From smartphones and wearables to big data (colocated with IPSN), pp. 11-15; Krumm, J., Horvitz, E., Locadio: inferring motion and location from Wi-Fi signal strengths (2004) MobiQuitous, pp. 4-13; Kwapisz, J.R., Weiss, G.M., Moore, S.A., Activity recognition using cell phone accelerometers (2011) SIGKDD Explore Newsletter, 12 (2), pp. 74-82. , doi:10.1145/1.9648971964918; Lane, N., Miluzzo, E., Lu, H., Peebles, D., Choudhury, T., Campbell, A., A survey of mobile phone sensing (2010) IEEE Communications Magazine, 48 (9), pp. 140-150; Lane, N., Mohammod, M., Lin, M., Yang, X., Lu, H., Ali, S., Doryab, A., Campbell, A., Bewell: a smartphone application to monitor, model and promote wellbeing (2012) IEEE, , doi: 10. 4108/icst. pervasivehealth. 2011. 246161; Lane, N.D., Xu, Y., Lu, H., Hu, S., Choudhury, T., Campbell, A.T., Zhao, F., Enabling large-scale human activity inference on smartphones using community similarity networks (csn) (2011) In Proceedings of the 13th International Conference on Ubiquitous Computing, UbiComp '11, pp. 355-364. , New York: ACM; Lara, O.D., Labrador, M.A., A survey on human activity recognition using wearable sensors (2012) Technical Report, , http://www.cse.usf.edu/files/69521327941111Survey.pdf; Lee, Y.S., Cho, S.B., Activity recognition using hierarchical hidden Markov models on a smartphone with 3d accelerometer (2011) In Proceedings of the 6th International Conference on Hybrid Artificial Intelligent Systems - Volume Part I, HAIS'11, pp. 460-467. , Heidelberg: Springer; Li, F., Zhao, C., Ding, G., Gong, J., Liu, C., Zhao, F., A reliable and accurate indoor localization method using phone inertial sensors (2012) In Proceedings of the 2012 ACM Conference on Ubiquitous Computing, UbiComp '12, pp. 421-430. , New York: ACM; Lockhart, J.W., Pulickal, T., Weiss, G.M., Applications of mobile activity recognition (2012) In Proceedings of the 2012 ACM Conference on Ubiquitous Computing, UbiComp '12, pp. 1054-1058. , New York: ACM; Longstaff, B., Reddy, S., Estrin, D., Improving activity classification for health applications on mobile devices using active and semi-supervised learning (2010) PervasiveHealth, pp. 1-7; Loseu, V., Ghasemzadeh, H., Ostadabbas, S., Raveendranathan, N., Malan, J., Jafari, R., Applications of sensing platforms with wearable computers (2010) In Proceedings of the 3rd International Conference on Pervasive Technologies Related to Assistive Environments, PETRA '10, pp. 1-5. , New York: ACM; Lu, H., Yang, J., Liu, Z., Lane, N.D., Choudhury, T., Campbell, A.T., The jigsaw continuous sensing engine for mobile phone applications (2010) In Proceedings of the 8th ACM Conference on Embedded Networked Sensor Systems, SenSys '10, pp. 71-84. , New York: ACM; Lukowicz, P., Pentland, A., Ferscha, A., From context awareness to socially interactive computing (2012) IEEE Pervasive Computing, 11 (1), pp. 32-41; Martin, H., Bernardos, A., Iglesias, J., Casar, J., Activity logging using lightweight classification techniques in mobile devices (2012) Personal and Ubiquitous Computing, 17, pp. 1-21; Matic, A., Osmani, V., Maxhuni, A., Mayora, O., Multi-modal mobile sensing of social interactions (2012) Pervasive computing technologies for healthcare (PervasiveHealth), 2012 6th international conference on, pp. 105-114; Matic, A., Osmani, V., Mayora-Ibarra, O., Analysis of social interactions through mobile phones (2012) Mobile Networks and Applications, 17, pp. 808-819; Miluzzo, E., Cornelius, C.T., Ramaswamy, A., Choudhury, T., Liu, Z., Campbell, A.T., Darwin phones: the evolution of sensing and inference on mobile phones (2010) In Proceedings of the 8th International Conference on Mobile Systems, Applications, and Services, MobiSys '10, pp. 5-20. , New York: ACM; Miluzzo, E., Lane, N.D., Fodor, K., Peterson, R., Lu, H., Musolesi, M., Eisenman, S.B., Campbell, A.T., Sensing meets mobile social networks: the design, implementation and evaluation of the cenceme application (2008) In Proceedings of the 6th ACM Conference on Embedded Network Sensor Systems, SenSys '08, pp. 337-350. , New York: ACM; Miluzzo, E., Papandrea, M., Lane, N., Lu, H., Campbell, A., Pocket, bag, hand, etc.-automatically detecting phone context through discovery (2010) Proceedings of the first international workshop on sensing for app phones (PhoneSense10); Miluzzo, E., Varshavsky, A., Balakrishnan, S., Choudhury, R.R., Tapprints: your finger taps have fingerprints (2012) In Proceedings of the 10th International Conference on Mobile Systems, Applications, and Services, MobiSys '12, pp. 323-336. , New York: ACM; Miluzzo, E., Wang, T., Campbell, A.T., Eyephone: activating mobile phones with your eyes (2010) In Proceedings of the Second ACM SIGCOMM Workshop on Networking, Systems, and Applications on Mobile Handhelds, MobiHeld '10, pp. 15-20. , New York: ACM; Mladenov, M., Mock, M., A step counter service for java-enabled devices using a built-in accelerometer (2009) In Proceedings of the 1st International Workshop on Context-Aware Middleware and Services: Affiliated with the 4th International Conference on Communication System Software and Middleware (COMSWARE 2009), CAMS '09, pp. 1-5. , New York: ACM; Mun, M., Estrin, D., Burke, J., Hansen, M., Parsimonious mobility classification using GSM and WIFI traces (2008) Proceedings of the 5th workshop on embedded networked sensors (HotEmNets); Natale, V., Drejak, M., Erbacci, A., Tonetti, L., Fabbri, M., Martoni, M., Monitoring sleep with a smartphone accelerometer (2012) Sleep and Biological Rhythms, 10 (4), pp. 287-292; Park, J.-G., Patel, A., Curtis, D., Ledlie, J., Teller, S., Online pose classification and walking speed estimation using handheld devices (2012) Proceedings 14th international conference on ubiquitous computing (UbiComp 2012), pp. 113-122; Park, K., Shin, H., Cha, H., Smartphone-based pedestrian tracking in indoor corridor environments (2013) Personal and Ubiquitous Computing, 17, pp. 359-370; Patrick, K., Griswold, W.G., Raab, F., Intille, S.S., Health and the mobile phone (2008) American Journal of Preventive Medicine, 35 (2), pp. 177-181; Peebles, D., Lu, H., Lane, N.D., Choudhury, T., Campbell, A.T., Community-guided learning: exploiting mobile sensor users to model human behavior (2010) AAAI; Pentland, A., Looking at people: sensing for ubiquitous and wearable computing (2000) IEEE Transactions on Pattern Analysis and Machine Intelligence, 22, pp. 107-119; Pollak, J., Gay, G., Byrne, S., Wagner, E., Retelny, D., Humphreys, L., It's time to eat! Using mobile games to promote healthy eating (2010) Pervasive Computing, IEEE, 9 (3), pp. 21-27; Preece, S.J., Goulermas, J.Y., Kenney, L.P.J., Howard, D., Meijer, K., Crompton, R., Activity identification using body-mounted sensors: a review of classification techniques (2009) Physiological Measurement, 30 (4). , R1; Priyantha, B., Lymberopoulos, D., Liu, J., Enabling energy efficient continuous sensing on mobile phones with littlerock (2010) In Proceedings of the 9th ACM/IEEE International Conference on Information Processing in Sensor Networks, IPSN '10, pp. 420-421. , New York: ACM; Purpura, S., Schwanda, V., Williams, K., Stubler, W., Sengers, P., Fit4life: the design of a persuasive technology promoting healthy behavior and ideal weight (2011) In Proceedings of the 2011 Annual Conference on Human Factors in Computing Systems, CHI '11, pp. 423-432. , New York: ACM; Rachuri, K.K., Mascolo, C., Musolesi, M., Rentfrow, P.J., Sociablesense: exploring the trade-offs of adaptive sampling and computation offloading for social sensing (2011) In Proceedings of the 17th Annual International Conference on Mobile Computing and Networking, MobiCom '11, pp. 73-84. , New York: ACM; Rachuri, K.K., Musolesi, M., Mascolo, C., Rentfrow, P.J., Longworth, C., Aucinas, A., Emotionsense: a mobile phones based adaptive platform for experimental social psychology research (2010) In Proceedings of the 12th ACM International Conference on Ubiquitous Computing, Ubicomp '10, pp. 281-290. , New York: ACM; Rai, A., Yan, Z., Chakraborty, D., Wijaya, T.K., Aberer, K., Mining complex activities in the wild via a single smartphone accelerometer (2012) In Proceedings of the Sixth International Workshop on Knowledge Discovery from Sensor Data, SensorKDD '12, pp. 43-51. , New York: ACM; Reddy, S., Mun, M., Burke, J., Estrin, D., Hansen, M., Srivastava, M., Using mobile phones to determine transportation modes (2010) ACM Transactions on Sensor Networks, 6 (2), pp. 1-27; Roggen, D., Wirz, M., Tröster, G., Helbing, D., (2011) Recognition of crowd behavior from mobile sensors with pattern analysis and graph clustering methods, , CoRR abs/1109. 1664; Ryder, J., Longstaff, B., Reddy, S., Estrin, D., Ambulation: a tool for monitoring mobility patterns over time using mobile phones (2009) In Proceedings of the 2009 International Conference on Computational Science and Engineering - Volume 04, CSE '09, pp. 927-931. , Washington DC: IEEE Computer Society; Saponas, T.S., Lester, J., Froehlich, J., Fogarty, J., Landay, J., ilearn on the iphone: Real-time human activity classification on commodity mobile phones (2008) Technical Report, , UW-CSE-08-04-02; Serra, A., Carboni, D., Marotto, V., Indoor pedestrian navigation system using a modern smartphone (2010) In Proceedings of the 12th International Conference on Human Computer Interaction with Mobile Devices and Services, MobileHCI '10, pp. 397-398. , 10.1145/18516001851683, New York: ACM; Siek, K., Persuasive wearable technology design for health and wellness (2012) Proceedings of pervasive computing technologies for healthcare (PervasiveHealth), 2012 6th international conference on, pp. 236-240; Siirtola, P., Röning, J., Recognizing human activities user-independently on smartphones based on accelerometer data (2012) International Journal of Interactive Multimedia and Artificial Intelligence, 1 (5), pp. 38-45; Sohn, T., Varshavsky, A., Lamarca, A., Chen, M., Choudhury, T., Smith, I., Consolvo, S., de Lara, E., Mobility detection using everyday gsm traces (2006) UbiComp 2006: Proceedings of the 8th international conference of ubiquitous computing, pp. 212-224; Torun, M., van Kasteren, T., Incel, O.D., Ersoy, C., Complexity versus page hierarchy of a GUI for elderly homecare applications (2012) Lecture Notes in Computer Science, 7382, pp. 689-696; Wang, Y., Lin, J., Annavaram, M., Jacobson, Q.A., Hong, J., Krishnamachari, B., Sadeh, N., A framework of energy efficient mobile sensing for automatic user state recognition (2009) In Proceedings of the 7th International Conference on Mobile Systems, Applications, and Services, MobiSys '09, pp. 179-192. , New York: ACM; Yan, Z., Chakraborty, D., Misra, A., Jeung, H., Aberer, K., Semantic activity classification using locomotive signatures from mobile phones (2012) Technical Report; Yan, Z., Subbaraju, V., Chakraborty, D., Misra, A., Aberer, K., Energy-efficient continuous activity recognition on mobile phones: an activity-adaptive approach (2012) Proceedings of the 16th international symposium on wearable computers (ISWC); Yang, J., Toward physical activity diary: motion recognition using simple acceleration features with mobile phones (2009) Proceedings of the 1st international workshop on Interactive multimedia for consumer electronics IMCE '09, pp. 1-10; Yavuz, G., Kocak, M., Ergun, G., Alemdar, H.O., Yalcin, H., Incel, O.D., Ersoy, C., A smartphone based fall detector with online location support (2010) Proceedings of PhoneSense 2010; Young, M., Twitter me: using micro-blogging to motivate teenagers to exercise (2010) Global Perspectives on Design Science Research, Lecture Notes in Computer Science Vol. 6105, pp. 439-448. , R. Winter, J. Zhao, and S. Aier (Eds.), New York: Springer; Zhou, P., Zheng, Y., Li, Z., Li, M., Shen, G., Iodetector: a generic service for indoor outdoor detection (2012) In Proceedings of the 10th Acm Conference on Embedded Network Sensor Systems, SenSys '12, pp. 361-362. , New York: ACM</t>
  </si>
  <si>
    <t>21911630</t>
  </si>
  <si>
    <t>2-s2.0-84878102799</t>
  </si>
  <si>
    <t>A review and taxonomy of activity recognition on mobile phones</t>
  </si>
  <si>
    <t>Gkotsis G., Oellrich A., Velupillai S., Liakata M., Hubbard T.J.P., Dobson R.J.B., Dutta R.</t>
  </si>
  <si>
    <t>8842592100;36468828700;26634565100;26432031900;19534744500;8931612400;56003431900;</t>
  </si>
  <si>
    <t>Characterisation of mental health conditions in social media using Informed Deep Learning</t>
  </si>
  <si>
    <t>Scientific Reports</t>
  </si>
  <si>
    <t>7</t>
  </si>
  <si>
    <t>45141</t>
  </si>
  <si>
    <t>10.1038/srep45141</t>
  </si>
  <si>
    <t>https://www.scopus.com/inward/record.uri?eid=2-s2.0-85016019626&amp;doi=10.1038%2fsrep45141&amp;partnerID=40&amp;md5=8694825268cb00e1ea5dbe6ad55ecde6</t>
  </si>
  <si>
    <t>King's College London, IoPPN, London, SE5 8AF, United Kingdom; School of Computer Science and Communication, KTH, Stockholm, Sweden; Department of Computer Science, University of Warwick, Coventry, United Kingdom; King's College London, Department of Medical and Molecular Genetics, London, SE1 9RT, United Kingdom; Farr Institute of Health Informatics Research, UCL Institute of Health Informatics, University College London, London, WC1E 6BT, United Kingdom</t>
  </si>
  <si>
    <t>Gkotsis, G., King's College London, IoPPN, London, SE5 8AF, United Kingdom; Oellrich, A., King's College London, IoPPN, London, SE5 8AF, United Kingdom; Velupillai, S., King's College London, IoPPN, London, SE5 8AF, United Kingdom, School of Computer Science and Communication, KTH, Stockholm, Sweden; Liakata, M., Department of Computer Science, University of Warwick, Coventry, United Kingdom; Hubbard, T.J.P., King's College London, Department of Medical and Molecular Genetics, London, SE1 9RT, United Kingdom; Dobson, R.J.B., King's College London, IoPPN, London, SE5 8AF, United Kingdom, Farr Institute of Health Informatics Research, UCL Institute of Health Informatics, University College London, London, WC1E 6BT, United Kingdom; Dutta, R., King's College London, IoPPN, London, SE5 8AF, United Kingdom</t>
  </si>
  <si>
    <t>The number of people affected by mental illness is on the increase and with it the burden on health and social care use, as well as the loss of both productivity and quality-adjusted life-years. Natural language processing of electronic health records is increasingly used to study mental health conditions and risk behaviours on a large scale. However, narrative notes written by clinicians do not capture first-hand the patients' own experiences, and only record cross-sectional, professional impressions at the point of care. Social media platforms have become a source of € in the moment' daily exchange, with topics including well-being and mental health. In this study, we analysed posts from the social media platform Reddit and developed classifiers to recognise and classify posts related to mental illness according to 11 disorder themes. Using a neural network and deep learning approach, we could automatically recognise mental illness-related posts in our balenced dataset with an accuracy of 91.08% and select the correct theme with a weighted average accuracy of 71.37%. We believe that these results are a first step in developing methods to characterise large amounts of user-generated content that could support content curation and targeted interventions. © The Author(s) 2017.</t>
  </si>
  <si>
    <t>Whiteford, H.A., Global burden of disease attributable to mental and substance use disorders: Findings from the global burden of disease study 2010 (2013) The Lancet, 382, pp. 1575-1586; Perera, G., Cohort profile of the south london and maudsley nhs foundation trust biomedical research centre (slam brc) case register: Current status and recent enhancement of an electronic mental health record-derived data resource (2016) BMJ Open, 6, p. e008721; Barak-Corren, Y., Predicting suicidal behavior from longitudinal electronic health records (2016) American Journal of Psychiatry Appiajp; Shapiro, J.S., Document ontology: Supporting narrative documents in electronic health records (2005) AMIA; Coppersmith, G., Dredze, M., Harman, C., Hollingshead, K., From adhd to sad: Analyzing the language of mental health on twitter through self-reported diagnoses (2015) Proceedings of the 2nd Workshop on Computational Linguistics and Clinical Psychology: From Linguistic Signal to Clinical Reality, pp. 1-10; De Choudhury, M., De, S., Mental health discourse on reddit: Self-disclosure social support and anonymity (2014) Eighth International AAAI Conference on Weblogs and Social Media; Sampasa-Kanyinga, H., Lewis, R.F., Frequent use of social networking sites is associated with poor psychological functioning among children and adolescents (2015) Cyberpsychology, Behavior, and Social Networking, 18, pp. 380-385; Gkotsis, G., The language of mental health problems in social media (2016) Proceedings of the 3rd Workshop on Computational Linguistics and Clinical Psychology: From Linguistic Signal to Clinical Reality, pp. 63-73; Duggan, M., Smith, A., 6% of online adults are reddit users (2013) Pew Internet &amp; American Life Project, 3; Clark, D.M., A cognitive approach to panic (1986) Behaviour Research and Therapy, 24, pp. 461-470; Lerner, D., Henke, R.M., What does research tell us about depression, job performance, and work productivity? (2008) Journal of Occupational and Environmental Medicine, 50, pp. 401-410; Schwartz, H.A., Towards assessing changes in degree of depression through facebook (2014) Proceedings of the Workshop on Computational Linguistics and Clinical Psychology: From Linguistic Signal to Clinical Reality, pp. 118-125. , Citeseer; Pavalanathan, U., De Choudhury, M., Identity management and mental health discourse in social media (2015) Proceedings of the 24th International Conference on World Wide Web, pp. 315-321. , ACM; Freyberg, R., The write stuff: Relationships between narrative content and psychiatric illness (2014) Narrative Inquiry, 24, pp. 28-39; Ramirez-Esparza, N., Chung, C.K., Kacewicz, E., Pennebaker, J.W., The psychology of word use in depression forums in english and in Spanish: Texting two text analytic approaches (2008) ICWSM; Pennebaker, J.W., Mehl, M.R., Niederhoffer, K.G., Psychological aspects of natural language use: Our words, our selves (2003) Annual Review of Psychology, 54, pp. 547-577; http://nlp.stanford.edu/projects/glove/, Glove (Last accessed 2016-12-01); Blazer, D.G., Kessler, R.C., McGonagle, K.A., The prevalence and distribution of major depression in a national community sample: The national comorbidity survey (1994) The American Journal of Psychiatry, 15, pp. 24-27; Kolliakou, A., (2015) D7.2.2.2 -annotated Corpus -final Version Public Deliverable, Pheme Project (fp7-ict-611233); Rehurek, R., Sojka, P., Software Framework for Topic Modelling with Large Corpora (2010) Proceedings of the LREC 2010 Workshop on New Challenges for NLP Frameworks, pp. 45-50. , http://is.muni.cz/publication/884893/en, ELRA, Valletta, Malta; Bird, S., Klein, E., Loper, E., (2009) Natural Language Processing with Python: Analyzing Text with the Natural Language Toolkit, , OReilly Media, Inc; Mikolov, T., Sutskever, I., Chen, K., Corrado, G.S., Dean, J., Distributed representations of words and phrases and their compositionality (2013) Advances in Neural Information Processing Systems, pp. 3111-3119</t>
  </si>
  <si>
    <t>Nature Publishing Group</t>
  </si>
  <si>
    <t>20452322</t>
  </si>
  <si>
    <t>Sci. Rep.</t>
  </si>
  <si>
    <t>2-s2.0-85016019626</t>
  </si>
  <si>
    <t>Characterisation of mental health conditions in social media using informed deep learning</t>
  </si>
  <si>
    <t>Parker S.K., Grote G.</t>
  </si>
  <si>
    <t>7401647326;7004080235;</t>
  </si>
  <si>
    <t>Automation, Algorithms, and Beyond: Why Work Design Matters More Than Ever in a Digital World</t>
  </si>
  <si>
    <t>Applied Psychology</t>
  </si>
  <si>
    <t>1171</t>
  </si>
  <si>
    <t>1204</t>
  </si>
  <si>
    <t>10.1111/apps.12241</t>
  </si>
  <si>
    <t>https://www.scopus.com/inward/record.uri?eid=2-s2.0-85079486546&amp;doi=10.1111%2fapps.12241&amp;partnerID=40&amp;md5=6cc43f666f681c0ceca37fb78ba6c60a</t>
  </si>
  <si>
    <t>Curtin University, Australia; ETH Zürich, Switzerland</t>
  </si>
  <si>
    <t>Parker, S.K., Curtin University, Australia; Grote, G., ETH Zürich, Switzerland</t>
  </si>
  <si>
    <t>We propose a central role for work design in understanding the effects of digital technologies. We give examples of how new technologies can—depending on various factors—positively and negatively affect job resources (autonomy/control, skill use, job feedback, relational aspects) and job demands (e.g., performance monitoring), with consequences for employee well-being, safety, and performance. We identify four intervention strategies. First, work design choices need to be proactively considered during technology implementation, consistent with the sociotechnical systems principle of joint optimization. Second, human-centred design principles should be explicitly considered in the design and procurement of new technologies. Third, organizationally oriented intervention strategies need to be supported by macro-level policies. Fourth, there is a need to go beyond a focus on upskilling employees to help them adapt to technology change, to also focus on training employees, as well as other stakeholders, in work design and related topics. Finally, we identify directions for moving the field forward, including new research questions (e.g., job autonomy in the context of machine learning; understanding designers’ work design mindsets; investigating how job crafting applies to technology); a reorientation of methods (e.g., interdisciplinary, intervention studies); and steps for achieving practical impact. © 2022 The Authors. Applied Psychology published by John Wiley &amp; Sons Ltd on behalf of International Association of Applied Psychology.</t>
  </si>
  <si>
    <t>article; automation; employee; human; intervention study; machine learning; universal design</t>
  </si>
  <si>
    <t>Akhtar, P., Moore, P., The psychosocial impacts of technological change in contemporary workplaces, and trade union responses (2016) International Journal of Labour Research, 8 (1-2), pp. 101-131; Arntz, M., Gregory, T., Zierahn, U., The risk of automation for jobs in OECD countries: A comparative analysis (2016) OECD Social, Employment and Migration Working Papers, p. 189; Asimov, I., Runaround (1942) Astounding Science Fiction, 29 (1), pp. 94-103; Autor, D., Dorn, D., How technology wrecks the middle class (2013) New York Times, , 24 August; Autor, D., Levy, F., Murnane, R.J., The skill content of recent technological change: An empirical exploration (2003) Quarterly Journal of Economics, 118 (3), pp. 1279-1333; Autor, D., Salomons, A., (2018) Is automation labor-displacing? Productivity growth, employment, and the labor share, , Paper presented at the Brookings Papers on Economic Activity, Spring Edition,, Washington DC; Bailey, D.E., Leonardi, P.M., Barley, S.R., The lure of the virtual (2012) Organization Science, 23 (5), pp. 1485-1504; Bailey, D.E., Leonardi, P.M., Chong, J., Minding the gaps: Understanding technology interdependence and coordination in knowledge work (2010) Organization Science, 21 (3), pp. 713-730; Bainbridge, L., Ironies of automation (1983) Automatica, 19, pp. 775-779; Bakker, A.B., Demerouti, E., The job demands-resources model: State of the art (2007) Journal of Managerial Psychology, 22 (3), pp. 309-328; Bal, P.M., Dóci, E., Lub, X., Van Rossenberg, Y.G., Nijs, S., Achnak, S., De Cooman, R., Manifesto for the future of work and organizational psychology (2019) European Journal of Work and Organizational Psychology, 28 (3), pp. 289-299; Barley, S.R., Technology as an occasion for structuring: Evidence from observations of CT scanners and the social order of radiology departments (1986) Administrative Science Quarterly, 31 (1), pp. 78-108; Barley, S.R., Why the internet makes buying a car less loathsome: How technologies change role relations (2015) Academy of Management Discoveries, 1, pp. 31-60; Barley, S.R., Kunda, G., Bringing work back in (2001) Organization Science, 12 (1), pp. 76-95; Barrett, M., Oborn, E., Orlikowski, W.J., Yates, J., Reconfiguring boundary relations: Robotic innovations in pharmacy work (2012) Organization Science, 23 (5), pp. 1448-1466; Beane, M., Shadow learning: Building robotic surgical skill when approved means fail (2018) Administrative Science Quarterly, 64 (1), pp. 87-123; Beane, M., Orlikowski, W.J., What difference does a robot make? The material enactment of distributed coordination (2015) Organization Science, 26 (6), pp. 1553-1573; Bhidé, A., The big idea: The judgment deficit (2010) Harvard Business Review, , https://hbr.org/2010/09/the-big-idea-the-judgment-deficit, Retrieved from; Billings, C.E., (1991) Human-centered aircraft automation: A concept and guidelines, , https://ntrs.nasa.gov/search.jsp?R=19910022821, Retrieved from NASA, United States; Bloom, N., Garicano, L., Sadun, R., Van Reenen, J., The distinct effects of information technology and communication technology on firm organization (2014) Management Science, 60 (12), pp. 2859-2885; Boos, D., Guenter, H., Grote, G., Kinder, K., Controllable accountabilities: The internet of things and its challenges for organisations (2013) Behaviour &amp; Information Technology, 32 (5), pp. 449-467; Boudreau, J.W., Jesuthasan, R., Creelman, D., (2015) Lead the work: Navigating a world beyond employment, , Hoboken, NJ, John Wiley &amp; Sons; Bresnahan, T.F., Brynjolfsson, E., Hitt, L.M., Information technology, workplace organization, and the demand for skilled labor: Firm-level evidence (2002) Quarterly Journal of Economics, 117 (1), pp. 339-376; Brougham, D., Haar, J., Smart technology, artificial intelligence, robotics, and algorithms (STARA): Employees’ perceptions of our future workplace (2018) Journal of Management &amp; Organization, 24 (2), pp. 239-257; Brynjolfsson, E., McAfee, A., (2014) The second machine age: Work, progress, and prosperity in a time of brilliant technologies, , New York, NY, WW Norton &amp; Company; Brynjolfsson, E., Mitchell, T., Rock, D., (2018) What can machines learn, and what does it mean for occupations and the economy?, , Paper presented at the AEA Papers and Proceedings,, Philadelphia, PA; Buchanan, D., Boddy, D., Black, S.P., MacDonald, R., Trushell, I., (1983) Organizations in the computer age: Technological imperatives and strategic choice, , Aldershot, UK, Gower; Cascio, W.F., Montealegre, R., How technology is changing work and organizations (2016) Annual Review of Organizational Psychology and Organizational Behavior, 3, pp. 349-375; Casner, S.M., Geven, R.W., Recker, M.P., Schooler, J.W., The retention of manual flying skills in the automated cockpit (2014) Human Factors, 56 (8), pp. 1506-1516; Challenger, R., Clegg, C.W., Shepherd, C., Function allocation in complex systems: Reframing an old problem (2013) Ergonomics, 56 (7), pp. 1051-1069; Clegg, C., Sociotechnical principles for system design (2000) Applied Ergonomics, 31 (5), pp. 463-477; Clegg, C., Ravden, S., Corbett, M., Johnson, G., Allocating functions in computer integrated manufacturing: A review and a new method (1989) Behaviour &amp; Information Technology, 8 (3), pp. 175-190; Clegg, C., Shepherd, C., The biggest computer programme in the world… ever!’: Time for a change in mindset? (2007) Journal of Information Technology, 22 (3), pp. 212-221; Coovert, M.D., Thompson, L.F., Toward a synergistic relationship between psychology and technology (2013) The psychology of workplace technology, pp. 25-42. , M.D. Coovert, &amp;, L.F. Thompson, (Eds)., New York, Routledge; Cordery, J.L., Morrison, D., Wright, B.M., Wall, T.D., The impact of autonomy and task uncertainty on team performance: A longitudinal field study (2010) Journal of Organizational Behavior, 31 (2-3), pp. 240-258; Cramton, C.D., Webber, S.S., Relationships among geographic dispersion, team processes, and effectiveness in software development work teams (2005) Journal of Business Research, 58 (6), pp. 758-765; Crawford, K., Calo, R., There is a blind spot in AI research (2016) Nature News, 538 (7625), p. 311; Cummings, E., Turner, P., Patient self-management and chronic illness: Evaluating outcomes and impacts of information technology (2009) Studies in Health Technology and Informatics, 143, pp. 229-234; Danaher, J., The threat of algocracy: Reality, resistance and accommodation (2016) Philosophy &amp; Technology, 29 (3), pp. 245-268; Davis, M.C., Challenger, R., Jayewardene, D.N., Clegg, C.W., Advancing socio-technical systems thinking: A call for bravery (2014) Applied Ergonomics, 45 (2), pp. 171-180; Deci, E.L., Ryan, R.M., (2004) Handbook of self-determination research, , Rochester, NY, University of Rochester Press; Delbridge, R., Workers under lean manufacturing (2005) The essentials of the new workplace: A guide to the human impact of modern working practices, pp. 15-32. , D. Holman, T.D. Wall, C.W. Clegg, P. Sparrow, A. Howard, (Eds.), Chichester, UK, John Wiley &amp; Sons; Dellot, B., Wallace-Stephens, F., (2017) The age of automation: Artificial intelligence, robotics and the future of low-skilled work, , https://www.thersa.org/discover/publications-and-articles/reports/the-age-of-automation, London, Royal Society for the encouragement of Arts, Manufacturers and Commerce Future Work Centre, Retrieved from; DeLong, J.B., Froomkin, A.M., Speculative microeconomics for tomorrow’s economy (2000) Internet publishing and beyond: The economics of digital information and intellectual property, pp. 6-44. , B. Kahin, &amp;, H.R. Varian, (Eds.),, Cambridge, MALondon, UK, MIT Press; Dietvorst, B.J., Simmons, J.P., Massey, C., Overcoming algorithm aversion: People will use imperfect algorithms if they can (even slightly) modify them (2016) Management Science, 64 (3), pp. 1155-1170; Domingos, P., (2015) The master algorithm: How the quest for the ultimate learning machine will remake our world, , New York, Basic Books; Dominiczak, J., Khansa, L., Principles of automation for patient safety in intensive care: Learning from aviation (2018) Joint Commission Journal on Quality and Patient Safety, 44 (6), pp. 366-371; Dul, J., Bruder, R., Buckle, P., Carayon, P., Falzon, P., Marras, W.S., van der Doelen, B., A strategy for human factors/ergonomics: Developing the discipline and profession (2012) Ergonomics, 55 (4), pp. 377-395; Emery, F.E., (1959) Characteristics of socio-technical systems: A critical review of theories and facts about the effects of technological change on the internal structure of work organisations; with special reference to the effects of higher mechanisation and automation, , London, Tavistock Institute of Human Relations; Faraj, S., Pachidi, S., Sayegh, K., Working and organizing in the age of the learning algorithm (2018) Information and Organization, 28 (1), pp. 62-70; Ferràs-Hernández, X., The future of management in a world of electronic brains (2018) Journal of Management Inquiry, 27 (2), pp. 260-263; Frenkel, S., Korczynski, M., Shire, K.A., Tam, M., (1999) On the front line: Organization of work in the information economy, , Ithaca, NY, Cornell University Press; Frey, C.B., Osborne, M.A., The future of employment: How susceptible are jobs to computerisation? (2017) Technological Forecasting and Social Change, 114, pp. 254-280; Goodman, B., Flaxman, S., European Union regulations on algorithmic decision-making and a “right to explanation” (2017) AI Magazine, 38 (3), pp. 50-57; Goos, M., Manning, A., Salomons, A., Job polarization in Europe (2009) American Economic Review, 99 (2), pp. 58-63; Gough, R., Ballardie, R., Brewer, P., New technology and nurses (2014) Labour &amp; Industry: A Journal of the Social and Economic Relations of Work, 24 (1), pp. 9-25; Grant, A.M., Does intrinsic motivation fuel the prosocial fire? Motivational synergy in predicting persistence, performance, and productivity (2008) Journal of Applied Psychology, 93 (1), pp. 48-58; Grant, A.M., Parker, S.K., 7 redesigning work design theories: The rise of relational and proactive perspectives (2009) Academy of Management Annals, 3 (1), pp. 317-375; Greenhalgh, T., (2010) How to read a paper: The basics of evidence-based medicine, , London, Wiley-Blackwell, BMJ Books; Grote, G., (2009) Management of uncertainty: Theory and application in the design of systems and organizations, , London, Springer; Grote, G., Adding a strategic edge to human factors/ergonomics: Principles for the management of uncertainty as cornerstones for system design (2014) Applied Ergonomics, 45 (1), pp. 33-39; Grote, G., Promoting safety by increasing uncertainty: Implications for risk management (2015) Safety Science, 71, pp. 71-79; Grote, G., Baitsch, C., Reciprocal effects between organizational culture and the implementation of an office communication system: A case study (1991) Behaviour &amp; Information Technology, 10 (3), pp. 207-218; Grote, G., Ryser, C., Wäfler, T., Windischer, A., Weik, S., KOMPASS: A method for complementary function allocation in automated work systems (2000) International Journal of Human-Computer Studies, 52 (2), pp. 267-287; Grote, G., Weyer, J., Stanton, N.A., Beyond human-centred automation: Concepts for human–machine interaction in multi-layered networks (2014) Ergonomics, 57 (3), pp. 289-294; Gruber, M., De Leon, N., George, G., Thompson, P., Managing by design (2015) Academy of Management, 58 (1), pp. 1-7; Hackman, J.R., Oldham, G.R., Motivation through the design of work: Test of a theory (1976) Organizational Behavior and Human Performance, 16 (2), pp. 250-279; Hackman, J.R., Oldham, G.R., (1980) Work redesign, , Reading, MA, Addison-Wesley; Haslbeck, A., Hoermann, H.-J., Flying the needles: Flight deck automation erodes fine-motor flying skills among airline pilots (2016) Human Factors, 58 (4), pp. 533-545; Hertel, G., Stone, D.L., Johnson, R.D., Passmore, J., (2017) The Wiley Blackwell handbook of the psychology of the internet at work, , Hoboken, NY, John Wiley &amp; Sons; Hinds, P.J., Mortensen, M., Understanding conflict in geographically distributed teams: The moderating effects of shared identity, shared context, and spontaneous communication (2005) Organization Science, 16 (3), pp. 290-307; Hislop, D., Axtell, C., The neglect of spatial mobility in contemporary studies of work: The case of telework (2007) New Technology, Work and Employment, 22 (1), pp. 34-51; Hislop, D., Axtell, C., Collins, A., Daniels, K., Glover, J., Niven, K., Variability in the use of mobile ICTs by homeworkers and its consequences for boundary management and social isolation (2015) Information and Organization, 25 (4), pp. 222-232; Howaldt, J., Kopp, R., Pot, F., Workplace innovation for better jobs and performance. The most important developments in modern working environments (2012) Prethinking work: Insights on the future of work, , S. Jeschke, F. Hees, A. Richert, S. Trantow, (Eds.), Münster, LIT-Verlag; Huang, M.-H., Rust, R.T., Artificial intelligence in service (2018) Journal of Service Research, 21 (2), pp. 155-172; Humphrey, S.E., Nahrgang, J.D., Morgeson, F.P., Integrating motivational, social, and contextual work design features: A meta-analytic summary and theoretical extension of the work design literature (2007) Journal of Applied Psychology, 92 (5), pp. 1332-1356; Itoh, M., Inagaki, T., Design and evaluation of steering protection for avoiding collisions during a lane change (2014) Ergonomics, 57 (3), pp. 361-373; Johns, G., The essential impact of context on organizational behavior (2006) Academy of Management Review, 31 (2), pp. 386-408; Johns, T., Gratton, L., The third wave of virtual work (2013) Harvard Business Review, 91 (1), pp. 66-73; Jones, M., A matter of life and death: Exploring conceptualizations of sociomateriality in the context of critical care (2014) MIS Quarterly, 38 (3), pp. 895-926; Kalleberg, A.L., (2011) Good jobs, bad jobs: The rise of polarized and precarious employment systems in the United States, 1970s–2000s, , New York, Russel Sage Foundation; Karasek, R.A., Jr., Job demands, job decision latitude, and mental strain: Implications for job redesign (1979) Administrative Science Quarterly, 24 (2), pp. 285-308; Kellogg, K.C., Orlikowski, W.J., Yates, J., Life in the trading zone: Structuring coordination across boundaries in postbureaucratic organizations (2006) Organization Science, 17 (1), pp. 22-44; Kellogg, K., Valentine, M., Christin, A., Algorithms at work: The new contested terrain of control (2020) Academy of Management Annals, , https://doi.org/10.5465/annals.2018.0174; Kiesler, S., Cummings, J.N., What do we know about proximity and distance in work groups? A legacy of research (2002) Distributed work, pp. 57-80. , P.J. Hinds, &amp;, S. Kiesler, (Eds.),, Cambridge, MA, MIT Press; Kirkman, B.L., Mathieu, J.E., The dimensions and antecedents of team virtuality (2005) Journal of Management, 31 (5), pp. 700-718; Kittur, A., Nickerson, J.V., Bernstein, M., Gerber, E., Shaw, A., Zimmerman, J., Horton, J., (2013) The future of crowd, , Paper presented at the Proceedings of the 2013 conference on Computer supported cooperative work,, San Antonio, TX, USA; Kranzberg, M., Technology and history: “Kranzberg’s laws” (1986) Technology and Culture, 27 (3), pp. 544-560; Latham, G.P., Perspectives of a practitioner-scientist on organizational psychology/organizational behavior (2019) Annual Review of Organizational Psychology and Organizational Behavior, 6, pp. 1-16; Leach, D., Jackson, P., Wall, T., Realizing the potential of empowerment: The impact of a feedback intervention on the performance of complex technology (2001) Ergonomics, 44 (9), pp. 870-886; Lee, J.D., See, K.A., Trust in automation: Designing for appropriate reliance (2004) Human Factors, 41 (1), pp. 50-80; Lee, M.K., Understanding perception of algorithmic decisions: Fairness, trust, and emotion in response to algorithmic management (2018) Big Data &amp; Society, 5 (1), pp. 1-16. , https://doi.org/10.1177/2053951718756684; Lehdonvirta, V., Flexibility in the gig economy: Managing time on three online piecework platforms (2018) New Technology, Work and Employment, 33 (1), pp. 13-29; Lehdonvirta, V., Ernkvist, M., (2011) Knowledge map of the virtual economy: Converting the virtual economy into development potential, , https://elibrary.worldbank.org/doi/abs/10.1596/27361, World Bank Group, Retrieved from; Leonardi, P.M., Materiality, sociomateriality, and socio-technical systems: What do these terms mean? How are they different? Do we need them (2012) Materiality and organizing: Social interaction in a technological world, 25. , P.M. Leonardi, B.A. Nardi, J. Kallinikos, (Eds.),, Oxford, Oxford University Press; Leonardi, P.M., Barley, S.R., What’s under construction here? Social action, materiality, and power in constructivist studies of technology and organizing (2010) Academy of Management Annals, (1), pp. 1-51; Leonardi, P.M., Treem, J.W., Jackson, M.H., The connectivity paradox: Using technology to both decrease and increase perceptions of distance in distributed work arrangements (2010) Journal of Applied Communication Research, 38 (1), pp. 85-105; Leverment, Y., Ackers, P., Preston, D., Professionals in the NHS: A case study of business process re-engineering (1998) New Technology, Work and Employment, 13 (2), pp. 129-139; Loebbecke, C., Picot, A., Reflections on societal and business model transformation arising from digitization and big data analytics: A research agenda (2015) Journal of Strategic Information Systems, 24 (3), pp. 149-157; Lyons, J.B., Clark, M.A., Wagner, A.R., Schuelke, M.J., Certifiable trust in autonomous systems: Making the intractable tangible (2017) AI Magazine, 38 (3). , http://link.galegroup.com/apps/doc/A511108005/AONE?u=cmu_main&amp;sxml:id=AONE&amp;xxml:id=6f1489d8, Retrieved from; Malhotra, A., Majchrzak, A., Enhancing performance of geographically distributed teams through targeted use of information and communication technologies (2014) Human Relations, 67 (4), pp. 389-411; Malone, T.W., (2004) The future of work: How the New Order of Business Will Shape Your Organization, Your Management Style, and Your Life, , Cambridge, MA, Harvard Business School Press; Markus, M.L., Datification, organizational strategy, and IS research: What’s the score? (2017) Journal of Strategic Information Systems, 26 (3), pp. 233-241; Markus, M.L., Loebbecke, C., Commoditized digital processes and business community platforms: New opportunities and challenges for digital business strategies (2013) MIS Quarterly, 37 (2), pp. 649-653; Milgrom, P., Roberts, J., The economics of modern manufacturing: Technology, strategy, and organization (1990) American Economic Review, 80 (3), pp. 511-528; Miller, D., Johns, M., Mok, B., Gowda, N., Sirkin, D., Lee, K., Ju, W., (2016) Behavioral measurement of trust in automation: The trust fall, , Paper presented at the Human Factors and Ergonomics Society Annual Meeting,, Washington, DC; Mohlmann, M., Zalmanson, L., (2017) Hands on the wheel: Navigating algorithmic management and Uber drivers’ autonomy, , Paper presented at the International Conference on Information Systems (ICIS 2017),, Seoul, South Korea; Moore, S., Hayes, L., The electronic monitoring of care work: The redefinition of paid working time (2018) Humans and machines at work: Monitoring, surveillance and automation in contemporary capitalism, pp. 101-124. , P.B. Moore, M. Upchurch, X. Whittaker, (Eds.),, London, Palgrave Macmillan, Cham; Morgeson, F.P., Humphrey, S.E., The Work Design Questionnaire (WDQ): Developing and validating a comprehensive measure for assessing job design and the nature of work (2006) Journal of Applied Psychology, 91 (6), pp. 1321-1339. , https://doi.org/10.1037/0021-9010.91.6.1321; Morrison, D., Cordery, J., Girardi, A., Payne, R., Job design, opportunities for skill utilization, and intrinsic job satisfaction (2005) European Journal of Work and Organizational Psychology, 14 (1), pp. 59-79; Mortensen, M., Neeley, T.B., Reflected knowledge and trust in global collaboration (2012) Management Science, 58 (12), pp. 2207-2224; Nardi, B.A., Kuchinsky, A., Whittaker, S., Leichner, R., Schwarz, H., Video-as-data: Technical and social aspects of a collaborative multimedia application (1995) Computer Supported Cooperative Work (CSCW), 4 (1), pp. 73-100; Nedelkoska, L., Quintini, G., (2018) Automation, skills use and training, , Paris, OECD Publishing; Neeley, T.B., Leonardi, P.M., Enacting knowledge strategy through social media: Passable trust and the paradox of nonwork interactions (2018) Strategic Management Journal, 39 (3), pp. 922-946; Newell, S., Marabelli, M., Strategic opportunities (and challenges) of algorithmic decision-making: A call for action on the long-term societal effects of “datification” (2015) Journal of Strategic Information Systems, 24 (1), pp. 3-14; Norman, D.A., The “problem” with automation: Inappropriate feedback and interaction, not “over-automation” (1990) Philosophical Transactions of the Royal Society of London. B, Biological Sciences, 327 (1241), pp. 585-593; Oeij, P., Rus, D., Pot, F.D., (2017) Workplace innovation: Theory, research and practice, , Cham, Switzerland, Springer; O’Leary, M.B., Mortensen, M., Go (con)figure: Subgroups, imbalance, and isolates in geographically dispersed teams (2010) Organization Science, 21 (1), pp. 115-131; Orlikowski, W., Sociomaterial practices: Exploring technology at work (2007) Organization Studies, 28 (9), pp. 1435-1448; Orlikowski, W., Scott, S.V., 10 sociomateriality: Challenging the separation of technology, work and organization (2008) Academy of Management Annals, 2 (1), pp. 433-474; Orlikowski, W., Scott, S.V., The algorithm and the crowd: Considering the materiality of service innovation (2015) MIS Quarterly, 39 (1), pp. 201-216; Papadopoulos, Y., McDermid, J., Automated safety monitoring: A review and classification of methods (2001) International Journal of Condition Monitoring and Diagnostic Engineering Management, 4 (4), pp. 14-32; Parker, S.K., Longitudinal effects of lean production on employee outcomes and the mediating role of work characteristics (2003) Journal of Applied Psychology, 8 (4), pp. 620-634; Parker, S.K., Andrei, D.M., Van den Broeck, A., Poor work design begets poor work design: Capacity and willingness antecedents of individual work design behavior (2019) Journal of Applied Psychology, , https://doi.org/10.1037/apl0000383; Parker, S.K., Johnson, A., Collins, C., Nguyen, H., Making the most of structural support: Moderating influence of employees’ clarity and negative affect (2013) Academy of Management Journal, 56 (3), pp. 867-892; Parker, S.K., Morgeson, F.P., Johns, G., One hundred years of work design research: Looking back and looking forward (2017) Journal of Applied Psychology, 102 (3), p. 403; Parker, S.K., Van den Broeck, A., Holman, D., Work design influences: A synthesis of multi-level factors that affect the design of jobs (2017) Academy of Management Annals, 11 (1), pp. 267-308; Perrow, C., The organizational context of human factors engineering (1983) Administrative Science Quarterly, 28 (4), pp. 521-541; Ritter, F., Baxter, G.D., Churchill, E.F., (2014) Foundations for designing user-centered systems: What system designers need to know about people, , London, Springer-Verlag; Rosenblat, A., Stark, L., Algorithmic labor and information asymmetries: A case study of Uber’s drivers (2016) International Journal of Communication, 10, pp. 3758-3784; Rudolph, C.W., Katz, I.M., Lavigne, K.N., Zacher, H., Job crafting: A meta-analysis of relationships with individual differences, job characteristics, and work outcomes (2017) Journal of Vocational Behavior, 102, pp. 112-138; Rusli, E., Your new secretary: An algorithm (2013) Wall Street Journal, , https://www.wsj.com/articles/SB10001424127887323949904578539983425941490, June 12)., Retrieved from; Sarter, N.B., Woods, D.D., Billings, C.E., Automation surprises (1997) Handbook of Human Factors and Ergonomics, 2, pp. 1926-1943; Schildt, H., Big data and organizational design: The brave new world of algorithmic management and computer augmented transparency (2017) Innovation, 19 (1), pp. 23-30; Schwab, K., (2017) The fourth industrial revolution, , New York, Crown Business; Schwab, P., Keller, E., Muroi, C., Mack, D.J., Strassle, C., Karlen, W., (2018) Not to cry wolf: Distantly supervised multitask learning in critical care, , Paper presented at the 35th International Conference on Machine Learning,, Stockholm, Sweden; Sergeeva, A., Huysman, M., Faraj, S., (2015) Transforming work practices of operating room teams: The case of the Da Vinci robot, , Paper presented at the Thirty Sixth International Conference on Information Systems,, Forth Worth; Shepherd, C., Constructing enterprise resource planning: A thoroughgoing interpretivist perspective on technological change (2006) Journal of Occupational and Organizational Psychology, 79 (3), pp. 357-376; Sheridan, T.B., Supervisory control (1987) Handbook of human factors, pp. 1243-1268. , G. Salvendy, (Ed.),, Oxford, UK, John Wiley &amp; Sons; Slocum, J.W., Jr., Sims, H.P., A typology for integrating technology, organization, and job design (1980) Human Relations, 33 (3), pp. 193-212; (2012) Virtual teams, , http://www.shrm.org/research/surveyfindings/articles/pages/virtualteams.aspx, Retrieved from; Spreitzer, G.M., Cameron, L., Garrett, L., Alternative work arrangements: Two images of the new world of work (2017) Annual Review of Organizational Psychology and Organizational Behavior, 4, pp. 473-499; Stanko, T.L., Beckman, C.M., Watching you watching me: Boundary control and capturing attention in the context of ubiquitous technology use (2015) Academy of Management Journal, 58 (3), pp. 712-738; Stanton, N.A., Thematic issue: Driving automation and autonomy (2019) Theoretical Issues in Ergonomics Science, 20, pp. 215-222; Sundararajan, A., (2016) The sharing economy: The end of employment and the rise of crowd-based capitalism, , Cambridge, MA, MIT Press; Tims, M., Bakker, A.B., Job crafting: Towards a new model of individual job redesign (2010) SA Journal of Industrial Psychology, 36 (2), pp. 1-9; Tomczak, D.L., Lanzo, L.A., Aguinis, H., Evidence-based recommendations for employee performance monitoring (2018) Business Horizons, 61 (2), pp. 251-259; Tripp, J.F., Riemenschneider, C., Thatcher, J.B., Job satisfaction in agile development teams: Agile development as work redesign (2016) Journal of the Association for Information Systems, 17 (4), p. 267; Trist, E.L., Bamforth, K.W., Some social and psychological consequences of the Longwall Method of coal-getting: An examination of the psychological situation and defences of a work group in relation to the social structure and technological content of the work system (1951) Human Relations, 4 (1), pp. 3-38; Vallas, S.P., Beck, J.P., The transformation of work revisited: The limits of flexibility in American manufacturing (1996) Social Problems, 43 (3), pp. 339-361; Vallor, S., Bekey, G.A., Artificial intelligence and the ethics of self-learning robots (2017) Robotics 2.0, , P. Lin, K. Abney, R. Jenkins, (Eds.),, New York, Oxford University Press; Venkatesh, V., Brown, S.A., Bala, H., Bridging the qualitative-quantitative divide: Guidelines for conducting mixed methods research in information systems (2013) MIS Quarterly, 37 (1), pp. 21-54; Wall, T.D., Clegg, C.W., Kemp, N.J., (1987) The human side of advanced manufacturing technology, , Chichester, Wiley-Blackwell; Wall, T.D., Corbett, J.M., Martin, R., Clegg, C.W., Jackson, P.R., Advanced manufacturing technology, work design, and performance: A change study (1990) Journal of Applied Psychology, 75 (6), p. 691; Wall, T.D., Cordery, J.L., Clegg, C.W., Empowerment, performance, and operational uncertainty: A theoretical integration (2002) Applied Psychology, 51 (1), pp. 146-169; Walsh, S.M., Strano, M.S., (2018) Robotic systems and autonomous platforms: Advances in materials and manufacturing, , Duxford, Woodhead Publishing; Wang, H., Demerouti, E., Bakker, A.B., A review of job-crafting research: The role of leader behaviors in cultivating successful job crafters (2016) Proactivity at work: Making things happen in organizations, pp. 95-122. , S.K. Parker, &amp;, U.K. Bindl, (Eds.),, New York, Routledge; Waschull, S., Bokhorst, J.A.C., Molleman, E., Wortmann, J.C., Work design in future industrial production: Transforming towards cyber-physical systems (2020) Computers &amp; Engineering, 139, p. 1056795; Waterson, P.E., Older Gray, M.T., Clegg, C., A sociotechnical method for designing work systems (2002) Human Factors, 44 (3), pp. 376-391; Waterson, P., Robertson, M.M., Cooke, N.J., Militello, L., Roth, E., Stanton, N.A., Defining the methodological challenges and opportunities for an effective science of sociotechnical systems and safety (2015) Ergonomics, 58 (4), pp. 565-599; Weiser, M., The computer for the 21st century (1991) Scientific American, 265 (3), pp. 94-105; Wessel, G., Altendorf, E., Schreck, C., Canpolat, Y., Flemisch, F., Cooperation and the role of autonomy in automated driving (2018) Control strategies for advnaced driver assistance systems and autonomous driving functions: Development, testing and verification, pp. 1-27. , H. Waschl, I. Kolmanovsky, F. Willems, (Eds.),, Cham, Springer; Wiener, E.L., Curry, R.E., Flight-deck automation: Promises and problems (1980) Ergonomics, 23 (10), pp. 995-1011; Wooldridge, A., The Icarus syndrome meets the wearable revolution (2015) Korn/Ferry Briefings on Talent and Leadership, pp. 27-33. , February 6); Wright, B.M., Cordery, J.L., Production uncertainty as a contextual moderator of employee reactions to job design (1999) Journal of Applied Psychology, 84 (3), p. 456; Wrzesniewski, A., Dutton, J.E., Crafting a job: Revisioning employees as active crafters of their work (2001) Academy of Management Review, 26 (2), pp. 179-201; Yoganarasimhan, H., The Value of Reputation in an Online Freelance Marketplace (2013) Marketing Science, 32 (6), pp. 860-891; Young, M.S., Stanton, N.A., What’s skill got to do with it? Vehicle automation and driver mental workload (2007) Ergonomics, 50 (8), pp. 1324-1339; Zammuto, R.F., Griffith, T.L., Majchrzak, A., Dougherty, D.J., Faraj, S., Information technology and the changing fabric of organization (2007) Organization Science, 18 (5), pp. 749-762; Zuboff, S., (1988) In the age of the smart machine: The future of work and power, , New York, Basic Books</t>
  </si>
  <si>
    <t>John Wiley and Sons Inc</t>
  </si>
  <si>
    <t>0269994X</t>
  </si>
  <si>
    <t>Appl. Psychol.</t>
  </si>
  <si>
    <t>2-s2.0-85079486546</t>
  </si>
  <si>
    <t>Automation, algorithms, and beyond: why work design matters more than ever in a digital world</t>
  </si>
  <si>
    <t>Salganik M.J., Lundberg I., Kindel A.T., Ahearn C.E., Al-Ghoneim K., Almaatouq A., Altschul D.M., Brand J.E., Carnegie N.B., Compton R.J., Datta D., Davidson T., Filippova A., Gilroy C., Goode B.J., Jahani E., Kashyap R., Kirchner A., McKay S., Morgan A.C., Pentland A., Polimis K., Raes L., Rigobon D.E., Roberts C.V., Stanescu D.M., Suhara Y., Usmani A., Wang E.H., Adem M., Alhajri A., AlShebli B., Amin R., Amos R.B., Argyle L.P., Baer-Bositis L., Büchi M., Chung B.-R., Eggert W., Faletto G., Fan Z., Freese J., Gadgil T., Gagné J., Gao Y., Halpern-Manners A., Hashim S.P., Hausen S., He G., Higuera K., Hogan B., Horwitz I.M., Hummel L.M., Jain N., Jin K., Jurgens D., Kaminski P., Karapetyan A., Kim E.H., Leizman B., Liu N., Möser M., Mack A.E., Mahajan M., Mandell N., Marahrens H., Mercado-Garcia D., Mocz V., Mueller-Gastell K., Musse A., Niu Q., Nowak W., Omidvar H., Or A., Ouyang K., Pinto K.M., Porter E., Porter K.E., Qian C., Rauf T., Sargsyan A., Schaffner T., Schnabel L., Schonfeld B., Sender B., Tang J.D., Tsurkov E., van Loon A., Varol O., Wang J., Wang F., Weissman S., Whitaker K., Wolters M.K., Woon W.L., Wang X., Wang Z., Wu J., Wu C., Yang K., Yin J., Zhao B., Zhu C., Brooks-Gunn J., Engelhardt B.E., Hardt M., Knox D., Levy K., Narayanan A., Stewart B.M., Watts D.J., McLanahan S.</t>
  </si>
  <si>
    <t>8242226400;57193689116;57194029646;57186548100;6508074244;55919105400;55565460900;14068347600;37050475600;57198377089;57224765756;57194447810;56531675000;57216336176;36547997400;55301247100;55639864400;37124071700;7102012883;56533115600;7102755925;57211230513;57193199672;57216334479;57216355473;57216350259;13908070300;57205701605;57216335929;57203893764;57194713232;14028095000;57216348507;57216342860;57189251565;57204969032;57188736818;57216339966;57216331653;57216349699;57216344397;57205865660;57216336524;57216350791;57216353687;24334594500;57216346082;57210906406;57679329400;57189969950;23396742200;57194072834;57216356165;57217496612;57215878924;55192842100;57211482814;56779753800;57216338808;57216342395;57216354477;57220660628;57216340541;57216330977;57203403080;57216334323;57189912446;57217952790;57212270558;56709489400;57216357263;57216340208;57203064276;56367245600;57216358083;25225924800;57069687300;57191621592;57216340608;57216331428;57216357556;56206027000;56071751000;57225037372;57216341104;57216333843;57216333848;57203743474;43262180700;57216359481;57216340543;57219301161;24774205600;25646765500;16178300500;57189071276;57216359330;57216336262;57216350882;57191913208;57216336061;57216358558;57216338635;7005457863;25635224600;24512337400;57208580025;57202613926;14034426100;55802499900;7201539502;7003850605;</t>
  </si>
  <si>
    <t>Measuring the predictability of life outcomes with a scientific mass collaboration</t>
  </si>
  <si>
    <t>Proceedings of the National Academy of Sciences of the United States of America</t>
  </si>
  <si>
    <t>117</t>
  </si>
  <si>
    <t>15</t>
  </si>
  <si>
    <t>8398</t>
  </si>
  <si>
    <t>8403</t>
  </si>
  <si>
    <t>10.1073/pnas.1915006117</t>
  </si>
  <si>
    <t>https://www.scopus.com/inward/record.uri?eid=2-s2.0-85083153846&amp;doi=10.1073%2fpnas.1915006117&amp;partnerID=40&amp;md5=6aa770bf1a619fbee69cb889894b11d5</t>
  </si>
  <si>
    <t>Department of Sociology, Princeton University, Princeton, NJ  08544, United States; Department of Sociology, University of California, Los Angeles, CA  90095, United States; Hawaz, Riyadh, 12363, Saudi Arabia; Sloan School of Management, Massachusetts Institute of Technology, Cambridge, MA  02142, United States; Media Lab, Massachusetts Institute of Technology, Cambridge, MA  02139, United States; Mental Health Data Science Scotland, Department of Psychology, University of Edinburgh, Edinburgh, EH8 9JZ, United Kingdom; Department of Statistics, University of California, Los Angeles, CA  90095, United States; Department of Mathematical Sciences, Montana State University, Bozeman, MT  59717, United States; Human Computer Interaction Lab, University of California, Santa Cruz, CA  95064, United States; Discovery Analytics Center, Virginia Polytechnic Institute, State University, Arlington, VA  22203, United States; Department of Sociology, Cornell University, Ithaca, NY  14853, United States; GitHub, San Francisco, CA  94107, United States; Department of Sociology, University of Washington, Seattle, WA  98105, United States; Social and Decision Analytics Laboratory, Fralin Life Sciences Institute, Virginia Polytechnic Institute, State University, Arlington, VA  22203, United States; Institute for Data, Systems and Society, Massachusetts Institute of Technology, Cambridge, MA  02139, United States; Department of Sociology, University of Oxford, Oxford, OX1 1JD, United Kingdom; Nuffield College, University of Oxford, Oxford, OX1 1NF, United Kingdom; School of Anthropology and Museum Ethnography, University of Oxford, Oxford, OX2 6PE, United Kingdom; Program for Research in Survey Methodology, Survey Research Division, RTI International, Research Triangle Park, NC  27709, United States; School of Social and Political Sciences, University of Lincoln, Brayford Pool, Lincoln, LN6 7TS, United Kingdom; Department of Computer Science, University of Colorado, Boulder, CO  80309, United States; Center for the Study of Demography and Ecology, University of Washington, Seattle, WA  98105, United States; Department of Economics, Tilburg School of Economics and Management, Tilburg University, Tilburg, 5037 AB, Netherlands; Department of Operations Research and Financial Engineering, Princeton University, Princeton, NJ  08544, United States; Department of Computer Science, Princeton University, Princeton, NJ  08544, United States; Department of Politics, Princeton University, Princeton, NJ  08544, United States; Department of Sociology, Harvard University, Cambridge, MA  02138, United States; Department of Sociology, Indiana University, Bloomington, IN  47405, United States; Department of Nuclear Science and Engineering, Massachusetts Institute of Technology, Cambridge, MA  02139, United States; Computational Social Science Lab, Social Science Division, New York University Abu Dhabi, Abu Dhabi, 129188, United Arab Emirates; Bendheim Center for Finance, Princeton University, Princeton, NJ  08544, United States; Department of Political Science, Brigham Young University, Provo, UT  84602, United States; Department of Sociology, Stanford University, Stanford, CA  94305, United States; Department of Communication and Media Research, University of Zurich, Zurich, ZH-8050, Switzerland; Center for Statistics and Machine Learning, Princeton University, Princeton, NJ  08544, United States; Department of Mechanical and Aerospace Engineering, Princeton University, Princeton, NJ  08544, United States; Statistics Group, Department of Data Sciences and Operations, Marshall School of Business, University of Southern California, Los Angeles, CA  90089, United States; Department of Statistics, Columbia University, New York, NY  10027, United States; Center for Data Science, New York University, New York, NY  10011, United States; Department of Industrial Engineering and Operations Research, Columbia University, New York, NY  10027, United States; Department of Molecular Biology, Princeton University, Princeton, NJ  08544, United States; Oxford Internet Institute, University of Oxford, Oxford, OX1 3JS, United Kingdom; Graduate School of Education, Stanford University, Stanford, CA  94305, United States; Department of Computer Science, Ohio State University, Columbus, OH  43210, United States; School of Information, University of Michigan, Ann Arbor, MI  48104, United States; Center for Complex Networks and Systems Research, Indiana University, Bloomington, IN  47405, United States; Department of Computer Science, Masdar Institute, Khalifa University, Abu Dhabi, 127788, United Arab Emirates; Research Institute for Mathematical Sciences, Kyoto University, Kyoto, 606-8502, Japan; Department of Astrophysical Sciences, Princeton University, Princeton, NJ  08544, United States; Department of Neuroscience, Princeton University, Princeton, NJ  08544, United States; Department of Electrical Engineering, Princeton University, Princeton, NJ  08544, United States; Dataiku, New York, NY  10010, United States; Department of Civil and Environmental Engineering, Princeton University, Princeton, NJ  08544, United States; Department of Sociology, California State University Dominguez Hills, Carson, CA  90747, United States; School of Media and Public Affairs, George Washington University, Washington, DC  20052, United States; Center for Data Insights, MDRC, Oakland, CA  94612, United States; Social Science Division, New York University Abu Dhabi, Abu Dhabi, 129188, United Arab Emirates; Department of Economics, Princeton University, Princeton, NJ  08544, United States; Center for Complex Network Research, Northeastern University, Networks Science Institute, Boston, MA  02115, United States; Luddy School of Informatics, Computing, and Engineering, Indiana University, Bloomington, IN  47408, United States; School of Social Work, David B. Falk College of Sport and Human Dynamics, Syracuse UniversityNY  13244, United States; School of Public Health, Indiana University, Bloomington, IN  47408, United States; Alan Turing Institute, London, NW1 2DB, United Kingdom; Department of Psychiatry, University of Cambridge, Cambridge, CB2 0SZ, United Kingdom; School of Informatics, University of Edinburgh, Edinburgh, EH8 9AB, United Kingdom; Department of Marketplaces and Yield Data Science, Expedia Group, Seattle, WA  98119, United States; Department of the Applied Statistics, Social Science, and Humanities, New York University, New York, NY  10003, United States; Department of Engineering, University of Cambridge, Cambridge, CB2 1PZ, United Kingdom; Department of Human Development, Teachers College, Columbia University, New York, NY  10027, United States; Department of Pediatrics, Vagelos College of Physicians and Surgeons, Columbia University, New York, NY  10032, United States; Department of Electrical Engineering and Computer Sciences, University of California, Berkeley, CA  94720, United States; Department of Information Science, Cornell University, Ithaca, NY  14853, United States; Department of Computer and Information Science, University of Pennsylvania, Philadelphia, PA  19104, United States; Annenberg School of Communication, University of Pennsylvania, Philadelphia, PA  19104, United States; Operations, Information and Decisions Department, University of Pennsylvania, Philadelphia, PA  19104, United States</t>
  </si>
  <si>
    <t>Salganik, M.J., Department of Sociology, Princeton University, Princeton, NJ  08544, United States; Lundberg, I., Department of Sociology, Princeton University, Princeton, NJ  08544, United States; Kindel, A.T., Department of Sociology, Princeton University, Princeton, NJ  08544, United States; Ahearn, C.E., Department of Sociology, University of California, Los Angeles, CA  90095, United States; Al-Ghoneim, K., Hawaz, Riyadh, 12363, Saudi Arabia; Almaatouq, A., Sloan School of Management, Massachusetts Institute of Technology, Cambridge, MA  02142, United States, Media Lab, Massachusetts Institute of Technology, Cambridge, MA  02139, United States; Altschul, D.M., Mental Health Data Science Scotland, Department of Psychology, University of Edinburgh, Edinburgh, EH8 9JZ, United Kingdom; Brand, J.E., Department of Sociology, University of California, Los Angeles, CA  90095, United States, Department of Statistics, University of California, Los Angeles, CA  90095, United States; Carnegie, N.B., Department of Mathematical Sciences, Montana State University, Bozeman, MT  59717, United States; Compton, R.J., Human Computer Interaction Lab, University of California, Santa Cruz, CA  95064, United States; Datta, D., Discovery Analytics Center, Virginia Polytechnic Institute, State University, Arlington, VA  22203, United States; Davidson, T., Department of Sociology, Cornell University, Ithaca, NY  14853, United States; Filippova, A., GitHub, San Francisco, CA  94107, United States; Gilroy, C., Department of Sociology, University of Washington, Seattle, WA  98105, United States; Goode, B.J., Social and Decision Analytics Laboratory, Fralin Life Sciences Institute, Virginia Polytechnic Institute, State University, Arlington, VA  22203, United States; Jahani, E., Institute for Data, Systems and Society, Massachusetts Institute of Technology, Cambridge, MA  02139, United States; Kashyap, R., Department of Sociology, University of Oxford, Oxford, OX1 1JD, United Kingdom, Nuffield College, University of Oxford, Oxford, OX1 1NF, United Kingdom, School of Anthropology and Museum Ethnography, University of Oxford, Oxford, OX2 6PE, United Kingdom; Kirchner, A., Program for Research in Survey Methodology, Survey Research Division, RTI International, Research Triangle Park, NC  27709, United States; McKay, S., School of Social and Political Sciences, University of Lincoln, Brayford Pool, Lincoln, LN6 7TS, United Kingdom; Morgan, A.C., Department of Computer Science, University of Colorado, Boulder, CO  80309, United States; Pentland, A., Media Lab, Massachusetts Institute of Technology, Cambridge, MA  02139, United States; Polimis, K., Center for the Study of Demography and Ecology, University of Washington, Seattle, WA  98105, United States; Raes, L., Department of Economics, Tilburg School of Economics and Management, Tilburg University, Tilburg, 5037 AB, Netherlands; Rigobon, D.E., Department of Operations Research and Financial Engineering, Princeton University, Princeton, NJ  08544, United States; Roberts, C.V., Department of Computer Science, Princeton University, Princeton, NJ  08544, United States; Stanescu, D.M., Department of Politics, Princeton University, Princeton, NJ  08544, United States; Suhara, Y., Media Lab, Massachusetts Institute of Technology, Cambridge, MA  02139, United States; Usmani, A., Department of Sociology, Harvard University, Cambridge, MA  02138, United States; Wang, E.H., Department of Politics, Princeton University, Princeton, NJ  08544, United States; Adem, M., Department of Sociology, Indiana University, Bloomington, IN  47405, United States; Alhajri, A., Department of Nuclear Science and Engineering, Massachusetts Institute of Technology, Cambridge, MA  02139, United States; AlShebli, B., Computational Social Science Lab, Social Science Division, New York University Abu Dhabi, Abu Dhabi, 129188, United Arab Emirates; Amin, R., Bendheim Center for Finance, Princeton University, Princeton, NJ  08544, United States; Amos, R.B., Department of Computer Science, Princeton University, Princeton, NJ  08544, United States; Argyle, L.P., Department of Political Science, Brigham Young University, Provo, UT  84602, United States; Baer-Bositis, L., Department of Sociology, Stanford University, Stanford, CA  94305, United States; Büchi, M., Department of Communication and Media Research, University of Zurich, Zurich, ZH-8050, Switzerland; Chung, B.-R., Center for Statistics and Machine Learning, Princeton University, Princeton, NJ  08544, United States; Eggert, W., Department of Mechanical and Aerospace Engineering, Princeton University, Princeton, NJ  08544, United States; Faletto, G., Statistics Group, Department of Data Sciences and Operations, Marshall School of Business, University of Southern California, Los Angeles, CA  90089, United States; Fan, Z., Department of Statistics, Columbia University, New York, NY  10027, United States; Freese, J., Department of Sociology, Stanford University, Stanford, CA  94305, United States; Gadgil, T., Center for Data Science, New York University, New York, NY  10011, United States; Gagné, J., Department of Sociology, Stanford University, Stanford, CA  94305, United States; Gao, Y., Department of Industrial Engineering and Operations Research, Columbia University, New York, NY  10027, United States; Halpern-Manners, A., Department of Sociology, Indiana University, Bloomington, IN  47405, United States; Hashim, S.P., Department of Computer Science, Princeton University, Princeton, NJ  08544, United States; Hausen, S., Department of Sociology, Stanford University, Stanford, CA  94305, United States; He, G., Department of Molecular Biology, Princeton University, Princeton, NJ  08544, United States; Higuera, K., Department of Sociology, Stanford University, Stanford, CA  94305, United States; Hogan, B., Oxford Internet Institute, University of Oxford, Oxford, OX1 3JS, United Kingdom; Horwitz, I.M., Graduate School of Education, Stanford University, Stanford, CA  94305, United States; Hummel, L.M., Department of Sociology, Stanford University, Stanford, CA  94305, United States; Jain, N., Department of Operations Research and Financial Engineering, Princeton University, Princeton, NJ  08544, United States; Jin, K., Department of Computer Science, Ohio State University, Columbus, OH  43210, United States; Jurgens, D., School of Information, University of Michigan, Ann Arbor, MI  48104, United States; Kaminski, P., Department of Sociology, Indiana University, Bloomington, IN  47405, United States, Center for Complex Networks and Systems Research, Indiana University, Bloomington, IN  47405, United States; Karapetyan, A., Department of Computer Science, Masdar Institute, Khalifa University, Abu Dhabi, 127788, United Arab Emirates, Research Institute for Mathematical Sciences, Kyoto University, Kyoto, 606-8502, Japan; Kim, E.H., Department of Sociology, Stanford University, Stanford, CA  94305, United States; Leizman, B., Department of Computer Science, Princeton University, Princeton, NJ  08544, United States; Liu, N., Department of Politics, Princeton University, Princeton, NJ  08544, United States; Möser, M., Department of Computer Science, Princeton University, Princeton, NJ  08544, United States; Mack, A.E., Department of Politics, Princeton University, Princeton, NJ  08544, United States; Mahajan, M., Department of Computer Science, Princeton University, Princeton, NJ  08544, United States; Mandell, N., Department of Astrophysical Sciences, Princeton University, Princeton, NJ  08544, United States; Marahrens, H., Department of Sociology, Indiana University, Bloomington, IN  47405, United States; Mercado-Garcia, D., Graduate School of Education, Stanford University, Stanford, CA  94305, United States; Mocz, V., Department of Neuroscience, Princeton University, Princeton, NJ  08544, United States; Mueller-Gastell, K., Department of Sociology, Stanford University, Stanford, CA  94305, United States; Musse, A., Department of Electrical Engineering, Princeton University, Princeton, NJ  08544, United States; Niu, Q., Bendheim Center for Finance, Princeton University, Princeton, NJ  08544, United States; Nowak, W., Dataiku, New York, NY  10010, United States; Omidvar, H., Department of Civil and Environmental Engineering, Princeton University, Princeton, NJ  08544, United States; Or, A., Department of Computer Science, Princeton University, Princeton, NJ  08544, United States; Ouyang, K., Department of Computer Science, Princeton University, Princeton, NJ  08544, United States; Pinto, K.M., Department of Sociology, California State University Dominguez Hills, Carson, CA  90747, United States; Porter, E., School of Media and Public Affairs, George Washington University, Washington, DC  20052, United States; Porter, K.E., Center for Data Insights, MDRC, Oakland, CA  94612, United States; Qian, C., Department of Computer Science, Princeton University, Princeton, NJ  08544, United States; Rauf, T., Department of Sociology, Stanford University, Stanford, CA  94305, United States; Sargsyan, A., Social Science Division, New York University Abu Dhabi, Abu Dhabi, 129188, United Arab Emirates; Schaffner, T., Department of Computer Science, Princeton University, Princeton, NJ  08544, United States; Schnabel, L., Department of Sociology, Stanford University, Stanford, CA  94305, United States; Schonfeld, B., Department of Politics, Princeton University, Princeton, NJ  08544, United States; Sender, B., Department of Economics, Princeton University, Princeton, NJ  08544, United States; Tang, J.D., Department of Computer Science, Princeton University, Princeton, NJ  08544, United States; Tsurkov, E., Department of Sociology, Stanford University, Stanford, CA  94305, United States; van Loon, A., Department of Sociology, Stanford University, Stanford, CA  94305, United States; Varol, O., Center for Complex Network Research, Northeastern University, Networks Science Institute, Boston, MA  02115, United States, Luddy School of Informatics, Computing, and Engineering, Indiana University, Bloomington, IN  47408, United States; Wang, J., Department of Computer Science, Princeton University, Princeton, NJ  08544, United States; Wang, F., Department of Economics, Princeton University, Princeton, NJ  08544, United States; Weissman, S., Department of Computer Science, Princeton University, Princeton, NJ  08544, United States; Whitaker, K., Alan Turing Institute, London, NW1 2DB, United Kingdom, Department of Psychiatry, University of Cambridge, Cambridge, CB2 0SZ, United Kingdom; Wolters, M.K., School of Informatics, University of Edinburgh, Edinburgh, EH8 9AB, United Kingdom; Woon, W.L., Department of Marketplaces and Yield Data Science, Expedia Group, Seattle, WA  98119, United States; Wang, X., School of Social Work, David B. Falk College of Sport and Human Dynamics, Syracuse UniversityNY  13244, United States; Wang, Z., Luddy School of Informatics, Computing, and Engineering, Indiana University, Bloomington, IN  47408, United States, School of Public Health, Indiana University, Bloomington, IN  47408, United States; Wu, J., Department of the Applied Statistics, Social Science, and Humanities, New York University, New York, NY  10003, United States; Wu, C., Department of Computer Science, Princeton University, Princeton, NJ  08544, United States; Yang, K., Department of Civil and Environmental Engineering, Princeton University, Princeton, NJ  08544, United States; Yin, J., Department of Statistics, Columbia University, New York, NY  10027, United States; Zhao, B., Department of Engineering, University of Cambridge, Cambridge, CB2 1PZ, United Kingdom; Zhu, C., Department of Statistics, Columbia University, New York, NY  10027, United States; Brooks-Gunn, J., Department of Human Development, Teachers College, Columbia University, New York, NY  10027, United States, Department of Pediatrics, Vagelos College of Physicians and Surgeons, Columbia University, New York, NY  10032, United States; Engelhardt, B.E., Department of Computer Science, Princeton University, Princeton, NJ  08544, United States, Center for Statistics and Machine Learning, Princeton University, Princeton, NJ  08544, United States; Hardt, M., Department of Electrical Engineering and Computer Sciences, University of California, Berkeley, CA  94720, United States; Knox, D., Department of Politics, Princeton University, Princeton, NJ  08544, United States; Levy, K., Department of Information Science, Cornell University, Ithaca, NY  14853, United States; Narayanan, A., Department of Computer Science, Princeton University, Princeton, NJ  08544, United States; Stewart, B.M., Department of Sociology, Princeton University, Princeton, NJ  08544, United States; Watts, D.J., Department of Computer and Information Science, University of Pennsylvania, Philadelphia, PA  19104, United States, Annenberg School of Communication, University of Pennsylvania, Philadelphia, PA  19104, United States, Operations, Information and Decisions Department, University of Pennsylvania, Philadelphia, PA  19104, United States; McLanahan, S., Department of Sociology, Princeton University, Princeton, NJ  08544, United States</t>
  </si>
  <si>
    <t>How predictable are life trajectories? We investigated this question with a scientific mass collaboration using the common task method; 160 teams built predictive models for six life outcomes using data from the Fragile Families and Child Wellbeing Study, a high-quality birth cohort study. Despite using a rich dataset and applying machine-learning methods optimized for prediction, the best predictions were not very accurate and were only slightly better than those from a simple benchmark model. Within each outcome, prediction error was strongly associated with the family being predicted and weakly associated with the technique used to generate the prediction. Overall, these results suggest practical limits to the predictability of life outcomes in some settings and illustrate the value of mass collaborations in the social sciences. © This open access article is distributed under Creative Commons Attribution-NonCommercialNoDerivatives License 4.0 (CC BY-NC-ND).</t>
  </si>
  <si>
    <t>Life course; Machine learning; Mass collaboration; Prediction</t>
  </si>
  <si>
    <t>article; child; cohort analysis; female; human; machine learning; male; prediction; sociology; wellbeing; adolescent; family; infant; life; machine learning; predictive value; preschool child; procedures; Adolescent; Child; Child, Preschool; Cohort Studies; Family; Female; Humans; Infant; Life; Machine Learning; Male; Predictive Value of Tests; Social Sciences</t>
  </si>
  <si>
    <t>Kleinberg, J., Ludwig, J., Mullainathan, S., Obermeyer, Z., Prediction policy problems (2015) Am. Econ. Rev., 105, pp. 491-495; Athey, S., Beyond prediction: Using big data for policy problems (2017) Science, 355, pp. 483-485; Blau, P.M., Duncan, O.D., (1967) The American Occupational Structure, , John Wiley and Sons; Chetty, R., Hendren, N., Kline, P., Saez, E., Where is the land of opportunity? The geography of intergenerational mobility in the United States (2014) Q. J. Econ., 129, pp. 1553-1623; Feuerverger, A., He, Y., Khatri, S., Statistical significance of the Netflix challenge (2012) Stat. Sci., pp. 202-231; Donoho, D., 50 years of data science (2017) J. Comput. Graph Stat., 26, pp. 745-766; Hastie, T., Tibshirani, R., Friedman, J., (2009) The Elements of Statistical Learning: Data Mining, Inference, and Prediction, , Springer Science &amp; Business Media; Hofman, J.M., Sharma, A., Watts, D.J., Prediction and explanation in social systems (2017) Science, 355, pp. 486-488; Reichman, N.E., Teitler, J.O., Garfinkel, I., McLanahan, S.S., Fragile families: Sample and design (2001) Child. Youth Serv. Rev., 23, pp. 303-326; Fragile Families &amp; Child Wellbeing Study, Fragile Families Publication Search, , https://ffpubs.princeton.edu/, Accessed 29 February 2020; Lundberg, I., Narayanan, A., Levy, K., Salganik, M.J., (2018) Privacy, Ethics, and Data Access: A Case Study of the Fragile Families Challenge, , 1 September; Mullainathan, S., Spiess, J., Machine learning: An applied econometric approach (2017) J. Econ. Perspect., 31, pp. 87-106; Molina, M., Garip, F., Machine learning for sociology (2019) Annu. Rev. Sociol., 45, pp. 27-45; Blum, A., Hardt, M., The ladder: A reliable leaderboard for machine learning competitions (2015) Proceedings of the 32nd International Conference on Machine Learning F, 37, pp. 1006-1014. , Bach, D. Blei, Eds. Proceedings of Machine Learning Research; Watts, D.J., Common sense and sociological explanations (2014) Am. J. Sociol., 120, pp. 313-351; Oliver, M., Shapiro, T., (2013) Black Wealth/White Wealth: A New Perspective on Racial Inequality, , Routledge; Alley, R.B., Emanuel, K.A., Zhang, F., Advances in weather prediction (2019) Science, 363, pp. 342-344; Malkiel, B.G., The efficient market hypothesis and its critics (2003) J. Econ. Perspect., 17, pp. 59-82; Salganik, M.J., Dodds, P.S., Watts, D.J., Experimental study of inequality and unpredictability in an artificial cultural market (2006) Science, 311, pp. 854-856; Martin, T., Hofman, J.M., Sharma, A., Anderson, A., Watts, D.J., Exploring limits to prediction in complex social systems (2016) Proceedings of the 25th International Conference on World Wide Web, pp. 683-694. , International World Wide Web Conferences Steering Committee; Cederman, L.E., Weidmann, N.B., Predicting armed conflict: Time to adjust our expectations? (2017) Science, 355, pp. 474-476; Risi, J., Sharma, A., Shah, R., Connelly, M., Watts, D.J., Predicting history (2019) Nat. Hum. Behav., 3, pp. 906-912; Kleinberg, J., Lakkaraju, H., Leskovec, J., Ludwig, J., Mullainathan, S., Human decisions and machine predictions (2017) Q. J. Econ., 133, pp. 237-293; Chouldechova, A., Benavides-Prado, D., Fialko, O., Vaithianathan, R., A case study of algorithm-assisted decision making in child maltreatment hotline screening decisions (2018) Proceedings of the 1st Conference on Fairness, Accountability and Transparency, 81, pp. 134-148. , S. A. Friedler, C. Wilson, Eds. Proceedings of Machine Learning Research; Barocas, S., Selbst, A.D., Big data's disparate impact (2016) Calif. Law Rev., 104, pp. 671-732; Rudin, C., Stop explaining black box machine learning models for high stakes decisions and use interpretable models instead (2019) Nat. Mach. Intell., 1, pp. 206-215; Hand, D.J., Classifier technology and the illusion of progress (2006) Stat. Sci., 21, pp. 1-14; Dawes, R.M., Faust, D., Meehl, P.E., Clinical versus actuarial judgment (1989) Science, 243, pp. 1668-1674; Salganik, M., (2018) Bit by Bit: Social Research in the Digital Age, , Princeton University Press; Estimating the reproducibility of psychological science (2015) Science, 349, p. aac4716; Tetlock, P.E., Mellers, B.A., Scoblic, J.P., Bringing probability judgments into policy debates via forecasting tournaments (2017) Science, 355, pp. 481-483</t>
  </si>
  <si>
    <t>National Academy of Sciences</t>
  </si>
  <si>
    <t>00278424</t>
  </si>
  <si>
    <t>PNASA</t>
  </si>
  <si>
    <t>Proc. Natl. Acad. Sci. U. S. A.</t>
  </si>
  <si>
    <t>All Open Access, Hybrid Gold, Green</t>
  </si>
  <si>
    <t>2-s2.0-85083153846</t>
  </si>
  <si>
    <t>Timmis S., Broadfoot P., Sutherland R., Oldfield A.</t>
  </si>
  <si>
    <t>36656307600;6602141339;7402351518;57021522700;</t>
  </si>
  <si>
    <t>Rethinking assessment in a digital age: opportunities, challenges and risks</t>
  </si>
  <si>
    <t>British Educational Research Journal</t>
  </si>
  <si>
    <t>42</t>
  </si>
  <si>
    <t>454</t>
  </si>
  <si>
    <t>476</t>
  </si>
  <si>
    <t>10.1002/berj.3215</t>
  </si>
  <si>
    <t>https://www.scopus.com/inward/record.uri?eid=2-s2.0-84951858478&amp;doi=10.1002%2fberj.3215&amp;partnerID=40&amp;md5=eb8fd4d12c3d0ee1faaf1b4f828c452a</t>
  </si>
  <si>
    <t>Graduate School of Education, University of Bristol, Bristol, United Kingdom</t>
  </si>
  <si>
    <t>Timmis, S., Graduate School of Education, University of Bristol, Bristol, United Kingdom; Broadfoot, P., Graduate School of Education, University of Bristol, Bristol, United Kingdom; Sutherland, R., Graduate School of Education, University of Bristol, Bristol, United Kingdom; Oldfield, A., Graduate School of Education, University of Bristol, Bristol, United Kingdom</t>
  </si>
  <si>
    <t>While it is frequently argued that assessment sits at the heart of the learning process, in practice assessment often remains narrowly focused on qualifications and reporting achievements, driven by institutional and societal aspirations and tensions such as accountability and economic well being. Yet, the need for assessment to account for the knowledge, skills, dispositions and attitudes necessary to equip young people for a changing and increasingly digital world is also increasingly acknowledged. Based on our recent research review, this article critically examines the role of technology enhanced assessment (or TEA). We argue that while technology offers many potentially creative opportunities for innovation and for rethinking assessment purposes, there are also numerous risks and challenges. In particular we highlight ethical concerns over social exclusion and new forms of digital dividedness and the increasing risks associated with big data and the rise of learning analytics. Finally, we note that much research and innovation happens in silos, where policy, research and practice on assessment, technology enhanced assessment and ethical and political concerns are not linked up. We conclude that there needs to be a much more wide-ranging, critical and nuanced discussion in educational and policy circles so that debates about the potential of technology can be linked to improving assessment in the light of the range of social and political challenges that such progress presents. We end with some critical questions for policy, practice and research communities, which we offer as a starting point for future thinking and ways forward. © 2015 British Educational Research Association</t>
  </si>
  <si>
    <t>collaboration; digital literacies; e-assessment; ethics; formative/summative; inclusion; learning analytics</t>
  </si>
  <si>
    <t>Attwood, R., Radnofsky, L., Satisfied—but students want more feedback (2007) Times Higher Education, , https://www.timeshighereducation.com/news/satisfied-but-students-want-more-feedback/310440, 14 September. Available online at, (accessed 25 September 2015); Baillie, S., Crossan, A., Brewster, S., May, S., Mellor, D., Evaluating an automated haptic simulator designed for veterinary students to learn bovine rectal palpation (2010) Simulation in Healthcare, 5 (5), pp. 261-266; Baillie, S., Mellor, D., Brewster, S., Reid, S.W.J., Integrating a bovine rectal palpation simulator into an undergraduate veterinary curriculum (2005) Journal of Veterinary Medical Education, 32 (1), pp. 85-91; Barab, S., Dodge, T., Tuzun, H., Job-Sluder, K., Jackson, C., Arici, A., Job-Sluder, L., Heiselt, C., The Quest Atlantis Project: A socially responsive play space for learning (2007) The Educational Design and Use of Simulation Computer Games, pp. 159-186. , in, B. E. Shelton, D. Wiley, (Eds), Rotterdam, Sense Publishers; Barbera, E., Mutual feedback in e-portfolio assessment: An approach to the netfolio system (2009) British Journal of Educational Technology, 40 (2), pp. 342-357; Barton, M.D., Heiman, J.R., Process, product, and potential: The archaeological assessment of collaborative, wiki-based student projects in the technical communication classroom (2012) Technical Communication Quarterly, 21, pp. 46-60; Bayne, S., What's the matter with ‘technology-enhanced learning’? (2015) Learning, Media and Technology, 40 (1), pp. 5-20; (2007) Impact study of e-portfolios on learning. A Becta report, , http://www.teachfind.com/becta/becta-research-research-reports-and-publications-impact-e-portfolios-learning, Available online at, (accessed 25 September 2015); (2008) Harnessing technology Report 2, , http://dera.ioe.ac.uk/1550/1/becta_2008_htssdata_report.pdf, Available online at, (accessed 25 September 2015); What can e-assessment do for learning and teaching? Part 1 of a draft of current and emerging practice review by the e-Assessment Association expert panel (2011) International Journal of e-Assessment, 1 (2). , Beevers, C., (Ed.); Bennett, R.E., (2008) Technology for large-scale assessment, , (, Princeton, NJ, Educational Testing Service; Bennett, S., Barker, T., The use of electronic voting and peer assessment to encourage the development of higher order thinking skills in learners (2012) International Journal of e-Assessment, 2 (1); Black, P., Wiliam, D., King's College London School of Education (1998) Inside the black box: Raising standards through classroom assessment; Black, P., Wiliam, D., Assessment for learning in the classroom (2006) Assessment and learning, , in, J. Gardner, (Ed.), London, Sage; Blin, F., Munro, M., Why hasn't technology disrupted academics' teaching practices? Understanding resistance to change through the lens of activity theory (2008) Computers and Education, 50 (2), pp. 475-490; Bonderup Dohn, N., Web 2.0: Inherent tensions and evident challenges for education (2009) International Journal of Computer-Supported Collaborative Learning, 4 (3), pp. 343-363; Boud, D., Falchikov, N., (2007) Rethinking assessment in higher education: Learning for the longer term, , London, Routledge; (2013) Feedback in higher and professional education. Understanding it and doing it well, , Boud, D., Molloy, E., (Eds) (, Abingdon, Oxon, Routledge; Boyd, D., White flight in networked publics? How race and class shaped American teen engagement with MySpace and Facebook (2011) White race after the Internet, pp. 203-222. , www.danah.org/papers/2011/WhiteFlight.pdf, in, L. Nakamura, P. Chow, (Eds), Abingdon, Oxon, Routledge, Available online at, (accessed 25 September 2015); Broadfoot, P., (2007) An introduction to assessment, , London, Continuum; Buckingham, D., (2013) Beyond technology: Children's learning in the age of digital culture, , Chichester, John Wiley; Buckingham Shum, S., (2012) Our learning analytics are our pedagogy, Keynote address presented at the Expanding Horizons 2012 Conference, Macquarie University, , http://www.slideshare.net/sbs/ourlearning-analytics-are-our-pedagogy, Available online at, (accessed 25 September 2015); Bull, J., Danson, M., (2004) Computer assisted assessment (CAA), , York, Learning and Teaching Support Network; Claxton, G., Expanding young people's capacity to learn (2007) British Journal of Educational Studies, 55 (2), pp. 115-134; Claxton, G., Cultivating positive learning dispositions (2009) Educational theories, cultures and learning: A critical perspective, , in, H. Daniels, H. Lauder, J. Porter, (Eds), London, Routledge; Coulby, C., Laxton, J., Boomer, S., Davies, N., Murphy, K., Mobile technology and assessment—a case study from the ALPS programme (2010) Work-based mobile learning: concepts and cases. A handbook for academics and practitioners, , in, N. Pachler, C. Pimmer, J. Seipold, (Eds), Oxford, Peter Lang; Dawson, S., ‘Seeing’ the learning community: An exploration of the development of a resource for monitoring online student networking (2010) British Journal of Educational Technology, 41 (5), pp. 736-752; De Alfaro, L., Shavlovsky, M., (2013) CrowdGrader: A tool for crowdsourcing the evaluation of homework assignments, , http://escholarship.org/uc/item/5ds8139g, University of California – Santa Cruz. Available online at, (accessed 25 September 2015); Deneen, C., Boud, D., Patterns of resistance in managing assessment change (2014) Assessment &amp; Evaluation in Higher Education, 39 (5), pp. 577-591; Draper, S., Catalytic assessment: Understanding how MCQs and EVS can foster deep learning (2009) British Journal of Educational Technology, 40 (2), pp. 285-293; Draper, S., What are learners actually regulating when giving feedback? (2009) British Journal of Educational Technology, 40 (2), pp. 306-315; Durose, C., Beebeejaun, Y., Rees, J., Richardson, J., Richardson, L., (2011) Towards co-production in research with communities, AHRC Connected Communities Programme Scoping Studies, , London, AHRC; A report for the Education, Audiovisual and Culture Executive Agency (2009) National testing of pupils in Europe: Objectives, organisation and use of results, , Brussels, Eurydice; Facer, K., (2011) Learning futures: Education, technology and social change, , Abingdon, Oxon, Routledge; Facer, K., Taking the 21st century seriously: Young people, education and socio-technical futures (2012) Oxford Review of Education, 38 (1), pp. 97-113; Falchikov, N., Goldfinch, J., Student peer assessment in higher education: A metaanalysis comparing peer and teacher marks (2000) Review of Educational Research, 70 (3), pp. 287-323; Ferguson, R., Technical Report KMI-12-01 (2012) The state of learning analytics in 2012: A review and future challenges, , http://kmi.open.ac.uk/publications/techreport/kmi-12-01, Knowledge Media Institute (Milton Keynes, The Open University). Available online at, (accessed 25 September 2015); Ferrell, G., A JISC report (2012) A view of the assessment and feedback landscape: Baseline analysis of policy and practice from the JISC Assessment &amp; Feedback programme, , http://www.jisc.ac.uk, Available online at, (accessed 25 September 2015); Foley, B., Goldstein, H., (2012) Measuring success: League tables in the public sector, , London, British Academy; Garrett, N., An eportfolio design supporting ownership, social learning, and ease of use (2011) Educational Technology &amp; Society, 14 (1), pp. 187-202; Gatten, E., Arm our children with media studies (2010) The Guardian, , http://www.theguardian.com/commentisfree/2010/apr/16/children-media-studies, 16 April 2010. Available online at, (accessed 25 September 2015); Gee, J.P., Shaffer, D.W., Looking where the light is bad: Video games and the future of assessment (2010) Edge: The Latest Information for the Education Practitioner, 6 (1), pp. 3-19; Hamer, J., Kell, C., Spence, F., Conferences in Research and Practice in Information Technology (CRPIT) (2007) Peer assessment using Aropä, paper presented at the Ninth Australasian Computing Education Conference (ACE2007), 66. , Ballarat, Victoria, Australia, February 2007, (Sydney, CRPIT); Hancock, T.M., Use of audience response systems for summative assessment in large classes (2010) Australasian Journal of Educational Technology, 26 (2), pp. 226-237; Hattie, J., Brown, G.T.L., Technology for school-based assessment and assessment for learning: Development principles from New Zealand (2008) Journal of Educational Technology Systems, 36 (2), pp. 189-201; Hattie, J., Timperley, H., The power of feedback (2007) Review of Educational Research, 77 (1), pp. 81-112; Hendry, E., Duke Professor Uses ‘Crowdsourcing’ to Grade (2009) The Chronicle of Higher Education, , http://chronicle.com/blogs/wiredcampus/duke-professor-uses-crowdsourcing-to-grade/7538, 30 July 2009. Available online at, (accessed 25 September 2015); Hickey, D.T., Ingram-Goble, A.A., Jameson, E.M., Designing assessments and assessing designs in virtual educational environments (2009) Journal of Science Education and Technology, 18 (2), pp. 187-208; Honey, M., Fasca, C., Gersick, A., Mandinach, E., Sinha, S., A Partnership for 21st Century Skills report (2005) Assessment of 21st Century Skills: The Current Landscape, , http://acrn.ovae.org/counselortk/docs/Assessment%20of%2021st%20Century%20Skills.pdf, Available online at, (accessed 25 September 2015); Hughes, G., Social software: New opportunities for challenging social inequalities in learning? (2009) Learning, Media and Technology, 34 (4), pp. 291-305; Hutchinson, C., Hayward, L., The journey so far: Assessment for learning in Scotland (2005) Curriculum Journal, 16 (2), pp. 225-248; James, D., Investigating the curriculum through assessment practice in higher education: The value of a ‘learning cultures’ approach (2014) Higher Education, 67 (2), pp. 155-169; Jenkins, H., Clinton, K., Purushotma, R., Robison, A.J., Weigel, M., A MacArthur Foundation report (2006) Confronting the challenges of participatory culture: Media education for the 21st century, , https://www.macfound.org/press/publications/white-paper-confronting-the-challenges-of-participatory-culture-media-education-for-the-21st-century-by-henry-jenkins/, Available online at, (accessed 25 September 2015); Jones, C., The digital university: A concept in need of definition (2013) Literacy in the digital university: Critical perspectives on learning, scholarship, and technology, pp. 162-172. , in, R. Goodfellow, M. Lea, (Eds), Abingdon, Oxon, Routledge; Levin, D., Fletcher, G., Chau, Y., (2011) Technology requirements for large-scale computer-based and online assessment: Current status and issues, , http://www.setda.org/wp-content/uploads/2014/03/large-scale_techrequirements_june22_combined.pdf, Washington, DC, State Educational Technology Directors Association (SETDA), ]. Available online at, (accessed 25 September 2015); Losh, L., (2012) Learning from failure: Feminist dialogues on technology, , http://dmlcentral.net/learning-from-failure-feminist-dialogues-on-technology-part-ii/, Part II. A blog post. Available online at, (accessed 25 September 2015); Mansell, W., Why hasn't e-assessment arrived more quickly? (2009) The Guardian, , http://www.guardian.co.uk/education/2009/jul/21/online-exams-schools, 21 July 2009. Available online at, (accessed 25 September 2015); McAlpine, M., Collaborative assessment and the assessment of collaboration (2012) International Journal of e-Assessment, 2 (2); Metcalf, S., Dede, C., Grotzer, T., Kamarainen, A., (2010) EcoMUVE: Design of virtual environments to address science learning goals, paper presented at the American Educational Research Association (AERA) Conference, , Denver, CO, May 2010; Mogey, N., What is it that is really acting as a barrier to widespread use of summative e-assessment in UK higher education? (2011) International Journal of e-Assessment, 1 (1); Morris, A., (2011) Student standardised testing: Current practices in OECD countries and a literature review, , OECD Education Working Paper 65; Nicol, D., Macfarlane-Dick, D., Formative assessment and self-regulated learning: A model and seven principles of good feedback practice (2006) Studies in Higher Education, 31 (2), pp. 199-218; Oldfield, A., Broadfoot, P., Sutherland, R., Timmis, S., Graduate School of Education (2012) Assessment in a digital age: a research review, , http://www.bristol.ac.uk/education/research/sites/tea/publications/index.html, University of Bristol, Available online at, (accessed 25 September 2015); Pellegrino, J.W., Quellmalz, E.S., Perspectives on the integration of technology and assessment (2010) Journal of Research on Technology in Education, 43 (2), pp. 119-134; Prins, F.J., Sluijsmans, D.M.A., Kirschner, P.A., Strijbos, J., Formative peer assessment in a CSCL environment: A case study (2005) Assessment &amp; Evaluation in Higher Education, 30 (4), pp. 417-444; (2004) Blueprint for e-assessment, , http://webarchive.nationalarchives.gov.uk/20080602144057/http://www.qca.org.uk/qca_5412.aspx, Available online at, (accessed 25 September 2015); Quellmalz, E.S., Davenport, J., Timms, M., (2012) 21st century science assessments, , http://simscientist.org/downloads/AAAS_2012_Quellmalz.pdf, Working Paper (San Francisco, WestEd). Available online at, (accessed 25 September 2015); Quellmalz, E.S., Pellegrino, J.W., Technology and testing (2009) Science, 323, pp. 75-79; Reimers, F.M., (2013) Assessing global education: An opportunity for the OECD, , http://www.oecd.org/pisa/pisaproducts/Global-Competency.pdf, Paris, OECD). Available online at, (accessed 25 September 2015); Ripley, M., (2007) E-assessment—an update on research, policy and practice: Report 10 update, , http://archive.futurelab.org.uk/resources/publications-reports-articles/literature-reviews/Literature-Review204, Bristol, Futurelab). Available online at, (accessed 25 September 2015); Robinson, K., (2006) Do schools kill creativity?, paper presented at the Technology, Entertainment and Design Conference (TED2006), , Monterey, CA; Säljö, R., Digital tools and challenges to institutional traditions of learning: technologies, social memory and the performative nature of learning (2010) Journal of Computer Assisted Learning, 26 (1), pp. 53-64; Schwartz, D.L., Arena, D., (2009) Choice-based assessments for the digital age, , http://dmlcentral.net/wp-content/uploads/files/ChoiceSchwartzArenaAUGUST232009.pdf, Stanford University, Stanford, CA, Available online at, (accessed 25 September 2015); Sharples, M., Scanlon, E., Ainsworth, S., Anastopoulou, S., Collins, T., Crook, C., Jones, A., O'Malley, C., Personal inquiry: Orchestrating science investigations within and beyond the classroom (2015) Journal of the Learning Sciences, 24 (2), pp. 308-341; Shute, V.J., Kim, Y.J., Formative and stealth assessment (2013) Handbook of research on educational communications and technology, pp. 311-323. , in, J. M. Spector, M. D. Merrill, J. Elen, M. J. Bishop, (Eds), 4th edn, New York, Lawrence Erlbaum Associates; Shute, V.J., Dennen, V., Kim, Y., Donmez, O., Wang, C., A report for Digital Media and Learning network (2010) 21st century assessment to promote 21st century learning: The benefits of blinking, , http://dmlcentral.net/wp-content/uploads/files/val_big_pic_FINAL.pdf, Irvine, CA, Available online at, (accessed 25 September 2015); Siemens, G., (2012) Learning analytics: Envisioning a research discipline and a domain of practice, paper presented at the Proceedings of the 2nd International Conference on Learning Analytics and Knowledge, pp. 4-8. , New York, ACM; Stödberg, U., A research review of e-assessment (2012) Assessment &amp; Evaluation in Higher Education, 37 (5), pp. 591-604; Stone, A., What does e-portfolio mean in the vocational sector? (2012) International Journal of e-Assessment, 2 (2); Sutherland, R., (2013) Education and social justice in a digital age, , Bristol, Policy Press; Sutherland, R., Eagle, S., Joubert, M., Report from the STELLAR Network of Excellence funded by European Commission (2012) A vision and strategy for technology enhanced learning, , http://www.stellarnet.eu/kmi/deliverables/20120810_d1.8_final.pdf, Brussels. Available online at, (accessed 25 September 2015); (2009) Improving classroom learning with ICT, , Sutherland, R., Robertson, S., John, P., (Eds) (, London, Routledge; Thissen-Roe, A., Hunt, E., Minstrell, J., The DIAGNOSER project: Combining assessment and learning (2004) Journal of Behavior Research Methods, Instruments, &amp; Computers, 36 (2), pp. 234-240; Thornton, S., Teaching politics and international relations (2012) Issues and controversies associated with the use of new technologies, pp. 91-104. , Basingstoke, Palgrave Macmillan; Timmis, S., Joubert, M., Manuel, A., Barnes, S., Transmission, transformation and ritual: An investigation of students' and researchers' digitally mediated communications and collaborative work (2010) Learning, Media and Technology, 35 (3), pp. 307-322; Timmis, S., Yee, W.C., Bent, E., Digital diversity and belonging in higher education: A social justice proposition (2015) International advances in education: Global initiatives for equity and social justice, Vol. 10. E-learning &amp; social media: Education and citizenship for the digital 21st century, , in, E. L. Brown, A. Krasteva, M. Ranieri, (Eds), Charlotte, NC, Information Age Publishing, ) (in press); Van Aalst, J., Chan, C.K.K., Student-directed assessment of knowledge building using electronic portfolios (2007) Journal of the Learning Sciences, 16 (2), pp. 175-220; Whitelock, D., Activating assessment for learning: Are we on the way with Web 2.0? (2010) Web 2.0-based-e-learning: Applying social informatics for tertiary teaching, pp. 319-342. , in, M. J. W. Lee, C. McLoughlin, (Eds), Hershey, PA, IGI Global; Whitelock, D.M., Brasher, A., Developing a Roadmap for e-Assessment: Which Way Now? (2006) Proceedings of the 10th CAA International Computer Assisted Assessment Conference, pp. 487-501. , in, D. Myles, (Ed), Loughborough, UK, Professional Development, Loughborough University; Whitelock, D., Watt, S., Reframing e-assessment: Adopting new media and adapting old frameworks (2008) Learning, Media and Technology, 33 (3), pp. 151-154; Whitelock, D., Ruedel, C., Mackenzie, D., Final report for JISC ITT funded project (2006) e-Assessment: Case studies of effective and innovative practice, , conducted by The Open University (Milton Keynes) and University of Derby; Winkley, J., (2010) E-assessment and innovation, , http://www.alphaplusconsultancy.co.uk/pdf/e-assessment_and_innovation.pdf, A Becta report, Coventry, UK, Available online at, (accessed 25 September 2015); (2010) A roadmap for education technology, , http://cra.org/ccc/wp-content/uploads/sites/2/2015/05/GROE-Roadmap-for-Education-Technology-Final-Report.pdf, Woolf, B. P., (Ed.) (, Washington, DC, National Science Foundation). Available online at, (accessed 25 September 2015); Zhao, Y., Frank, K.A., Factors affecting technology uses in schools: An ecological perspective (2003) American Educational Research Journal, 40 (4), pp. 807-840</t>
  </si>
  <si>
    <t>Blackwell Publishing Ltd</t>
  </si>
  <si>
    <t>01411926</t>
  </si>
  <si>
    <t>Br. Educ. Res. J.</t>
  </si>
  <si>
    <t>2-s2.0-84951858478</t>
  </si>
  <si>
    <t>Dulewicz V., Higgs M.</t>
  </si>
  <si>
    <t>8985838800;33067785800;</t>
  </si>
  <si>
    <t>Can emotional intelligence be measured and developed?</t>
  </si>
  <si>
    <t>Leadership &amp; Organization Development Journal</t>
  </si>
  <si>
    <t>5</t>
  </si>
  <si>
    <t>242</t>
  </si>
  <si>
    <t>10.1108/01437739910287117</t>
  </si>
  <si>
    <t>https://www.scopus.com/inward/record.uri?eid=2-s2.0-84986173471&amp;doi=10.1108%2f01437739910287117&amp;partnerID=40&amp;md5=8ada6199db624c1cdb3bab38bd9f8b81</t>
  </si>
  <si>
    <t>Henley Management College, Henley-on-Thames, Oxfordshire, United States</t>
  </si>
  <si>
    <t>Dulewicz, V., Henley Management College, Henley-on-Thames, Oxfordshire, United States; Higgs, M., Henley Management College, Henley-on-Thames, Oxfordshire, United States</t>
  </si>
  <si>
    <t>Emotional intelligence (EI) is a topic of growing interest. This article describes the design of a new tailored instrument to measure emotional intelligence, which was piloted on 201 managers. Data are presented showing its high reliability and validity. In particular, construct validity is demonstrated using the 16PF, Belbin team roles, Myers-Briggs type inventory and Type A behaviour. Seven elements (sub-scales) make up the total questionnaire – self-awareness; influence; decisive; interpersonal sensitivity; motivation; integrity; and resilience. These are defined in detail, and guidance is given on administration, and reporting which is done through an expert system. Advice on how the results can be used for personal development is also given. Finally, suggestions are put forward for further work on appropriate organisational cultures to reinforce emotional intelligence, and the issue of emotional intelligence and leadership. © 1999, MCB UP Limited</t>
  </si>
  <si>
    <t>Competences; Development; Leadership; Personality tests</t>
  </si>
  <si>
    <t>Alimo-Metcalfe, B., Developments on leadership research (1999), presentation to the, BPS Annual Occupational Psychology Conference, Blackpool; Belbin, R.M., Aston, R.R., Mottram, R.D., Building effective management teams (1976) Journal of General Management, 3, pp. 23-29; Cattell, R.B., Eber, H.W., Tatsuoka, M.M., (1970) Handbook for the 16PF, , IPAT, Illinois; Dulewicz, S.V., Personal competencies, personality and responsibilities of middle-managers (1994) Competency Journal, 1 (3), pp. 20-29; Dulewicz, S.V., A validation of Belbin's team roles from 16PF and OPQ using bosses’ ratings of competencies (1995) Journal of Occupational and Organizational Psychology, 68 (2), pp. 81-100; Dulewicz, S.V., (1998) Personal Competency Framework Manual, , ASE/NFER-Nelson, Windsor; Dulewicz, S.V., Herbert, P.J., General management competencies and personality: a 7-year follow-up study (1996), Henley Working Paper 9621., Henley Management College; Dulewicz, S.V., Herbert, P.J., Predicting advancement to senior management from competencies and personality data: a 7-year follow-up study (1999) British Journal of Management, , (in press); Dulewicz, S.V., Higgs, M.J., Emotional intelligence: managerial fad or valid construct? (1998), Henley Working Paper 9813, Henley Management College; Dulewicz, S.V., Higgs, M.J., Emotional intelligence: can it be measured reliably and validly using competency data? (1998) Competency Journal, 6 (1), pp. 28-37; Dulewicz, S.V., Higgs, M.J., (1999) Emotional Intelligence Questionnaire Manual &amp; Users’ Guide, , ASE/NFER-Nelson, Windsor, (in press); Fisher, A., Success secret: a high emotional IQ (1998), Fortune, 26 October, 293-8; Gardner, H., (1983) Frames of Mind, , Harper-Collins, New York, NY; Goleman, D., (1996) Emotional Intelligence: Why It Can Matter More than IQ, , Bloomsbury Publishing, London; Goleman, D., Beyond IQ: developing the leadership competencies of emotional intelligence (1997), paper presented at the, 2nd International Competency Conference, London, October; Goleman, D., (1998) Working with Emotional Intelligence, , Bloomsbury Publishing, London; Higgs, M.J., A comparison of Myers-Briggs type indicators and Belbin team roles (1996), Henley Working Paper Series HWP9640; Lazear, D., (1991) Seven Ways of Knowing: Teaching for Multiple Intelligences, , IRI/Skylight Publishing, Polatine, IL; Martinez, M.N., The smarts that count (1997) HR Magazine, 42 (11), pp. 72-78; Mathews, L., The EQ factor (1996) Management, 43 (3), pp. 29-31; Myers, I.B., McCaulley, M.H., (1989) A Guide to the Development and Use of the Myers-Briggs Type Indicator, , Consulting Psychologists Press, Palo Alto, CA; Saville, P., Holdsworth, R., Nyfield, G., Cramp, L., Mabey, W., (1993) Occupational Personality Questionnaire Manual, , SHL, Esher; Steiner, C., (1997) Achieving Emotional Literacy, , Bloomsbury Publishing, London; Stuller, J., Unconventional smarts (1998) Across the Board, 35 (1), pp. 22-23</t>
  </si>
  <si>
    <t>01437739</t>
  </si>
  <si>
    <t>Leadersh. Organ. Dev. J.</t>
  </si>
  <si>
    <t>2-s2.0-84986173471</t>
  </si>
  <si>
    <t>Kong F., Wang X., Hu S., Liu J.</t>
  </si>
  <si>
    <t>57195717499;56166593400;35315733600;55705831100;</t>
  </si>
  <si>
    <t>Neural correlates of psychological resilience and their relation to life satisfaction in a sample of healthy young adults</t>
  </si>
  <si>
    <t>123</t>
  </si>
  <si>
    <t>165</t>
  </si>
  <si>
    <t>172</t>
  </si>
  <si>
    <t>10.1016/j.neuroimage.2015.08.020</t>
  </si>
  <si>
    <t>https://www.scopus.com/inward/record.uri?eid=2-s2.0-84942790765&amp;doi=10.1016%2fj.neuroimage.2015.08.020&amp;partnerID=40&amp;md5=95917324e771f1344a870adf5556e1fb</t>
  </si>
  <si>
    <t>State Key Laboratory of Cognitive Neuroscience and Learning and IDG/McGovern Inst. Brain Research, Beijing Normal University, Beijing, China; Center for Collaboration and Innovation in Brain and Learning Sciences, Beijing Normal University, Beijing, China; School of Psychology, Beijing Normal University, Beijing, China</t>
  </si>
  <si>
    <t>Kong, F., State Key Laboratory of Cognitive Neuroscience and Learning and IDG/McGovern Inst. Brain Research, Beijing Normal University, Beijing, China, Center for Collaboration and Innovation in Brain and Learning Sciences, Beijing Normal University, Beijing, China; Wang, X., State Key Laboratory of Cognitive Neuroscience and Learning and IDG/McGovern Inst. Brain Research, Beijing Normal University, Beijing, China, Center for Collaboration and Innovation in Brain and Learning Sciences, Beijing Normal University, Beijing, China; Hu, S., School of Psychology, Beijing Normal University, Beijing, China; Liu, J., School of Psychology, Beijing Normal University, Beijing, China</t>
  </si>
  <si>
    <t>Psychological resilience refers to the ability to thrive in the face of risk and adversity, which is crucial for individuals' mental and physical health. However, its precise neural correlates are still largely unknown. Here we used resting-state functional magnetic resonance imaging (rs-fMRI) to identify the brain regions underlying this construct by correlating individuals' psychological resilience scores with the regional homogeneity (ReHo) and then examined how these resilience-related regions predicted life satisfaction in a sample of healthy young adults. We found that the ReHo in the bilateral insula, right dorsal anterior cingulate cortex (dACC) and right rostral ACC (rACC) negatively predicted individual differences in psychological resilience, revealing the critical role of the salience network (SN) in psychological resilience. Crucially, the ReHo in the dACC within the SN mediated the effects of psychological resilience on life satisfaction. In summary, these findings suggest that spontaneous activity of the human brain reflect the efficiency of psychological resilience and highlight the dACC within the SN as a neural substrate linking psychological resilience and life satisfaction. © 2015 Elsevier Inc.</t>
  </si>
  <si>
    <t>Anterior cingulate cortex; Life satisfaction; Resilience; Spontaneous brain activity</t>
  </si>
  <si>
    <t>adult; Article; behavior assessment; brain function; brain region; connectome; Connor Davidson Resilience Scale; controlled study; coping behavior; correlation analysis; dorsal anterior cingulate cortex; female; functional magnetic resonance imaging; human; human experiment; image acquisition; image analysis; insula; life satisfaction; machine learning; male; mediation analysis; NEO Personality Inventory; neurofeedback; normal human; nuclear magnetic resonance scanner; prediction; priority journal; psychological resilience score; rating scale; regional homogeneity; ReHo; resting state functional magnetic resonance imaging; root mean square error of approximation; rostral anterior cingulate cortex; salience network; Satisfaction with Life Scale; scoring system; Socioeconomic status scale; wellbeing; Wong and Law Emotional Intelligence Scale; brain cortex; brain mapping; cingulate gyrus; individuality; nuclear magnetic resonance imaging; physiology; satisfaction; young adult; Adult; Brain Mapping; Cerebral Cortex; Female; Gyrus Cinguli; Humans; Individuality; Magnetic Resonance Imaging; Male; Personal Satisfaction; Resilience, Psychological; Young Adult</t>
  </si>
  <si>
    <t>A Tim System; Siemens Magnetom Trio</t>
  </si>
  <si>
    <t>Adler, N.E., Epel, E.S., Castellazzo, G., Ickovics, J.R., Relationship of subjective and objective social status with psychological and physiological functioning: preliminary data in healthy, White women (2000) Health Psychol., 19, pp. 586-592; Andersson, J.L., Jenkinson, M., Smith, S., Non-linear registration, aka spatial normalisation (2007) FMRIB Analysis Group Technical Reports; Bao, X., Xue, S., Kong, F., Dispositional mindfulness and perceived stress: the role of emotional intelligence (2015) Personal. Individ. Differ., 78, pp. 48-52; Bing, X., Ming-guo, Q., Ye, Z., Jing-na, Z., Min, L., Han, C., Yu, Z., Wei, C., Alterations in the cortical thickness and the amplitude of low-frequency fluctuation in patients with post-traumatic stress disorder (2013) Brain Res., 1490, pp. 225-232; Biswal, B.B., Resting state fMRI: a personal history (2012) Neuroimage, 62, pp. 938-944; Bonanno, G.A., Loss, trauma, and human resilience: have we underestimated the human capacity to thrive after extremely aversive events? (2004) Am. Psychol., 59, pp. 20-28; Brunwasser, S.M., Gillham, J.E., Kim, E.S., A meta-analytic review of the penn resiliency program's effect on depressive symptoms (2009) J. Consult. Clin. Psychol., 77, pp. 1042-1054; Burton, N.W., Pakenham, K.I., Brown, W.J., Feasibility and effectiveness of psychosocial resilience training: a pilot study of the READY program (2010) Psychol. Health Med., 15, pp. 266-277; Bush, G., Luu, P., Posner, M.I., Cognitive and emotional influences in anterior cingulate cortex (2000) Trends Cogn. Sci., 4, pp. 215-222; Byrne, B., (2001) Structural equation modeling with AMOS: basic concepts, applications, and programming, , Lawrence Erlbaum, Mahwah, NJ; CampbellSills, L., Stein, M.B., Psychometric analysis and refinement of the connor-davidson resilience scale (CDRISC): Validation of a 10item measure of resilience (2007) J. Trauma. Stress., 20, pp. 1019-1028; Chen, S., Xia, W., Li, L., Liu, J., He, Z., Zhang, Z., Yan, L., Hu, D., Gray matter density reduction in the insula in fire survivors with posttraumatic stress disorder: a voxel-based morphometric study (2006) Psychiatry Res., 146, pp. 65-72; Chen, H.-J., Zhu, X.-Q., Yang, M., Liu, B., Zhang, Y., Wang, Y., Teng, G.-J., Changes in the regional homogeneity of resting-state brain activity in minimal hepatic encephalopathy (2012) Neurosci. Lett., 507, pp. 5-9; Cohn, M.A., Fredrickson, B.L., Brown, S.L., Mikels, J.A., Conway, A.M., Happiness unpacked: positive emotions increase life satisfaction by building resilience (2009) Emotion, 9, pp. 361-368; Connor, K.M., Davidson, J.R., Development of a new resilience scale: the ConnorDavidson resilience scale (CDRISC) (2003) Depress. Anxiety, 18, pp. 76-82; Costa, P.T., McCrae, R.R., (1992) Professional manual: revised NEO personality inventory (NEO-PI-R) and NEO five-factor inventory (NEO-FFI), , Psychological Assessment Resources, Odessa, FL; Craig, A., How do you feel-now? The anterior insula and human awareness (2009) Nat. Rev. Neurosci., 10, pp. 59-70; Critchley, H.D., Wiens, S., Rotshtein, P., Öhman, A., Dolan, R.J., Neural systems supporting interoceptive awareness (2004) Nat. Neurosci., 7, pp. 189-195; Dai, X.-J., Gong, H.-H., Wang, Y.-X., Zhou, F.-Q., Min, Y.-J., Zhao, F., Wang, S.-Y., Xiao, X.-Z., Gender differences in brain regional homogeneity of healthy subjects after normal sleep and after sleep deprivation: a resting-state fMRI study (2012) Sleep Med., 13, pp. 720-727; Davis, K.D., Taylor, K.S., Hutchison, W.D., Dostrovsky, J.O., McAndrews, M.P., Richter, E.O., Lozano, A.M., Human anterior cingulate cortex neurons encode cognitive and emotional demands (2005) J. Neurosci., 25, pp. 8402-8406; Dedovic, K., D'Aguiar, C., Pruessner, J.C., What stress does to your brain: a review of neuroimaging studies (2009) Can. J. Psychiatry, 54, pp. 6-15; Diener, E., Emmons, R.A., Larsen, R.J., Griffin, S., The Satisfaction with Life Scale (1985) J. Pers. Assess., 49, pp. 71-75; Diener, E., Oishi, S., Lucas, R.E., Personality, culture, and subjective well-being: emotional and cognitive evaluations of life (2003) Annu. Rev. Psychol., 54, pp. 403-425; Doucet, G., Naveau, M., Petit, L., Delcroix, N., Zago, L., Crivello, F., Jobard, G., Mellet, E., Brain activity at rest: a multiscale hierarchical functional organization (2011) J. Neurophysiol., 105, pp. 2753-2763; Etkin, A., Egner, T., Kalisch, R., Emotional processing in anterior cingulate and medial prefrontal cortex (2011) Trends Cogn. Sci., 15, pp. 85-93; Fox, M.D., Raichle, M.E., Spontaneous fluctuations in brain activity observed with functional magnetic resonance imaging (2007) Nat. Rev. Neurosci., 8, pp. 700-711; Gable, S.L., Haidt, J., What (and why) is positive psychology? (2005) Rev. Gen. Psychol., 9, pp. 103-110; Genet, J.J., Siemer, M., Flexible control in processing affective and non-affective material predicts individual differences in trait resilience (2011) Cogn. Emot., 25, pp. 380-388; Gilleen, J., Shergill, S., Kapur, S., Impaired subjective well-being in schizophrenia is associated with reduced anterior cingulate activity during reward processing (2015) Psychol. Med., 45, pp. 589-600; Guo, W.-B., Liu, F., Xue, Z.-M., Yu, Y., Ma, C.-Q., Tan, C.-L., Sun, X.-L., Xiao, C.-Q., Abnormal neural activities in first-episode, treatment-naive, short-illness-duration, and treatment-response patients with major depressive disorder: a resting-state fMRI study (2011) J. Affect. Disord., 135, pp. 326-331; Guo, W.-B., Liu, F., Chen, J.-D., Gao, K., Xue, Z.-M., Xu, X.-J., Wu, R.-R., Liu, Z.-N., Abnormal neural activity of brain regions in treatment-resistant and treatment-sensitive major depressive disorder: a resting-state fMRI study (2012) J. Psychiatr. Res., 46, pp. 1366-1373; Hahn, T., Dresler, T., Pyka, M., Notebaert, K., Fallgatter, A.J., Local synchronization of resting-state dynamics encodes Gray's trait anxiety (2013) PLoS One, 8, p. e58336; Hayes, A.F., (2013) Introduction to Mediation, Moderation, and Conditional Process Analysis: A Regression-Based Approach, , Guilford, New York; Hjemdal, O., Vogel, P.A., Solem, S., Hagen, K., Stiles, T.C., The relationship between resilience and levels of anxiety, depression, and obsessive-compulsive symptoms in adolescents (2011) Clin. Psychol. Psychother., 18, pp. 314-321; Horn, D.I., Yu, C., Steiner, J., Buchmann, J., Kaufmann, J., Osoba, A., Eckert, U., He, H., Glutamatergic and resting-state functional connectivity correlates of severity in major depression-the role of pregenual anterior cingulate cortex and anterior insula (2010) Front. Syst. Neurosci., 4; Hu, T., Zhang, D., Wang, J., A meta-analysis of the trait resilience and mental health (2015) Personal. Individ. Differ., 76, pp. 18-27; Karl, A., Schaefer, M., Malta, L.S., Dörfel, D., Rohleder, N., Werner, A., A meta-analysis of structural brain abnormalities in PTSD (2006) Neurosci. Biobehav. Rev., 30, pp. 1004-1031; Kline, R.B., (2005) Principles and practice of structural equation modeling, , Guilford, New York; Kong, F., You, X., Loneliness and self-esteem as mediators between social support and life satisfaction in late adolescence (2013) Soc. Indic. Res., 110, pp. 271-279; Kong, F., Zhao, J., Affective mediators of the relationship between trait emotional intelligence and life satisfaction in young adults (2013) Personal. Individ. Differ., 54, pp. 197-201; Kong, F., Ding, K., Yang, Z., Dang, X., Hu, S., Song, Y., Liu, J., Examining gray matter structures associated with individual differences in global life satisfaction in a large sample of young adults (2014) Soc. Cogn. Affect. Neurosci., 10, pp. 952-960; Kong, F., Ding, K., Zhao, J., The relationships among gratitude, self-esteem, social support and life satisfaction among undergraduate students (2014) J. Happiness Stud.; Kong, F., Wang, X., Zhao, J., Dispositional mindfulness and life satisfaction: the role of core self-evaluations (2014) Personal. Individ. Differ., 56, pp. 165-169; Kong, F., Hu, S., Wang, X., Song, Y., Liu, J., Neural correlates of the happy life: the amplitude of spontaneous low frequency fluctuations predicts subjective well-being (2015) Neuroimage, 107, pp. 136-145; Kong, F., Liu, L., Wang, X., Hu, S., Song, Y., Liu, J., Different neural pathways linking personality traits and eudaimonic well-being: a resting-state functional magnetic resonance imaging study (2015) Cogn. Affect. Behav. Neurosci., 15, pp. 299-309; Kong, F., Hu, S., Xue, S., Song, Y., Liu, J., Extraversion mediates the relationship between structural variations in the dorsolateral prefrontal cortex and social well-being (2015) Neuroimage, 105, pp. 269-275; Li, H., Li, W., Wei, D., Chen, Q., Jackson, T., Zhang, Q., Qiu, J., Examining brain structures associated with perceived stress in a large sample of young adults via voxel-based morphometry (2014) Neuroimage, 92, pp. 1-7; Liang, P., Liu, Y., Jia, X., Duan, Y., Yu, C., Qin, W., Dong, H., Li, K., Regional homogeneity changes in patients with neuromyelitis optica revealed by resting-state functional MRI (2011) Clin. Neurophysiol., 122, pp. 121-127; Liberzon, I., Martis, B., Neuroimaging studies of emotional responses in PTSD (2006) Ann. N. Y. Acad. Sci., 1071, pp. 87-109; Liu, H., Liu, Z., Liang, M., Hao, Y., Tan, L., Kuang, F., Yi, Y., Jiang, T., Decreased regional homogeneity in schizophrenia: a resting state functional magnetic resonance imaging study (2006) Neuroreport, 17, pp. 19-22; Lui, S., Huang, X., Chen, L., Tang, H., Zhang, T., Li, X., Li, D., Mechelli, A., High-field MRI reveals an acute impact on brain function in survivors of the magnitude 8.0 earthquake in China (2009) Proc. Natl. Acad. Sci. U. S. A., 106, pp. 15412-15417; Luthar, S.S., Cicchetti, D., Becker, B., The construct of resilience: a critical evaluation and guidelines for future work (2000) Child Dev., 71, pp. 543-562; Mak, W.W., Ng, I.S., Wong, C.C., Resilience: enhancing well-being through the positive cognitive triad (2011) J. Couns. Psychol., 58, pp. 610-617; Maldjian, J.A., Laurienti, P.J., Kraft, R.A., Burdette, J.H., An automated method for neuroanatomic and cytoarchitectonic atlas-based interrogation of fMRI data sets (2003) Neuroimage, 19, pp. 1233-1239; Marcoulides, G.A., Hershberger, S.L., (1997) Multivariate statistical methods: a first course, , Lawrence Erlbaum Associates, Mahwah, N.J; Paulus, M.P., Stein, M.B., An insular view of anxiety (2006) Biol. Psychiatry, 60, pp. 383-387; Peterson, A., Thome, J., Frewen, P., Lanius, R., Resting-state neuroimaging studies: a new way of identifying differences and similarities among the anxiety disorders? (2014) Can. J. Psychiatry, 59, pp. 294-300; Pitman, R.K., Rasmusson, A.M., Koenen, K.C., Shin, L.M., Orr, S.P., Gilbertson, M.W., Milad, M.R., Liberzon, I., Biological studies of post-traumatic stress disorder (2012) Nat. Rev. Neurosci., 13, pp. 769-787; Qin, S., Young, C.B., Duan, X., Chen, T., Supekar, K., Menon, V., Amygdala subregional structure and intrinsic functional connectivity predicts individual differences in anxiety during early childhood (2014) Biol. Psychiatry, 75, pp. 892-900; Raichle, M.E., Two views of brain function (2010) Trends Cogn. Sci., 14, pp. 180-190; Reynaud, E., Guedj, E., Souville, M., Trousselard, M., Zendjidjian, X., El Khoury-Malhame, M., Fakra, E., Canini, F., Relationship between emotional experience and resilience: an fMRI study in fire-fighters (2013) Neuropsychologia, 51, pp. 845-849; Seeley, W.W., Menon, V., Schatzberg, A.F., Keller, J., Glover, G.H., Kenna, H., Reiss, A.L., Greicius, M.D., Dissociable intrinsic connectivity networks for salience processing and executive control (2007) J. Neurosci., 27, pp. 2349-2356; Seligman, M.E., Ernst, R.M., Gillham, J., Reivich, K., Linkins, M., Positive education: positive psychology and classroom interventions (2009) Oxf. Rev. Educ., 35, pp. 293-311; Shin, L.M., Liberzon, I., The neurocircuitry of fear, stress, and anxiety disorders (2009) Neuropsychopharmacology, 35, pp. 169-191; Singh-Manoux, A., Marmot, M.G., Adler, N.E., Does subjective social status predict health and change in health status better than objective status? (2005) Psychosom. Med., 67, pp. 855-861; Skrove, M., Romundstad, P., Indredavik, M.S., Resilience, lifestyle and symptoms of anxiety and depression in adolescence: the Young-HUNT study (2013) Soc. Psychiatry Psychiatr. Epidemiol., 48, pp. 407-416; Song, G., Kong, F., Jin, W., Mediating effects of core self-evaluations on the relationship between social support and life satisfaction (2013) Soc. Indic. Res., 114, pp. 1161-1169; Song, Y., Lu, H., Hu, S., Xu, M., Li, X., Liu, J., Regulating emotion to improve physical health through the amygdala (2015) Soc. Cogn. Affect. Neurosci., 10, pp. 523-530; Song, Y., Mu, K., Wang, J., Lin, F., Chen, Z., Yan, X., Hao, Y., Zhang, H., Altered spontaneous brain activity in primary open angle glaucoma: a resting-state functional magnetic resonance imaging study (2014) PLoS One, 9, p. e89493; Sprengelmeyer, R., Steele, J.D., Mwangi, B., Kumar, P., Christmas, D., Milders, M., Matthews, K., The insular cortex and the neuroanatomy of major depression (2011) J. Affect. Disord., 133, pp. 120-127; Sridharan, D., Levitin, D.J., Menon, V., A critical role for the right fronto-insular cortex in switching between central-executive and default-mode networks (2008) Proc. Natl. Acad. Sci. U. S. A., 105, pp. 12569-12574; Sripada, R.K., King, A.P., Welsh, R.C., Garfinkel, S.N., Wang, X., Sripada, C.S., Liberzon, I., Neural dysregulation in posttraumatic stress disorder: evidence for disrupted equilibrium between salience and default mode brain networks (2012) Psychosom. Med., 74, pp. 904-911; Sun, P., Kong, F., Affective mediators of the influence of gratitude on life satisfaction in late adolescence (2013) Soc. Indic. Res., 114, pp. 1361-1369; Supekar, K., Swigart, A.G., Tenison, C., Jolles, D.D., Rosenberg-Lee, M., Fuchs, L., Menon, V., Neural predictors of individual differences in response to math tutoring in primary-grade school children (2013) Proc. Natl. Acad. Sci. U. S. A., 110, pp. 8230-8235; Takeuchi, H., Taki, Y., Nouchi, R., Hashizume, H., Sassa, Y., Sekiguchi, A., Kotozaki, Y., Miyauchi, C.M., Anatomical correlates of quality of life: Evidence from voxel-based morphometry (2014) Hum. Brain Mapp., 35, pp. 1834-1846; Taylor, K.S., Seminowicz, D.A., Davis, K.D., Two systems of resting state connectivity between the insula and cingulate cortex (2009) Hum. Brain Mapp., 30, pp. 2731-2745; Tian, L., Ren, J., Zang, Y., Regional homogeneity of resting state fMRI signals predicts Stop signal task performance (2012) Neuroimage, 60, pp. 539-544; Tsakiris, M., Hesse, M.D., Boy, C., Haggard, P., Fink, G.R., Neural signatures of body ownership: a sensory network for bodily self-consciousness (2007) Cereb. Cortex, 17, pp. 2235-2244; Urry, H.L., Nitschke, J.B., Dolski, I., Jackson, D.C., Dalton, K.M., Mueller, C.J., Rosenkranz, M.A., Davidson, R.J., Making a life worth living neural correlates of well-being (2004) Psychol. Sci., 15, pp. 367-372; van der Werff, S.J., van den Berg, S.M., Pannekoek, J.N., Elzinga, B.M., Van Der Wee, N.J., Neuroimaging resilience to stress: a review (2013) Front. Behav. Neurosci., 7, p. 39; van, T.M.-J., van, D.W.N.J., van, D.H.O.A., Nielen, M.M., Demenescu, L.R., Aleman, A., Renken, R., Veltman, D.J., Regional brain volume in depression and anxiety disorders (2010) Arch. Gen. Psychiatry, 67, pp. 1002-1011; Wang, Y., Kong, F., The role of emotional intelligence in the impact of mindfulness on life satisfaction and mental distress (2014) Soc. Indic. Res., 116, pp. 843-852; Wang, L., Song, M., Jiang, T., Zhang, Y., Yu, C., Regional homogeneity of the resting-state brain activity correlates with individual intelligence (2011) Neurosci. Lett., 488, pp. 275-278; Wang, R., Li, J., Fang, H., Tian, M., Liu, J., Individual differences in holistic processing predict face recognition ability (2012) Psychol. Sci., 23, pp. 169-177; Wang, T., Chen, Z., Zhao, G., Hitchman, G., Liu, C., Zhao, X., Liu, Y., Chen, A., Linking inter-individual differences in the conflict adaptation effect to spontaneous brain activity (2014) Neuroimage, 90, pp. 146-152; Waugh, C.E., Wager, T.D., Fredrickson, B.L., Noll, D.C., Taylor, S.F., The neural correlates of trait resilience when anticipating and recovering from threat (2008) Soc. Cogn. Affect. Neurosci., 3, pp. 322-332; Waugh, C.E., Thompson, R.J., Gotlib, I.H., Flexible emotional responsiveness in trait resilience (2011) Emotion, 11, pp. 1059-1067; Yan, X., Brown, A.D., Lazar, M., Cressman, V.L., Henn-Haase, C., Neylan, T.C., Shalev, A., Yehuda, R., Spontaneous brain activity in combat related PTSD (2013) Neurosci. Lett., 547, pp. 1-5; Zang, Y., Jiang, T., Lu, Y., He, Y., Tian, L., Regional homogeneity approach to fMRI data analysis (2004) Neuroimage, 22, pp. 394-400; Zang, Y.-F., He, Y., Chao-Zhe, Z., Qing-Jiu, C., Man-Qiu, S., Meng, L., Li-Xia, T., Yu-Feng, W., Altered baseline brain activity in children with ADHD revealed by resting-state functional MRI (2007) Brain Dev., 29, pp. 83-91; Zhang, Z., Liu, Y., Jiang, T., Zhou, B., An, N., Dai, H., Wang, P., Zhang, X., Altered spontaneous activity in Alzheimer's disease and mild cognitive impairment revealed by regional homogeneity (2012) Neuroimage, 59, pp. 1429-1440; Zhen, Z., Yang, Z., Huang, L., Kong, X.-Z., Wang, X., Dang, X., Huang, Y., Liu, J., Quantifying interindividual variability and asymmetry of face-selective regions: a probabilistic functional atlas (2015) Neuroimage, 113, pp. 13-25; Zoefel, B., Huster, R.J., Herrmann, C.S., Neurofeedback training of the upper alpha frequency band in EEG improves cognitive performance (2011) Neuroimage, 54, pp. 1427-1431</t>
  </si>
  <si>
    <t>2-s2.0-84942790765</t>
  </si>
  <si>
    <t>Malik M.S.I., Hussain A.</t>
  </si>
  <si>
    <t>42262198500;26654232700;</t>
  </si>
  <si>
    <t>Helpfulness of product reviews as a function of discrete positive and negative emotions</t>
  </si>
  <si>
    <t>Computers in Human Behavior</t>
  </si>
  <si>
    <t>73</t>
  </si>
  <si>
    <t>290</t>
  </si>
  <si>
    <t>302</t>
  </si>
  <si>
    <t>10.1016/j.chb.2017.03.053</t>
  </si>
  <si>
    <t>https://www.scopus.com/inward/record.uri?eid=2-s2.0-85016495518&amp;doi=10.1016%2fj.chb.2017.03.053&amp;partnerID=40&amp;md5=b9ed28eedf6177c6ae3d30d4334edc39</t>
  </si>
  <si>
    <t>Department of Computer Science &amp; Software Engineering, International Islamic University, Islamabad, Pakistan; College of Computing &amp; Informatics, Saudi Electronic University, Riyadh, Saudi Arabia</t>
  </si>
  <si>
    <t>Malik, M.S.I., Department of Computer Science &amp; Software Engineering, International Islamic University, Islamabad, Pakistan; Hussain, A., Department of Computer Science &amp; Software Engineering, International Islamic University, Islamabad, Pakistan, College of Computing &amp; Informatics, Saudi Electronic University, Riyadh, Saudi Arabia</t>
  </si>
  <si>
    <t>The product review plays an important role in customer's purchase decision making process on the e-commerce websites. Emotions can significantly influence the way that reviews are processed. The importance of discrete emotions embedded in online reviews and their impact on review helpfulness is not explored intensively in prior studies. This study builds a helpfulness predictive model using deep neural network and investigates the influences of emotions that contribute to review helpfulness. We present an approach that extract novel discrete positive and negative emotion features from textual content of product reviews using NRC emotion Lexicon. In addition, the type of product, reviewer, visibility, readability, linguistics and sentiment related characteristics are also used for comparison and helpfulness prediction. The experimental results on two real-life datasets demonstrate that positive emotion features are the best predictors when individual category of feature is considered. However, negative emotion features and visibility features have comparable performance. Furthermore, the hybrid set of features with positive emotion features produce the best predictive performance for helpfulness of online reviews. The empirical evaluation finds that Trust, Joy and Anticipation (positive emotions); Anxiety and Sadness (negative emotions) are most influential emotion dimensions and have greater impact on perceived helpfulness. The findings of this study highlight the importance of emotions in online reviews and have significant implications for consumer and e-commerce retailers. © 2017 Elsevier Ltd</t>
  </si>
  <si>
    <t>Amazon reviews; Discrete emotions; Linguistic; Review helpfulness; Search products; Trust emotion; Word of mouth</t>
  </si>
  <si>
    <t>Commerce; Decision making; Deep neural networks; Electronic commerce; Linguistics; Sales; Visibility; Discrete emotions; Empirical evaluations; Positive and negative emotions; Predictive modeling; Predictive performance; Search products; Trust emotion; Word of mouth; Behavioral research; anxiety; clinical study; consumer; cooperation; experimental model; extract; human; linguistics; nervous system; prediction; sadness; trust; visibility</t>
  </si>
  <si>
    <t>Anderson, M., Magruder, J., Learning from the crowdRegression discontinuity estimates of the effects of an online review database (2012) The Economic Journal, 122 (563), pp. 957-989; Baek, H., Ahn, J., Choi, Y., Helpfulness of online consumer reviewsReaders’ objectives and review cues (2012) International Journal of Electronic Commerce, 17 (2), pp. 99-126; Bai, X., Predicting consumer sentiments from online text (2011) Decision Support Systems, 50 (4), pp. 732-742; Baumeister, R.F., Bratslavsky, E., Finkenauer, C., Vohs, K.D., Bad is stronger than good (2001) Review of General Psychology, 5 (4), p. 323; Bertola, F., Patti, V., Ontology-based affective models to organize artworks in the social semantic web (2016) Information Processing &amp; Management, 52 (1), pp. 139-162; Blitzer, J., Dredze, M., Pereira, F., Biographies, bollywood, boom-boxes and blendersDomain adaptation for sentiment classification (2007), ACL; Cao, Q., Duan, W., Gan, Q., Exploring determinants of voting for the “helpfulness” of online user reviewsA text mining approach (2011) Decision Support Systems, 50 (2), pp. 511-521; Chen, P.-Y., Dhanasobhon, S., Smith, M.D., All reviews are not created equalThe disaggregate impact of reviews and reviewers at amazon. com. Com (May 2008) (2008); Chen, C.C., Tseng, Y.-D., Quality evaluation of product reviews using an information quality framework (2011) Decision Support Systems, 50 (4), pp. 755-768; Chua, A.Y., Banerjee, S., Understanding review helpfulness as a function of reviewer reputation, review rating, and review depth (2015) Journal of the Association for Information Science and Technology, 66 (2), pp. 354-362; Chua, A.Y., Banerjee, S., Helpfulness of user-generated reviews as a function of review sentiment, product type and information quality (2016) Computers in Human Behavior, 54, pp. 547-554; Crowley, A.E., Hoyer, W.D., An integrative framework for understanding two-sided persuasion (1994) Journal of Consumer Research, 20 (4), pp. 561-574; Danescu-Niculescu-Mizil, C., Kossinets, G., Kleinberg, J., Lee, L., How opinions are received by online communitiesA case study on amazon. Com helpfulness votes (2009) Proceedings of the 18th international conference on World wide web, , ACM; Duan, W., Gu, B., Whinston, A.B., The dynamics of online word-of-mouth and product sales—an empirical investigation of the movie industry (2008) Journal of Retailing, 84 (2), pp. 233-242; Forman, C., Ghose, A., Wiesenfeld, B., Examining the relationship between reviews and salesThe role of reviewer identity disclosure in electronic markets (2008) Information Systems Research, 19 (3), pp. 291-313; Ganu, G., Kakodkar, Y., Marian, A., Improving the quality of predictions using textual information in online user reviews (2013) Information Systems, 38 (1), pp. 1-15; Ghose, A., Ipeirotis, P.G., Estimating the helpfulness and economic impact of product reviewsMining text and reviewer characteristics (2011) IEEE Transactions on Knowledge and Data Engineering, 23 (10), pp. 1498-1512; Hong, Y., Lu, J., Yao, J., Zhu, Q., Zhou, G., What reviews are satisfactoryNovel features for automatic helpfulness voting (2012) Proceedings of the 35th international ACM SIGIR conference on Research and development in information retrieval, , ACM; Huang, A.H., Chen, K., Yen, D.C., Tran, T.P., A study of factors that contribute to online review helpfulness (2015) Computers in Human Behavior, 48, pp. 17-27; Huang, A.H., Yen, D.C., Predicting the helpfulness of online reviews—a replication (2013) International Journal of Human-Computer Interaction, 29 (2), pp. 129-138; Hu, Y.-H., Chen, K., Predicting hotel review helpfulnessThe impact of review visibility, and interaction between hotel stars and review ratings (2016) International Journal of Information Management, 36 (6), pp. 929-944; Jindal, N., Liu, B., Identifying comparative sentences in text documents (2006) Proceedings of the 29th annual international ACM SIGIR conference on Research and development in information retrieval, , ACM; Jindal, N., Liu, B., Mining comparative sentences and relations (2006), AAAI; Kim, S.-M., Pantel, P., Chklovski, T., Pennacchiotti, M., Automatically assessing review helpfulness (2006) Proceedings of the 2006 Conference on empirical methods in natural language processing, , Association for Computational Linguistics; Kohli, R., Devaraj, S., Mahmood, M.A., Understanding determinants of online consumer satisfactionA decision process perspective (2004) Journal of Management Information Systems, 21 (1), pp. 115-136; Korfiatis, N., García-Bariocanal, E., Sánchez-Alonso, S., Evaluating content quality and helpfulness of online product reviewsThe interplay of review helpfulness vs. review content (2012) Electronic Commerce Research and Applications, 11 (3), pp. 205-217; Krishnamoorthy, S., Linguistic features for review helpfulness prediction (2015) Expert Systems with Applications, 42 (7), pp. 3751-3759; Lee, S., Choeh, J.Y., Predicting the helpfulness of online reviews using multilayer perceptron neural networks (2014) Expert Systems with Applications, 41 (6), pp. 3041-3046; Li, X., Hitt, L.M., Price effects in online product reviewsAn analytical model and empirical analysis (2010) MIS Quarterly, pp. 809-831; Li, M., Huang, L., Tan, C.H., Wei, K.K., Helpfulness of online product reviews as seen by consumersSource and content features (2013) International Journal of Electronic Commerce, 17 (4), pp. 101-136; Liu, B., Sentiment analysis and opinion mining (2012) Synthesis Lectures on Human Language Technologies, 5 (1), pp. 1-167; Liu, J., Cao, Y., Huang, Y., Zhou, M., Low-quality product review detection in opinion summarization (2007), EMNLP-CoNLL; Liu, Y., Huang, X., An, A., Yu, X., Modeling and predicting the helpfulness of online reviews (2008) 2008 eighth IEEE international conference on data mining, , IEEE; Liu, Z., Park, S., What makes a useful online review? Implication for travel product websites (2015) Tourism Management, 47, pp. 140-151; Mohammad, S.M., Turney, P.D., Nrc emotion lexicon (2013), (NRC Technical Report); Mudambi, S.M., Schuff, D., What makes a helpful review? A study of customer reviews on Amazon. com (2010) MIS Quarterly, 34 (1), pp. 185-200; Nelson, P., Information and consumer behavior (1970) Journal of Political Economy, 78 (2), pp. 311-329; Ngo-Ye, T.L., Sinha, A.P., The influence of reviewer engagement characteristics on online review helpfulnessA text regression model (2014) Decision Support Systems, 61, pp. 47-58; Pan, Y., Zhang, J.Q., Born unequalA study of the helpfulness of user-generated product reviews (2011) Journal of Retailing, 87 (4), pp. 598-612; Pennebaker, J.W., Booth, R.J., Francis, M.E., LIWC2007Linguistic inquiry and word count (2007), liwc. net Austin, Texas; Plutchik, R., The psychology and biology of emotion (1994), HarperCollins College Publishers; Qazi, A., Raj, R.G., Tahir, M., Cambria, E., Syed, K.B.S., Enhancing business intelligence by means of suggestive reviews (2014) The Scientific World Journal, 2014; Quaschning, S., Pandelaere, M., Vermeir, I., When consistency mattersThe effect of valence consistency on review helpfulness (2015) Journal of Computer-mediated Communication, 20 (2), pp. 136-152; Salehan, M., Kim, D.J., Predicting the performance of online consumer reviewsA sentiment mining approach to big data analytics (2016) Decision Support Systems, 81, pp. 30-40; Samha, A.K., Li, Y., Zhang, J., Aspect-based opinion extraction from customer reviews (2014), arXiv preprint arXiv:1404.1982; Sen, S., Lerman, D., Why are you telling me this? An examination into negative consumer reviews on the web (2007) Journal of Interactive Marketing, 21 (4), pp. 76-94; Shelke, N., Deshpande, S., Thakare, V., Domain independent approach for aspect oriented sentiment analysis for product reviews (2017) Proceedings of the 5th international conference on frontiers in intelligent ComputingTheory and applications, , Springer; Singh, J.P., Irani, S., Rana, N.P., Dwivedi, Y.K., Saumya, S., Roy, P.K., Predicting the “helpfulness” of online consumer reviews (2017) Journal of Business Research, 70, pp. 346-355; Stieglitz, S., Dang-Xuan, L., Emotions and information diffusion in social media—sentiment of microblogs and sharing behavior (2013) Journal of Management Information Systems, 29 (4), pp. 217-248; Thelwall, M., Buckley, K., Paltoglou, G., Cai, D., Kappas, A., Sentiment strength detection in short informal text (2010) Journal of the American Society for Information Science and Technology, 61 (12), pp. 2544-2558; Tripathy, A., Agrawal, A., Rath, S.K., Classification of sentiment reviews using n-gram machine learning approach (2016) Expert Systems with Applications, 57, pp. 117-126; Ullah, R., Amblee, N., Kim, W., Lee, H., From valence to emotionsExploring the distribution of emotions in online product reviews (2016) Decision Support Systems, 81, pp. 41-53; Ullah, R., Zeb, A., Kim, W., The impact of emotions on the helpfulness of movie reviews (2015) Journal of Applied Research and Technology, 13 (3), pp. 359-363; Wan, Y., The Matthew Effect in social commerce (2015) Electronic Markets, 25 (4), pp. 313-324; Willemsen, L.M., Neijens, P.C., Bronner, F., De Ridder, J.A., “Highly Recommended!” the content characteristics and perceived usefulness of online consumer reviews (2011) Journal of Computer-mediated Communication, 17 (1), pp. 19-38; Xu, R., Xia, Y., Wong, K.F., Li, W., Opinion annotation in on-line Chinese product reviews (2008), LREC; Yang, H.-L., Chao, A.F., Sentiment analysis for Chinese reviews of movies in multi-genre based on morpheme-based features and collocations (2015) Information Systems Frontiers, 17 (6), pp. 1335-1352; Yan, X., Wang, J., Chau, M., Customer revisit intention to restaurantsEvidence from online reviews (2015) Information Systems Frontiers, 17 (3), pp. 645-657; Yin, D., Bond, S., Zhang, H., Anxious or angry? Effects of discrete emotions on the perceived helpfulness of online reviews (2014) Mis Quarterly, 38 (2), pp. 539-560; Zehrer, A., Crotts, J.C., Magnini, V.P., The perceived usefulness of blog postingsAn extension of the expectancy-disconfirmation paradigm (2011) Tourism Management, 32 (1), pp. 106-113; Zhang, J., Piramuthu, S., Product recommendation with latent review topics (2016) Information Systems Frontiers, pp. 1-9; Zhang, R., Tran, T.T., A novel approach for recommending ranked user-generated reviews (2010) Canadian conference on artificial intelligence, , Springer; Zhang, Z., Wei, Q., Chen, G., Estimating online review helpfulness with probabilistic distribution and confidence. Foundations and Applications of Intelligent Systems (2014), Springer; Zheng, L., Jin, P., Yue, L., Multi-dimensional sentiment analysis for large-scale E-commerce reviews (2014) International conference on database and expert systems applications, , Springer</t>
  </si>
  <si>
    <t>Elsevier Ltd</t>
  </si>
  <si>
    <t>07475632</t>
  </si>
  <si>
    <t>CHBEE</t>
  </si>
  <si>
    <t>Comput. Hum. Behav.</t>
  </si>
  <si>
    <t>All Open Access, Bronze</t>
  </si>
  <si>
    <t>2-s2.0-85016495518</t>
  </si>
  <si>
    <t>Elayan H., Aloqaily M., Guizani M.</t>
  </si>
  <si>
    <t>57221615187;35226211500;7004750176;</t>
  </si>
  <si>
    <t>Digital Twin for Intelligent Context-Aware IoT Healthcare Systems</t>
  </si>
  <si>
    <t>IEEE Internet of Things Journal</t>
  </si>
  <si>
    <t>8</t>
  </si>
  <si>
    <t>23</t>
  </si>
  <si>
    <t>16749</t>
  </si>
  <si>
    <t>16757</t>
  </si>
  <si>
    <t>10.1109/JIOT.2021.3051158</t>
  </si>
  <si>
    <t>https://www.scopus.com/inward/record.uri?eid=2-s2.0-85099592329&amp;doi=10.1109%2fJIOT.2021.3051158&amp;partnerID=40&amp;md5=771f4137aeddde3b0a244c63533b841d</t>
  </si>
  <si>
    <t>Research and Development, xAnalytics Inc., Ottawa, ON, Canada; Department of Computer Science and Engineering, Qatar University, Doha, Qatar</t>
  </si>
  <si>
    <t>Elayan, H., Research and Development, xAnalytics Inc., Ottawa, ON, Canada; Aloqaily, M., Department of Computer Science and Engineering, Qatar University, Doha, Qatar; Guizani, M., Department of Computer Science and Engineering, Qatar University, Doha, Qatar</t>
  </si>
  <si>
    <t>Since the emergence of digital and smart healthcare, the world has hastened to apply various technologies in this field to promote better health operation and patients' well being, increase life expectancy, and reduce healthcare costs. One promising technology and game changer in this domain is digital twin (DT). DT is expected to change the concept of digital healthcare and take this field to another level that has never been seen before. DT is a virtual replica of a physical asset that reflects the current status through real-time transformed data. This article proposes and implements an intelligent context-aware healthcare system using the DT framework. This framework is a beneficial contribution to digital healthcare and to improve healthcare operations. Accordingly, an electrocardiogram (ECG) heart rhythms classifier model was built using machine learning to diagnose heart disease and detect heart problems. The implemented models successfully predicted a particular heart condition with high accuracy in different algorithms. The collected results have shown that integrating DT with the healthcare field would improve healthcare processes by bringing patients and healthcare professionals together in an intelligent, comprehensive, and scalable health ecosystem. Also, implementing an ECG classifier that detects heart conditions gives the inspiration for applying ML and artificial intelligence with different human body metrics for continuous monitoring and abnormalities detection. Finally, neural-network-based algorithms deal better with ECG data than traditional ML algorithms. © 2014 IEEE.</t>
  </si>
  <si>
    <t>Digital twin (DT); electrocardiogram (ECG); Internet of Things (IoT); machine learning; smart healthcare%</t>
  </si>
  <si>
    <t>Digital twin; Electrocardiography; Heart; Internet of things; Context-aware healthcare; Continuous monitoring; Health care professionals; Health-care operations; Health-care system; Healthcare process; Network-based algorithm; Various technologies; Health care</t>
  </si>
  <si>
    <t>Hussain, A.A., Bouachir, O., Al-Turjman, F., Aloqaily, M., AI techniques for Covid-19 (2020) IEEE Access, 8, pp. 128776-128795; Deebak, B.D., Al-Turjman, F., Aloqaily, M., Alfandi, O., An authentic-based privacy preservation protocol for smart e-healthcare systems in IoT (2019) IEEE Access, 7, pp. 135632-135649; Tyagi, S., Agarwal, A., Maheshwari, P., A conceptual framework for IoT-based healthcare system using cloud computing (2016) Proc. 6th Int. Conf. Cloud Syst. Big Data Eng., pp. 503-507; Ge, X., Zhou, R., Li, Q., 5G NFV-based tactile Internet for mission-critical IoT services (2020) IEEE Internet Things J., 7 (7), pp. 6150-6163. , Jul; Zhou, X., Liang, W., Wang, K.I.-K., Wang, H., Yang, L.T., Jin, Q., Deep-learning-enhanced human activity recognition for Internet of healthcare things (2020) IEEE Internet Things J., 7 (7), pp. 6429-6438. , Jul; IEEE Computer Society's Top 12 Technology Trends for 2020, , https://www.computer.org/pressroom/2019-news/ieee-computer-societys-top-12-technology-trends-for-2020, Accessed: Dec., 2020. [Online]; Al Ridhawi, I., Otoum, S., Aloqaily, M., Boukerche, A., Generalizing AI: Challenges and opportunities for plug and play AI solutions (2020) IEEE Netw., , early access, Sep. 30; What Is Health Promotion?, , https://www.who.int/news-room/q-a-detail/what-is-health-promotion, Accessed: Oct., 2020. [Online]; Rivera, L.F., Jiménez, M.A., Angara, P., Villegas, N.M., Tamura, G., Müller, H.A., Towards continuous monitoring in personalized healthcare through digital twins (2019) Proc. 29th Annu. Int. Conf. Comput. Sci. Softw. Eng., pp. 329-335; Liu, Y., A novel cloud-based framework for the elderly healthcare services using digital twin (2019) IEEE Access, 7, pp. 49088-49101; Karakra, A., Fontanili, F., Lamine, E., Lamothe, J., Taweel, A., Pervasive computing integrated discrete event simulation for a hospital digital twin (2018) Proc. IEEE/ACS 15th Int. Conf. Comput. Syst. Appl. (AICCSA), pp. 1-6; Zarrin, P.S., Zimmer, R., Wenger, C., Masquelier, T., Epileptic seizure detection using a neuromorphic-compatible deep spiking neural network (2020) Proc. Int. Work Conf. Bioinformat. Biomed. Eng., pp. 389-394; Angulo, C., Gonzalez-Abril, L., Raya, C., Ortega, J.A., A proposal to evolving towards digital twins in healthcare (2020) Proc. Int. Work Conf. Bioinformat. Biomed. Eng., pp. 418-426; Piacentino, E., Angulo, C., Generating fake data using GANs for anonymizing healthcare data (2020) Proc. Int. Work Conf. Bioinformat. Biomed. Eng., pp. 406-417; Chen, M., Ma, Y., Li, Y., Wu, D., Zhang, Y., Youn, C.-H., Wearable 2.0: Enabling human-cloud integration in next generation healthcare systems (2017) IEEE Commun. Mag., 55 (1), pp. 54-61. , Jan; Ma, Y., Wang, Y., Yang, J., Miao, Y., Li, W., Big health application system based on health Internet of Things and big data (2016) IEEE Access, 5, pp. 7885-7897; Chen, M., Zhou, J., Tao, G., Yang, J., Hu, L., Wearable affective robot (2018) IEEE Access, 6, pp. 64766-64776; Chen, M., Jiang, Y., Cao, Y., Zomaya, A.Y., (2019) Creativebioman: Brain and Body Wearable Computing Based Creative Gaming System, , [Online]; Chen, M., Living with I-Fabric: Smart living powered by intelligent fabric and deep analytics (2020) IEEE Netw., 34 (5), pp. 156-163. , Sep./Oct; Zhang, Y., Qiu, M., Tsai, C.-W., Hassan, M.M., Alamri, A., Health-CPS: Healthcare cyber-physical system assisted by cloud and big data (2017) IEEE Syst. J., 11 (1), pp. 88-95. , Mar; Van Gorp, P., Comuzzi, M., Lifelong personal health data and application software via virtual machines in the cloud (2013) IEEE J. Biomed. Health Informat., 18 (1), pp. 36-45; Serbanati, L.D., Ricci, F.L., Mercurio, G., Vasilateanu, A., Steps towards a digital health ecosystem (2011) J. Biomed. Informat., 44 (4), pp. 621-636; Oueida, S., Kotb, Y., Aloqaily, M., Jararweh, Y., Baker, T., An edge computing based smart healthcare framework for resource management (2018) Sensors, 18 (12), p. 4307; Bao, J., Guo, D., Li, J., Zhang, J., The modelling and operations for the digital twin in the context of manufacturing (2019) Enterprise Inf. Syst., 13 (4), pp. 534-556; Raza, M., Kumar, P.M., Hung, D.V., Davis, W., Nguyen, H., Trestian, R., A digital twin framework for industry 4.0 enabling next-gen manufacturing (2020) Proc. 9th Int. Conf. Ind. Technol. Manag. (ICITM), pp. 73-77; Moody, G.B., Mark, R.G., The impact of the MIT-BIH arrhythmia database (2001) IEEE Eng. Med. Biol. Mag., 20 (3), pp. 45-50. , May/Jun</t>
  </si>
  <si>
    <t>Institute of Electrical and Electronics Engineers Inc.</t>
  </si>
  <si>
    <t>23274662</t>
  </si>
  <si>
    <t>IEEE Internet Things J.</t>
  </si>
  <si>
    <t>2-s2.0-85099592329</t>
  </si>
  <si>
    <t>Digital twin for intelligent context-aware iot healthcare systems</t>
  </si>
  <si>
    <t>Schmidt P., Reiss A., Dürichen R., Laerhoven K.V.</t>
  </si>
  <si>
    <t>57195956246;36731502600;55513146000;57211067780;</t>
  </si>
  <si>
    <t>Wearable-based affect recognition—a review</t>
  </si>
  <si>
    <t>Sensors (Switzerland)</t>
  </si>
  <si>
    <t>19</t>
  </si>
  <si>
    <t>4079</t>
  </si>
  <si>
    <t>10.3390/s19194079</t>
  </si>
  <si>
    <t>https://www.scopus.com/inward/record.uri?eid=2-s2.0-85072569038&amp;doi=10.3390%2fs19194079&amp;partnerID=40&amp;md5=499a049e338fddf17d0612734f9a934e</t>
  </si>
  <si>
    <t>Robert Bosch GmbH, Robert-Bosch-Campus 1, Renningen, 71272, Germany; Ubiquitous Computing, Department of Electrical Engineering and Computer Science, University of Siegen, Hölderlinstr. 3, Siegen, 57076, Germany</t>
  </si>
  <si>
    <t>Schmidt, P., Robert Bosch GmbH, Robert-Bosch-Campus 1, Renningen, 71272, Germany, Ubiquitous Computing, Department of Electrical Engineering and Computer Science, University of Siegen, Hölderlinstr. 3, Siegen, 57076, Germany; Reiss, A., Robert Bosch GmbH, Robert-Bosch-Campus 1, Renningen, 71272, Germany; Dürichen, R., Robert Bosch GmbH, Robert-Bosch-Campus 1, Renningen, 71272, Germany; Laerhoven, K.V., Ubiquitous Computing, Department of Electrical Engineering and Computer Science, University of Siegen, Hölderlinstr. 3, Siegen, 57076, Germany</t>
  </si>
  <si>
    <t>Affect recognition is an interdisciplinary research field bringing together researchers from natural and social sciences. Affect recognition research aims to detect the affective state of a person based on observables, with the goal to, for example, provide reasoning for the person’s decision making or to support mental wellbeing (e.g., stress monitoring). Recently, beside of approaches based on audio, visual or text information, solutions relying on wearable sensors as observables, recording mainly physiological and inertial parameters, have received increasing attention. Wearable systems enable an ideal platform for long-term affect recognition applications due to their rich functionality and form factor, while providing valuable insights during everyday life through integrated sensors. However, existing literature surveys lack a comprehensive overview of state-of-the-art research in wearable-based affect recognition. Therefore, the aim of this paper is to provide a broad overview and in-depth understanding of the theoretical background, methods and best practices of wearable affect and stress recognition. Following a summary of different psychological models, we detail the influence of affective states on the human physiology and the sensors commonly employed to measure physiological changes. Then, we outline lab protocols eliciting affective states and provide guidelines for ground truth generation in field studies. We also describe the standard data processing chain and review common approaches related to the preprocessing, feature extraction and classification steps. By providing a comprehensive summary of the state-of-the-art and guidelines to various aspects, we would like to enable other researchers in the field to conduct and evaluate user studies and develop wearable systems. © 2019 by the authors. Licensee MDPI, Basel, Switzerland.</t>
  </si>
  <si>
    <t>Affect recognition; Affective computing; Data collection; Machine learning; Physiological features; Physiological signals; Review; Sensors; Wearables</t>
  </si>
  <si>
    <t>Data handling; Decision making; Learning systems; Physiological models; Physiology; Reviews; Sensors; Affect recognition; Affective Computing; Data collection; Physiological features; Physiological signals; Wearables; Wearable sensors; electronic device; human; machine learning; mental health; Humans; Machine Learning; Mental Health; Wearable Electronic Devices</t>
  </si>
  <si>
    <t>D’Mello, S., Kory, J., A Review and Meta-Analysis of Multimodal Affect Detection Systems (2015) ACM Comput. Surv., 47 (43), pp. 1-43; Bower, G.H., Mood and memory (1981) Am. Psychol., 36, pp. 129-148; McEwen, B., Stellar, E., Stress and the individual: Mechanisms leading to disease (1993) Arch. Intern. Med., 153, pp. 2093-2101; Chrousos, G., Gold, P., The concepts of stress and stress system disorders: Overview of physical and behavioral homeostasis (1992) JAMA, 267, pp. 1244-1252; Rosmond, R., Björntorp, P., Endocrine and metabolic aberrations in men with abdominal obesity in relation to anxio-depressive infirmity (1998) Metabolism, 47, pp. 1187-1193; (2016) HSE on Work Related Stress., , http://www.hse.gov.uk/-statistics/causdis/-ffstress/index.htm; Tzirakis, P., Trigeorgis, G., Zafeiriou, S., (2017) End-To-End Multimodal Emotion Recognition Using Deep Neural Networks; Mirsamadi, S., Barsoum, E., Zhang, C., Automatic speech emotion recognition using recurrent neural networks with local attention (2017) Proceedings of the IEEE International Conference on Acoustics, Speech and Signal Processing (ICASSP), pp. 2227-2231. , New Orleans, LA, USA, 5–9 March; Wang, R., Chen, F., Chen, Z., Li, T., Campbell, A., StudentLife: Assessing mental health, academic performance and behavioral trends of college students using smartphones. In Proceedings of the 2014 ACM International Joint Conference on Pervasive and Ubiquitous Computing, ACM, Seattle, WA (2014) USA, 13-17, pp. 3-14. , September; Gangemi, A., Presutti, V., Recupero, D.R., Frame-Based Detection of Opinion Holders and Topics: A Model and a Tool (2014) IEEE Comput. Intell. Mag., 9, pp. 20-30; Gravina, R., Li, Q., Emotion-relevant activity recognition based on smart cushion using multi-sensor fusion (2019) Inf. Fusion, 48, pp. 1-10; Picard, R., Vyzas, E., Healey, J., Toward machine emotional intelligence: Analysis of affective physiological state (2001) IEEE Trans. Pattern Anal. Mach. Intell., 23, pp. 1175-1191; Gjoreski, M., Luǎtrek, M., Gams, M., Gjoreski, H., Monitoring stress with a wrist device using context (2017) J. Biomed. Inform., 73, pp. 159-170; Costa, A., Rincon, J., Carrascosa, C., Julian, V., Novais, P., Emotions detection on an ambient intelligent system using wearable devices (2019) Future Gener. Comput. Syst., 92, pp. 479-489; (2017) Available Online, , https://buy.garmin.com/en-US/US/p/567813, accessed on 11 January 2018; (2017), https://www.affectiva.com; Poria, S., Cambria, E., Bajpai, R., Hussain, A., A review of affective computing: From unimodal analysis to multimodal fusion (2017) Inf. Fusion, 37, pp. 98-125; Miller, G., The Smartphone Psychology Manifesto (2012) Perspect. Psychol. Sci., 7, pp. 221-237; Rastafoo, M., Nakisa, B., Rakotonirainy, A., Chandran, V., Tjondronegoro, D., A Critical Review of Proactive Detection of Driver Stress Levels Based on Multimodal Measurements (2018) ACM Comput. Surv., 51, p. 88; Kim, M., Kim, M., Oh, E., Kim, S., A review on the computational methods for emotional state estimation from the human EEG (2013) Comput. Math. Methods Med., 2013; Russell, J., Core affect and the psychological construction of emotion (2003) Psychol. Rev., 110, p. 145; Liu, B., Many Facets of Sentiment Analysis (2017) A Practical Guide to Sentiment Analysis; Springer, pp. 11-39. , Cham, Switzerland; Cicero, M., (2002) Cicero on the Emotions: Tusculan Disputations 3 and 4, , University of Chicago Press: Chicago, IL, USA; Darwin, C., The Expression of the Emotions in Man and Animals (1999) Introduction, Afterword and Commentaries by Paul Ekman. Essay on the History of the Illustrations by Phillip Prodger, , 3rd ed.; HarperCollins Publishers: London, UK, First published in 1872; Ekman, P., An Argument for Basic Emotions (1992) Cogn. Emot., 6, pp. 169-200; Ekman, P., Friesen, W., (1978) Facial Action Coding System: A Technique for Measurement of Facial Movement, , Consulting Psychologists Press: Palo Alto, CA, USA; Ekman, P., Friesen, W., Measuring facial movement (1976) Environ. Psychol. Nonverbal Behav., 1, pp. 56-75; Plutchik, R., (1980) Emotion: A Psychoevolutionary Synthesis, , Harper &amp; Row: New York, NY, USA; Zenonos, A., Khan, A., Sooriyabandara, M., HealthyOffice: Mood recognition at work using smartphones and wearable sensors (2016) Proceedings of the Percom Workshops, pp. 14-18. , Sydney, Australia, March; Russell, J., (1979) Affective Space is Bipolar, , American Psychological Association: Washington, DC, USA; Soleymani, M., Lichtenauer, J., Pun, T., Pantic, M., A Multimodal Database for Affect Recognition and Implicit Tagging (2012) IEEE Trans. Affect. Comput., 3, pp. 42-55; Wundt, W., Vorlesung über Die Menschen-Und Tierseele, p. 1863. , Voss Verlag: Leipzig, Germany; Becker-Asano, C.W.A.S.A.B.I., (2008) Affect Simulation for Agents with Believable Interactivity, , IOS Press: Amsterdam, The Netherlands; Kim, J., André, E., Emotion recognition based on physiological changes in music listening (2008) IEEE Trans. Pattern Anal. Mach. Intell., 30, pp. 2067-2083; Koelstra, S., Muhl, C., Patras, I., Deap: A database for emotion analysis; using physiological signals (2012) IEEE Trans. Affect. Comput., 3, pp. 18-31; Valenza, G., Citi, L., Lanatá, A., Scilingo, E., Barbieri, R., Revealing real-time emotional responses: A personalized assessment based on heartbeat dynamics (2014) Sci. Rep., 4, p. 4998; Abadi, M., Subramanian, R., Kia, S., Avesani, P., Patras, I., Sebe, N., DECAF: MEG-based multimodal database for decoding affective physiological responses (2015) IEEE Trans. Affect. Comput., 6, pp. 209-222; Morris, J.D., Observations: SAM: The Self-Assessment Manikin; an efficient cross-cultural measurement of emotional response (1995) J. Advert. Res., 35, pp. 63-68; Subramanian, R., Wache, J., Abadi, M., Vieriu, R., Winkler, S., Sebe, N., ASCERTAIN: Emotion and Personality Recognition using Commercial Sensors (2017) IEEE Trans. Affect. Comput., 9, pp. 147-160; Jirayucharoensak, S., Pan-Ngum, S., Israsena, P., EEG-based emotion recognition using deep learning network with principal component based covariate shift adaptation (2014) Sci. World J., 2014; Cannon, W., (1929) Bodily Changes in Pain, Hunger, Fear and Rage, , D Appleton &amp; Company: New York, NY, USA; Selye, H., Stress without distress (1974) Psychopathology of Human Adaptation, pp. 26-39. , Springer: Boston, MA, USA; Goldstein, D., Kopin, I., Evolution of concepts of stress (2007) Stress, 10, pp. 109-120; Lu, H., Frauendorfer, D., Choudhury, T., StressSense: Detecting stress in unconstrained acoustic environments using smartphones. In Proceedings of the 2012 ACM Conference on Ubiquitous Computing, Pittsburgh, PA (2012) USA, 5-8, pp. 351-360. , September; Mozos, O., Sandulescu, V., Andrews, S., Ellis, D., Bellotto, N., Dobrescu, R., Ferrandez, J., Stress detection using wearable physiological and sociometric sensors (2017) Int. J. Neural Syst., 27; Plarre, K., Raij, A., Scott, M., Continuous inference of psychological stress from sensory measurements collected in the natural environment (2011) Proceedings of the 10Th International Conference on Information Processing in Sensor Networks (IPSN), pp. 97-108. , Chicago, IL, USA; Schmidt, P., Reiss, A., Dürichen, R., Marberger, C., van Laerhoven, K., Introducing WESAD, a Multimodal Dataset for Wearable Stress and Affect Detection (2018) Proceedings of the 20Th ACM International Conference on Multimodal Interaction, , Boulder, CO, USA, 16–20 October; Sanches, P., Höök, K., Vaara, E., Weymann, C., Bylund, M., Ferreira, P., Peira, N., Sjölinder, M., Mind the Body!: Designing a Mobile Stress Management Application Encouraging Personal Reflection (2010) Proceedings of the 8Th ACM Conference on Designing Interactive Systems, pp. 47-56. , Aarhus, Denmark, 16–20 August; Thayer, R., (1990) The Biopsychology of Mood and Arousal, , Oxford University Press: Oxford, UK; Schimmack, U., Reisenzein, R., Experiencing activation: Energetic arousal and tense arousal are not mixtures of valence and activation (2002) Emotion, 2, p. 412; Mehrotra, A., Tsapeli, F., Hendley, R., Musolesi, M., MyTraces: Investigating correlation and causation between users’ emotional states and mobile phone interaction (2017) PACM Interact. Mob. Wearable Ubiquitous Technol., 1, p. 83; James, W., What is an emotion? (1884) Mind, 9, p. 188; Levenson, R., Ekman, P., Friesen, W., Voluntary facial action generates emotion-specific autonomic nervous system activity (1990) Psychophysiology, 27, pp. 363-384; Friedman, B.H., Feelings and the body: The Jamesian perspective on autonomic specificity of emotion (2010) Biol. Psychol., 84, pp. 383-393; McCorry, L., Physiology of the autonomic nervous system (2007) Am. J. Pharm. Educ., 71, p. 78; Choi, J., Ahmed, B., Gutierrez-Osuna, R., Development and evaluation of an ambulatory stress monitor based on wearable sensors (2012) IEEE Trans. Inf. Technol. Biomed., 16, pp. 279-286; Dawson, M., Schell, A., Filion, D., The electrodermal system (2000) Handbook of Psychophysiology, pp. 200-223. , 2nd ed.; Cambridge University Press: Cambridge, UK; Kreibig, S., Autonomic nervous system activity in emotion: A review (2010) Biol. Psychol., 84, pp. 394-421; Broek, E., Lisy, V., Janssen, J., Westerink, J., Schut, M., Tuinenbreijer, K., Fred, A., Gamboa, H., Affective Man-machine Interface: Unveiling Human Emotions through Biosignals (2009) International Joint Conference on Biomedical Engineering Systems and Technologies, , Springer: Berlin/Heidelberg, Germany; Mahdiani, S., Jeyhani, V., Peltokangas, M., Vehkaoja, A., Is 50 Hz high enough ECG sampling frequency for accurate HRV analysis? (2015) In Proceedings of the 37Th Annual International Conference of the IEEE Engineering in Medicine and Biology Society (EMBC), pp. 5948-5951. , Milan, Italy, 25–29 August; Tamura, T., Maeda, Y., Sekine, M., Yoshida, M., Wearable Photoplethysmographic Sensors-Past and Present (2014) Electronics, 3, pp. 282-302; Lin, W., Wu, D., Li, C., Zhang, H., Zhang, Y., (2014) Comparison of Heart Rate Variability from PPG with that from ECG, pp. 213-215. , Springer: Berlin/Heidelberg, Germany; Healey, J., Picard, R., Detecting stress during real-world driving tasks using physiological sensors (2005) IEEE Trans. Intell. Transp. Syst., 6, pp. 156-166; Schmidt, P., Reiss, A., Dürichen, R., van Laerhoven, K., Labelling Affective States “in the Wild”: Practical Guidelines and Lessons Learned (2018) Proceedings of the 2018 ACM International Joint Conference and 2018 International Symposium on Pervasive and Ubiquitous Computing and Wearable Computers, pp. 8-12. , Singapore, October; Lykken, D.T., Venables, P.H., Direct measurement of skin conductance: A proposal for standardization (1971) Psychophysiology, 8, pp. 656-672; Di Lascio, E., Gashi, S., Santini, S., Laughter Recognition Using Non-invasive Wearable Devices (2019) Proceedings of the 13Th EAI International Conference on Pervasive Computing Technologies for Healthcare, pp. 262-271. , Trento, Italy, ACM: New York, NY, USA; Heinisch, J.S., Anderson, C., David, K., Angry or Climbing Stairs? Towards Physiological Emotion Recognition in the Wild (2019) Proceedings of the 2019 IEEE International Conference on Pervasive Computing and Communications Workshops (Percom Workshops), pp. 486-491. , Kyoto, Japan; van Boxtel, A., Optimal signal bandwidth for the recording of surface EMG activity of facial, jaw, oral, and neck muscles (2001) Psychophysiology, 38, pp. 22-34; Wijsman, J., Grundlehner, B., Hermens, H., Trapezius muscle EMG as predictor of mental stress (2010) Proceedings of the Wireless Health 2010, San Diego, pp. 155-163. , CA, USA; Lisetti, C., Nasoz, F., Using Noninvasive Wearable Computers to Recognize Human Emotions from Physiological Signals (2004) EURASIP J. Appl. Signal Process., 2004, pp. 1672-1687; Kim, K., Bang, S., Kim, S., Emotion recognition system using short-term monitoring of physiological signals (2004) Med Biol. Eng. Comput., 42, pp. 419-427; Soleymani, M., Pantic, M., Pun, T., Multimodal emotion recognition in response to videos (2012) IEEE Trans. Affect. Comput., 3, pp. 211-223; Ramos, J., Hong, J., Dey, A., Stress recognition: A step outside the lab (2014) Proceedings of the International Conference on Physiological Computing Systems, pp. 7-9. , Lisbon, Portugal, January; Muaremi, A., Arnrich, B., Tröster, G., Towards measuring stress with smartphones and wearable devices during workday and sleep (2013) Bionanoscience, 3, pp. 172-183; Kanjo, E., Younis, E.M., Ang, C.S., Deep learning analysis of mobile physiological, environmental and location sensor data for emotion detection (2019) Inf. Fusion, 49, pp. 46-56; Birjandtalab, J., Cogan, D., Pouyan, M.B., Nourani, M., A Non-EEG Biosignals Dataset for Assessment and Visualization of Neurological Status (2016) In Proceedings of the 2016 IEEE International Workshop on Signal Processing Systems (Sips), pp. 110-114. , Dallas, TX, USA,, 26–28 October; Haag, A., Goronzy, S., Schaich, P., Williams, J., Emotion recognition using bio-sensors: First steps towards an automatic system (2004) Tutorial and Research Workshop on Affective Dialogue Systems, pp. 36-48. , Springer: Berlin/Heidelberg, Germany; Liu, C., Rani, P., Sarkar, N., An empirical study of machine learning techniques for affect recognition in human-robot interaction Proceedings of the 2005 IEEE/RSJ International Conference on Intelligent Robots and Systems, pp. 2662-2667. , Edmonton, AB, Canada, 2–6 August 2005; Wagner, J., Kim, J., André, E., From physiological signals to emotions: Implementing and comparing selected methods for feature extraction and classification (2005) In Proceedings of the IEEE International Conference on Multimedia and Expo (ICME), Amsterdam, the Netherlands, 6 July, pp. 940-943; Leon, E., Clarke, G., Callaghan, V., Sepulveda, F., A user-independent real-time emotion recognition system for software agents in domestic environments (2007) Eng. Appl. Artif. Intell., 20, pp. 337-345; Zhai, J., Barreto, A., Stress detection in computer users through non-invasive monitoring of physiological signals (2006) Biomed. Sci. Instrum., 42, pp. 495-500; Kim, D., Seo, Y., Cho, J., Cho, C., Detection of subjects with higher self-reporting stress scores using heart rate variability patterns during the day (2008) Proceedings of the 30Th Annual International Conference of the IEEE Engineering in Medicine and Biology Society, pp. 682-685. , Vancouver, BC, Canada, 20–25 August; Katsis, C., Katertsidis, N., Ganiatsas, G., Fotiadis, D., Toward Emotion Recognition in Car-Racing Drivers: A Biosignal Processing Approach (2008) IEEE Trans. Syst. Man, Cybern., 38, pp. 502-512; Calvo, R., Brown, I., Scheding, S., Effect of Experimental Factors on the Recognition of Affective Mental States through Physiological Measures (2009) AI, 2009, pp. 62-70. , Advances in Artificial Intelligenc; Springer: Berlin/Heidelberg, Germany; Chanel, G., Kierkels, J., Soleymani, M., Pun, T., Short-term emotion assessment in a recall paradigm (2009) Int. J. Hum. Comput. Stud., 67, pp. 607-627; Khalili, Z., Moradi, M., Emotion recognition system using brain and peripheral signals: Using correlation dimension to improve the results of EEG (2009) Proceedings of the 2009 International Joint Conference on Neural Networks, pp. 1571-1575. , Atlanta, GA, USA; Healey, J., Nachman, L., Subramanian, S., Shahabdeen, J., Morris, M., Out of the Lab and into the Fray: Towards Modeling Emotion in Everyday Life (2010) Pervasive Computing, , Springer: Berlin/Heidelberg, Germany; Hernandez, J., Morris, R., Picard, R.W., Call Center Stress Recognition with Person-Specific Models (2011) Affective Computing and Intelligent Interaction; Springer: Berlin/Heidelberg, , Germany; Valenza, G., Lanata, A., Scilingo, E., The Role of Nonlinear Dynamics in Affective Valence and Arousal Recognition (2012) IEEE Trans. Affect. Comput., 3, pp. 237-249; Hamdi, H., Richard, P., Allain, P., Emotion assessment for affective computing based on physiological responses (2012) Proceedings of the 2012 IEEE International Conference on Fuzzy Systems (FUZZ-IEEE), pp. 1-8. , Brisbane, Australia; Agrafioti, F., Hatzinakos, D., Anderson, A.K., ECG Pattern Analysis for Emotion Detection (2012) IEEE Trans. Affect. Comput., 3, pp. 102-115; Sano, A., Picard, R., Stress Recognition Using Wearable Sensors and Mobile Phones (2013) In Proceedings of the Humaine Association Conference on Affective Computing and Intelligent Interaction (ACII), pp. 671-676. , Geneva, Switzerland, 2–5 September; Martinez, H., Bengio, Y., Yannakakis, G., Learning deep physiological models of affect (2013) IEEE Comput. Intell. Mag., 8, pp. 20-33; Adams, P., Rabbi, M., Rahman, T., Matthews, M., Voida, A., Gay, G., Choudhury, T., Voida, S., Towards personal stress informatics: Comparing minimally invasive techniques for measuring daily stress in the wild (2014) Proceedings of the 8Th International Conference on Pervasive Computing Technologies for Healthcare, pp. 72-79. , Oldenburg, Germany, 20–23 May; Hovsepian, K., Al’Absi, M., Kumar, S., CStress: Towards a gold standard for continuous stress assessment in the mobile environment (2015) Proceedings of the 2015 ACM International Joint Conference on Pervasive and Ubiquitous Computing, pp. 493-504. , Osaka, Japan; Rubin, J., Abreu, R., Ahern, S.T., Frequency &amp; Complexity Analysis for Recognizing Panic States from Physiologic Time-Series Proceedings of the 10Th EAI International Conference on Pervasive Computing Technologies for Healthcare, , Cancun, Mexico, 16–19 May 2016; Jaques, N., Taylor, S., Nosakhare, E., Sano, A., Picard, R., Multi-task Learning for Predicting Health, Stress, and Happiness (2016) Proceedings of the NIPS Workshop on Machine Learning for Healthcare, , Barcelona, Spain, 5–10 December; Rathod, P., George, K., Shinde, N., Bio-signal based emotion detection device (2016) Proceedings of the 2016 IEEE 13Th International Conference on Wearable and Implantable Body Sensor Networks (BSN), pp. 105-108. , San Francisco, CA, USA; Zhu, Z., Satizabal, H., Blanke, U., Perez-Uribe, A., Tröster, G., Naturalistic Recognition of Activities and Mood Using Wearable Electronics (2016) IEEE Trans. Affect. Comput., 7, pp. 272-285; Taylor, S.A., Jaques, N., Nosakhare, E., Sano, A., Picard, R., Personalized Multitask Learning for Predicting Tomorrows Mood, Stress, and Health (2018) IEEE Trans. Affect. Comput., 2018, p. 1; Girardi, D., Lanubile, F., Novielli, N., Emotion detection using noninvasive low cost sensors (2017) Proceedings of the Seventh International Conference on Affective Computing and Intelligent Interaction, pp. 125-130. , San Antonio, TX, USA, 23–26 October; Zhao, B., Wang, Z., Yu, Z., Guo, B., EmotionSense: Emotion Recognition Based on Wearable Wristband Proceedings of the 2018 IEEE Smartworld, Ubiquitous Intelligence Computing, Advanced Trusted Computing, Scalable Computing Communications, Cloud Big Data Computing, Internet of People and Smart City Innovation (Smartworld/Scalcom/Uic/Atc/Cbdcom/Iop/Sci), pp. 346-355. , Guangzhou, China, 8–12 October 2018; Marín-Morales, J., Higuera-Trujillo, J., Greco, A., Guixeres, J., Llinares, C., Scilingo, E., Alcañiz, M., Valenza, G., Affective computing in virtual reality: Emotion recognition from brain and heartbeat dynamics using wearable sensors (2018) Sci. Rep., 8; Santamaria-Granados, L., Munoz-Organero, M., Ramirez-González, G., Abdulhay, E., Arunkumar, N., Using Deep Convolutional Neural Network for Emotion Detection on a Physiological Signals Dataset (AMIGOS) (2019) IEEE Access, 7, pp. 57-67; Hassan, M.M., Alam, M.G.R., Uddin, M.Z., Huda, S., Almogren, A., Fortino, G., Human emotion recognition using deep belief network architecture (2019) Inf. Fusion, 51, pp. 10-18; Lang, P.J., Bradley, M.M., Cuthbert, B.N., (1999) International Affective Picture System (IAPS): Technical Manual and Affective Ratings; the Center for Research in Psychophysiology, , Gainesville, FL, USA; Mikels, J., Fredrickson, B., Larkin, G., Lindberg, C., Maglio, S., Reuter-Lorenz, P., Emotional category data on images from the International Affective Picture System (2005) Behav. Res. Methods, 37, pp. 626-630; Gross, J., Levenson, R., Emotion elicitation using films (1995) Cogn. Emot., 9, pp. 87-108; Samson, A., Kreibig, S., Gross, J., Eliciting positive, negative and mixed emotional states: A film library for affective scientists (2016) Cogn. Emot., 30, pp. 827-856; Hanai, T., Ghassemi, M., Predicting Latent Narrative Mood Using Audio and Physiologic Data (2017) Proceedings of the Thirty-First AAAI Conference on Artificial Intelligence, pp. 948-954. , San Francisco, CA, USA, 4–10 February; Castellano, G., Kessous, L., Caridakis, G., Emotion Recognition through Multiple Modalities: Face, Body Gesture, Speech (2008) Affect and Emotion in Human-Computer Interaction, pp. 92-103. , From Theory to Applications; Peter, C., Beale, R., Eds.; Springer: Berlin/Heidelberg, Germany; Dobriek, S., Gajsek, R., Mihelic, F., Pavesic, N., Struc, V., Towards Efficient Multi-Modal Emotion Recognition (2013) Int. J. Adv. Robot. Syst., 10, p. 53; Taylor, B., Dey, A., Siewiorek, D., Smailagic, A., Using Physiological Sensors to Detect Levels of User Frustration Induced by System Delays (2015) In Proceedings of the 2015 ACM International Joint Conference on Pervasive and Ubiquitous Computing, pp. 517-528. , Osaka, Japan, 7–11 September; Riva, G., Mantovani, F., Capideville, C.S., Preziosa, A., Morganti, F., Villani, D., Gaggioli, A., Alcañiz, M., Affective interactions using virtual reality: The link between presence and emotions (2007) Cyberpsychol. Behav., 10, pp. 45-56; Mason, J., A review of psychoendocrine research on the sympathetic-adrenal medullary system (1968) Psychosom. Med., 30, pp. 631-653; Lupien, S., Maheu, F., Tu, M., Fiocco, A., Schramek, T., The effects of stress and stress hormones on human cognition: Implications for the field of brain and cognition (2007) Brain Cogn, 65, pp. 209-237; Kirschbaum, C., Pirke, K., Hellhammer, D., The Trier Social Stress Test—A tool for investigating psychobiological stress responses in a laboratory setting (1993) Neuropsychobiology, 28, pp. 76-81; Gjoreski, M., Gjoreski, H., Gams, M., Continuous stress detection using a wrist device: In laboratory and real life (2016) Proceedings of the 2016 ACM International Joint Conference on Pervasive and Ubiquitous Computing: Adjunct, pp. 1185-1193. , Heidelberg, Germany, 12–16 September; Stroop, R., Studies of interference in serial verbal reactions (1935) J. Exp. Psychol., 18, p. 643; Wijsman, J., Grundlehner, B., Liu, H., Hermens, H., Wearable Physiological Sensors Reflect Mental Stress State in Office-Like Situations (2013) In Proceedings of the 2013 Humaine Association Conference on Affective Computing and Intelligent Interaction, pp. 600-605. , Geneva, Switzerland,, 2–5 September; Rubin, J., Eldardiry, H., Abreu, R., Ahern, S., Du, H., Pattekar, A., Bobrow, D., Towards a mobile and wearable system for predicting panic attacks (2015) Proceedings of the 2015 ACM International Joint Conference on Pervasive and Ubiquitous Computing, pp. 529-533. , Osaka, Japan, 7–11 September; Sano, A., Yu, A., McHill, A., Phillips, A., Picard, R., Prediction of Happy-Sad mood from daily behaviors and previous sleep history (2015) Proceedings of the 2015 37Th Annual International Conference of the IEEE Engineering in Medicine and Biology Society (EMBC), pp. 25-29. , Milan, Italy, August; Cohen, S., Kamarck, T., Mermelstein, R., A global measure of perceived stress (1983) J. Health Soc. Behav., 1983, pp. 385-396; Koh, K., Park, J., Kim, C., Cho, S., Development of the Stress Response Inventory and its application in clinical practice (2001) Psychosom. Med., 63, pp. 668-678; Kroenke, K., Spitzer, R., Williams, J., The phq-9 (2001) J. Gen. Intern. Med., 16, pp. 606-613; Russell, D., UCLA Loneliness Scale (Version 3): Reliability, Validity, and Factor Structure (1996) J. Personal. Assess., 66, pp. 20-40; Buysse, D., Reynolds, C., Monk, T., Berman, S., Kupfer, D., The Pittsburgh Sleep Quality Index: A new instrument for psychiatric practice and research (1989) Psychiatry Res, 28, pp. 193-213; Diener, E., Wirtz, D., Tov, W., Kim-Prieto, C., Choi, D., Oishi, S., Biswas-Diener, R., New well-being measures: Short scales to assess flourishing and positive and negative feelings (2010) Soc. Indic. Res., 97, pp. 143-156; John, O., Srivastava, S., (1999) The Big Five Trait Taxonomy: History, Measurement, and Theoretical Perspectives, pp. 102-138. , Handbook of Personality: Theory and Research; Guilford Press: New York, NY, USA; Morris, M., Guilak, F., Mobile Heart Health: Project Highlight (2009) IEEE Pervasive Comput, 8, pp. 57-61; Pollak, J.P., Adams, P., Gay, G., PAM: A Photographic Affect Meter for Frequent, in Situ Measurement of Affect (2011) Proceedings of the SIGCHI Conference on Human Factors in Computing Systems, pp. 7-12. , Vancouver, BC, Canada, May; Shear, K., Brown, T., Barlow, D., Money, R., Sholomskas, D., Woods, S., Gorman, J., Papp, L., Multicenter collaborative panic disorder severity scale (1997) Am. J. Psychiatry, 154, pp. 1571-1575; Horne, J., Ostberg, O., A self-assessment questionnaire to determine morningness-eveningness in human circadian rhythms (1976) Int. J. Chronobiol., 4, pp. 97-110; Taamneh, S., Tsiamyrtzis, P., Dcosta, M., Buddharaju, P., Khatri, A., Manser, M., Ferris, T., Pavlidis, I., A multimodal dataset for various forms of distracted driving (2017) Sci. Data, 4; Bulling, A., Blanke, U., Schiele, B., A tutorial on human activity recognition using body-worn inertial sensors (2014) ACM Comput. Surv., 46, p. 33; García-Laencina, P.J., Sancho-Gómez, J.L., Figueiras-Vidal, A.R., Pattern classification with missing data: A review (2010) Neural Comput. Appl., 19, pp. 263-282; Figo, D., Diniz, P.C., Ferreira, D.R., Cardoso, J.M.P., Preprocessing techniques for context recognition from accelerometer data (2010) Pers. Ubiquitous Comput., 14, pp. 645-662; Pan, J., Tompkins, W.J., A Real-Time QRS Detection Algorithm (1985) IEEE Trans. Biomed. Eng., 32 BME, pp. 230-236; Behar, J., Oster, J., Li, Q., Clifford, G.D., ECG Signal Quality During Arrhythmia and Its Application to False Alarm Reduction (2013) IEEE Trans. Biomed. Eng., 60, pp. 1660-1666; Elgendi, M., On the Analysis of Fingertip Photoplethysmogram Signals (2012) Curr. Cardiol. Rev., 8, pp. 14-25; Biswas, D., Simões-Capela, N., van Hoof, C., van Helleputte, N., Heart Rate Estimation From Wrist-Worn Photoplethysmography: A Review (2019) IEEE Sens. J., 19, pp. 6560-6570; Lee, B., Han, J., Baek, H.J., Shin, J.H., Park, K.S., Yi, W.J., Improved elimination of motion artifacts from a photoplethysmographic signal using a Kalman smoother with simultaneous accelerometry (2010) Physiol. Meas., 31, p. 1585; Ram, M.R., Madhav, K.V., Krishna, E.H., Komalla, N.R., Reddy, K.A., A Novel Approach for Motion Artifact Reduction in PPG Signals Based on AS-LMS Adaptive Filter (2012) IEEE Trans. Instrum. Meas., 61, pp. 1445-1457; Reiss, A., Indlekofer, I., Schmidt, P., van Laerhoven, K., Deep PPG: Large-Scale Heart Rate Estimation with Convolutional Neural Networks (2019) Sensors, 19, p. 3079; Salehizadeh, S.M.A., Dao, D., Bolkhovsky, J., Cho, C., Mendelson, Y., Chon, K.H., A Novel Time-Varying Spectral Filtering Algorithm for Reconstruction of Motion Artifact Corrupted Heart Rate Signals During Intense Physical Activities Using a Wearable Photoplethysmogram Sensor (2016) Sensors, 16, p. 10; Li, Q., Clifford, G.D., Dynamic time warping and machine learning for signal quality assessment of pulsatile signals (2012) Physiol. Meas., 33, p. 1491; Setz, C., Arnrich, B., Schumm, J., la Marca, R., Tröster, G., Ehlert, U., Discriminating stress from cognitive load using a wearable EDA device (2010) IEEE Trans. Inf. Technol. Biomed., 14, pp. 410-417; Taylor, S., Jaques, N., Chen, W., Fedor, S., Sano, A., Picard, R., Automatic identification of artifacts in electrodermal activity data (2015) Proceedings of the 2015 37Th Annual International Conference of the IEEE on Engineering in Medicine and Biology Society (EMBC), pp. 25-29. , Milan, Italy, August; Greco, A., Valenza, G., Lanata, A., Scilingo, E.P., Citi, L., CvxEDA: A Convex Optimization Approach to Electrodermal Activity Processing (2016) IEEE Trans. Biomed. Eng., 63, pp. 797-804; Benedek, M., Kaernbach, C., Decomposition of skin conductance data by means of nonnegative deconvolution (2010) Psychophysiology, 47, pp. 647-658; Willigenburg, N., Daffertshofer, A., Kingma, I., van Dieen, J., Removing ECG contamination from EMG recordings: A comparison of ICA-based and other filtering procedures (2012) J. Electromyogr. Kinesiol., 22, pp. 485-493; Huynh, T., Schiele, B., Analyzing Features for Activity Recognition (2005) In Proceedings of the 2005 Joint Conference on Smart Objects and Ambient Intelligence: Innovative Context-Aware Services: Usages and Technologies, pp. 159-163. , Grenoble, France,, 12–14 October; Reiss, A., Stricker, D., Introducing a new benchmarked dataset for activity monitoring (2012) In Proceedings of the 16Th International Symposium on Wearable Computers (ISWC), pp. 108-109. , Newcastle, UK, 18–22 June; Parkka, J., Ermes, M., Antila, K., van Gils, M., Manttari, A., Nieminen, H., Estimating Intensity of Physical Activity: A Comparison of Wearable Accelerometer and Gyro Sensors and 3 Sensor Locations (2007) Proceedings of the 29Th Annual International Conference of the IEEE Engineering in Medicine and Biology Society, pp. 1511-1514. , Lyon, France; Malik, M., Task force of the European society of cardiology and the north American society of pacing and electrophysiology. Heart rate variability. Standards of measurement, physiological interpretation, and clinical use (1996) Eur Heart J, 17, pp. 354-381; Lim, C.L., Rennie, C., Barry, R.J., Bahramali, H., Lazzaro, I., Manor, B., Gordon, E., Decomposing skin conductance into tonic and phasic components (1997) Int. J. Psychophysiol., 25, pp. 97-109; Rainville, P., Bechara, A., Naqvi, N., Damasio, A., Basic emotions are associated with distinct patterns of cardiorespiratory activity (2006) Int. J. Psychophysiol., 61, pp. 5-18; Kukolja, D., Popovic, S., Horvat, M., Kovac, B., Cosic, K., Comparative analysis of emotion estimation methods based on physiological measurements for real-time applications (2014) Int. J. Hum. Comput. Interact, 72, pp. 717-727; Christy, T., Kuncheva, L., Williams, K., (2012) Selection of Physiological Input Modalities for Emotion Recognition, , Technical Report, UK; An Investigation of Performance on Different Setups and Classifiers (1607) Arxiv 2016, Arxiv, p. 05832; Fernández-Delgado, M., Cernadas, E., Barro, S., Amorim, D., Do We Need Hundreds of Classifiers to Solve Real World Classification Problems? (2014) J. Mach. Learn. Res., 15, pp. 3133-3181; Friedman, J., Hastie, T., Tibshirani, R., Additive logistic regression: A statistical view of boosting (With discussion and a rejoinder by the authors) (2000) Ann. Statist., 28, pp. 337-407; Breiman, L.R.F., (2001) Mach. Learn, 45, pp. 5-32; Freund, Schapire, R.E., Labs, T., A Short Introduction to Boosting Yoav (1999) J. Jpn. Soc. Artif. Intell., 14, p. 1612; Hammerla, N., Halloran, S., Ploetz, T., (2016) Deep, Convolutional, and Recurrent Models for Human Activity Recognition Using Wearables; Münzner, S., Schmidt, P., Reiss, A., Hanselmann, M., Stiefelhagen, R., Dürichen, R., CNN-based Sensor Fusion Techniques for Multimodal Human Activity Recognition (2017) Proceedings of the 2017 ACM International Symposium on Wearable Computers, pp. 11-15. , Maui, HI, USA, September; Guyon, I., Elisseeff, A., An Introduction to Variable and Feature Selection (2003) J. Mach. Learn. Res., 3, pp. 1157-1182; (2017), https://www.empatica.com/-e4-wristband, Available online, accessed on 7 September 2017; Ertin, E., Stohs, N., Kumar, S., Raij, A., Al’Absi, M., Shah, S., AutoSense: Unobtrusively wearable sensor suite for inferring the onset, causality, and consequences of stress in the field (2011) Proceedings of the 9Th ACM Conference on Embedded Networked Sensor Systems, pp. 274-287. , Seattle, WA, USA, 1–4 November; (2018) Biopac, , https://www.biopac.com/; (2017) Vivalnk, , http://vivalnk.com/; Sadri, B., Goswami, D., Sala de Medeiros, M., Pal, A., Castro, B., Kuang, S., Martinez, R.V., Wearable and Implantable Epidermal Paper-Based Electronics (2018) ACS Appl. Mater. Interfaces, 10, pp. 31061-31068; Ameri, S.K., Ho, R., Jang, H., Wang, Y., Schnyer, D.M., Akinwande, D., Lu, N., Thinnest transparent epidermal sensor system based on graphene (2016) Proceedings of the 2016 IEEE International Electron Devices Meeting (IEDM), , San Francisco, CA, USA, 3–7 December; Reiss, A., Amft, O., Design challenges of real wear</t>
  </si>
  <si>
    <t>MDPI AG</t>
  </si>
  <si>
    <t>14248220</t>
  </si>
  <si>
    <t>Sensors</t>
  </si>
  <si>
    <t>2-s2.0-85072569038</t>
  </si>
  <si>
    <t>Mehta D., Siddiqui M.F.H., Javaid A.Y.</t>
  </si>
  <si>
    <t>57201696200;57200536077;55613342900;</t>
  </si>
  <si>
    <t>Facial emotion recognition: A survey and real-world user experiences in mixed reality</t>
  </si>
  <si>
    <t>18</t>
  </si>
  <si>
    <t>416</t>
  </si>
  <si>
    <t>10.3390/s18020416</t>
  </si>
  <si>
    <t>https://www.scopus.com/inward/record.uri?eid=2-s2.0-85041521391&amp;doi=10.3390%2fs18020416&amp;partnerID=40&amp;md5=93d04c0dd10ea1137f3333aab2d5985f</t>
  </si>
  <si>
    <t>EECS Department, The University of Toledo, Toledo, OH  43606, United States</t>
  </si>
  <si>
    <t>Mehta, D., EECS Department, The University of Toledo, Toledo, OH  43606, United States; Siddiqui, M.F.H., EECS Department, The University of Toledo, Toledo, OH  43606, United States; Javaid, A.Y., EECS Department, The University of Toledo, Toledo, OH  43606, United States</t>
  </si>
  <si>
    <t>Extensive possibilities of applications have made emotion recognition ineluctable and challenging in the field of computer science. The use of non-verbal cues such as gestures, body movement, and facial expressions convey the feeling and the feedback to the user. This discipline of Human-Computer Interaction places reliance on the algorithmic robustness and the sensitivity of the sensor to ameliorate the recognition. Sensors play a significant role in accurate detection by providing a very high-quality input, hence increasing the efficiency and the reliability of the system. Automatic recognition of human emotions would help in teaching social intelligence in the machines. This paper presents a brief study of the various approaches and the techniques of emotion recognition. The survey covers a succinct review of the databases that are considered as data sets for algorithms detecting the emotions by facial expressions. Later, mixed reality device Microsoft HoloLens (MHL) is introduced for observing emotion recognition in Augmented Reality (AR). A brief introduction of its sensors, their application in emotion recognition and some preliminary results of emotion recognition using MHL are presented. The paper then concludes by comparing results of emotion recognition by the MHL and a regular webcam. © 2018 by the authors. Licensee MDPI, Basel, Switzerland.</t>
  </si>
  <si>
    <t>Affect; Augmented reality; Emotion recognition; Facial expressions; Human-computer interaction; Intelligence; Microsoft hololens; Sensors</t>
  </si>
  <si>
    <t>Augmented reality; Biofeedback; Human computer interaction; Sensors; Speech recognition; Surveys; Virtual reality; Affect; Emotion recognition; Facial Expressions; Intelligence; MicroSoft; Face recognition; algorithm; biometry; emotion; emotional intelligence; facial expression; factual database; human; machine learning; questionnaire; reproducibility; standards; Algorithms; Biometric Identification; Databases, Factual; Emotional Intelligence; Emotions; Facial Expression; Humans; Machine Learning; Reproducibility of Results; Surveys and Questionnaires</t>
  </si>
  <si>
    <t>Ekman, P., Friesen, W.V., (1977) Facial Action Coding System, , 2nd ed.;Weidenfeld and Nicolson: London, UK; Zhang, C., Zhang, Z., (2010) A Survey of Recent Advances in Face Detection, , TechReport, No. MSR-TR-2010-66; Microsoft Corporation: Albuquerque, NM, USA; Ekman, P., Friesen, W., Hager, J., (2002) Facial Action Coding System: The Manual on CD ROM, , A Human Face:Salt Lake City, UT, USA; Anil, J., Suresh, L.P., Literature survey on face and face expression recognition (2016) Proceedings of the 2016 International Conference on Circuit, Power and Computing Technologies (ICCPCT), pp. 1-6. , agercoil, India, 18-19 March; Kumari, J., Rajesh, R., Pooja, K., Facial expression recognition: A survey (2015) Procedia Comput. Sci, 58, pp. 486-491; Cohn, J.F., Zlochower, A.J., Lien, J.J., Kanade, T., Feature-point tracking by optical flow discriminates subtle differences in facial expression (1998) Proceedings of the Third IEEE International Conference on Automatic Face and Gesture Recognition, pp. 396-401. , ara, Japan, 14-16 April; (2018) The Meta 2: Made for AR App Development, , http://www.metavision.com/, Available online, accessed on 5 January 2018; Corneanu, C.A., Simón, M.O., Cohn, J.F., Guerrero, S.E., Survey on RGB, 3D, thermal, and multimodal approaches for facial expression recognition: History, trends, and affect-related applications (2016) IEEE Trans. Pattern Anal. Mach. Intell, 38, pp. 1548-1568; Vural, E., Çetin, M., Erçil, A., Littlewort, G., Bartlett, M., Movellan, J., Automated drowsiness detection for improved driving safety (2008) Proceedings of the 4th International conference on Automotive Technologies, , stanbul, Turkey, 13-14 November; Matsugu, M., Mori, K., Mitari, Y., Kaneda, Y., Subject independent facial expression recognition with robust face detection using a convolutional neural network (2003) Neural Netw, 16, pp. 555-559; Viola, P., Jones, M., Rapid object detection using a boosted cascade of simple features (2001) Proceedings of the 2001 IEEE Computer Society Conference on Computer Vision and Pattern Recognition (CVPR 2001), 1. , Kauai, HI, USA, 8-14 December 2001; IEEE: Piscataway, NJ, USA, 2001; Osadchy, M., Cun, Y.L., Miller, M.L., Synergistic face detection and pose estimation with energy-based models (2007) J. Mach. Learn. Res, 8, pp. 1197-1215; Dalal, N., Triggs, B., Histograms of oriented gradients for human detection (2005) Proceedings of the IEEE Computer Society Conference on Computer Vision and Pattern Recognition, (CVPR 2005), 1, pp. 886-893. , San Diego, CA, USA, 20-25 June; Fasel, B., Robust face analysis using convolutional neural networks (2002) Proceedings of the 16th International Conference on Pattern Recognition, 2, pp. 40-43. , Quebec City, QC, Canada, 11-15 August; Mandal, T., Majumdar, A., Wu, Q.J., Face recognition by curvelet based feature extraction (2007) Proceedings of the International Conference Image Analysis and Recognition, pp. 806-817. , ontreal, QC, Canada, 22-24 August 2007; Springer: Berlin, Germany; Deans, S.R., (2007) The Radon Transform and Some of Its Applications, , Courier Corporation: North Chelmsford, MA, USA; Li, C., Soares, A., Automatic Facial Expression Recognition Using 3D Faces (2011) Int. J. Eng. Res. Innov, 3, pp. 30-34; Dhall, A., Goecke, R., Joshi, J., Hoey, J., Gedeon, T., Emotiw 2016: Video and group-level emotion recognition challenges (2016) Proceedings of the 18th ACM International Conference on Multimodal Interaction, pp. 427-432. , okyo, Japan, 12-16 November 2016; ACM: New York, NY, USA; Mohammed, A.A., Minhas, R., Wu, Q.J., Sid-Ahmed, M.A., Human face recognition based on multidimensional PCA and extreme learning machine (2011) Pattern Recognit, 44, pp. 2588-2597; Rivera, A.R., Castillo, J.R., Chae, O.O., Local directional number pattern for face analysis: Face and expression recognition (2013) IEEE Trans. Image Process, 22, pp. 1740-1752; De Marsico, M., Nappi, M., Riccio, D., FARO: Face recognition against occlusions and expression variations (2010) IEEE Trans. Syst. Man Cybern. Part A Syst. Hum, 40, pp. 121-132; Alex, A.T., Asari, V.K., Mathew, A., Gradient feature matching for expression invariant face recognition using single reference image (2012) Proceedings of the 2012 IEEE International Conference on Systems, Man, and Cybernetics (SMC), pp. 851-856. , eoul, Korea, 14-17 October 2012; IEEE: Piscataway, NJ, USA; Kanade, T., Cohn, J.F., Tian, Y., Comprehensive database for facial expression analysis (2000) Proceedings of the Fourth IEEE International Conference on Automatic Face and Gesture Recognition, pp. 46-53. , renoble, France, 28-30 March 2000; IEEE: Piscataway, NJ, USA; Vinola, C., Vimaladevi, K., A survey on human emotion recognition approaches, databases and applications (2015) Electron. Lett. Comput. Vis. Image Anal, 14, pp. 24-44; Yin, L., Wei, X., Sun, Y., Wang, J., Rosato, M.J., A 3D facial expression database for facial behavior research (2006) Proceedings of the 7th International Conference on Automatic Face and Gesture Recognition, (FGR 2006), pp. 211-216. , Southampton, UK, 10-12 April 2006; IEEE: Piscataway, NJ, USA; Martinez, A.M., (1998) The AR Face Database, , CVC Technical Report; The Ohio State University: Columbus, OH, USA; Matthews, I., Baker, S., Active appearance models revisited (2004) Int. J. Comput. Vis, 60, pp. 135-164; Phillips, P., (2004) The Facial Recognition Technology (FERET) Database, , NIST: Gaithersburg, MD, USA; (2008) The Essex Faces94 Database, , http://cswww.essex.ac.uk/mv/allfaces/, Available online, accessed on 29 November 2017; Nefian, A.V., Khosravi, M., Hayes, M.H., Real-Time detection of human faces in uncontrolled environments (1997) Proceedings of the SPIE Conference on Visual Communications and Image Processing, pp. 211-219. , ian Jose, CA, USA, 1997, Volume 3024, 10th January; Graham, D.B., Allinson, N.M., Characterising virtual eigensignatures for general purpose face recognition (1998) Face Recognition, pp. 446-456. , Springer: Berlin, Germany; Samaria, F.S., Harter, A.C., Parameterisation of a stochastic model for human face identification (1994) Proceedings of the Second IEEE Workshop on Applications of Computer Vision, pp. 138-142. , arasota, FL, USA, 5-7 December 1994; IEEE: Piscataway, NJ, USA; Bartlett, M.S., Movellan, J.R., Sejnowski, T.J., Face recognition by independent component analysis (2002) IEEE Trans. Neural Netw, 13, pp. 1450-1464; Ebrahimi Kahou, S., Michalski, V., Konda, K., Memisevic, R., Pal, C., Recurrent Neural Networks for Emotion Recognition in Video (2015) ICMI '15, Proceedings of the 2015 ACM on International Conference on Multimodal Interaction, pp. 467-474. , ACM: New York, NY, USA; Kahou, S.E., Pal, C., Bouthillier, X., Froumenty, P., Gülçehre, Ç., Memisevic, R., Vincent, P., Ferrari, R.C., Combining modality specific deep neural networks for emotion recognition in video (2013) Proceedings of the 15th ACM on International Conference On Multimodal Interaction, pp. 543-550. , Sydney, Australia, 9-13 December 2013; ACM: New York, NY, USA; Krizhevsky, A., Hinton, G., (2009) Learning Multiple Layers of Features from Tiny Images, , Technical Report; University of Toronto: Toronto, ON, Canada; Yu, Z., Zhang, C., Image based static facial expression recognition with multiple deep network learning (2015) Proceedings of the 2015 ACM on International Conference on Multimodal Interaction, pp. 435-442. , eattle, WA, USA, 9-13 November 2015; ACM: New York, NY, USA; Dhall, A., Goecke, R., Lucey, S., Gedeon, T., Static facial expression analysis in tough conditions: Data, evaluation protocol and benchmark (2011) Proceedings of the 2011 IEEE International Conference on Computer VisionWorkshops (ICCVWorkshops), pp. 2106-2112. , arcelona, Spain, 6-13 November 2011; IEEE: Piscataway, NJ, USA; Shan, C., Gong, S., McOwan, P.W., Facial expression recognition based on local binary patterns:A comprehensive study (2009) Image Vis. Comput, 27, pp. 803-816; Zhang, L., Mistry, K., Jiang, M., Neoh, S.C., Hossain, M.A., Adaptive facial point detection and emotion recognition for a humanoid robot (2015) Comput. Vis. Image Underst, 140, pp. 93-114; Grgic, M., Delac, K., (2013) Face Recognition Homepage. Zagreb, Croatia, , www.face-rec.org/databases, Volume 324. Available online, accessed on 2 January 2018; Zhang, L., Tjondronegoro, D., Facial expression recognition using facial movement features (2011) IEEE Trans. Affect. Comput, 2, pp. 219-229; Hayat, M., Bennamoun, M., An automatic framework for textured 3D video-based facial expression recognition (2014) IEEE Trans. Affect. Comput, 5, pp. 301-313; Hablani, R., Chaudhari, N., Tanwani, S., Recognition of facial expressions using local binary patterns of important facial parts (2013) Int. J. Image Process, 7, pp. 163-170; Li, Z., Imai, J.-I., Kaneko, M., Facial-component-based bag of words and phog descriptor for facial expression recognition (2009) Proceedings of the IEEE International Conference on Systems, Man and Cybernetics, (SMC 2009), pp. 1353-1358. , an Antonio, TX, USA, 11-14 October 2009; IEEE: Piscataway, NJ, USA; Lee, S.H., Plataniotis, K.N.K., Ro, Y.M., Intra-class variation reduction using training expression images for sparse representation based facial expression recognition (2014) IEEE Trans. Affect. Comput, 5, pp. 340-351; Zheng, W., Multi-view facial expression recognition based on group sparse reduced-rank regression (2014) IEEE Trans. Affect. Comput, 5, pp. 71-85; Dornaika, F., Moujahid, A., Raducanu, B., Facial expression recognition using tracked facial actions: Classifier performance analysis (2013) Eng. Appl. Artif. Intell, 26, pp. 467-477; El Meguid, M.K.A., Levine, M.D., Fully automated recognition of spontaneous facial expressions in videos using random forest classifiers (2014) IEEE Trans. Affect. Comput, 5, pp. 141-154; Zhang, L., Jiang, M., Farid, D., Hossain, M.A., Intelligent facial emotion recognition and semantic-based topic detection for a humanoid robot (2013) Expert Syst. Appl, 40, pp. 5160-5168; Wu, T., Bartlett, M.S., Movellan, J.R., Facial expression recognition using gabor motion energy filters (2010) Proceedings of the 2010 IEEE Computer Society Conference on Computer Vision and Pattern Recognition Workshops (CVPRW), pp. 42-47. , an Francisco, CA, USA, 13-18 June 2010; IEEE: Piscataway, NJ, USA; Jain, S., Hu, C., Aggarwal, J.K., Facial expression recognition with temporal modeling of shapes (2011) Proceedings of the 2011 IEEE International Conference on Computer VisionWorkshops (ICCVWorkshops), pp. 1642-1649. , arcelona, Spain, 6-13 November 2011; IEEE: Piscataway, NJ, USA; Lucey, P., Cohn, J.F., Kanade, T., Saragih, J., Ambadar, Z., Matthews, I., The extended cohn-kanade dataset (CK+): A complete dataset for action unit and emotion-specified expression (2010) Proceedings of the 2010 IEEE Computer Society Conference on Computer Vision and Pattern Recognition Workshops (CVPRW), pp. 94-101. , an Francisco, CA, USA, 13-18 June 2010; IEEE: Piscataway, NJ, USA; Pantic, M., Patras, I., Dynamics of facial expression: Recognition of facial actions and their temporal segments from face profile image sequences (2006) IEEE Trans. Syst. Man, and Cybern. Part B Cybern, 36, pp. 433-449; Gross, R., Matthews, I., Cohn, J., Kanade, T., Baker, S., Multi-pie (2010) Image Vis. Comput, 28, pp. 807-813; Dhall, A., Goecke, R., Lucey, S., Gedeon, T., (2011) Acted Facial Expressions in the Wild Database, 2. , Technical Report TR-CS-11; Australian National University: Canberra, Australia; McKeown, G., Valstar, M., Cowie, R., Pantic, M., Schroder, M., The semaine database: Annotated multimodal records of emotionally colored conversations between a person and a limited agent (2012) IEEE Trans. Affect. Comput, 3, pp. 5-17; (2016) Dataset 02: IRIS Thermal/Visible Face Database, , http://vcipl-okstate.org/pbvs/bench/, Available online, accessed on 5 January 2018; (2017) NIST Dataset, , https://www.nist.gov/srd/nist-special-database-19, Available online, accessed on 5 January 2018; Wang, S., Liu, Z., Lv, S., Lv, Y., Wu, G., Peng, P., Chen, F., Wang, X., A natural visible and infrared facial expression database for expression recognition and emotion inference (2010) IEEE Trans. Multimed, 12, pp. 682-691; Nguyen, H., Kotani, K., Chen, F., Le, B., A thermal facial emotion database and its analysis (2013) Proceedings of the Pacific-Rim Symposium on Image and Video Technology, pp. 397-408. , Guanajuato, Mexico, 28 October-1 November 2013; Springer: Berlin, Germany; Savran, A., Alyüz, N., Dibeklioğlu, H., Çeliktutan, O., Gökberk, B., Sankur, B., Akarun, L., Bosphorus database for 3D face analysis (2008) Proceedings of the European Workshop on Biometrics and Identity Management, pp. 47-56. , oskilde, Denmark, 7-9 May 2008; Springer: Berlin, Germany; (2017) HoloLens Hardware Details, , https://developer.microsoft.com/en-us/windows/mixed-reality/hololens_hardware_details#sensors, Available online, accessed on 5 January 2018; (2017) How to Analyze Videos in Real-Time, , https://docs.microsoft.com/en-us/azure/cognitive-services/emotion/emotion-api-how-to-topics/howtoanalyzevideo_emotion, Available online, accessed on 5 January 2018</t>
  </si>
  <si>
    <t>2-s2.0-85041521391</t>
  </si>
  <si>
    <t>Facial emotion recognition: a survey and real-world user experiences in mixed reality</t>
  </si>
  <si>
    <t>Leopold A., Krueger F., Dal monte O., Pardini M., Pulaski S.J., Solomon J., Grafman J.</t>
  </si>
  <si>
    <t>55504475200;9334273900;36982886400;23493507300;36515455900;7201787212;7102087206;</t>
  </si>
  <si>
    <t>Damage to the left ventromedial prefrontal cortex impacts affective theory of mind</t>
  </si>
  <si>
    <t>Social Cognitive and Affective Neuroscience</t>
  </si>
  <si>
    <t>nsr071</t>
  </si>
  <si>
    <t>871</t>
  </si>
  <si>
    <t>880</t>
  </si>
  <si>
    <t>10.1093/scan/nsr071</t>
  </si>
  <si>
    <t>https://www.scopus.com/inward/record.uri?eid=2-s2.0-84870222889&amp;doi=10.1093%2fscan%2fnsr071&amp;partnerID=40&amp;md5=aa79122290b54dc844484a0b38db04ca</t>
  </si>
  <si>
    <t>Cognitive Neuroscience Section, National Institute of Neurological Disorders and Stroke, National Institutes of Health, Bethesda, MD, United States; Department of Social and Health Psychology, Utrecht University, Utrecht, Netherlands; Department of Molecular Neuroscience, George Mason University, Fairfax, VA, United States; Department of Psychology, George Mason University, Fairfax, VA, United States; Department of Neuropsychology, University of Turin, Turin, Italy; Henry M. Jackson Foundation, Rockville, MD, United States; Department of Neurosciences, Ophthalmology and Genetics, University of Genoa, Genoa, Italy; Medical Numerics, Germantown, MD, United States; Traumatic Brain Injury Research Laboratory, Kessler Foundation Research Center, 1199 Pleasant Valley Way, West Orange, NJ, United States</t>
  </si>
  <si>
    <t>Leopold, A., Cognitive Neuroscience Section, National Institute of Neurological Disorders and Stroke, National Institutes of Health, Bethesda, MD, United States, Department of Social and Health Psychology, Utrecht University, Utrecht, Netherlands; Krueger, F., Department of Molecular Neuroscience, George Mason University, Fairfax, VA, United States, Department of Psychology, George Mason University, Fairfax, VA, United States; Dal monte, O., Cognitive Neuroscience Section, National Institute of Neurological Disorders and Stroke, National Institutes of Health, Bethesda, MD, United States, Department of Neuropsychology, University of Turin, Turin, Italy, Henry M. Jackson Foundation, Rockville, MD, United States; Pardini, M., Department of Neurosciences, Ophthalmology and Genetics, University of Genoa, Genoa, Italy; Pulaski, S.J., Cognitive Neuroscience Section, National Institute of Neurological Disorders and Stroke, National Institutes of Health, Bethesda, MD, United States; Solomon, J., Medical Numerics, Germantown, MD, United States; Grafman, J., Traumatic Brain Injury Research Laboratory, Kessler Foundation Research Center, 1199 Pleasant Valley Way, West Orange, NJ, United States</t>
  </si>
  <si>
    <t>Studies investigating theory of mind (ToM) abilities (i.e. ability to understand and predict others' mental states) have revealed that affective and cognitive functions play a significant role and that each of those functions are associated with distinct neural networks. Cognitive facets of ToM have implicated the medial prefrontal cortex, temporo-parietal junction and the anterior paracingulate cortex, whereas affective facets have implicated the ventromedial prefrontal cortex (vmPFC). Although the vmPFC has repeatedly shown to be critical for affective functions, knowledge regarding the exact role of the left and right vmPFC in affective ToM is still obscure. Here, we compared performances of 30 patients with left, right and bilateral vmPFC lesions to two comparison groups (one without and one with brain injuries) on the Faux Pas Recognition task measuring the facets of ToM. We also investigated whether any deficits may be associated with other emotional measures, namely emotional empathy and emotional intelligence. Our results extend earlier findings by showing that the vmPFC is associated with abilities in affective ToM. More importantly, our results revealed that the left, and not the right vmPFC as indicated previously, is involved in affective ToM and that this deficit is associated with emotional intelligence.</t>
  </si>
  <si>
    <t>Affective theory of mind; Emotional intelligence; Empathy; Traumatic brain injury; Ventromedial prefrontal cortex</t>
  </si>
  <si>
    <t>article; brain injury; brain mapping; cognitive defect; computer assisted tomography; female; follow up; hemispheric dominance; human; male; middle aged; neuropsychological test; nonparametric test; pathology; physiology; prefrontal cortex; radiography; recognition; theory of mind; Brain Injuries; Brain Mapping; Cognition Disorders; Female; Follow-Up Studies; Functional Laterality; Humans; Male; Middle Aged; Neuropsychological Tests; Prefrontal Cortex; Recognition (Psychology); Statistics, Nonparametric; Theory of Mind; Tomography, X-Ray Computed</t>
  </si>
  <si>
    <t>Anderson, S.W., Barrash, J., Bechara, A., Tranel, D., Impairments of emotion and real-world complex behavior following childhood- or adult-onset damage to ventromedial prefrontal cortex (2006) Journal of International Neuropsychology Society, 12 (2), pp. 224-235; (1960) Armed Forces Qualification Test (AFQT-7A), , Anonymous. Department of Defense Form 1293; Acuna, B.D., Eliassen, J.C., Donoghue, J., Sanes, J.N., Frontal and parietal lobe activation during transitive inference in humans (2002) Cerebral Cortex, 12 (12), pp. 1312-1321; Baron-Cohen, S., Leslie, A.M., Frith, U., Does the autistic child have a "theory of mind"! (1985) Cognition, 21 (1), pp. 37-46; Bar-On, R., Tranel, D., Denburg, N.L., Bechara, A., Exploring the neurological substrate of emotional and social intelligence (2003) Brain, 126, pp. 1790-1800; Baron-Cohen, S., O'Riordan, M., Stone, V., Jones, R., Plaisted, K., Recognition of faux pas by normally developing children and children with Asperger syndrome or high-functioning autism (1999) Journal of Autism and Developmental Disorders, 29 (5), pp. 407-418; Barrash, J., Tranel, D., Anderson, S.W., Acquired personality disturbances associated with bilateral damage to the ventromedial prefrontal region (2000) Developmental Neuropsychology, 18 (3), pp. 355-381; Beck, A.T., Steer, R.A., Brown, G.K., (1996) Manual for Beck Depression Inventory II (BDI-II), , San Antonio, TX: Psychology Corporation; Berlin, H.A., Rolls, E.T., Kischka, U., Impulsivity time perception, emotion, and reinforcement sensitivity in patients with orbitofrontal cortex lesions (2004) Brain, 127 (5), pp. 1108-1126; Blair, R.J.R., Cipolotti, L., Impaired social response reversal: a case of 'acquired sociopathy' (2000) Brain, 123 (6), pp. 1122-1141; Burgess, P.W., Neuropsychology of behaviour disorders following brain injury (1990) Neurobehavioural Sequelae of Traumatic Brain Injury, pp. 110-133. , Wood, R. L., editor. New York: Taylor and Francis; Critchley, H.D., Elliott, R., Mathias, C.J., Neural activity relating to generation and representation of galvanic skin conductance responses: a functional magnetic resonance imaging study (2000) Journal of Neuroscience, 20 (8), pp. 3033-3040; Damasio, A.R., Tranel, D., Damasio, H., Somatic markers and the guidance of behaviour: theory and preliminary testing (1991) Frontal Lobe Function and Dysfunction, pp. 217-229. , Levin, H.S., Eisenberg, H.M., Benton, A.L., editors. New York: Oxford University Press; Dimitrov, M., Phipps, M., Zahn, T., Grafman, J., A thoroughly modern Gage (1999) Neurocase, 5, pp. 345-354; Eslinger, P.J., Damasio, A.R., Severe disturbance of higher cognition after bilateral frontal lobe ablation: patient EVR (1985) Neurology, 35 (12), pp. 1731-1741; Eslinger, P.J., Neurological and neuropsychological bases of empathy (1998) European Neurology, 39 (4), pp. 193-199; Fine, C., Lumsden, J., Blair, R.J., Dissociation between 'theory of mind' and executive functions in a patient with early left amygdala damage (2001) Brain, 124 (2), pp. 287-298; Gallagher, H.L., Happé, F., Brunswick, N., Fletcher, P.C., Frith, U., Frith, C.D., Reading the mind in cartoons and stories: an fMRI study of 'theory of mind' in verbal and nonverbal tasks (2000) Neuropsychologia, 38 (1), pp. 11-21; Gazzaniga, M.S., Cerebral specialization and interhemispheric communication: Does the corpus callosum enable the human condition? (2000) Brain, 123 (7), pp. 1293-1326; Goel, V., Buchel, C., Frith, C., Dolan, R., Dissociation of Mechanisms Underlying Syllogistic Reasoning (2000) NeuroImage, 12 (5), pp. 504-514; Goel, V., Dolan, R.J., Reciprocal neural response within lateral and ventral prefrontal cortex during hot and cold cognition (2003) NeuroImage, 20 (4), pp. 2314-2321; Goel, V., Grafman, J., Sadato, N., Hallett, M., Modeling other minds (1995) Neuroreport, 6 (13), pp. 1741-1746; Goel, V., Shuren, J., Sheesley, L., Grafman, J., Asymmetrical involvement of frontal lobes in social reasoning (2004) Brain, 127, pp. 783-790; Goel, V., Tierney, M., Sheesley, L., Bartolo, A., Vartanian, O., Grafman, J., Hemispheric specialization in human prefrontal cortex for resolving certain and uncertain inferences (2007) Cerebral Cortex, 17, pp. 2245-2250; Grafman, J., Jonas, B.S., Martin, A., Intellectual function following penetrating head injury in Vietnam veterans (1988) Brain, 111 (1), pp. 169-184; Grafman, J., Schwab, K., Warden, D., Pridgen, A., Brown, H.R., Salazar, A.M., Frontal lobe injuries, violence, and aggression: a report of the Vietnam Head Injury Study (1996) Neurology, 46 (5), pp. 1231-1238; Happé, F., An advanced test of theory of mind: understanding of story characters' thoughts and feelings by able autistic, mentally handicapped, and normal children and adults (1994) Journal of Autism and Development Disorders, 24 (2), pp. 129-154; Kalbe, E., Schlegel, M., Sack, A.T., Dissociating cognitive from affective theory of mind: a TMS study (2010) Cortex, 46 (6), pp. 769-780; Kaplan, E., Goodglass, H., Weintraub, S., (1976) Boston Naming Test, , Philadelphia: Lea &amp; Febiger; Knauff, M., Fangmeier, T., Ruff, C.C., Johnson-Laird, P.N., Reasoning, models, and images: behavioral measures and cortical activity (2003) Journal of Cognitive Neuroscience, 15 (4), pp. 559-573; Koenigs, M., Grafman, J., The functional neuroanatomy of depression: distinct roles for ventromedial and dorsolateral prefrontal cortex. Behavioural (2009) Brain Research, 201 (2), pp. 239-243; Koenigs, M., Grafman, J., Prefrontal asymmetry in depression? The long-term effect of unilateral brain lesions (2009) Neuroscience Letters, 459 (2), pp. 88-90; Koenigs, M., Tranel, D., Irrational economic decision-making after ventromedial prefrontal damage: evidence from the Ultimatum Game (2007) The Journal of Neuroscience, 27 (4), pp. 951-956; Koenigs, M., Huey, E.D., Calamia, M., Raymont, V., Tranel, D., Grafman, J., Distinct regions of prefrontal cortex mediate resistance and vulnerability to depression (2008) The Journal of Neuroscience, 28 (47), pp. 12341-12348; Krueger, F., Barbey, A.K., Grafman, J., The medial prefrontal cortex mediates social event knowledge (2009) Trends in Cognition Science, 13 (3), pp. 103-109; Krueger, F., Barbey, A.K., McCabe, K., Strenziok, M., Zamboni, G., Solomon, J., Raymont, V., Grafman, J., The neural bases of key competencies of emotional intelligence (2009) Journal of Proceedings of the National Academy of Science, 106 (52), pp. 22486-22491; Makale, M., Solomon, J., Patronas, N.J., Danek, A., Butman, J.A., Grafman, J., Quantification of brain lesions using interactive automated software (2002) Behavior Research Methods, Instruments, and Computers, 34 (1), pp. 6-18; Mayer, J.D., Salovey, P., Caruso, D.R., Emotional Intelligence: theory, findings, and implications (2004) Psychological Inquiry, 15, pp. 197-215; Mayer, J.D., Salovey, P., Caruso, D.R., Emotional intelligence: new ability or eclectic traits? (2008) American Psychology, 63, pp. 503-517; Mayer, J.D., Salovey, P., Caruso, D.R., Sitarenios, G., Emotional intelligence as a standard intelligence (2001) Emotion, 1, pp. 232-242; Mayer, J.D., Salovey, P., Caruso, D.R., Sitarenios, G., Mayer-Salovey-Caruso Emotional Intelligence (2002) Test (Version 2.0) User's Manual, , Toronto (Canada): Multi-Health Systems; Miller, S.A., Children's understanding of second-order mental states (2009) Psychological Bulletin, 135 (5), pp. 749-773; Pandya, D.N., Old, D., Berger, T., Interhemispheric connections of the precentral motor cortex in the rhesus monkey (1969) Brain Research, 15, pp. 594-596; Perner, J., Leekam, S.R., Wimmer, H., Three-year olds' difficulty with false belief: the case for a conceptual deficit (1987) British Journal of Developmental Psychology, 5, pp. 125-137; Premack, D., Woodruff, G., Does the Chimpanzee Have a Theory of Mind? (1978) Behavioral and Brain Sciences, 1 (4), pp. 515-526; Raymont, V., Salazar, A.M., Krueger, F., Grafman, J., Studying injured minds"-the Vietnam head injury study and 40 years of brain injury researc (2011) Frontiers Neurotrauma, 2 (15), pp. 1-13; Reverberi, C., Lavaroni, A., Gigli, G.L., Skrap, M., Shallice, T., SpeciEc impairments of rule induction in different frontal lobe subgroups (2005) Neuropsychologia, 43 (3), pp. 460-472; Rowe, A., Bullock, P., Polkey, C., Morris, R.G., 'Theory of mind' impairments and their relationship to executive functioning following frontal lobe excisions (2001) Brain, 124 (3), pp. 600-616; Sabbagh, M.A., Communicative intentions and language: evidence from right-hemisphere damage and autism (1999) Brain and Language, 70 (10), pp. 29-69; Sabbagh, M.A., Understanding orbitofrontal contributions to theory-of-mind reasoning: implications for autism (2004) Brain and Cognition, 55 (1), pp. 209-219; Shamay-Tsoory, S.G., Aharon-Peretz, J., Dissociable prefrontal networks for cognitive and affective theory of mind: a lesion study (2007) Neuropsychologia, 45 (13), pp. 3054-3067; Shamay-Tsoory, S.G., Aharon-Peretz, J., Perry, D., Two systems for empathy: a double dissociation between emotional and cognitive empathy for inferior frontal gyrus versus ventromedial prefrontal lesions (2009) Brain, 132 (3), pp. 617-627; Shamay-Tsoory, S.G., Shur, S., Barcai-Goodman, L., Medlovich, S., Harari, H., Levkovitz, Y., Dissociation of cognitive from affective components of theory of mind in schizophrenia (2007) Psychiatry Research, 149 (1-3), pp. 11-23; Shamay-Tsoory, S.G., Tibi-Elhanany, Y., Aharon-Peretz, J., The ventromedial prefrontal cortex is involved in understanding affective but not cognitive theory of mind stories (2006) Social Neuroscience, 1 (3-4), pp. 149-166; Shamay-Tsoory, S.G., Tomer, R., Berger, B.D., Aharon-Peretz, J., Characterization of empathy deficits following prefrontal brain damage: the role of the right ventromedial prefrontal cortex (2003) Journal of Cognitive Neuroscience, 15 (3), pp. 324-337; Shamay-Tsoory, S.G., Tomer, R., Berger, B.D., Goldsher, D., Aharon-Peretz, J., Impaired "affective theory of mind" is associated with right ventromedial prefrontal damage (2005) Cognitive Behavioral Neurology, 18 (1), pp. 55-67; Shaw, P., Lawrence, E., Bramham, J., Brierly, B., Radbourne, C., David, A.S., A prospective study of the effects of anterior temporal lobectomy on emotion recognition and theory of mind (2007) Neuropsychologia, 45 (12), pp. 2783-2790; Siegal, M., Varley, R., Neural systems involved in "theory of mind" (2002) Natural Review of Neuroscience, 3 (6), pp. 463-471; Singer, T., The neuronal basis and ontogeny of empathy and mind reading: review of literature and implications for future research (2006) Neuroscience and Biobehavioral Reviews, 30, pp. 855-863; Solomon, J., Raymont, V., Braun, A., Butman, J.A., Grafman, J., User-friendly software for the analysis of brain lesions (ABLe) (2007) Computer Methods and Programs in Biomedicine, 86 (3), pp. 245-254; Stone, V.E., Baron-Cohen, S., Calder, A., Keane, J., Young, A., Acquired theory of mind impairments in individuals with bilateral amygdala lesions (2003) Neuropsychology, 41 (2), pp. 209-220. , SPSS for Windows, Rel. 14.0.1. 2006. Chicago: SPSS Inc; Stone, V.E., Baron-Cohen, S., Knight, R.T., Frontal lobe contributions to theory of mind (1998) Journal of Cognitive Neuroscience, 10 (5), pp. 640-656; Strenziok, M., Krueger, F., Heinecke, A., Lenroot, R.K., Knutson, K.M., Van der Meer, E., Grafman, J (2011) Soc Cognition Affect Neuroscience, 6 (1), pp. 2-11; Tranel, D., Damasio, H., Denburg, N.L., Bechara, A., Does gender play a role in functional assymetry of ventromedial prefrontal cortex? (2005) Brain, 128, pp. 2872-2881; Tzourio-Mazoyer, N., Landeau, B., Papathanassiou, D., Automated anatomical labeling of activations in SPM using a macroscopic anatomical parcellation of the MNI MRI single-subject brain (2002) Neuroimage, 15 (1), pp. 273-289; Van Hoesen, G., Pandya, D.N., Butters, N., Some connections of the entorhinal (area 28) and perirhinal (area 35) cortices of the rhesus monkey. II. Frontal lobe afferents (1975) Brain Research, 95, pp. 25-38; Wechsler, D., (1997) The Measurement of Adult Intelligence, , 3rd edn. Baltimore: Williams &amp; Wilkins; Wechsler, D., (1997) Wechsler Memory Scale, , 3rd edn. San Antonio, TX: Harcourt Assessment; Wellman, H.M., The MIT Press series in learning, development, and conceptual change (1990) The Child's Theory of Mind, , Cambridge, MA: MIT Press; Wellman, H.M., Cross, D., Watson, J., Meta-analysis of theory-ofmind development: The truth about false belief (2001) Child Development, 72, pp. 655-684; Woods, R.P., Mazziotta, J.C., Cherry, S.R., MRI-PET registration with automated algorithm (1993) Journal of Computer Assisted Tomography, 17, pp. 536-546</t>
  </si>
  <si>
    <t>17495016</t>
  </si>
  <si>
    <t>Soc. Cogn. Affect. Neurosci.</t>
  </si>
  <si>
    <t>All Open Access, Bronze, Green</t>
  </si>
  <si>
    <t>2-s2.0-84870222889</t>
  </si>
  <si>
    <t>Jaidka K., Giorgi S., Schwartz H.A., Kern M.L., Ungar L.H., Eichstaedt J.C.</t>
  </si>
  <si>
    <t>36245175400;57192064874;51562512500;25627687200;57201020481;55841072400;</t>
  </si>
  <si>
    <t>Estimating geographic subjective well-being from Twitter: A comparison of dictionary and data-driven language methods</t>
  </si>
  <si>
    <t>10165</t>
  </si>
  <si>
    <t>10171</t>
  </si>
  <si>
    <t>10.1073/pnas.1906364117</t>
  </si>
  <si>
    <t>https://www.scopus.com/inward/record.uri?eid=2-s2.0-85084502628&amp;doi=10.1073%2fpnas.1906364117&amp;partnerID=40&amp;md5=f1a12aa682debdbce1a79c9e8c65cc08</t>
  </si>
  <si>
    <t>Department of Communications and New Media, National University of Singapore, Singapore, 117416, Singapore; Centre for Trusted Internet and Community, National University of Singapore, Singapore, 117416, Singapore; Department of Computer and Information Science, University of Pennsylvania, Philadelphia, PA  19104, United States; Department of Computer Science, Stony Brook University, Stony Brook, NY  11794, United States; Melbourne Graduate School of Education, University of Melbourne, Parkville, VIC  3010, Australia; Department of Psychology, Stanford University, Stanford, CA  94305, United States; gInstitute for Human-Centered Artificial Intelligence, Stanford University, Stanford, CA  94305, United States</t>
  </si>
  <si>
    <t>Jaidka, K., Department of Communications and New Media, National University of Singapore, Singapore, 117416, Singapore, Centre for Trusted Internet and Community, National University of Singapore, Singapore, 117416, Singapore; Giorgi, S., Department of Computer and Information Science, University of Pennsylvania, Philadelphia, PA  19104, United States; Schwartz, H.A., Department of Computer Science, Stony Brook University, Stony Brook, NY  11794, United States; Kern, M.L., Melbourne Graduate School of Education, University of Melbourne, Parkville, VIC  3010, Australia; Ungar, L.H., Department of Computer and Information Science, University of Pennsylvania, Philadelphia, PA  19104, United States; Eichstaedt, J.C., Department of Psychology, Stanford University, Stanford, CA  94305, United States, gInstitute for Human-Centered Artificial Intelligence, Stanford University, Stanford, CA  94305, United States</t>
  </si>
  <si>
    <t>Researchers and policy makers worldwide are interested in measuring the subjective well-being of populations. When users post on social media, they leave behind digital traces that reflect their thoughts and feelings. Aggregation of such digital traces may make it possible to monitor well-being at large scale. However, social media-based methods need to be robust to regional effects if they are to produce reliable estimates. Using a sample of 1.53 billion geotagged English tweets, we provide a systematic evaluation of word-level and data-driven methods for text analysis for generating well-being estimates for 1,208 US counties. We compared Twitter-based county-level estimates with well-being measurements provided by the Gallup-Sharecare Well-Being Index survey through 1.73 million phone surveys. We find that word-level methods (e.g., Linguistic Inquiry and Word Count [LIWC] 2015 and Language Assessment by Mechanical Turk [LabMT]) yielded inconsistent county-level well-being measurements due to regional, cultural, and socioeconomic differences in language use. However, removing as few as three of the most frequent words led to notable improvements in well-being prediction. Data-driven methods provided robust estimates, approximating the Gallup data at up to r = 0.64. We show that the findings generalized to county socioeconomic and health outcomes and were robust when poststratifying the samples to be more representative of the general US population. Regional well-being estimation from social media data seems to be robust when supervised data-driven methods are used. © 2020 National Academy of Sciences. All rights reserved.</t>
  </si>
  <si>
    <t>Big data; Language analysis; Machine learning; Subjective well-being; Twitter</t>
  </si>
  <si>
    <t>article; big data; controlled study; human; human experiment; language; machine learning; major clinical study; prediction; social media; wellbeing</t>
  </si>
  <si>
    <t>Exton, C., Shinwell, M., (2018) Policy Use of Well-Being Metrics, , https://www.oecd-ilibrary.org/content/paper/d98eb8ed-en, Accessed 20 October 2019; Durand, M., (2018) Countries’ Experiences with Well-Being and Happiness Metrics, , Global Happiness; (2013) OECD Guidelines on Measuring Subjective Well-Being, , https://www.oecd-ilibrary.org/content/publication/9789264191655-en, Accessed 20 October 2019; (2018) About the Sustainable Development Goals, , https://www.un.org/sustainabledevelopment/sustainable-development-goals/, Accessed 20 October 2019; Guntuku, S.C., Yaden, D.B., Kern, M.L., Ungar, L.H., Eichstaedt, J.C., Detecting depression and mental illness on social media: An integrative review (2017) Curr. Opin. Behav. Sci., 18, pp. 43-49; McIver, D.J., Characterizing sleep issues using Twitter (2015) J. Med. Internet Res., 17, p. e140; Merchant, R.M., Evaluating the predictability of medical conditions from social media posts (2019) PloS One, 14; Eichstaedt, J.C., Psychological language on Twitter predicts county-level heart disease mortality (2015) Psychol. Sci., 26, pp. 159-169; Luhmann, M., Using big data to study subjective well-being (2017) Curr. Opin. Behav. Sci., 18, pp. 28-33; Mitchell, L., Frank, M.R., Harris, K.D., Dodds, P.S., Danforth, C.M., The geography of happiness: Connecting Twitter sentiment and expression, demographics, and objective characteristics of place (2013) PloS One, 8; Andrew Schwartz, H., Characterizing geographic variation in well-being using tweets (2013) Seventh International AAAI Conference on Weblogs and Social Media, pp. 583-591. , E. Kiciman, N. B. Ellison, B. Hogan, Resnick, I. Soboroff, Eds. Association for the Advancement of Artificial Intelligence, Cambridge, MA; Quercia, D., Seaghdha, D.O., Crowcroft, J., Talk of the city: Our tweets, our community happiness (2012) Proceedings of the Sixth AAAI International Conference on Weblogs and Social Media, pp. 555-558. , J. Breslin, N. B. Ellison, J. G. Shanahan, Z. Tufekci, Eds. Association for the Advancement of Artificial Intelligence, Dublin, Ireland; Pennebaker, J.W., Boyd, R.L., Jordan, K., Blackburn, K., (2015) The Development and Spychometric Properties of LIWC2015, , University of Texas at Austin, Austin, TX; Seligman, M.E., (2012) Flourish: A Visionary New Understanding of Happiness and Well-Being, , Simon and Schuster; Andrew Schwartz, H., Choosing the right words: Characterizing and reducing error of the word count approach (2013) Second Joint Conference on Lexical and Computational Semantics (* SEM), Volume 1: Proceedings of the Main Conference and the Shared Task: Semantic Textual Similarity, 1, pp. 296-305. , M. Diab, T. Baldwin, M. Baroni, Eds. Association of Computational Linguistics, Atlanta, GA; Bradley, M.M., Lang, P.J., (1999) Affective Norms for English Words (ANEW): Instruction Manual and Affective Ratings, , Tech. Rep.C-1, The Center for Research in Psychophysiology, University of Florida, Gainesville, FL; Dodds, P.S., Harris, K.D., Kloumann, I.M., Bliss, C.A., Danforth, C.M., Temporal patterns of happiness and information in a global social network: Hedonometrics and Twitter (2011) PloS One, 6; Preotiuc-Pietro, D., Modelling valence and arousal in Facebook posts (2016) Proceedings of the 7th Workshop on Computational Approaches to Subjectivity, Sentiment and Social Media Analysis, pp. 9-15. , A. Balahur, E. van der Goot, Vossen, A. Montoyo, Eds. Association for Computational Linguistics, San Diego, CA; Jaggi, M., Uzdilli, F., Cieliebak, M., Swiss-chocolate: Sentiment detection using sparse SVMs and part-of-speech n-grams (2014) Proceedings of the 8th International Workshop on Semantic Evaluation SemEval 2014, pp. 601-604. , Nakov, T. Zesch, Eds. Association for Computational Linguistics, Dublin, Ireland; Golder, S.A., Macy, M.W., Diurnal and seasonal mood vary with work, sleep, and daylength across diverse cultures (2011) Science, 333, pp. 1878-1881; Dodds, P.S., Human language reveals a universal positivity bias (2015) Proc. Natl. Acad. Sci. U.S.A., 112, pp. 2389-2394; Liu, P., Tov, W., Kosinski, M., Stillwell, D.J., Qiu, L., Do Facebook status updates reflect subjective well-being? (2015) Cyberpsychol. Behav. Soc. Netw., 18, pp. 373-379; Sun, J., Schwartz, H.A., Son, Y., Kern, M.L., Vazire, S., The language of well-being: Tracking fluctuations in emotion experience through everyday speech (2019) J. Pers. Soc. Psychol., 118, pp. 364-387; Gibbons, J., Twitter-based measures of neighborhood sentiment as predictors of residential population health (2019) PloS One, 14; Schwartz, H.A., Personality, gender, and age in the language of social media: The open-vocabulary approach (2013) PloS One, 8; Devlin, J., Chang, M.-W., Lee, K., Toutanova, K., (2018) Bert: Pre-Training of Deep Bidirectional Transformers for Language Understanding, , 11 October; Radford, A., Narasimhan, K., Salimans, T., Sutskever, I., (2018) Improving Language Understanding by Generative Pre-Training, , https://s3-us-west-2.amazonaws.com/openai-assets/research-covers/language-unsupervised/languageunderstandingpaper.pdf, Accessed 14 April 2019; Giorgi, S., The remarkable benefit of user-level aggregation for lexical-based population-level predictions (2018) Proceedings of the 2018 Conference on Empirical Methods in Natural Language Processing, pp. 1167-1172. , E. Riloff, D. Chiang, J. Hockenmaier, J. Tsujii, Eds. Association for Computational Linguistics, Brussels, Belgium; Schwartz, H.A., Dlatk: Differential language analysis toolkit (2017) Proceedings of the 2017 Conference on Empirical Methods in Natural Language Processing: System Demonstrations, pp. 55-60. , L. Specia, M. Post, M. Paul, Eds. Association for Computational Linguistics, Copenhagen, Denmark; Butler, J., Kern, M.L., The Perma-Profiler: A brief multidimensional measure of flourishing (2016) Int. J. Wellbeing, 6, pp. 1-48; Giorgi, S., Ungar, L.H., Schwartz, H.A., (2019) Correcting Sociodemographic Selection Biases for Population Prediction, , 10 November; McCulloch, G., (2019) Because Internet: Understanding the New Rules of Language, , Riverhead Books; Pennebaker, J.W., Stone, L.D., Words of wisdom: Language use over the life span (2003) J. Pers. Soc. Psychol., 85, pp. 291-301; (2017) Five-Year Trends Available for Median Household Income, Poverty Rates and Computer and Internet Use, , https://bit.ly/2CJyrXJ, Accessed 14 April 2019; Tsai, J.L., Knutson, B., Fung, H.H., Cultural variation in affect valuation (2006) J. Pers. Soc. Psychol., 90, pp. 288-307; Pennebaker, J.W., Chung, C.K., Frazee, J., Lavergne, G.M., Beaver, D.I., When small words foretell academic success: The case of college admissions essays (2014) PloS One, 9; Rohe, W.M., Stegman, M.A., The effects of homeownership: On the self-esteem, perceived control and life satisfaction of low-income people (1994) J. Am. Plann. Assoc., 60, pp. 173-184; Ed Diener, M.E.P., Seligman, Beyond money: Toward an economy of well-being (2004) Psychol. Sci. Publ. Interest, 5, pp. 1-31; Baumeister, R.F., Religion and psychology: Special issue (2002) Psychol. Inq., 13, pp. 165-167; Helliwell, J.F., Putnam, R.D., The social context of well-being (2004) Phil. Trans. Biol. Sci., 359, pp. 1435-1446; Cohen, S., Wills, T.A., Stress, social support, and the buffering hypothesis (1985) Psychol. Bull., 98, pp. 310-357; Ryan, R.M., Deci, E.L., On happiness and human potentials: A review of research on hedonic and eudaimonic well-being (2001) Annu. Rev. Psychol., 52, pp. 141-166; Kim, E.S., Social media as an emerging data resource for epidemiologic research: Characteristics of social media users and non-users in the Nurses’ Health Study II (2019) Am. J. Epidemiol.; Jaidka, K., Chhaya, N., Ungar, L., Diachronic degradation of language models: Insights from social media (2018) Proceedings of the 56th Annual Meeting of the Association for Computational Linguistics, 2, pp. 195-200. , I. Gurevych, Y. Miyao, Eds. Association for Computational Linguistics, Melbourne, Victoria, Australia; Eisenstein, J., O’Connor, B., Smith, N.A., Xing, E.P., Diffusion of lexical change in social media (2014) PloS One, 9; Jaidka, K., Guntuku, S.C., Buffone, A., Schwartz, H.A., Ungar, L., Facebook vs. Twitter: Differences in self-disclosure and trait prediction (2018) Proceedings of the International AAAI Conference on Web and Social Media, pp. 141-150. , J. Hancock, K. Starbird, I. Weber, Eds. Association for the Advancement of Artificial Intelligence, Stanford, CA; Guntuku, S.C., Buffone, A., Jaidka, K., Eichstaedt, J.C., Ungar, L.H., Understanding and measuring psychological stress using social media (2019) Proceedings of the International AAAI Conference on Web and Social Media, 13, pp. 214-225. , J. Pfeffer, C. Budak, Y.-R. Lin, F. Morstatter, Eds. Association for the Advancement of Artificial Intelligence, Munich, Germany; County Level Word and Topic Loading Derived from A 10% Twitter Sample from 2009–2015, , https://github.com/wwbp/countytweetlexicalbank, U.S. Deposited 3 November 2018; Jaidka, K., Eichstaedt, J.C., Giorgi, S., Data and resources for estimating geographic subjective well-being from Twitter: A comparison of dictionary and data-driven language methods Open Science Framework, , https://osf.io/jqk6f/, Deposited 7 April 2020</t>
  </si>
  <si>
    <t>2-s2.0-85084502628</t>
  </si>
  <si>
    <t>Estimating geographic subjective well-being from twitter: a comparison of dictionary and data-driven language methods</t>
  </si>
  <si>
    <t>Srividya M., Mohanavalli S., Bhalaji N.</t>
  </si>
  <si>
    <t>57191221420;37075351500;34972791600;</t>
  </si>
  <si>
    <t>Behavioral Modeling for Mental Health using Machine Learning Algorithms</t>
  </si>
  <si>
    <t>Journal of Medical Systems</t>
  </si>
  <si>
    <t>88</t>
  </si>
  <si>
    <t>10.1007/s10916-018-0934-5</t>
  </si>
  <si>
    <t>https://www.scopus.com/inward/record.uri?eid=2-s2.0-85044976943&amp;doi=10.1007%2fs10916-018-0934-5&amp;partnerID=40&amp;md5=6e68793e310388cfa0909814f15b0c5f</t>
  </si>
  <si>
    <t>SSN College of Engineering, Chennai, India</t>
  </si>
  <si>
    <t>Srividya, M., SSN College of Engineering, Chennai, India; Mohanavalli, S., SSN College of Engineering, Chennai, India; Bhalaji, N., SSN College of Engineering, Chennai, India</t>
  </si>
  <si>
    <t>Mental health is an indicator of emotional, psychological and social well-being of an individual. It determines how an individual thinks, feels and handle situations. Positive mental health helps one to work productively and realize their full potential. Mental health is important at every stage of life, from childhood and adolescence through adulthood. Many factors contribute to mental health problems which lead to mental illness like stress, social anxiety, depression, obsessive compulsive disorder, drug addiction, and personality disorders. It is becoming increasingly important to determine the onset of the mental illness to maintain proper life balance. The nature of machine learning algorithms and Artificial Intelligence (AI) can be fully harnessed for predicting the onset of mental illness. Such applications when implemented in real time will benefit the society by serving as a monitoring tool for individuals with deviant behavior. This research work proposes to apply various machine learning algorithms such as support vector machines, decision trees, naïve bayes classifier, K-nearest neighbor classifier and logistic regression to identify state of mental health in a target group. The responses obtained from the target group for the designed questionnaire were first subject to unsupervised learning techniques. The labels obtained as a result of clustering were validated by computing the Mean Opinion Score. These cluster labels were then used to build classifiers to predict the mental health of an individual. Population from various groups like high school students, college students and working professionals were considered as target groups. The research presents an analysis of applying the aforementioned machine learning algorithms on the target groups and also suggests directions for future work. © 2018, Springer Science+Business Media, LLC, part of Springer Nature.</t>
  </si>
  <si>
    <t>Behavioral healthcare; Classification; Mental health; Predictive analytics</t>
  </si>
  <si>
    <t>Article; Bayesian learning; behavior; classifier; college student; data processing; decision tree; high school student; human; k nearest neighbor; logistic regression analysis; machine learning; mental health; psychological well-being; supervised machine learning; support vector machine; adolescent; adult; algorithm; Bayes theorem; diagnosis; female; machine learning; male; mental stress; reproducibility; statistical model; young adult; Adolescent; Adult; Algorithms; Bayes Theorem; Decision Trees; Female; Humans; Logistic Models; Machine Learning; Male; Mental Health; Reproducibility of Results; Stress, Psychological; Young Adult</t>
  </si>
  <si>
    <t>Miner, L., (2014) Practical predictive analytics and decisioning systems for medicine: Informatics accuracy and cost-effectiveness for healthcare administration and delivery including medical research, , Cambridge, Academic Press; (2015) Artificial Intelligence in Behavioral and Mental Health Care, , Luxton, D. D. ed. Amsterdam, Elsevier Inc; Hahn, T., Nierenberg, A.A., Whitfield-Gabrieli, S., Predictive analytics in mental health: applications, guidelines, challenges and perspectives (2017) Mol. Psychiatry, 22 (1), pp. 37-43. , COI: 1:STN:280:DC%2BC2snlvF2rsA%3D%3D, PID: 27843153; Bijl, R.V., Ravelli, A., Van Zessen, G., Prevalence of psychiatric disorder in the general population: results of The Netherlands Mental Health Survey and Incidence Study (NEMESIS) (1998) Soc. Psychiatry Psychiatr. Epidemiol., 33 (12), pp. 587-595. , COI: 1:STN:280:DyaK1M%2FnsFWiug%3D%3D, PID: 9857791; (2001) Mental health: a call for action by world health ministers, , World Health Organization, Department of Mental Health and Substance Dependence, Geneva; Funk, M., Global burden of mental disorders and the need for a comprehensive, coordinated response from health and social sectors at the country level, , http://apps.who.int/gb/ebwha/pdf_files/EB130/B130_9-en.pdf, Accessed 20 Feb 2016, 2016; Drapeau, A., Marchand, A., Beaulieu-Prévost, D., (2012) Mental illnesses-understanding, prediction and control, , https://doi.org/10.5772/1235, Epidemiol. Psychol, Distress; Goodman, R., Renfrew, D., Mullick, M., Predicting type of psychiatric disorder from Strengths and Difficulties Questionnaire (SDQ) scores in child mental health clinics in London and Dhaka (2000) Eur. Child Adolesc. Psychiatry, 9 (2), pp. 129-134. , COI: 1:STN:280:DC%2BD3M%2FksVyjsQ%3D%3D, PID: 10926063; Lanata, A., Complexity index from a personalized wearable monitoring system for assessing remission in mental health (2015) IEEE J. Biomed. Health Inform., 19 (1), pp. 132-139. , PID: 25291802; Schaefer, J.D., et al. "Enduring mental health: Prevalence and prediction." (2017) J. Abnorm. Psychol., 126 (2), p. 212. , PID: 27929304; Qiu, T., Zhang, Y., Qiao, D., Zhang, X., Wymore, M.L., Sangaiah, A.K., A robust time synchronization scheme for industrial internet of things (2017) IEEE Trans. Ind. Inf., , https://doi.org/10.1109/TII.2017.2738842; Qiu, T., Qiao, R., Han, M., Sangaiah, A.K., Lee, I., A Lifetime-Enhanced Data Collecting Scheme for the Internet of Things (2017) IEEE Commun. Mag., 55 (11), pp. 132-137; Kumar, P., Kumari, S., Sharma, V., Sangaiah, A.K., Wei, J., Li, X., A Certificateless aggregate signature scheme for healthcare wireless sensor network (2017) Sustain. Comput. Inf. Syst., , https://doi.org/10.1016/j.suscom.2017.09.002; Sangaiah, A.K., Samuel, O.W., Li, X., Abdel-Basset, M., Wang, H., Towards an efficient risk assessment in software projects–Fuzzy reinforcement paradigm (2017) Comput. Electr. Eng., , https://doi.org/10.1016/j.compeleceng.2017.07.022; Wu, F., A lightweight and robust two-factor authentication scheme for personalized healthcare systems using wireless medical sensor networks (2017) Futur. Gener. Comput. Syst, 82, pp. 727-737; Aborokbah, M.M., Al-Mutairi, S., Sangaiah, A.K., Samuel, O.W., Adaptive context aware decision computing paradigm for intensive health care delivery in smart cities—A case analysis (2017) Sustain. Cities Soc.; Chinaveh, M., The effectiveness of problem-solving on coping skills and psychological adjustment (2013) Procedia. Soc. Behav. Sci., 84, pp. 4-9; Hajiyakhchali, A., The Effects of Creative Problem Solving Process Training on Academic Well-being of Shahid Chamran University Students (2013) Procedia. Soc. Behav. Sci., 84, pp. 549-552; Aghaei, A., Khayyamnekouei, Z., Yousefy, A., General health prediction based on life orientation, quality of life, life satisfaction and age (2013) Procedia. Soc. Behav. Sci., 84, pp. 569-573; Strauss, J., Peguero, A.M., Hirst, G., Machine learning methods for clinical forms analysis in mental health (2013) MedInfo, 192, p. 1024; Jung, Y., Yoon, Y.I., Multi-level assessment model for wellness service based on human mental stress level (2017) Multimedia Tools and Applications, 76 (9), pp. 11305-11317; Wang, H., Wang, J., An effective image representation method using kernel classification. Tools with Artificial Intelligence (ICTAI), 2014 I.E. 26th International Conference on (2014) IEEE; Cheng, X., iATC-mISF: a multi-label classifier for predicting the classes of anatomical therapeutic chemicals (2016) Bioinformatics, 33 (3), pp. 341-346; Rakesh, G., Suicide Prediction With Machine Learning (2017) Am. J. Psychiatry Residents' J., 12 (1), pp. 15-17; Ribeiro, J.D., Letter to the Editor: Suicide as a complex classification problem: machine learning and related techniques can advance suicide prediction-a reply to Roaldset (2016) (2016) Psychol. Med., 46 (9), p. 2009. , COI: 1:STN:280:DC%2BC28bhtFaqtA%3D%3D, PID: 27091309; Kessler, R.C., Testing a machine-learning algorithm to predict the persistence and severity of major depressive disorder from baseline self-reports (2016) Mol. Psychiatry., 21 (10), p. 1366. , COI: 1:CAS:528:DC%2BC28XksFOnsw%3D%3D, PID: 26728563; Fleury, A., Vacher, M., Noury, N., SVM-based multimodal classification of activities of daily living in health smart homes: sensors, algorithms, and first experimental results (2010) IEEE Trans. Inf. Technol. Biomed., 14 (2), pp. 274-283. , PID: 20007037; Smets, E., (2015) Comparison of machine learning techniques for psychophysiological stress detection. International Symposium on Pervasive Computing Paradigms for Mental Health, , Springer International Publishing; Xu, J., On the properties of mean opinion scores for quality of experience management. Multimedia (ISM), 2011 I.E. International Symposium on (2011) IEEE; Jung, Y.G., Kang, M.S., Heo, J., Clustering performance comparison using K-means and expectation maximization algorithms (2014) Biotechnol. Biotechnol. Equip., 28 (sup1), pp. S44-S48. , PID: 26019610; Kern, M.L., et al. "The EPOCH Measure of Adolescent Well-Being." (2016) Psychol. Assess., 28 (5), p. 586. , PID: 26302102; Milligan, G.W., Cooper, M.C., Methodology review: Clustering methods (1987) Appl. Psychol. Meas., 11 (4), pp. 329-354; Dziopa, T., Clustering Validity Indices Evaluation with Regard to Semantic Homogeneity (2016) FedCSIS Position Papers; Aggarwal, C.C., Zhai, C.X., (2012) A survey of text classification algorithms. Mining text data, pp. 163-222. , Springer US; Burges, C.J.C., A tutorial on support vector machines for pattern recognition (1998) Data Min. Knowl. Disc., 2 (2), pp. 121-167; Lee, Y., Handwritten digit recognition using k nearest-neighbor, radial-basis function, and backpropagation neural networks (1991) Neural Comput., 3 (3), pp. 440-449; Statnikov, A., Wang, L., Aliferis, C.F., A comprehensive comparison of random forests and support vector machines for microarray-based cancer classification (2008) BMC Bioinformatics, 9 (1), p. 319. , PID: 18647401; Joachims, T., Text categorization with support vector machines: learning with many relevant features (1998) European conference on machine learning., pp. 137-142. , In: Berlin, Heidelberg, Springer; Friedl, M.A., Brodley, C.E., Decision tree classification of land cover from remotely sensed data (1997) Remote Sens. Environ., 61 (3), pp. 399-409; Vlahou, A., Diagnosis of ovarian cancer using decision tree classification of mass spectral data (2003) Biomed. Res. Int., 2003 (5), pp. 308-314; Zhang, Y., Wang, S., Dong, Z., Classification of Alzheimer disease based on structural magnetic resonance imaging by kernel support vector machine decision tree (2014) Prog. Electromagn. Res., 144, pp. 171-184; Jiang, L., Survey of improving k-nearest-neighbor for classification." Fuzzy Systems and Knowledge Discovery, 2007. FSKD 2007. Fourth International Conference on. Vol. 1 (2007) IEEE; Liao, Y., Rao Vemuri, V., Use of k-nearest neighbor classifier for intrusion detection (2002) Comput Secur, 21 (5), pp. 439-448; Liu, B., Scalable sentiment classification for big data analysis using naive bayes classifier. Big Data, 2013 I.E. International Conference on (2013) IEEE; Dreiseitl, S., Ohno-Machado, L., Logistic regression and artificial neural network classification models: a methodology review (2002) J. Biomed. Inform., 35 (5), pp. 352-359. , PID: 12968784; Ribeiro, M.T., Singh, S., Guestrin, C., Why should i trust you?: Explaining the predictions of any classifier. Proceedings of the 22nd ACM SIGKDD International Conference on Knowledge Discovery and Data Mining (2016) ACM; Kuncheva, L.I., (2004) Combining pattern classifiers: methods and algorithms, , New York, John Wiley &amp; Sons; Breiman, L., Random forests (2001) Mach. Learn., 45 (1), pp. 5-32; Gislason, P.O., Benediktsson, J.A., Sveinsson, J.R., Random forests for land cover classification (2006) Pattern Recogn. Lett., 27 (4), pp. 294-300</t>
  </si>
  <si>
    <t>Springer New York LLC</t>
  </si>
  <si>
    <t>01485598</t>
  </si>
  <si>
    <t>JMSYD</t>
  </si>
  <si>
    <t>J. Med. Syst.</t>
  </si>
  <si>
    <t>2-s2.0-85044976943</t>
  </si>
  <si>
    <t>Behavioral modeling for mental health using machine learning algorithms</t>
  </si>
  <si>
    <t>Hee Lee D., Yoon S.N.</t>
  </si>
  <si>
    <t>57221446855;7404035563;</t>
  </si>
  <si>
    <t>Application of artificial intelligence-based technologies in the healthcare industry: Opportunities and challenges</t>
  </si>
  <si>
    <t>International Journal of Environmental Research and Public Health</t>
  </si>
  <si>
    <t>271</t>
  </si>
  <si>
    <t>10.3390/ijerph18010271</t>
  </si>
  <si>
    <t>https://www.scopus.com/inward/record.uri?eid=2-s2.0-85099132545&amp;doi=10.3390%2fijerph18010271&amp;partnerID=40&amp;md5=0dae9602bb79cd0dd736760a4bb47b12</t>
  </si>
  <si>
    <t>College of Business Administration, Inha University, Incheon, 22212, South Korea; Department of Business Edward Waters College, Jacksonville, FL  32209, United States</t>
  </si>
  <si>
    <t>Hee Lee, D., College of Business Administration, Inha University, Incheon, 22212, South Korea; Yoon, S.N., Department of Business Edward Waters College, Jacksonville, FL  32209, United States</t>
  </si>
  <si>
    <t>This study examines the current state of artificial intelligence (AI)-based technology applications and their impact on the healthcare industry. In addition to a thorough review of the literature, this study analyzed several real-world examples of AI applications in healthcare. The results indicate that major hospitals are, at present, using AI-enabled systems to augment medical staff in patient diagnosis and treatment activities for a wide range of diseases. In addition, AI systems are making an impact on improving the efficiency of nursing and managerial activities of hospitals. While AI is being embraced positively by healthcare providers, its applications provide both the utopian perspective (new opportunities) and the dystopian view (challenges to overcome). We discuss the details of those opportunities and challenges to provide a balanced view of the value of AI applications in healthcare. It is clear that rapid advances of AI and related technologies will help care providers create new value for their patients and improve the efficiency of their operational processes. Nevertheless, effective applications of AI will require effective planning and strategies to transform the entire care service and operations to reap the benefits of what technologies offer. © 2021 by the authors. Licensee MDPI, Basel, Switzerland.</t>
  </si>
  <si>
    <t>AI-based technology; Healthcare industry; Opportunities and challenges; Policy and management support; Real-world cases</t>
  </si>
  <si>
    <t>artificial intelligence; efficiency measurement; health care; health policy; hospital sector; policy approach; service provision; technology adoption; Article; artificial intelligence; artificial neural network; computer security; health care cost; health care industry; health service; hospital management; human; machine learning; medical error; patient participation; privacy; strategic planning; wellbeing; health care cost; medical technology; organization and management; Artificial Intelligence; Biomedical Technology; Health Care Sector; Humans</t>
  </si>
  <si>
    <t>Aabo, G., (2016) Being Patient-Centric in a Digitizing World, , McKinsey and Company: New York, NY, USA; Lee, S., Lee, D., Healthcare wearable devices: An analysis of key factors for continuous use intention (2020) Serv. Bus, 14, pp. 503-531; Lee, D., Strategies for Technology-driven Service Encounters for Patient Experience Satisfaction in Hospitals (2018) Technol. Forecast. Soc. Chang, 137, pp. 118-127; Lee, D., Effects of Key Value Co-creation Elements in the Healthcare System: Focusing on Technology Applications (2019) Serv. Bus, 13, pp. 389-417; Lee, S., Lim, S., (2018) Living Innovation: From Value Creation to the Greater Good, , Emerald Publishing Limited: Bingley, UK; (2017) IoT Heading for Mass Adoption by 2019 Driven by Better-than-Expected Business Results, , Https://news.arubanetworks.com/press-release/arubanetworks/iot-heading-mass-adoption-2019-driven-better-expected-business-results, Aruba. (accessed on 10 April 2020); Yoon, S., Lee, D., Artificial Intelligence and Robots in Healthcare: What are the Success Factors for Technology-based Service Encounters? (2019) Int. J. Healthc. Manag, 12, pp. 218-225; Ramesh, A., Kambhampati, C., Monson, J., Drew, P., Artificial Intelligence in Medicine (2004) Ann. R. Coll. Surg. Engl, 86, pp. 334-338; Safavi, K., Kalis, B., How AI can Change the Future of Health Care (2019) Harv. Bus. Rev, , Https://hbr.org/webinar/2019/02/how-ai-can-change-the-future-of-health-care, (accessed on 15 June 2020); (2018), Https://press.rsna.org/timssnet/media/rsna/newsroom2018.cfm, RSNA Newsroom. (accessed on 5 May 2020); Mesko, B., (2016) Artificial Intelligence Will Redesign Healthcare, , Https://www.linkedin.com/pulse/artificial-intelligence-redesign-healthcare-bertalan-mesk%C3%B3-md-phd, (accessed on 10 May 2020); Liang, H., Tsui, B., Ni, H., Valentim, C., Baxter, S., Liu, G., Evaluation and Accurate Diagnoses of Pediatric Diseases Using Artificial Intelligence (2019) Nat. Med, 25, pp. 433-438; (2018) AI: An Engine for Growth, , Https://www.accenture.com/fi-en/insight-artificial-intelligence-healthcare, Accenture. (accessed on 25 July 2020); Amato, F., López, A., Peña-Méndez, E., Vaňhara, P., Hampl, A., Havel, J., Artificial Neural Networks in Medical Diagnosis (2013) J. Appl. Biomed, 11, pp. 47-58; Bennett, C., Hauser, K., Artificial Intelligence Framework for Simulating Clinical Decision-Making: AMarkov Decision Process Approach (2013) Artif. Intell. Med, 57, pp. 9-19; Dilsizian, S., Siegel, E., Artificial Intelligence in Medicine and Cardiac Imaging: Harnessing Big Data and Advanced Computing to Provide Personalized Medical Diagnosis and Treatment (2014) Curr. Cardiol. Rep, 16, p. 441; Shiraishi, J., Li, Q., Appelbaum, D., Doi, K., Computer-aided Diagnosis and Artificial Intelligence in Clinical Imaging (2011) Semin. Nucl. Med, 41, pp. 449-462; Esteva, A., Kuprel, B., Novoa, R., Ko, J., Swetter, S., Blau, H., Thrun, S., Dermatologist-level Classification of Skin cancer with Deep Neural Networks (2017) Nature, 542, pp. 115-118; Rigby, M., Ethical Dimensions of Using Artificial Intelligence in Healthcare (2019) AMA J. Ethics, 21, pp. E121-E124; Luxton, D., Artificial Intelligence in Psychological Practice: Current and Future Applications and Implications (2014) Prof. Psychol. Res. Pract, 45, pp. 332-339; Miyashita, M., Brady, M., The Health Care Benefits of Combining Wearables and AI (2019) Harv. Bus. Rev, , Https://hbr.org/2019/05/the-health-care-benefits-of-combining-wearables-and-ai, (accessed on 18 June 2020); Abomhara, M., Køien, G., Cyber Security and the Internet of Things: Vulnerabilities, Threats, Intruders and Attacks (2015) J. Cyber Secur, 4, pp. 65-88; Evolution of Artificial Intelligence, , Https://towardsdatascience.com/artificial-intelligence-vs-machine-learning-vs-deep-learning-2210ba8cc4ac, (accessed on 22 December 2020); Lee, S., Lee, D., Kim, Y., The Quality Management Ecosystem for Predictive Maintenance in the Industry 4.0 Era (2019) Int. J. Qual. Innov, 5, pp. 1-11; LeCun, Y., Bengio, Y., Hinton, G., Deep Learning (2015) Nature, 251, pp. 434-444; (2018), Http://biz.chosun.com/site/data/html_dir/2018/11/23/2018112302467.html, Chosun Biz. 24 November (accessed on 3 July 2020); Stephens, J., Blazynski, C., Rare Disease Landscape: Will the Blockbuster Model be Replaced? (2014) Expert Opin. Orphan Drugs, 2, pp. 797-806; Colbaugh, R., Glass, K., Rudolf, C., Tremblay, M., Learning to Identify Rare Disease Patients from Electronic Health Records (2018) AMIA Annu. Symp. Proc, 2018, pp. 340-347; (2019) Weekly Genetic Diagnosis of Rare Diseases Using Artificial Intelligence, , Http://gonggam.korea.kr/newsView.do?newsId=01JCjwwy0DGJM000, 20 March (accessed on 15 November 2020); Afifi-Sabet, K., DeepMind’s AI can Detect Eye Diseases as Accurately as World-Leading Doctors (2018) ITPro, , Https://www.itpro.co.uk/machine-learning, (accessed on 15 November 2020); Wang, P., Berzin, T., Brown, J., Bharadwaj, S., Becq, A., Xiao, X., Liu, P., Zhang, D., Real-time Automatic Detection System Increases Colonoscopic Polyp and Adenoma Detection Rates: A Prospective Randomised Controlled Study (2019) BMJ J, 68, pp. 1813-1819; Polakovic, G., (2019) USC News, , Https://news.usc.edu/153526/improving-communication-between-people-and-smart-buildings/, How to Improve Communication between People and Smart Buildings, (accessed on 15 November 2020); Mary’s Hospital of the Catholic University of Korea, , Https://www.cmcep.or.kr/, Eunpyeong St. (accessed on 15 November 2020); (2015) Watson in Healthcare, , Http://www.helse-it.no/wp-content/uploads/2015/11/Presentasjon-Thomas-Anglero.pdf, IBM. IBM. (accessed on 15 November 2020); Ross, C., Swetlitz, I., (2018) IBM’s Watson Supercomputer Recommended ‘Unsafe and Incorrect’ Cancer Treatments, Internal Documents Show, , Https://www.statnews.com/wp-content/uploads/2018/09/IBMs-Watson-recommended-unsafe-and-incorrect-cancer-treatments-STAT.pdf, STAT 25 July (accessed on 15 November 2020); The WHO cross-national study of health behavior in school aged children from 35 countries: Findings from 2001-2002 (2004) J. Sch. Health, 74, pp. 204-206. , World Health Organization; Abe, M., Abe, H., Lifestyle Medicine—An Evidence-based Approach to Nutrition, Sleep, Physical Activity, and Stress Management on Health and Chronic Illness (2019) Pers. Med. Universe, 8, pp. 3-9; Taylor, N., (2019) MedTech Dive, , Https://www.medtechdive.com/news/duke-report-identifies-barriers-to-adoption-of-ai-healthcare-systems/546739/, Duke Report Identifies Barriers to Adoption of AI Healthcare Systems, (accessed on 15 November 2020); Uzialko, A., Artificial Intelligence Will Change Healthcare as We Know it (2019) Business News Daily, , Https://www.businessnewsdaily.com/15096-artificial-intelligence-in-healthcare.html, 9 June (accessed on 15 November 2020); Arsene, C., Artificial Intelligence in healthcare: The Future is Amazing (2019) Healthcare Weekly, , Https://healthcareweekly.com/artificial-intelligence-in-healthcare/, (accessed on 15 November 2020); (2019) Can AI really be a Game Changer in Cervical Cancer Screenings? Medical Device and Diagnostic Industry (MDDI), , Https://www.mddionline.com/can-ai-really-be-game-changer-cervical-cancer-screenings, MDDI Staff. (accessed on 15 November 2020); (2018) Breakthrough in AI Technology to Improve Care for Ppatients, , Https://www.moorfields.nhs.uk/news/breakthrough-ai-technology-improve-care-patients, Moorfield Eye Hospital News. (accessed on 15 November 2020); Somashekhar, S., Kumar, R., Kumar, A., Patil, P., Rauthan, A., Validation Study to Assess Pperformance of IBM Cognitive Computing System Watson for Oncology with Manipal Multidisciplinary Tumour Board for 1000 Consecutive Cases: An Indian Experience (2016) Ann. Oncol, 27, pp. 1-2; Palanica, A., Flaschner, P., Thommandram, A., Li, M., Fossat, Y., Physicians’ Perceptions of Chatbots in Health Care: Cross-sectional Web-based Survey (2019) J. Med Internet Res, 21, p. e12887; (2019) The Hospital Will See Vou Now, , Https://www.forbes.com/sites/insights-intelai/2019/02/11/the-hospital-will-see-you-now/#4c9b42ae408a, Forbes. (accessed on 15 November 2020); Reflecting the Past, Shaping the Future: Making AI Work for International Development, , Https://www.usaid.gov/sites/default/files/documents/15396/AI-ML-in-Development.pdf, (accessed on 15 November 2020); Coventry, L., Branley, D., Cybersecurity in Healthcare: A Narrative Review of Trends, Threats and Ways Forward (2018) Maturitas, 113, pp. 48-52; Musa, M., (2018) Science, , Https://www.the-scientist.com/news-opinion/opinion--rise-of-the-robot-radiologists-64356, Opinion: Rise of the Robot Radiologists, (accessed on 15 November 2020); (2015) Watson to Gain Ability to “See” with Planned $1B Acquisition of Merge Healthcare, , Https://www-03.ibm.com/press/us/en/pressrelease/47435.wss, IBM News. (accessed on 15 November 2020); Dawes, T., de Marvao, A., Shi, W., Fletcher, T., Watson, G., Wharton, J., Rhodes, C., Rueckert, D., Machine Learning of Three-Dimensional Right Ventricular Motion Enables Outcome Prediction in Pulmonary Hypertension: A Cardiac MRI Imaging Study (2017) Radiology, 283, pp. 381-390; Guo, J., Li, B., The Application of Medical Artificial Intelligence Technology in Rural Areas of Developing Countries (2018) Health Equity, 2, pp. 174-181; Pesapane, F., Codari, M., Sardanelli, F., Artificial Intelligence in Medical Imaging: Threat or Opportunity? Radiologists again at the Forefront of Innovation in Medicine (2018) Eur. Radiol. Exp, 2, pp. 1-10; Michaelides, A., Raby, C., Wood, M., Farr, K., Toro-Ramos, T., Weight Loss Efficacy of a Novel Mobile Diabetes Prevention Program Delivery Platform with Human Ccoaching (2016) BMJ Open Diabetes Res. Care, 4, pp. 1-5; Https://web.noom.com, Noom. (accessed on 15 November 2020); Kolovos, P., Kaitelidou, D., Lemonidou, C., Sachlas, A., Sourtzi, P., Patients’ Perceptions and Preferences of Participation in Nursing care (2016) J. Res. Nurs, 21, pp. 290-303; Tobiano, G., Bucknall, T., Marshall, A., Guinane, J., Chaboyer, W., Patients’ Perceptions of Participation in Nursing Care on Medical Wards (2016) Scand. J. Caring Sci, 30, pp. 260-270; Boulding, W., Glickman, S., Manary, M., Schulman, K., Staelin, R., Relationship between Patient Satisfaction with Inpatient Care and Hospital Readmission within 30 Days (2011) Am. J. Manag. Care, 17, pp. 41-48; Sato, M., Morimoto, K., Kajihara, S., Tateishi, R., Shiina, S., Koike, K., Yatomi, Y., Machine-Learning Approach for the Development of a Novel Predictive Model for the Diagnosis of Hepatocellular Carcinoma (2019) Sci. Rep, 9, p. 7704; Escalante, H., Montes-y-Gómez, M., González, J., Gómez-Gil, P., Altamirano, L., Reyes, C., Reta, C., Rosales, A., Acute Leukemia Classification by Ensemble Particle Swarm Model Selection (2012) Artif. Intell. Med, 55, pp. 163-175; Manyika, J., (2017) Technology, Jobs, and the Future of Work, , McKinsey Global Institute; McKinsey &amp; Company: New York, NY, USA; Purdy, S., Wong, P., Harris, P., (2016) Stop the Presses!, pp. 1-20. , KPMG: Amsterdam, The Netherlands; Can AI Address Health Care’s Red-Tape Problem?, , Https://hbr.org/2018/11/can-ai-address-health-cares-red-tape-problem, Available online: (accessed on 15 November 2020); Kermany, D., Goldbaum, M., Cai, W., Lewis, M., Xia, H., Zhang, K., Identifying Medical Diagnoses and Treatable Diseases by Mage-based Deep Learning (2018) Cell, 172, pp. 1122-1131; (2018) New Report Identifies Leading AI Applications for Healthcare, , Https://www.abiresearch.com/press/ai-save-healthcare-sector-us52-billion-2021/, ABI Research. (accessed on 15 August 2020); Sulleyman, A., (2017) Stephen Hawking Warns Artificial Intelligence ‘May Replace Humans Altogether’, , Https://www.independent.co.uk/life-style/gadgets-and-tech/news/stephen-hawking-artificial-intelligence-fears-ai-will-replace-humans-virus-life-a8034341.html, (accessed on 15 October 2020); Lupton, M., Some Ethical and Legal Consequences of the Application of Artificial Intelligence in the Field of Medicine (2018) Trends Med, 18, pp. 1-7; Kaptchuk, T., Miller, F., Placebo Effects in Medicine (2015) N. Engl. J. Med, 373, pp. 8-9; Das, S., Kant, K., Zhang, N., (2012) Handbook on Securing Cyber-Physical Critical Infrastructure, , Morgan Kaufmann: Waltham, MA, USA; (2019) Amazon. To Retrain 100,000 Workers for the Digital Age, , Https://www.cbsnews.com/, CBS News. 11 July (accessed on 15 October 2020); (2019), Http://www.medicalworldnews.co.kr/news/, Medical World News. 31 March (accessed on 5 September 2020); Davenport, T., Dreyer, K., AI will Change Radiology, but it won’t Replace Radiologists (2018) Harvard Business Review; Moreno, H., (2017) The Importance of Data Quality-Good, Bad or Ugly, , Https://www.forbes.com/sites/forbesinsights/2017/06/05/the-importance-of-data-quality-good-bad-or-ugly/#614a247a10c4, Forbes. 5 June (accessed on 5 September 2020); Johnson, S., Speedie, S., Simon, G., Kumar, V., Westra, B., Quantifying the Effect of Data Quality on the Validity of an eMeasure (2017) Appl. Clin. Inform, 8, pp. 1012-1021; Lee, S., Lee, D., Lessons Learned from Battling COVID-19: The Korean Experience (2020) Serv. Bus, 17, p. 7548; (2017) The 5G Business Potentia, , Ericsson. 2nd ed.; Ericsson Stockholm: Stockholm, Sweden</t>
  </si>
  <si>
    <t>16617827</t>
  </si>
  <si>
    <t>Int. J. Environ. Res. Public Health</t>
  </si>
  <si>
    <t>2-s2.0-85099132545</t>
  </si>
  <si>
    <t>Application of artificial intelligence-based technologies in the healthcare industry: opportunities and challenges</t>
  </si>
  <si>
    <t>Taylor S., Jaques N., Nosakhare E., Sano A., Picard R.</t>
  </si>
  <si>
    <t>57203543937;56204953700;56690495100;54788353200;7005583409;</t>
  </si>
  <si>
    <t>Personalized Multitask Learning for Predicting Tomorrow's Mood, Stress, and Health</t>
  </si>
  <si>
    <t>IEEE Transactions on Affective Computing</t>
  </si>
  <si>
    <t>8226850</t>
  </si>
  <si>
    <t>200</t>
  </si>
  <si>
    <t>213</t>
  </si>
  <si>
    <t>10.1109/TAFFC.2017.2784832</t>
  </si>
  <si>
    <t>https://www.scopus.com/inward/record.uri?eid=2-s2.0-85039769283&amp;doi=10.1109%2fTAFFC.2017.2784832&amp;partnerID=40&amp;md5=b7f25e84c5c43e9524dcf21b011852ce</t>
  </si>
  <si>
    <t>Program of Media Arts and Sciences, Massachusetts Institute of Technology Media Lab., Cambridge, MA, United States; Department of Electrical Engineering and Computer Science, Massachusetts Institute of Technology Media Lab., Cambridge, MA, United States</t>
  </si>
  <si>
    <t>Taylor, S., Program of Media Arts and Sciences, Massachusetts Institute of Technology Media Lab., Cambridge, MA, United States; Jaques, N., Program of Media Arts and Sciences, Massachusetts Institute of Technology Media Lab., Cambridge, MA, United States; Nosakhare, E., Department of Electrical Engineering and Computer Science, Massachusetts Institute of Technology Media Lab., Cambridge, MA, United States; Sano, A., Program of Media Arts and Sciences, Massachusetts Institute of Technology Media Lab., Cambridge, MA, United States; Picard, R., Program of Media Arts and Sciences, Massachusetts Institute of Technology Media Lab., Cambridge, MA, United States</t>
  </si>
  <si>
    <t>While accurately predicting mood and wellbeing could have a number of important clinical benefits, traditional machine learning (ML) methods frequently yield low performance in this domain. We posit that this is because a one-size-fits-all machine learning model is inherently ill-suited to predicting outcomes like mood and stress, which vary greatly due to individual differences. Therefore, we employ Multitask Learning (MTL) techniques to train personalized ML models which are customized to the needs of each individual, but still leverage data from across the population. Three formulations of MTL are compared: i) MTL deep neural networks, which share several hidden layers but have final layers unique to each task; ii) Multi-task Multi-Kernel learning, which feeds information across tasks through kernel weights on feature types; and iii) a Hierarchical Bayesian model in which tasks share a common Dirichlet Process prior. We offer the code for this work in open source. These techniques are investigated in the context of predicting future mood, stress, and health using data collected from surveys, wearable sensors, smartphone logs, and the weather. Empirical results demonstrate that using MTL to account for individual differences provides large performance improvements over traditional machine learning methods and provides personalized, actionable insights. © 2010-2012 IEEE.</t>
  </si>
  <si>
    <t>deep neural networks; hierarchical Bayesian model; Mood prediction; multi-kernel SVM; multitask learning</t>
  </si>
  <si>
    <t>Bayesian networks; Data reduction; Data structures; Forecasting; Learning algorithms; Linearization; Machine learning; Meteorology; Multilayer neural networks; Open systems; Population statistics; Stresses; Bayes method; Hierarchical Bayesian modeling; Mood; Multi-kernel; Multitask learning; Predictive models; Deep neural networks</t>
  </si>
  <si>
    <t>Cheng, H., Furnham, A., Personality, self-esteem, and demographic predictions of happiness and depression (2003) Personality Individual Differences, 34 (6), pp. 921-942; Veenhoven, R., Healthy happiness: Effects of happiness on physical health and the consequences for preventive health care (2008) J. Happiness Stud., 9 (3), pp. 449-469; Cohen, S., Tyrrell, D.A., Smith, A.P., Psychological stress and susceptibility to the common cold (1991) New England J. Med., 325 (9), pp. 606-612; Keller, A., Does the perception that stress affects health matter? The association with health and mortality (2012) Health Psychology, 31 (5); Aichele, S., Rabbitt, P., Ghisletta, P., Think fast, feel fine, live long: A 29-year study of cognition, health, and survival in middleaged and older adults (2016) Psychological Sci., 27 (4), pp. 518-529; Bogomolov, A., Lepri, B., Ferron, M., Pianesi, F., Pentland, A., Daily stress recognition from mobile phone data, weather conditions and individual traits (2014) Proc. Int. Conf. Multimedia, pp. 477-486; LiKamWa, R., Liu, Y., Lane, N.D., Zhong, L., MoodScope: Building a mood sensor from smartphone usage patterns (2013) Proc. Int. Conf. Mobile Syst. Appl. Serv., pp. 389-402; Grünerbl, A., Smartphone-based recognition of states and state changes in bipolar disorder patients (2015) IEEE J. Biomed. Health Informat., 19 (1), pp. 140-148. , Jan; Jaques, N., Azaria, S.A., Ghandeharioun, A., Sano, A., Picard, R., Predicting students' happiness from physiology, phone, mobility, and behavioral data (2015) Proc. Int. Conf. Affective Comput. Intell. Interaction., pp. 222-228; Jaques, N., Azaria, S.A., Ghandeharioun, A., Sano, A., Picard, R., Multi-task, multi-kernel learning for estimating individual wellbeing (2015) Proc. 28th Int. Conf. Neural Inf. Process. Syst. Workshop Multimodal ML, 898; Brebner, J., Personality factors in stress and anxiety (1990) Cross-Cultural Anxiety, 4, pp. 11-19; Clark, L., Watson, D., Mineka, S., Temperament, personality, and the mood and anxiety disorders (1994) J. Abnormal Psychology, 103 (1); Klimstra, T., Come rain or come shine: Individual differences in how weather affects mood (2011) Emotion, 11 (6); Caruana, R., Multitask learning (1997) Mach. Learn., 28 (1), pp. 41-75; Bogomolov, A., Lepri, B., Pianesi, F., Happiness recognition from mobile phone data (2013) Proc. Int. Conf. Soc. Comput., pp. 790-795; Carneiro, D., Novais, P., Augusto, J.C., Payne, N., New methods for stress assessment and monitoring at the workplace (2017) IEEE Trans. Affective Comput.; Koldijk, S., Neerincx, M.A., Kraaij, W., Detecting work stress in offices by combining unobtrusive sensors (2017) IEEE Trans. Affective Comput., PP (99), p. 1; Canzian, L., Musolesi, M., Trajectories of depression: Unobtrusive monitoring of depressive states by means of smartphone mobility traces analysis (2015) Proc. ACM Int. Joint Conf. Pervasive Ubiquitous Comput., pp. 1293-1304; Suhara, Y., Xu, Y., Pentland, A., DeepMood: Forecasting depressedmood based on self-reported histories via recurrent neural networks (2017) InProc. 26th Int. Conf.WorldWideWeb, pp. 715-724; Rosenstein, M.T., To transfer or not to transfer (2005) NIPS 2005 Workshop Transfer Learn., 898, pp. 1-4; Zhang, C., Zhang, Z., Improving multiview face detection with multi-task deep convolutional neural networks (2014) Proc. Winter Conf. Appl. Comput. Vis., pp. 1036-1041; Jin, F., Sun, S., Neural network multitask learning for traffic flow forecasting (2008) Proc. IEEE Int. Joint Conf. Neural Netw., pp. 1897-1901; Baxter, J., A Bayesian/information theoretic model of learning to learn via multiple task sampling (1997) Mach. Learn., 28 (1), pp. 7-39; Wilson, A., Fern, A., Ray, S., Tadepalli, P., Multi-task reinforcement learning: A hierarchical Bayesian approach (2007) Proc. 29th Int. Conf. Mach. Learn., pp. 1015-1022; Kandemir, M., Vetek, A., Gönen, M., Klami, A., Kaski, S., Multitask and multi-view learning of user state (2014) Neurocomput., 139, pp. 97-106; Koelstra, S., DEAP: A database for emotion analysis; Using physiological signals (2012) IEEE Trans. Affective Comput., 3 (1), pp. 18-31. , Jan.-Mar; Xia, R., Liu, Y., A multi-task learning framework for emotion recognition using 2D continuous space (2017) IEEE Trans. Affective Comput., 8 (1), pp. 3-14. , Jan.-Mar; Zhang, B., Provost, E.M., Essl, G., Cross-corpus acoustic emotion recognition with multi-task learning: Seeking common ground while preserving differences (2017) IEEE Trans. Affective Comput.; John, O.P., Srivastava, S., The big five trait taxonomy: History, measurement, and theoretical perspectives (1999) Handbook Personality: Theory Res., 2 (1999), pp. 102-138; Rousseeuw, P.J., Silhouettes: A graphical aid to the interpretation and validation of cluster analysis (1987) J. Comput. Appl. Math., 20, pp. 53-65; Srivastava, N., Hinton, G., Krizhevsky, A., Sutskever, I., Salakhutdinov, R., Dropout: A simple way to prevent neural networks from overfitting (2014) J. Mach. Learn. Res., 15 (1), pp. 1929-1958; Xue, Y., Liao, X., Carin, L., Krishnapuram, B., Multi-task learning for classification with dirichlet process priors (2007) J. Mach. Learn. Res., 8, pp. 35-63; MacKay, D.J., The evidence framework applied to classification networks (1992) Neural Comput., 4 (5), pp. 720-736; Sano, A., Measuring college students sleep, stress and mental health with wearable sensors and mobile phones (2015) Ph.D. Dissertation, Cambridge, MA, USA: MIT; Taylor, S., Jaques, N., Chen, W., Fedor, S., Sano, A., Picard, R., Automatic identification of artifacts in electrodermal activity data (2015) Proc. 37th Annu. Int. Conf. IEEE Eng. Med. Biol. Soc., pp. 1934-1937; Ratey, J., (2008) Spark: The Revolutionary New Science of Exercise and the Brain, , New York, NY, USA: Hachette Digital; Partonen, T., Dopamine and circadian rhythms in seasonal affective disorder (1996) Med. Hypotheses, 47 (3), pp. 191-192; Li, J., Wang, X., Hovy, E., What a nasty day: Exploring moodweather relationship from twitter (2014) Proc. Int. Conf. Info. Knowl. Manag., pp. 1309-1318; (2016) T. D. S. C. LLC, , https://developer.forecast.io/, Dark sky forecast API; Kingma, D.P., Ba, J., Adam: A method for stochastic optimization (2014) CoRR, arXiv:1412.6980. , http://arxiv.org/abs/1412.6980; Abadi, M., TensorFlow: Large-scale machine learning on heterogeneous systems (2015) Software Available from Tensorflow.org, , http://tensorflow.org/; Bower, B., Bylsma, L.M., Morris, B.H., Rottenberg, J., Poor reported sleep quality predicts low positive affect in daily life among healthy and mood-disordered persons (2010) J. Sleep Res., 19 (2), pp. 323-332; Salakhutdinov, R., Tenenbaum, J., Torralba, A., Learning with hierarchical-deep models (2013) IEEE Trans. Pattern Anal. Mach. Intell., 35 (8), pp. 1958-1971. , Aug; Finn, C., Abbeel, P., Levine, S., Model-agnosticmeta-learning for fast adaptation of deep networks CoRR, arXiv: 1703.03400, 2017. , http://arxiv.org/abs/1703.03400</t>
  </si>
  <si>
    <t>19493045</t>
  </si>
  <si>
    <t>IEEE Trans. Affective Comput.</t>
  </si>
  <si>
    <t>2-s2.0-85039769283</t>
  </si>
  <si>
    <t>Personalized multitask learning for predicting tomorrow's mood, stress, and health</t>
  </si>
  <si>
    <t>Nef T., Urwyler P., Büchler M., Tarnanas I., Stucki R., Cazzoli D., Müri R., Mosimann U.</t>
  </si>
  <si>
    <t>15726063900;36702218000;56673547800;6508357922;24761226500;23990403100;7003342964;6603639434;</t>
  </si>
  <si>
    <t>Evaluation of three state-of-the-art classifiers for recognition of activities of daily living from smart home ambient data</t>
  </si>
  <si>
    <t>11725</t>
  </si>
  <si>
    <t>11740</t>
  </si>
  <si>
    <t>10.3390/s150511725</t>
  </si>
  <si>
    <t>https://www.scopus.com/inward/record.uri?eid=2-s2.0-84930640821&amp;doi=10.3390%2fs150511725&amp;partnerID=40&amp;md5=a0f3af83ca756c20e340d6fb0bc4e268</t>
  </si>
  <si>
    <t>Gerontechnology and Rehabilitation Group, University of Bern, Bern, 3010, Switzerland; ARTORG Center for Biomedical Engineering Research, University of Bern, Bern, 3010, Switzerland; Division of Cognitive and Restorative Neurology, Department of Neurology, University Hospital Inselspital, University of Bern, Bern, 3010, Switzerland; University Hospital of Old Age Psychiatry, University of Bern, Bern, 3010, Switzerland</t>
  </si>
  <si>
    <t>Nef, T., Gerontechnology and Rehabilitation Group, University of Bern, Bern, 3010, Switzerland, ARTORG Center for Biomedical Engineering Research, University of Bern, Bern, 3010, Switzerland; Urwyler, P., Gerontechnology and Rehabilitation Group, University of Bern, Bern, 3010, Switzerland; Büchler, M., Gerontechnology and Rehabilitation Group, University of Bern, Bern, 3010, Switzerland; Tarnanas, I., Gerontechnology and Rehabilitation Group, University of Bern, Bern, 3010, Switzerland; Stucki, R., Gerontechnology and Rehabilitation Group, University of Bern, Bern, 3010, Switzerland; Cazzoli, D., Gerontechnology and Rehabilitation Group, University of Bern, Bern, 3010, Switzerland; Müri, R., Gerontechnology and Rehabilitation Group, University of Bern, Bern, 3010, Switzerland, Division of Cognitive and Restorative Neurology, Department of Neurology, University Hospital Inselspital, University of Bern, Bern, 3010, Switzerland; Mosimann, U., Gerontechnology and Rehabilitation Group, University of Bern, Bern, 3010, Switzerland, University Hospital of Old Age Psychiatry, University of Bern, Bern, 3010, Switzerland</t>
  </si>
  <si>
    <t>Smart homes for the aging population have recently started attracting the attention of the research community. The “health state” of smart homes is comprised of many different levels; starting with the physical health of citizens, it also includes longer-term health norms and outcomes, as well as the arena of positive behavior changes. One of the problems of interest is to monitor the activities of daily living (ADL) of the elderly, aiming at their protection and well-being. For this purpose, we installed passive infrared (PIR) sensors to detect motion in a specific area inside a smart apartment and used them to collect a set of ADL. In a novel approach, we describe a technology that allows the ground truth collected in one smart home to train activity recognition systems for other smart homes. We asked the users to label all instances of all ADL only once and subsequently applied data mining techniques to cluster in-home sensor firings. Each cluster would therefore represent the instances of the same activity. Once the clusters were associated to their corresponding activities, our system was able to recognize future activities. To improve the activity recognition accuracy, our system preprocessed raw sensor data by identifying overlapping activities. To evaluate the recognition performance from a 200-day dataset, we implemented three different active learning classification algorithms and compared their performance: naive Bayesian (NB), support vector machine (SVM) and random forest (RF). Based on our results, the RF classifier recognized activities with an average specificity of 96.53%, a sensitivity of 68.49%, a precision of 74.41% and an F-measure of 71.33%, outperforming both the NB and SVM classifiers. Further clustering markedly improved the results of the RF classifier. An activity recognition system based on PIR sensors in conjunction with a clustering classification approach was able to detect ADL from datasets collected from different homes. Thus, our PIR-based smart home technology could improve care and provide valuable information to better understand the functioning of our societies, as well as to inform both individual and collective action in a smart city scenario. © 2015 by the authors; licensee MDPI, Basel, Switzerland.</t>
  </si>
  <si>
    <t>Activities of daily living; Ambient assisted living; Data classification; Data mining; Healthcare technology; Smart cities; Smart homes</t>
  </si>
  <si>
    <t>Artificial intelligence; Automation; Classification (of information); Decision trees; Health; Intelligent buildings; Pattern recognition; Support vector machines; Activities of Daily Living; Ambient assisted living; Data classification; Healthcare technology; Smart cities; Smart homes; Data mining; adult; aged; ambulatory monitoring; assisted living facility; automated pattern recognition; classification; cluster analysis; daily life activity; data mining; female; human; male; middle aged; procedures; support vector machine; wireless communication; Activities of Daily Living; Adult; Aged; Assisted Living Facilities; Cluster Analysis; Data Mining; Female; Humans; Male; Middle Aged; Monitoring, Ambulatory; Pattern Recognition, Automated; Support Vector Machine; Wireless Technology</t>
  </si>
  <si>
    <t>Gustavsson, A., Jonsson, L., Rapp, T., Reynish, E., Ousset, P.J., Andrieu, S., Cantet, C., Wimo, A., Differences in resource use and costs of dementia care between European countries: Baseline data from the ICTUS study (2010) J. Nutr. Health Aging, 14, pp. 648-654; Giebel, C.M., Sutcliffe, C., Challis, D., Activities of daily living and quality of life across different stages of dementia: A UK study (2014) Aging Ment. Health, 19, pp. 63-71; Lawton, M.P., Brody, E.M., Assessment of older people: Self-maintaining and instrumental activities of daily living (1969) Gerontologist, 9, pp. 179-186; Katz, S., Ford, A.B., Moskowitz, R.W., Jackson, B.A., Jaffe, M.W., Studies of Illness in the Aged. The index of ADL: A standardized measure of biological and psychosocial function (1963) J. Am. Med. Assoc, 185, pp. 914-919; Mioshi, E., Kipps, C.M., Dawson, K., Mitchell, J., Graham, A., Hodges, J.R., Activities of daily living in frontotemporal dementia and Alzheimer disease (2007) Neurology, 68, pp. 2077-2084; Sikkes, S.A., Visser, P.J., Knol, D.L., De Lange-De Klerk, E.S., Tsolaki, M., Frisoni, G.B., Nobili, F., Frolich, L., Do instrumental activities of daily living predict dementia at 1- and 2-year follow-up? Findings from the Development of Screening guidelines and diagnostic Criteria for Predementia Alzheimer’s disease study (2011) J. Am. Geriatr. Soc., 59, pp. 2273-2281; Logsdon, R.G., Gibbons, L.E., McCurry, S.M., Teri, L., Quality of life in Alzheimer’s disease: Patient and caregiver reports (1999) J. Ment. Health Aging, 5, pp. 21-32; Takechi, H., Kokuryu, A., Kubota, T., Yamada, H., Relative Preservation of Advanced Activities in Daily Living among Patients with Mild-to-Moderate Dementia in the Community and Overview of Support Provided by Family Caregivers (2012) Int. J. Alzheimer’s Dis, p. 2012; Fleury, A., Vacher, M., Noury, N., SVM-based multimodal classification of activities of daily living in health smart homes (2010) Inf. Technol. Biomed, 14, pp. 274-283; Fleury, N., Noury, N., Vacher, M., Introducing knowledge in the process of supervised classification of activities of Daily Living in Health Smart Homes (2010) Proceedings of the E-Health Networking Applications and Services (Healthcom 2010), pp. 322-329. , Lyon, France, 1–3 July; Ordonez, F.J., De Toledo, P., Sanchis, A., Activity recognition using hybrid generative/ discriminative models on home environments using binary sensors (2013) Sensors, 13, pp. 5460-5477; Peetoom, K.K., Lexis, M.A., Joore, M., Dirksen, C.D., De Witte, L.P., Literature review on monitoring technologies and their outcomes in independently living elderly people (2014) Disabil. Rehabil. Assist. Technol, 10, pp. 271-294; Van Kasteren, T., Englebienne, G., Kröse, B., An activity monitoring system for elderly care using generative and discriminative models (2010) Pers. Ubiquit. Comput, 14, pp. 489-498; Van Kasteren, T., Englebienne, G., Kröse, B., Activity recognition using semi-Markov models on real world smart home datasets (2010) J. Ambient Intell. Smart Environ, 2, pp. 311-325; Hodges, N.L., Kirsch, M., Newman, W., Pollack, M.E., Automatic assessment of cognitive impairment through electronic observation of object usage (2010) Proceedings of the 8Th International Conference, Pervasive 2010, pp. 192-209. , Helsinki, Finland, 17–20 May; Wu, P., Peng, J., Zhu, J., Zhang, Y., Senscare: Semi-automatic activity summarization system for elderly care (2011) Proceedings of the Third International Conference, Mobicase 2011, pp. 1-19. , Los Angeles, CA, USA, 24–27 October; Zhang, Y., McClean, B., Scotney, P., Chaurasia, I., Nugent, C., Using duration to learn activities of daily living in a smart home environment (2010) Proceedings of the 2010 4Th International Conference on Pervasive Computing Technologies for Healthcare (Pervasivehealth), pp. 1-8. , Munich, Germany, 22–25 March; Van Kasteren, T., Englebienne, G., Kröse, B., Transferring Knowledge of Activity Recognition across Sensor Networks (2010) Pervasive 2010, LNCS 6030, pp. 283-300. , Floréen, P., Krüger, A., Spasojevic, M., Eds.; Springer-Verlag: Berlin/Heidelberg, Germany; Zhang, H., Wang, B., Black, N., Human activity detection in smart home environment with self-adaptive neural networks (2008) Proceedings of the International Conference on Networking, Sensing and Control, pp. 1505-1510. , Hainan, China, 6–8 April; Jalal, A., Kamal, S., Real-time life logging via a depth silhouette-based human activity recognition system for smart home services (2014) Proceedings of the 11Th IEEE International Conference on Advanced Video and Signal-Based Surveillance, pp. 74-80. , Seoul, Korea, 26–29 August; Jalal, A., Kamal, S., Kim, D., Depth map-based human activity tracking and recognition using body joints features and self-organized map (2014) Proceedings of the IEEE International Conference on Computing, Communication and Networking Technologies, pp. 1-6. , Hefei, China, 11–13 July; Jalal, A., Sharif, N., Kim, J.T., Kim, T.S., Human activity recognition via recognized body parts of human depth silhouettes for residents monitoring services at smart homes (2013) Indoor Built Environ, 22, pp. 271-279; Maki, H., Ogawa, S., Matsuoka, Y., Yonezawa, K., Caldwell, W.M., A daily living activity remote monitoring system for solitary older people (2011) Proceedings of the Annual International Conference of the Engineering in Medicine and Biology Society, pp. 5608-5611. , Boston, MA, USA, 30 August–3 September; Mosabbeb, E.A., Raahemifar, K., Fathy, M., Multi-View Human activity recognition in distributed camera sensor networks (2013) Sensors, 13, pp. 8750-8770; Xu, X., Tang, J., Zhang, X., Liu, X., Zhang, H., Qiu, Y., Exploring techniques for vision based human activity recognition (2013) Methods, System, and Evaluation. Sensors, 13, pp. 1635-1650; Medjahed, H., A pervasive multi-sensor data fusion for smart home healthcare monitoring (2014) Proceedings of the IEEE International Conference on Fuzzy Systems, pp. 1466-1473. , Beijing, China, 6–11 July; Stucki, R.A., Mosimann, U.P., Müri, R., Nef, T., Non-Intrusive Recognition of Activities of Daily Living in the Homes of Alzheimer Patients (2013) Assistive Technology: From Research to Practice, pp. 71-76. , Ecarnação, P., Azevedo, L., Gelderbom, G.J., Newell, A., Mathiassen, N.-E., Eds.; IOS Press: Leiden, The Netherlands; Stucki, R.A., Urwyler, P., Rampa, L., Muri, R., Mosimann, U.P., Nef, T.A., Web-based non-intrusive ambient system to measure and classify activities of daily living (2014) J. Med. Internet Res, p. 16; Witten, I.H., Frank, E., Hall, M.A., (2011) Data Mining: Practical Machine Learning Tools and Techniques, , 3rd ed.; Morgan Kaufmann: Burlington, MA, USA; Bayes, T., Price, R., An Essay towards Solving a Problem in the Doctrine of Chances. By the Late Rev. Mr. Bayes, F.R.S. Communicated by Mr. Price, in a Letter to John Canton (1763) A.M.F.R.S. Philos. Trans, 53, pp. 370-418; Cortes, C., Vapnik, V., Support-vector networks (1995) Mach. Learn, 20, pp. 273-297; Breiman, L., Random forests (2001) Mach. Learn, 45, pp. 5-32; Van Kasteren, T., Englebienne, G., Kröse, B., Human Activity Recognition from Wireless Sensor Network Data: Benchmark and Software (2011) Activity Recognition in Pervasive Intelligent Environments, pp. 165-186. , Chen, L., Nugent, C.D., Biswas, J., Hoey, J., Eds.; Atlantis Press: Amsterdam, The Netherlands; Japkowicz, N., Stephen, S., The class imbalance problem: A systematic study. Intell (2002) Data Anal, 6, pp. 429-449; Van Kasteren, T., Alemdar, H., Ersoy, C., Effective performance metrics for evaluating activity recognition methods (2011) Proceedings of the ARCS 2011—24th International Conference on Architecture of Computing Systems, p. 10. , Comot, Italy, 24–25 February; Berthold, M.R., Cebron, N., Dill, F., Gabriel, T.R., Kötter, T., Meinl, T., Ohl, P., Wiswedel, B., KNIME: The Konstanz Information Miner (2007) Studies in Classification, Data Analysis, and Knowledge Organization (Gfkl 2007), , Springer-Verlag: Heidelberg-Berlin, Germany; Hall, M., Frank, E., Holmes, G., Pfahringer, B., Reutemann, P., Witten, I.H., The WEKA Data Mining Software: An Update (2009) SIGKDD Explor, 11, pp. 10-18; Maroco, J., Silva, D., Rodrigues, A., Guerreiro, M., Santana, I., De Mendonça, A., Data mining methods in the prediction of dementia: A real-data comparison of the accuracy, sensitivity and specificity of linear discriminant analysis, logistic regression, neural networks, support vector machines, classification trees and random forests (2011) BMC Res. Notes, p. 4; Chen, C., Liaw, A., Breiman, L., (2004) Using Random Forest to Learn Imbalanced Data, , University of California: Berkeley, CA, USA</t>
  </si>
  <si>
    <t>2-s2.0-84930640821</t>
  </si>
  <si>
    <t>Liem G.A.D., Ginns P., Martin A.J., Stone B., Herrett M.</t>
  </si>
  <si>
    <t>35317911100;6602415322;7404932331;54416385100;54415752800;</t>
  </si>
  <si>
    <t>Personal best goals and academic and social functioning: A longitudinal perspective</t>
  </si>
  <si>
    <t>Learning and Instruction</t>
  </si>
  <si>
    <t>222</t>
  </si>
  <si>
    <t>230</t>
  </si>
  <si>
    <t>10.1016/j.learninstruc.2011.11.003</t>
  </si>
  <si>
    <t>https://www.scopus.com/inward/record.uri?eid=2-s2.0-84856583219&amp;doi=10.1016%2fj.learninstruc.2011.11.003&amp;partnerID=40&amp;md5=40f435800c66799f19c0166b2ca2cc6d</t>
  </si>
  <si>
    <t>Faculty of Education and Social Work, University of Sydney, A35 - Education Building, NSW 2006, Australia; MLC School, Sydney, Australia</t>
  </si>
  <si>
    <t>Liem, G.A.D., Faculty of Education and Social Work, University of Sydney, A35 - Education Building, NSW 2006, Australia; Ginns, P., Faculty of Education and Social Work, University of Sydney, A35 - Education Building, NSW 2006, Australia; Martin, A.J., Faculty of Education and Social Work, University of Sydney, A35 - Education Building, NSW 2006, Australia; Stone, B., MLC School, Sydney, Australia; Herrett, M., MLC School, Sydney, Australia</t>
  </si>
  <si>
    <t>Personal best goals (PB goals) articulate a target performance standard that matches or exceeds one's previous best. This study examined the role of PB goals in academic and social functioning. Alongside academic and social outcome measures, PB goal items were administered to 249 high-school students at the beginning and end of their school year. Longitudinal structural equation modeling suggested, at Time 1, PB goals significantly predicted students' deep learning, academic flow, academic buoyancy, positive teacher relationship, and favorable attitudes toward peer cooperation. Further, at Time 2, the effects of PB goals on deep learning, academic flow, and positive teacher relationship remained significant after controlling for prior variance of corresponding Time-1 factors, suggesting sustained benefits of PB goals in students' academic and social development. These findings hold substantive, applied, and methodological implications for researchers and practitioners seeking to examine and harness PB goals in educational settings. © 2011 Elsevier Ltd.</t>
  </si>
  <si>
    <t>Academic functioning; Goals; Personal best (PB); Social functioning</t>
  </si>
  <si>
    <t>Austin, J.T., Vancouver, J.B., Goal constructs in psychology: structure, process, and content (1996) Psychological Bulletin, 120, pp. 338-375; Bandura, A., (1997) Self-efficacy: The exercise of control, , Freeman, New York; Bracken, B.A., Crain, R.M., Children's and adolescents' interpersonal relations: do age, race, and gender define normalcy? (1994) Journal of Psychoeducational Assessment, 12, pp. 14-32; den Brok, P., Levy, J., Teacher-student relationships in multicultural classes: reviewing the past, preparing the future (2005) International Journal of Educational Research, 43, pp. 72-88; Covington, M.V., (1992) Making the grade: Self-worth perspective on motivation and school reform, , Cambridge University Press, Cambridge; Covington, M.V., Teel, K.M., (1996) Overcoming student failure: Changing motives and incentives for learning, , American Psychological Association, Washington DC; Csikszentmihalyi, M., (1990) Flow: The psychology of optimal experience, , Harper and Row, New York; DeShon, R.P., Gillespie, J.Z., Amotivated action theory account of goal orientation (2005) Journal of Applied Psychology, 90, pp. 1096-1127; Elliot, A.J., The hierarchical model of approach-avoidance motivation (2006) Motivation and Emotion, 30, pp. 111-116; Elliot, A.J., McGregor, H.A., A2×2 achievement goal framework (2001) Journal of Personality and Social Psychology, 30, pp. 957-971; Elliot, A.J., Murayama, K., Pekrun, R., A3×2 achievement goal model (2011) Journal of Educational Psychology, 103, pp. 632-648; Fredricks, J.A., Blumenfeld, P.C., Paris, A.H., School engagement: potential of the concept, state of the evidence (2004) Review of Educational Research, 74, pp. 59-109; Griffin, D., Gonzalez, R., Correlational analysis of dyad-level data in the exchangeable case (1995) Psychological Bulletin, 118, pp. 430-439; Hattie, J., (2009) Visible learning: A synthesis of over 800 meta-analyses relating to achievement, , Routledge, Taylor &amp; Francis Group, London &amp; New York; Herzog, W., Boomsma, A., Small-sample robust estimators of noncentrality-based and incremental model fit (2009) Structural Equation Modeling, 16, pp. 1-27; Hijzen, D., Boekaerts, M., Vedder, P., Exploring the links between students' engagement in cooperative learning, their goal preferences and appraisals of instructional conditions in the classroom (2007) Learning and Instruction, 17, pp. 673-687; Holmes-Smith, P., Rowe, K.J., The development and use of congeneric measurement models in school effectiveness research: Improving the reliability and validity of composite and latent variables for fitting multilevel and structural equation models (1994), Paper presented at the international congress for school effectiveness and improvement, Melbourne, Australia. (January); Johnson, C., Engelhard, G., Gender, academic achievement, and preferences for cooperative, competitive, and individualistic learning among African American adolescents (1992) Journal of Psychology, 126, pp. 385-392; Kline, R.B., (2011) Principles and practice of structural equation modeling, , New York The Guilford Press; Leung, D., Ginns, P., Kember, D., Examining the cultural specificity of approaches to learning in universities in Hong Kong and Sydney (2008) Journal of Cross-Cultural Psychology, 39, pp. 251-266; Liem, A.D., Lau, S., Nie, Y., The role of self-efficacy, task value, and achievement goals in predicting learning strategies, task disengagement, peer relationship and English achievement outcome (2008) Contemporary Educational Psychology, 33, pp. 486-512; Liem, G.A.D., Martin, A.J., Nair, E., Bernardo, A.B.I., Prasetya, P.H., Cultural factors relevant to secondary school students in Australia, Singapore, Philippines and Indonesia: relative differences and congruencies (2009) Australian Journal of Guidance and Counselling, 19, pp. 161-178; Locke, E.A., Latham, G.P., Building a practically useful theory of goal setting and task motivation (2002) American Psychologist, 57, pp. 705-717; Marsh, H.W., Amultidimensional, hierarchical model of self-concept: theoretical and empirical justification (1990) Educational Psychology Review, 2, pp. 77-172; Marsh, H.W., Hau, K.-T., Artelt, C., Baumert, J., Peschar, J.L., OECD's brief self-report measure of educational psychology's most useful affective constructs: cross-cultural, psychometric comparisons across 25 countries (2006) International Journal of Testing, 6, pp. 311-360; Marsh, H.W., Hau, K.-T., Wen, Z., In search of golden rules: comment on hypothesis testing approaches to setting cut-off values for fit indexes and dangers in overgeneralizing Hu &amp; Bentler's (1999) findings (2004) Structural Equation Modeling, 11, pp. 320-341; Martin, A.J., Personal bests (PBs): a proposed multidimensional model and empirical analysis (2006) British Journal of Educational Psychology, 76, pp. 803-825; Martin, A.J., (2010) Building classroom success: Eliminating academic fear and failure, , Continuum, New York; Martin, A.J., Personal best (PB) approaches to academic development: implications for motivation and assessment (2011) Educational Practice and Theory, 33, pp. 93-99; Martin, A.J., Prescriptive statements and educational practice: what can structural equation modeling (SEM) offer? (2011) Educational Psychology Review, 23, pp. 235-244; Martin, A.J., Colmar, S., Davey, L., Marsh, H., Longitudinal modeling of academic buoyancy and motivation: do the '5Cs' hold up over time? (2010) British Journal of Educational Psychology, 80, pp. 473-496; Martin, A.J., Jackson, S., Brief approaches to assessing task absorption and enhanced subjective experience: examining 'Short' and 'Core' flow in diverse performance domains (2008) Motivation and Emotion, 32, pp. 141-157; Martin, A.J., Liem, G.A.D., Academic personal bests (PBs), engagement, and achievement: a cross-lagged panel analysis (2010) Learning and Individual Differences, 20, pp. 265-270; Martin, A.J., Marsh, H., Academic resilience and academic buoyancy: multidimensional and hierarchical conceptual framing of causes, correlates, and cognate constructs (2009) Oxford Review of Education, 35, pp. 353-370; McDonald, R.P., Marsh, H.W., Choosing a multivariate model: noncentrality and goodness-of-fit (1990) Psychological Bulletin, 107, pp. 247-255; Muthén, L.K., Muthén, B.O., (1998) Mplus user's guide, , Muthén &amp; Muthén, Los Angeles; Qin, Z., Johnson, D.W., Johnson, R.T., Cooperative versus competitive efforts and problem solving (1995) Review of Educational Research, 65, pp. 129-143; Raykov, T., Evaluation of scale reliability for unidimensional measures using latent variable modeling (2009) Measurement and Evaluation in Counseling and Development, 42, pp. 223-232; Roussel, P., Elliot, A.J., Feltman, R., The influence of achievement goals and social goals on help-seeking from peers in an academic context (2011) Learning and Instruction, 21, pp. 394-402; Ryan, R., Deci, E.L., Self-determination theory and the facilitation of intrinsic motivation, social development, and well-being (2000) American Psychologist, 55, pp. 68-78. , 10.1037110003-066X.55.1.68; Sadler-Smith, E., Approaches to studying: age, gender and academic performance (1996) Educational Studies, 22, pp. 367-379; Sahoo, F.M., Sahu, R., The role of flow experience in human happiness (2009) Journal of the Indian Academy of Applied Psychology, 35, pp. 40-47; Slavin, R.E., (1990) Cooperative learning: theory, research and practice, , Prentice Hall, Englewood Cliffs, N.J; Tossman, I., Kaplan, A., Assor, A., Academic achievement goal structures and young adolescents' biased preferences for peers as cooperation partners: a longitudinal study (2008) International Review of Social Psychology, 21, pp. 183-217; Wentzel, K.R., Student motivation in middle school: the role of perceived pedagogical caring (1997) Journal of Educational Psychology, 89, pp. 411-419; Wilkinson, G.A., (1993) Wide range achievement test, , Wide Range Inc, Wilmington, DE; Yuan, K.H., Fit indices versus test statistics (2005) Multivariate Behavioral Research, 40, pp. 115-148</t>
  </si>
  <si>
    <t>09594752</t>
  </si>
  <si>
    <t>LEAIE</t>
  </si>
  <si>
    <t>Learn. Instr.</t>
  </si>
  <si>
    <t>2-s2.0-84856583219</t>
  </si>
  <si>
    <t>Personal best goals and academic and social functioning: a longitudinal perspective</t>
  </si>
  <si>
    <t>Aydin S.</t>
  </si>
  <si>
    <t>24460465000;</t>
  </si>
  <si>
    <t>Deep Learning Classification of Neuro-Emotional Phase Domain Complexity Levels Induced by Affective Video Film Clips</t>
  </si>
  <si>
    <t>IEEE Journal of Biomedical and Health Informatics</t>
  </si>
  <si>
    <t>24</t>
  </si>
  <si>
    <t>8933102</t>
  </si>
  <si>
    <t>1695</t>
  </si>
  <si>
    <t>1702</t>
  </si>
  <si>
    <t>10.1109/JBHI.2019.2959843</t>
  </si>
  <si>
    <t>https://www.scopus.com/inward/record.uri?eid=2-s2.0-85086052758&amp;doi=10.1109%2fJBHI.2019.2959843&amp;partnerID=40&amp;md5=0903470db9d4aab0ce5035b393acf3cd</t>
  </si>
  <si>
    <t>Department of Biophysics, Faculty of Medicine, University of Hacettepe, Ankara, 06100, Turkey</t>
  </si>
  <si>
    <t>Aydin, S., Department of Biophysics, Faculty of Medicine, University of Hacettepe, Ankara, 06100, Turkey</t>
  </si>
  <si>
    <t>In the present article, a novel emotional complexity marker is proposed for classification of discrete emotions induced by affective video film clips. Principal Component Analysis (PCA) is applied to full-band specific phase space trajectory matrix (PSTM) extracted from short emotional EEG segment of 6 s, then the first principal component is used to measure the level of local neuronal complexity. As well, Phase Locking Value (PLV) between right and left hemispheres is estimated for in order to observe the superiority of local neuronal complexity estimation to regional neuro-cortical connectivity measurements in clustering nine discrete emotions (fear, anger, happiness, sadness, amusement, surprise, excitement, calmness, disgust) by using Long-Short-Term-Memory Networks as deep learning applications. In tests, two groups (healthy females and males aged between 22 and 33 years old) are classified with the accuracy levels of \text{68.52}{\%} and \text{79.36}{\%} through the proposed emotional complexity markers and and connectivity levels in terms of PLV in amusement. The groups are found to be statistically different (p\ll 0.5) in amusement with respect to both metrics, even if gender difference does not lead to different neuro-cortical functions in any of the other discrete emotional states. The high deep learning classification accuracy of \text{98.00}{\%} is commonly obtained for discrimination of positive emotions from negative emotions through the proposed new complexity markers. Besides, considerable useful classification performance is obtained in discriminating mixed emotions from each other through full-band connectivity features. The results reveal that emotion formation is mostly influenced by individual experiences rather than gender. In detail, local neuronal complexity is mostly sensitive to the affective valance rating, while regional neuro-cortical connectivity levels are mostly sensitive to the affective arousal ratings. © 2013 IEEE.</t>
  </si>
  <si>
    <t>affective neuroscience; Brain biophysics; deep learning; emotion recognition</t>
  </si>
  <si>
    <t>Complex networks; Neurons; Phase space methods; Space flight; Text processing; Classification accuracy; Classification performance; Complexity estimation; Cortical functions; First principal components; Gender differences; Phase locking value; Phase space trajectory; Deep learning; adult; arousal; article; biophysics; brain; controlled study; deep learning; emotion; female; human; human experiment; male; neuroscience; sex difference; videorecording; algorithm; automated pattern recognition; brain; classification; electroencephalography; emotion; movie; physiology; procedures; signal processing; young adult; Adult; Algorithms; Brain; Deep Learning; Electroencephalography; Emotions; Female; Humans; Male; Motion Pictures; Pattern Recognition, Automated; Signal Processing, Computer-Assisted; Young Adult</t>
  </si>
  <si>
    <t>Cunningham, W.A., Kirkland, T., Emotion, cognition, and the classical elements of mind (2012) Emotion Rev., 4 (4), pp. 369-370; Eckman, P., Basic emotions (1999) Handbook of Cognition and Emotion, , T. Dalgleish and M. Power Eds., New York, NY, USA: Wiley; Cannon, W.B., Again the James-Lange and the thalamic theories of emotion (1931) Psychol. Rev., 38 (4), pp. 281-295; Dan Glauser, E.S., Scherer, K.R., Neuronal processes involved in subjective feeling emergence, oscillatory activity during an emotional monitoring task (2008) Brain Topogr., 20, pp. 224-231; Grandjean, D., Scherer, K.R., Unpacking the cognitive architecture of emotion processes (2008) Emotion, 8, pp. 341-351; Mulligan, K., Scherer, K.R., Toward aworking definition of emotion (2012) Emotion Rev., 4 (4), pp. 345-357; Addington, J., Saeedi, H., Facial affect recognition: A mediator between cognitive and social functioning in psychosis? (2006) Schizophrenia Res., 85 (1-3), pp. 142-150; Catalan, A., Differences in facial emotion recognition between first episode psychosis, borderline personality disorder and healthy controls (2016) PLoS One, 11 (7). , Art. no. e0160056; Leleu, A., Tuning functions for automatic detection of brief changes of facial expression in the human brain (2018) NeuroImage, 179, pp. 235-251; Schaan, L., Interoceptive accuracy, emotion recognition, and emotion regulation in preschool children (2019) Int. J. Psychophysiol., 138, pp. 47-56; Airdrie, J.N., Facial emotion recognition and eye gaze in attentiondeficit/hyperactivity disorder with and without comorbid conduct disorder (2018) J. Amer. Acad. Child Adolescent Psychiatry, 57 (8), pp. 561-570; Reind, V., Brain-to-brain synchrony in parent-child dyads and the relationship with emotion regulation revealed by fNIRS-based hyperscanning (2018) NeuroImage, 178, pp. 493-502; Williams, L.M., BOLD, sweat and fears: FMRI and skin conductance distinguish facial fear signals (2005) NeuroReport, 16, pp. 9-45; Yang, Y.X., A recurrence quantification analysis-based channel frequency convolutional neural network for emotion recognition from EEG (2018) Chaos, 28. , Art. no. 085724; Fernández, R.M., Different effects of levodopa and subthalamic stimulation on emotional conflict in Parkinson's disease (2018) Human Brain Mapping, 39, pp. 5014-5027; Aydin, S., Cortical correlations in wavelet domain for estimation of emotional dysfunctions (2018) Neural Comput. Appl., 30, pp. 1085-1094; Kinneya, K.L., Self-report and neurophysiological indicators of emotion processing and regulation in social anxiety disorder (2019) Biol. Psychol., 142, pp. 126-131; Christiansen, H., Attention-deficit/hyperactivity disorder and emotion regulation over the life span (2019) Current Psychiatry Rep., 21. , Art. no. 17; Nummenmaa, L.S., Emotions as discrete patterns of systemic activity (2019) Neurosci. Lett., 693, pp. 3-8; Gerdes, A.B.M., Emotional sounds modulate early neural processing of emotional pictures (2013) Frontiers Psychol., 4 (741); Ho, H.T., Schroeger, E., Kotz, S.A., Selective attention modulates early human evoked potentials during emotional face-voice processing (2015) J. Cogn. Neurosci., 27 (4), pp. 798-818; Kokinous, J., The role of emotion in dynamic audiovisual integration of faces and voices (2015) Social Cogn. Affect. Neurosci., 10 (5), pp. 713-720; Lang, P.J., Bradley, M.M., Cuthbert, B.N., (2008) International affective picture system (IAPS): Affective ratings of pictures and instruction manual, , Univ. Florida, Gainesville, FL, USA, Tech. Rep. A-8; Babiloni, C., Cortical responses to consciousness of schematic emotional facial expressions: A high-resolution EEG study (2010) Human Brain Mapping, 31, pp. 1556-1569; Zinchenko, A., Emotion and goal-directed behavior: ERP evidence on cognitive and emotional conflict (2015) Social Cogn. Affect. Neurosci., 10, pp. 1577-1587; Katsigiannis, S., Ramzan, N., DREAMER: A Database for emotion recognition through EEG and ECG signals from wireless low-cost offthe-shelf devices (2018) IEEE J. Biomed.Health Inform., 22 (1), pp. 98-107. , Jan; Kambhatla, N., Leen, T.K., Dimension reduction by local principal component analysis (1997) Neural Comput., 9, pp. 1493-1516; NunoVigário, R., Extraction of ocular artefacts from EEG using independent component analysis (1997) EEEG Clin. Neurophysiol., 103 (3), pp. 395-404; Casarotto, S., Bianchi, A.M., Cerutti, S., Chiarenza, G.A., Principal component analysis for reduction of ocular artefacts in event-related potentials of normal and dyslexic children (2004) Clin.Neurophysiol., 115, pp. 609-619; Ghandeharion, H., Erfanian, A., A fully automatic ocular artifact suppression from EEG data using higher order statistics: Improved performance by wavelet analysis (2010) Med. Eng. Phys., 32, pp. 720-729; Kobayashi, T., Kuriki, S., Principal component eliminationmethod for the improvement of S/N in evoked neuromagnetic field measurements (1999) IEEE Trans. Biomed. Eng., 46 (8), pp. 951-958. , Aug; Packard, N.H., Geometry from a time series (1980) Phys. Rev. Lett., 45 (9), pp. 712-715; Takens, F., Detecting strange attractors in turbulence (1981) Dynamical Systems and Turbulence, pp. 366-381. , Baltimore, MD, USA: Warwick &amp; York; Watt, R.C., Hameroff, S.R., Phase space electroencephalography (EEG): A new mode of intraoperative EEG analysis (1988) Int. J. Clin. Monit.comput., 5, pp. 3-13; Fanga, Y., Chen, M., Zheng, X., Extracting features from phase space ofEEGsignals in brain-computer interfaces (2015) Neurocomputing, 151 (3), pp. 1477-1485; Xing, M., Altered dynamic electroencephalography connectome phase-space features of emotion regulation in social anxiety (2019) NeuroImage, 186, pp. 338-349; Schmidt, B., Hanslmayr, S., Resting frontal EEG alpha-asymmetry predicts the evaluation of affective musical stimuli (2009) Neurosci. Lett., 460, pp. 237-240; Lin, Y.P., Electroencephalographic dynamics of musical emotion perception revealed by independent spectral components (2010) NeuroImage, 21, pp. 410-415; Chang, Y.H., Experiencing affective music in eyes-closed and eyes-open states: An electroencephalography study (2015) Frontiers Psychol., 6 (1160), pp. 1-8; Aftanas, L.I., Non-linear analysis of emotion EEG: Calculation of Kolmogorov entropy and the principal Lyapunov exponent (1997) Neurosci. Lett., 226 (1), pp. 13-16; Tonoyan, Y., Discriminating multiple emotional states from EEG using a data-adaptive, multiscale information-Theoretic approach (2016) Int. J. Neural Syst., 26. , Art. no. 1650005; Aydin, S., Emotion recognition with eigen features of frequency band activities embedded in induced brain oscillations mediated by affective pictures (2016) Int. J. Neural Syst., 26 (3). , Art. no. 1650013; Padial, E.R., Ibanez-Molina, A.J., Fractal dimension of EEG signals and heart dynamics in discrete emotional states (2018) Biol. Psychol., 137, pp. 42-48; Sorinas, J., Grima, M.D., Ferrandez, J.M., Fernandez, E., Identifying suitable brain regions and trial size segmentation for positive/negative emotion recognition (2019) Int. J. Neural Syst., 29 (2). , Art. no. 1850044; Aydin, S., Comparison of hemispheric asymmetry measurements for emotional recordings from controls (2018) Neural Comput. Appl., 30, pp. 341-1351; Yuvaraj, R., Emotion classification in Parkinson's disease by higher-order spectra and power spectrum features using EEG signals: A comparative study (2014) J. Integrat. Neurosci., 1381, pp. 89-120; Hettich, D.T., EEG responses to auditory stimuli for automatic affect recognition (2016) Frontiers Neurosci., 10. , Art. no. 244; Zheng, J.D., Improved Hilbert-Huang transform and its applications to rolling bearing fault diagnosis (2015) J. Mech. Eng., 1 (51), pp. 138-145; Zhang, Y., An approach to EEG-based emotion recognition using combined feature extraction method (2016) Neurosci. Lett., 633, pp. 152-157; Zangeneh, S.M., A novel approach to emotion recognition using local subset feature selection and modified Dempster-Shafer theory (2018) Behav. Brain Functions, 14 (1). , Art. no. 17; Gupta, R., Laghari, K.U.R., Falk, T.H., Relevance vector classifier decision fusion and EEG graph-Theoretic features for automatic affective stateharacterization (2016) Neurocomputing, 174, pp. 875-884; Mohammadi, Z., Frounchi, J., Amiri, M., Wavelet-based emotion recognition system using EEG signal (2017) Neural Comput. Appl., 28 (8), pp. 1985-1990; Aboabsa, A.H., Abilingual emotion recognition system using deep learning neural networks (2018) Proc. 15th Int. Multi-Conf. Syst., Signals Devices, pp. 1241-1245; Le Cun, Y., (1989) Generalization and Network Design Strategies in Connectionism in Perspective, pp. 143-155. , Amsterdam, The Netherlands: Elsevier; Hochreiter, S., Schmidhuber, J., Long short-term memory (1997) Neural Comput., 9 (8), pp. 1735-1780; Hinton, G.E., Osindero, S., Teh, Y.-W., A fast learning algorithm for deep belief nets (2006) Neural Comput., 18 (7), pp. 1527-1554; Donahue, J., (2013) DeCAF: A deep convolutional activation feature for generic visual recognition; Deep learning techniques for speech emotion recognition: AReview (2019) Proc. 29th Int. Conf. Radioelektronika, pp. 1-6. , S. K. , et al; Zhao, Z., Bao, Z., Zhao, Y., Exploring deep spectrum representations via attention-based recurrent and convolutional neural networks for speech emotion recognition (2019) IEEE Access, 7, pp. 97515-97525; Zhang, S., Learning affective video features for facial expression recognition via hybrid deep learning (2019) IEEE Access, 7, pp. 32297-32304; Chen, J.X., Accurate EEG-based emotion recognition on combined features using deep convolutional neural networks (2019) IEEE Access, 7, pp. 44317-44328; Morris, J.D., Observations: Sam: The self-assessment manikin: An efficient cross-cultural measurement of emotional response (1995) J. Advertising Res., 35 (8), pp. 383-6; Gabert-Quillen, C.A., Ratings for emotion film clips (2015) Behav. Res. Methods, 47 (3), pp. 773-787; Schaefer, A., Assessing the effectiveness of a large database of emotion-eliciting films: A new tool for emotion researchers (2010) Cogn. Emotion, 24 (7), pp. 1153-1172; Rabiner, L.R., Herrmann, O., The predictability of certain optimum finite-impulse-response digital filters (1973) IEEE Trans. Circuit Theory, 20 (4), pp. 401-408. , Jul; Rabiner, L.R., Gold, B., (1975) Theory and Application of Digital Signal Processing, pp. 156-157. , Englewood Cliffs, NJ, USA: Prentice-Hall; Cao, L., Practical method for determining the minimum embedding dimension of a scalar time series (1997) Physica D Nonlinear Phenomena, 110 (1-2), pp. 43-50; Song, Y., Sepulveda, F., A novel technique for selecting EMGcontaminated EEG channels in self-paced brain-computer interface task onset (2018) IEEE Trans. Neural Syst. Rehabil. Eng., 26 (7), pp. 1353-1362. , Jul; Licciardi, G., Linear versus nonlinear PCA for the classification of hyperspectral data based on the extended morphological profile (2012) IEEE Geosci. Remote Sens. Lett., 9 (3), pp. 447-451. , May; Kang, X., PCA-based edge-preserving features for hyperspectral image classification (2017) IEEE Trans. Geosci. Remote Sens., 55 (12), pp. 7140-7151. , Dec; Ke, X., Speech emotion recognition based on PCA and CHMM (2019) Proc. IEEE 8th Joint Int. Inf. Technol. Artif. Intell. Conf., pp. 667-671; Jolliffe, I.T., (2002) Principal Component Analysis, , 2nd ed.NewYork, NY, USA: Springer-Verlag; Nolden, S., Effects of musical expertise on oscillatory brain activity in response to emotional sounds (2017) Neuropsychologia, 103, pp. 96-105; Chadha, A.N., Zaveri, M.A., Sarvaiya, J.N., Optimal feature extraction and selection techniques for speech processing: A review (2016) Proc. Int. Conf.commun. Signal Process., pp. 1669-1673; Golestan, S., Dynamics assessment of advanced single-phase PLL structures (2013) IEEE Trans. Ind. Electron., 60 (6), pp. 2167-2177. , Jun; Lima, A., On the use of kernel PCA for feature extraction in speech recognition (2004) IEICE Trans. Inf. Syst., 12 (87), pp. 2802-2811; Julrode, P., Supratid, S., Suksawatchon, U., A performance comparison of using principal component analysis and ant clustering with fuzzy c-means and k-harmonic means (2012) Proc. IEEE Int. Conf.comput. Intell. Cybern., pp. 123-128; Yadav, D.Y., Sharma, A., Feature extraction based machine learning for human burn diagnosis from burn images (2019) IEEE J. Trans. Eng. Health Med., 7; Ravan, M., Begnaud, J., Investigating the effect of short term responsive VNS therapy on sleep quality using automatic sleep staging (2019) IEEE Trans. Biomed. Eng., 66 (12), pp. 3301-3309. , Dec; Yu, B., The transverse ultrasonogram of thyroid papillary carcinoma has a better prediction accuracy than the longitudinal one (2019) IEEE Access, 7, pp. 100763-100770; Petrantonakis, P.C., Hadjileontiadis, L.J., A novel emotion elicitation index using frontal brain asymmetry for enhanced EEG-based emotion recognition (2011) IEEE Trans. Inf. Technol. Biomed., 15 (5), pp. 737-746. , Sep; Liu, Z.T., Electroencephalogram emotion recognition based on empirical mode decomposition and optimal feature selection (2019) IEEE Trans. Cogn. Develop. Syst., 11 (4), pp. 517-526. , Dec; Vapnik, V.N., (2000) The Nature of Statistical Learning Theory, , New York, NY, USA: Springer-Verlag; Webb, A.R., Copsey, K.D., (2011) Statistical Pattern Recognition, , 3rd. Hoboken, NJ, USA: Wiley; Lin, L.C., Early prediction ofmedication refractoriness in children with idiopathic epilepsy based on scalpEEGanalysis (2014) Int. J. Neural Syst., 24 (7). , Art. no. 1450023; Wang, Y., Comparison of fractal features of ictal and interictal EEGs (2013) Int. J. Neural Syst., 23 (6). , Art. no. 1350028; Jumutc, V., Ranking based kernels in applied biomedical diagnostics using a support vector machine (2011) Int. J. Neural Syst., 21 (6), pp. 459-473; Amin, H.U., Classification of EEG signals based on pattern recognition approach (2017) Frontiers Comput. Neurosci., 11. , Art. no. 103; Duda, R.O., Hart, P.E., Stork, D.G., (2001) Pattern Recognition, , 2nd ed. New York, NY, USA: Wiley; Fukunaga, K., (1990) Statistical Pattern Recognition, , 2nd ed. New York, NY, USA: Academic; Lemm, S., Schafer, C., Curio, G., BCI competition 2003-data set iii: Probabilistic modeling of sensorimotor mu/rhythms for classification of imaginary hand movements (2004) IEEE Trans. Biomed. Eng., 51 (6), pp. 1077-1080. , Jun; Solhjoo, S., Moradi, M.H., Mental task recognition: A comparison between some of classification methods (2004) Proc. BIOSIGNAL Int. EURASIP Conf., pp. 24-26; Keirn, Z.A., Aunon, J.I., A new mode of communication between man and his surroundings (1990) IEEE Trans. Biomed. Eng., 37 (12), pp. 1209-1214. , Dec; Barreto, G.A., Frota, R.A., Medeiros, F.N.S., On the classification of mental tasks: A performance comparison of neural and statistical approaches (2004) Proc. IEEE Workshop Mach. Learn. Signal, pp. 529-538; Rish, I., An empirical study of the naive Bayes classifier (2001) Proc. IJCAI Workshop Empir. Methods Artif. Intell., 3, pp. 41-46; Batbaatar, E., Li, M., Ryu, K.H., Semantic-emotion neural network for emotion recognition from text (2019) IEEE Access, 7, pp. 111866-111878; Li, T.H.S., Kuo, P.H., Tsai, T.N., Luan, P.C., CNN and LSTM based facial expression analysis model for a humanoid robot (2019) IEEE Access, 7, pp. 93998-94011; Jiang, P., Parallelized convolutional recurrent neural network with spectral features for speech emotion recognition (2019) IEEE Access, 7, pp. 90368-90377; Pham, T.T.D., Won, C.S., Facial action units for training convolutional neural networks (2019) IEEE Access, 7, pp. 77816-77824; Wang, Z., Tong, Y., Heng, X., Phase-locking value based graph convolutional neural networks for emotion recognition (2019) IEEE Access, 7, pp. 93711-93722; Zarotti, N., Exploring emotion regulation and emotion recognition in people with presymptomatic Huntington's disease: The role of emotional awareness (2018) Neuropsychologia, 112, pp. 1-9; Koch, K., Neural correlates of processing emotional prosody in unipolar depression (2018) Human Brain Mapping, 39 (8), pp. 3419-3427; Yuvaraj, R., Brain functional connectivity patterns for emotional state classification in Parkinson's disease patients without dementia (2016) Behav. Brain Res., 298, pp. 248-260; Grabowski, K., Emotional expression in psychiatric conditions: Newtechnology for clinicians (2019) Psychiatry Clin.Neurosci., 73 (2), pp. 50-62; Vliet, L.V., Anterior temporal lobectomy impairs neural classification of body emotions in right superior temporal sulcus and reduces emotional enhancement in distributed brain areas without affecting behavioral classification (2018) J. Neurosci., 38 (43), pp. 9263-9274</t>
  </si>
  <si>
    <t>21682194</t>
  </si>
  <si>
    <t>IEEE J. Biomedical Health Informat.</t>
  </si>
  <si>
    <t>2-s2.0-85086052758</t>
  </si>
  <si>
    <t>Deep learning classification of neuro-emotional phase domain complexity levels induced by affective video film clips</t>
  </si>
  <si>
    <t>He X., Zhang W.</t>
  </si>
  <si>
    <t>57194717391;56119460300;</t>
  </si>
  <si>
    <t>Emotion recognition by assisted learning with convolutional neural networks</t>
  </si>
  <si>
    <t>Neurocomputing</t>
  </si>
  <si>
    <t>291</t>
  </si>
  <si>
    <t>187</t>
  </si>
  <si>
    <t>194</t>
  </si>
  <si>
    <t>10.1016/j.neucom.2018.02.073</t>
  </si>
  <si>
    <t>https://www.scopus.com/inward/record.uri?eid=2-s2.0-85042864171&amp;doi=10.1016%2fj.neucom.2018.02.073&amp;partnerID=40&amp;md5=9e40d5db2d2bbdde8da89ff5251d7414</t>
  </si>
  <si>
    <t>School of Control Science and Engineering, Shandong University, China</t>
  </si>
  <si>
    <t>He, X., School of Control Science and Engineering, Shandong University, China; Zhang, W., School of Control Science and Engineering, Shandong University, China</t>
  </si>
  <si>
    <t>Image emotion is the emotion hidden in or passed by a particular image. In this paper, a novel convolutional neural network is proposed to predict the emotion from an image. The proposed model consists of two parts: a binary positive-or-negative emotion classification network and a deep network for specific emotion recognition. During the network training, an assisted learning strategy is introduced to boost the recognition performance. Experimental results demonstrate that the proposed network is capable of extracting active level features and achieves significant gains in emotion recognition accuracy. © 2018 Elsevier B.V.</t>
  </si>
  <si>
    <t>Assisted learning; Classification; Convolutional neural network; Image emotion recognition</t>
  </si>
  <si>
    <t>Classification (of information); Convolution; Neural networks; Assisted learning; Convolutional neural network; Deep networks; Emotion recognition; Learning strategy; Negative emotions; Network training; Speech recognition; accuracy; Article; assited learning; convolutional neural network; emotion; emotion recognition; image analysis; learning; mental performance; negative emotion; nerve cell network; pattern recognition; positive emotion; prediction; priority journal; recognition; training</t>
  </si>
  <si>
    <t>Lang, P.J., Bradley, M.M., Cuthbert, B.N., Emotion, motivation, and anxiety: brain mechanisms and psychophysiology (1998) Biol. Psychiatry, 44 (12), pp. 1248-1263; Joshi, D., Datta, R., Fedorovskaya, E., Luong, Q.-T., Wang, J.Z., Li, J., Luo, J., Aesthetics and emotions in images (2011) Signal Process. Mag. IEEE, 28 (5), pp. 94-115; Dellandrea, E., Liu, N., Chen, L., Classification of affective semantics in images based on discrete and dimensional models of emotions (2010) Proceedings of the International Workshop on Content-Based Multimedia Indexing (CBMI), pp. 1-6. , IEEE; Machajdik, J., Hanbury, A., Affective image classification using features inspired by psychology and art theory (2010) Proceedings of the international conference on Multimedia, pp. 83-92. , ACM; Zhao, S., Gao, Y., Jiang, X., Yao, H., Chua, T.-S., Sun, X., Exploring principles-of-art features for image emotion recognition (2014) Proceedings of the ACM International Conference on Multimedia, pp. 47-56. , ACM; You, Q., Luo, J., Jin, H., Yang, J., Robust image sentiment analysis using progressively trained and domain transferred deep networks (2015) Proceedings of the Twenty-Ninth AAAI Conference on Artificial Intelligence; Mikels, J.A., Fredrickson, B.L., Larkin, G.R., Lindberg, C.M., Maglio, S.J., Reuter-Lorenz, P.A., Emotional category data on images from the international affective picture system (2005) Behav. Res. Methods, 37 (4), pp. 626-630; You, Q., Luo, J., Jin, H., Yang, J., Building a large scale dataset for image emotion recognition: the fine print and the benchmark (2016) Proceedings of the Thirtieth AAAI Conference on Artificial Intelligence, pp. 308-314. , AAAI Press; Guo, Y., Liu, Y., Oerlemans, A., Lao, S., Wu, S., Lew, M.S., Deep learning for visual understanding: a review (2016) Neurocomputing, 187, pp. 27-48; Liu, W., Wang, Z., Liu, X., Zeng, N., Liu, Y., Alsaadi, F.E., A survey of deep neural network architectures and their applications (2016) Neurocomputing; Ciresan, D.C., Meier, U., Masci, J., Maria Gambardella, L., Schmidhuber, J., Flexible, high performance convolutional neural networks for image classification (2011) Proceedings of the International Joint Conference on Artificial Intelligence, 22, p. 1237; Simonyan, K., Zisserman, A., (2014), Very deep convolutional networks for large-scale image recognition, arXiv preprint arXiv:1409.1556; Krizhevsky, A., Sutskever, I., Hinton, G.E., Imagenet classification with deep convolutional neural networks (2012) Proceedings of the Advances in neural information processing systems, pp. 1097-1105; Zhou, S., Chen, Q., Wang, X., Active deep learning method for semi-supervised sentiment classification (2013) Neurocomputing, 120, pp. 536-546; Kendall, A., Badrinarayanan, V., Cipolla, R., (2015), Bayesian segnet: model uncertainty in deep convolutional encoder-decoder architectures for scene understanding, arXiv preprint arXiv:1511.02680; Long, J., Shelhamer, E., Darrell, T., Fully convolutional networks for semantic segmentation (2015) Proceedings of the IEEE Conference on Computer Vision and Pattern Recognition, pp. 3431-3440; Szegedy, C., Toshev, A., Erhan, D., Deep neural networks for object detection (2013) Proceedings of the Advances in Neural Information Processing Systems, pp. 2553-2561; Ren, S., He, K., Girshick, R., Sun, J., Faster R-CNN: towards real-time object detection with region proposal networks (2015) Proceedings of the Advances in Neural Information Processing Systems, pp. 91-99; Wang, L., Ouyang, W., Wang, X., Lu, H., Visual tracking with fully convolutional networks (2015) Proceedings of the IEEE International Conference on Computer Vision, pp. 3119-3127; Xue, H., Liu, Y., Cai, D., He, X., Tracking people in rgbd videos using deep learning and motion clues (2016) Neurocomputing, 204, pp. 70-76; Lu, X., Suryanarayan, P., Adams, R.B., Jr, Li, J., Newman, M.G., Wang, J.Z., On shape and the computability of emotions (2012) Proceedings of the 20th ACM international conference on Multimedia, pp. 229-238. , ACM; Nicolaou, M.A., Gunes, H., Pantic, M., A multi-layer hybrid framework for dimensional emotion classification (2011) Proceedings of the 19th ACM international conference on Multimedia, pp. 933-936. , ACM; Chan, C.H., Jones, G.J., Affect-based indexing and retrieval of films (2005) Proceedings of the 13th annual ACM international conference on Multimedia, pp. 427-430. , ACM; Wang, W.-N., Yu, Y.-L., Jiang, S.-M., Image retrieval by emotional semantics: a study of emotional space and feature extraction (2006) Proceedings of the IEEE International Conference on Systems, Man and Cybernetics., 4, pp. 3534-3539. , IEEE; Borth, D., Ji, R., Chen, T., Breuel, T., Chang, S.-F., Large-scale visual sentiment ontology and detectors using adjective noun pairs (2013) Proceedings of the 21st ACM international conference on Multimedia, pp. 223-232. , ACM; Arnheim, R., (1954) Art and Visual Perception: A Psychology of the Creative Eye, , Univ of California Press; Colombo, C., Del Bimbo, A., Pala, P., Semantics in visual information retrieval (1999) IEEE MultiMed., (3), pp. 38-53; Valdez, P., Mehrabian, A., Effects of color on emotions. (1994) J. Exp. Psychol. Gen., 123 (4), p. 394; Chen, T., Borth, D., Darrell, T., Chang, S.-F., (2014), Deepsentibank: visual sentiment concept classification with deep convolutional neural networks, arXiv preprint arXiv:1410.8586; Xu, C., Cetintas, S., Lee, K.-C., Li, L.-J., (2014), Visual sentiment prediction with deep convolutional neural networks, arXiv preprint arXiv:1411.5731; Campos, V., Jou, B., Giro-i Nieto, X., From pixels to sentiment: fine-tuning cnns for visual sentiment prediction (2017) Image Vis. Comput.; LeCun, Y., Kavukcuoglu, K., Farabet, C., Convolutional networks and applications in vision. (2010) Proceedings of the ISCAS, pp. 253-256; Kavukcuoglu, K., Sermanet, P., Boureau, Y.-L., Gregor, K., Mathieu, M., Cun, Y.L., Learning convolutional feature hierarchies for visual recognition (2010) Proceedings of the Advances in Neural Information Processing Systems, pp. 1090-1098; Lang, P.J., Bradley, M.M., Cuthbert, B.N., (1999) International Affective Picture System (IAPS): Instruction Manual and Affective Ratings, , The Center for Research in Psychophysiology, University of Florida; Jia, Y., Shelhamer, E., Donahue, J., Karayev, S., Long, J., Girshick, R., Guadarrama, S., Darrell, T., Caffe: convolutional architecture for fast feature embedding (2014) Proceedings of the ACM International Conference on Multimedia, pp. 675-678. , ACM; Yanulevskaya, V., Van Gemert, J., Roth, K., Herbold, A.-K., Sebe, N., Geusebroek, J.-M., Emotional valence categorization using holistic image features (2008) Proceedings of the 15th IEEE International Conference on Image Processing, pp. 101-104. , IEEE</t>
  </si>
  <si>
    <t>Elsevier B.V.</t>
  </si>
  <si>
    <t>09252312</t>
  </si>
  <si>
    <t>NRCGE</t>
  </si>
  <si>
    <t>2-s2.0-85042864171</t>
  </si>
  <si>
    <t>Grudin J.</t>
  </si>
  <si>
    <t>7004370653;</t>
  </si>
  <si>
    <t>AI and HCI: Two fields divided by a common focus</t>
  </si>
  <si>
    <t>AI Magazine</t>
  </si>
  <si>
    <t>30</t>
  </si>
  <si>
    <t>57</t>
  </si>
  <si>
    <t>10.1609/aimag.v30i4.2271</t>
  </si>
  <si>
    <t>https://www.scopus.com/inward/record.uri?eid=2-s2.0-79951816196&amp;doi=10.1609%2faimag.v30i4.2271&amp;partnerID=40&amp;md5=7c54a8d264682cfe126e5b2b0a3756a2</t>
  </si>
  <si>
    <t>Microsoft Research, United States</t>
  </si>
  <si>
    <t>Grudin, J., Microsoft Research, United States</t>
  </si>
  <si>
    <t>Although AI and HCl explore computing and intelligent behavior and the fields have seen some crossover, until recently there was not very much. This article outlines a history of the fields that identifies some of the forces that kept the fields at arm's length. AI was generally marked by a very ambitious, long-term vision requiring expensive systems, although the term was rarely envisioned as being as long as it proved to be, whereas HCI focused more on innovation and improvement of widely used hardware within a short time scale. These differences led to different priorities, methods, and assessment approaches. A consequence was competition for resources, with HCI flourishing in AI winters and moving more slowly when AI was in favor. The situation today is much more promising, in part because of platform convergence: AI can be exploited on widely used systems. Copyright © 2009, Association for the Advancement of Artificial Intelligence. All rights reserved.</t>
  </si>
  <si>
    <t>Artificial intelligence; Assessment approaches; Intelligent behavior; Long term vision; Short time scale; Used systems; Chlorine compounds</t>
  </si>
  <si>
    <t>Gaines, B.R., Shaw, M.L.G., From timesharing to the sixth generation: The development of human-computer interaction, part i (1985) International Journal of Man-Machine Studies, 24 (1), pp. 1-27; Grudin, J., Three faces of human-computer interaction (2005) IEEE Annals of the History of Computing, 27 (4), p. 4662; Grudin, J., Turing maturing: The separation of artificial intelligence and human-computer interaction (2006) Interactions, 13 (5), pp. 54-57. , DOI 10.1145/1151314.1151346; Grudin, J., A moving target: The evolution of human-computer interaction (2008) Handbook of HumanComputer Interaction, , ed. A. Sears and J. Jacko. Boca Raton, FL: CRC Press; McCarthy, J., Book review of the question of artificial intelligence: Philosophical and sociological perspectives by B. P. Bloomfield (1988) Annals of the History of Computing, 10 (3), pp. 224-229; Moravec, H., When will computer hardware match the human brain? (1998) Journal of Evolution and Technology, 1 (1); Norberg, A.L., O'Neill, J.E., (1996) Transforming Computer Technology: Information Processing for the Pentagon, 1962-1986, , Baltimore: Johns Hopkins; Roland, A., Shiman, P., (2002) Strategic Computing: DARPA and the Quest for Machine Intelligence, 19831993, , Cambridge, MA: The MIT Press; Weinberg, G., (1971) The Psychology of Computer Programming, , New York: John Wiley &amp; Sons; Asimov, I., (1950) I, Robot., , New York: Gnome Press; Darrach, B., Meet shaky: The first electronic person (1970) Life Magazine, , November 20; Dreyfus, H., (1972) What Computers Can't Do: A Critique of Artificial Reason, , New York: Harper and Row; Good, I.J., Speculations concerning the first ultraintelligent machine (1965) Advances in Computers, 6, pp. 31-88; Kurzweil, R., (1999) The Age of Spiritual Machines: When Computers Exceed Human Intelligence, , New York: Viking; Johnson, T., (1985) Natural Language Computing: The Commercial Applications, , London: Ovum Ltd; Lenat, D., When will machines learn? (1989) Machine Learning, 4, pp. 255-257; Licklider, J.C.R., Man-computer symbiosis (1960) IRE Transactions of Human Factors in Electronics, HFE1 (1), p. 411; Markoff, J., Scientists worry machines may outsmart man (2009) New York Times, pp. A1. , July 25; Moravec, H., (1999) Robot: Mere Machine to Transcendent Mind, , Oxford, UK: Oxford University Press; Negroponte, N., (1970) The Architecture Machine: Towards A More Humane Environment, , Cambridge, MA: The MIT Press; Programming a computer for playing chess (1950) Philosophical Magazine, Series 7, 41 (314), pp. 256-275. , Shannon, C; Simon, H.A., (1960) The New Science of Management Decision, , New York: Harper; Simon, H.A., Newell, A., Heuristic problem solving: The next advance in operations research (1958) Operations Research, 6 (1), pp. 1-10; Turing, A., Turing's letter to the Times was published June 11, 1949 (1949) Mind, 49, pp. 433-460. , In 1950 he published Computing Machinery and Intelligence; The World of Mathematics, 4, pp. 2099-2123. , which drew more attention when republished in 1956 as "Can a Machine Think?" In J. R. Newman, ed., New York: Simon and Schuster; Thompson, H., Winograd, T., Bobrow, D., Norman, D., Kay, M., Kaplan, R., GUS, A frame-driven dialog system (1977) Artificial Intelligence, 8 (2), pp. 155-173; Norman, D.A., Analysis and design of intelligent systems (1978) Human and Artificial Intelligence, , ed. F. Klix. Berlin, DDR: Veb Deutscher Verlag der Wissenschaften; Hollan, J.D., Hutchins, E.L., Weitzman, L., Steamer: An interactive inspectable simulation-based training system (1984) AI Magazine, 5 (2), pp. 15-27; Lieberman, H., Seeing what your programs are doing (1984) International Journal of Man-Machine Studies, 21 (4), pp. 311-331; Fischer, G., Lemke, A., Schwab, T., Knowledge based help systems (1985) Human Factors in Computing Systems: Proceedings of CHI'85, pp. 161-167. , New York: Association for Computing Machinery; Hutchins, E.L., Hollan, J.D., Norman, D.A., Direct manipulation interfaces (1986) User Centered System Design, pp. 87-124. , ed. D. A. Norman and S. W. Draper, Mahweh, NJ: Erlbaum; Fischer, G., A critic for LISP (1987) Proceedings of the Thirteenth International Joint Conference on Artificial Intelligence, pp. 177-184. , San Francisco: Morgan Kaufmann; Terveen, L.G., Wroblewski, D.A., A collaborative interface for browsing and editing large knowledge bases (1990) Proceedings of the Eighth National Conference on Artificial Intelligence, pp. 491-496. , Menlo Park, CA: AAAI Press; Hollan, J.D., Rich, E., Hill, W.C., Wroblewski, D., Wilner, W., Wittenburg, K., Grudin, J., An introduction to HITS: Human interface tool suite (1991) Intelligent User Interfaces, pp. 293-338. , and the MCC Human Interface Lab Members. ed. J. Sullivan, Reading, MA: Addison Wesley; Shardanand, U., Maes, P., Social information filtering: Algorithms for automating word of mouth (1995) Human Factors in Computing Systems: Proceedings of CHT9S, pp. 210-217. , New York: Association for Computing Machinery; Norman, D.A., How might people interact with agents (1997) Software Agents, , ed. J. M. Bradshaw. Menlo Park, CA: AAAI Press; Resnick, P., Filtering information on the internet (1997) Scientific American, pp. 106-108. , March; Good, N., Schäfer, J.B., Konstan, J.A., Borchers, A., Sarwar, B.M., Herlocker, J.L., Riedl, J., Combining collaborative filtering with personal agents for better recommendations (1999) Proceedings of the Sixteenth National Conference on Artificial Intelligence, pp. 439-446. , Menlo Park, CA: AAAI Press; Horvitz, E., Principles of mixed-initiative user interfaces (1999) Human Factors in Computing System: Proceedings of CHI'99, pp. 159-166. , New York: Association for Computing Machinery; Oviatt, S., Mutual disambiguation of recognition errors in a multimodal architecture (1999) Human Factors in Computing System: Proceedings of CHI'99, pp. 576-583. , New York: Association for Computing Machinery; Herlocker, J.L., Konstan, J.A., Terveen, L.G., Riedl, J.T., Evaluating collaborative filtering recommender systems (2004) ACM Transactions on Information Systems, 22 (1), pp. 5-53</t>
  </si>
  <si>
    <t>AI Access Foundation</t>
  </si>
  <si>
    <t>07384602</t>
  </si>
  <si>
    <t>AIMAE</t>
  </si>
  <si>
    <t>AI Mag</t>
  </si>
  <si>
    <t>2-s2.0-79951816196</t>
  </si>
  <si>
    <t>Ai and hci: two fields divided by a common focus</t>
  </si>
  <si>
    <t>Guo X., He T., Zhang Z., Luo A., Wang F., Ng E.J., Zhu Y., Liu H., Lee C.</t>
  </si>
  <si>
    <t>57202057156;57195630940;57208886013;57189036549;56288548400;42962080800;37071731400;56784835700;13806509700;</t>
  </si>
  <si>
    <t>Artificial Intelligence-Enabled Caregiving Walking Stick Powered by Ultra-Low-Frequency Human Motion</t>
  </si>
  <si>
    <t>ACS Nano</t>
  </si>
  <si>
    <t>19054</t>
  </si>
  <si>
    <t>19069</t>
  </si>
  <si>
    <t>10.1021/acsnano.1c04464</t>
  </si>
  <si>
    <t>https://www.scopus.com/inward/record.uri?eid=2-s2.0-85112554823&amp;doi=10.1021%2facsnano.1c04464&amp;partnerID=40&amp;md5=901372280e2567ced30ca72898d94a61</t>
  </si>
  <si>
    <t>Department of Electrical and Computer Engineering, National University of Singapore, 4 Engineering Drive 3, Singapore, 117576, Singapore; National University of Singapore Suzhou Research Institute (NUSRI), Suzhou Industrial Park, Suzhou, 215123, China; Center for Intelligent Sensors and Mems (CISM), National University of Singapore, 5 Engineering Drive 1, Singapore, 117608, Singapore; Institute of Microelectronics (IME), Agency for Science, Technology and Research (A*STAR), Singapore, 138634, Singapore; School of Microelectronics, Southern University of Science and Technology, Shenzhen, 518055, China; School of Mechanical and Electric Engineering, Jiangsu Provincial Key Laboratory of Advanced Robotics, Soochow University, Suzhou, 215123, China; Nus Graduate School-Integrative Sciences and Engineering Program (ISEP), National University of Singapore, Singapore, 119077, Singapore</t>
  </si>
  <si>
    <t>Guo, X., Department of Electrical and Computer Engineering, National University of Singapore, 4 Engineering Drive 3, Singapore, 117576, Singapore, National University of Singapore Suzhou Research Institute (NUSRI), Suzhou Industrial Park, Suzhou, 215123, China, Center for Intelligent Sensors and Mems (CISM), National University of Singapore, 5 Engineering Drive 1, Singapore, 117608, Singapore, Institute of Microelectronics (IME), Agency for Science, Technology and Research (A*STAR), Singapore, 138634, Singapore; He, T., Department of Electrical and Computer Engineering, National University of Singapore, 4 Engineering Drive 3, Singapore, 117576, Singapore, National University of Singapore Suzhou Research Institute (NUSRI), Suzhou Industrial Park, Suzhou, 215123, China, Center for Intelligent Sensors and Mems (CISM), National University of Singapore, 5 Engineering Drive 1, Singapore, 117608, Singapore; Zhang, Z., Department of Electrical and Computer Engineering, National University of Singapore, 4 Engineering Drive 3, Singapore, 117576, Singapore, National University of Singapore Suzhou Research Institute (NUSRI), Suzhou Industrial Park, Suzhou, 215123, China, Center for Intelligent Sensors and Mems (CISM), National University of Singapore, 5 Engineering Drive 1, Singapore, 117608, Singapore; Luo, A., School of Microelectronics, Southern University of Science and Technology, Shenzhen, 518055, China; Wang, F., School of Microelectronics, Southern University of Science and Technology, Shenzhen, 518055, China; Ng, E.J., Institute of Microelectronics (IME), Agency for Science, Technology and Research (A*STAR), Singapore, 138634, Singapore; Zhu, Y., Institute of Microelectronics (IME), Agency for Science, Technology and Research (A*STAR), Singapore, 138634, Singapore; Liu, H., School of Mechanical and Electric Engineering, Jiangsu Provincial Key Laboratory of Advanced Robotics, Soochow University, Suzhou, 215123, China; Lee, C., Department of Electrical and Computer Engineering, National University of Singapore, 4 Engineering Drive 3, Singapore, 117576, Singapore, National University of Singapore Suzhou Research Institute (NUSRI), Suzhou Industrial Park, Suzhou, 215123, China, Center for Intelligent Sensors and Mems (CISM), National University of Singapore, 5 Engineering Drive 1, Singapore, 117608, Singapore, Nus Graduate School-Integrative Sciences and Engineering Program (ISEP), National University of Singapore, Singapore, 119077, Singapore</t>
  </si>
  <si>
    <t>The increasing population of the elderly and motion-impaired people brings a huge challenge to our social system. However, the walking stick as their essential tool has rarely been investigated into its potential capabilities beyond basic physical support, such as activity monitoring, tracing, and accident alert. Here, we report a walking stick powered by ultra-low-frequency human motion and equipped with deep-learning-enabled advanced sensing features to provide a healthcare-monitoring platform for motion-impaired users. A linear-to-rotary structure is designed to achieve highly efficient energy harvesting from the linear motion of a walking stick with ultralow frequency. Besides, two kinds of self-powered triboelectric sensors are proposed and integrated to extract the motion features of the walking stick. Augmented sensing functionalities with high accuracies have been enabled by deep-learning-based data analysis, including identity recognition, disability evaluation, and motion status distinguishing. Furthermore, a self-sustainable Internet of Things (IoT) system with global positioning system tracing and environmental temperature and humidity amenity sensing functions is obtained. Combined with the aforementioned functionalities, this walking stick is demonstrated in various usage scenarios as a caregiver for real-time well-being status and activity monitoring. The caregiving walking stick shows the potential of being an intelligent aid for motion-impaired users to help them live life with adequate autonomy and safety. © 2021 American Chemical Society.</t>
  </si>
  <si>
    <t>artificial intelligence; energy harvesting; Internet of Things; triboelectric; walking stick</t>
  </si>
  <si>
    <t>Deep learning; Diagnosis; Energy harvesting; Internet of things; Activity monitoring; Environmental temperature; Healthcare monitoring; Identity recognition; Internet of Things (IOT); Potential capability; Sensing functions; Ultra low frequencies; Walking aids; aged; artificial intelligence; cane; human; motion; physiologic monitoring; Aged; Artificial Intelligence; Canes; Humans; Internet of Things; Monitoring, Physiologic; Motion</t>
  </si>
  <si>
    <t>(2021) Nat. Aging, 1 (1), pp. 1-1. , Aging in Unity. (); https://www.worldbank.org/en/topic/disability, World Bank Group. Disability Inclusion Overview. (accessed July 21, 2021); Chung, H.U., Rwei, A.Y., Hourlier-Fargette, A., Xu, S., Lee, K., Dunne, E.C., Xie, Z., Park, J.B., Skin-Interfaced Biosensors for Advanced Wireless Physiological Monitoring in Neonatal and Pediatric Intensive-Care Units (2020) Nat. Med., 26 (3), pp. 418-429; Lee, G.-H., Moon, H., Kim, H., Lee, G.H., Kwon, W., Yoo, S., Myung, D., Hahn, S.K., Multifunctional Materials for Implantable and Wearable Photonic Healthcare Devices (2020) Nat. Rev. Mater., 5 (2), pp. 149-165; Gao, W., Emaminejad, S., Nyein, H.Y.Y., Challa, S., Chen, K., Peck, A., Fahad, H.M., Javey, A., Fully Integrated Wearable Sensor Arrays for Multiplexed in Situ Perspiration Analysis (2016) Nature, 529 (7587), pp. 509-514; Chu, B., Burnett, W., Chung, J.W., Bao, Z., Bring on the BodyNET (2017) Nature, 549 (7672), pp. 328-330; Song, Y., Min, J., Yu, Y., Wang, H., Yang, Y., Zhang, H., Gao, W., Wireless Battery-Free Wearable Sweat Sensor Powered by Human Motion (2020) Sci. Adv., 6 (40), p. eaay9842; Gao, Y., Yu, L., Yeo, J.C., Lim, C.T., Flexible Hybrid Sensors for Health Monitoring: Materials and Mechanisms to Render Wearability (2020) Adv. Mater., 32 (15), p. 1902133; Wu, F., Qiu, C., Wu, T., Yuce, M.R., Edge-Based Hybrid System Implementation for Long-Range Safety and Healthcare IoT Applications (2021) Ieee Internet Things J., 4662 (C), pp. 1-1; Wu, T., Wu, F., Qiu, C., Redoute, J.-M., Yuce, M.R., A Rigid-Flex Wearable Health Monitoring Sensor Patch for IoT-Connected Healthcare Applications (2020) Ieee Internet Things J., 7 (8), pp. 6932-6945; Arab Hassani, F., Shi, Q., Wen, F., He, T., Haroun, A., Yang, Y., Feng, Y., Lee, C., Smart Materials for Smart Healthcare- Moving from Sensors and Actuators to Self-Sustained Nanoenergy Nanosystems (2020) Smart Mater. Med., 1 (JULY), pp. 92-124; Cho, Y., Park, J., Lee, C., Lee, S., Recent Progress on Peripheral Neural Interface Technology towards Bioelectronic Medicine (2020) Bioelectron. Med., 6 (1), p. 23; Wang, J., Wang, H., Thakor, N.V., Lee, C., Self-Powered Direct Muscle Stimulation Using a Triboelectric Nanogenerator (TENG) Integrated with a Flexible Multiple-Channel Intramuscular Electrode (2019) Acs Nano, 13 (3), pp. 3589-3599; Wang, J., Wang, H., He, T., He, B., Thakor, N.V., Lee, C., Investigation of Low-Current Direct Stimulation for Rehabilitation Treatment Related to Muscle Function Loss Using Self-Powered TENG System (2019) Adv. Sci., 6 (14), p. 1900149; Wang, J., He, T., Lee, C., Development of Neural Interfaces and Energy Harvesters towards Self-Powered Implantable Systems for Healthcare Monitoring and Rehabilitation Purposes (2019) Nano Energy, 65 (JULY), p. 104039; Shi, J., Liu, S., Zhang, L., Yang, B., Shu, L., Yang, Y., Ren, M., Tao, X., Smart Textile-Integrated Microelectronic Systems for Wearable Applications (2020) Adv. Mater., 32 (5), p. 1901958; Dietz, M.A., Goetz, C.G., Stebbins, G.T., Evaluation of a Modified Inverted Walking Stick as a Treatment for Parkinsonian Freezing Episodes (1990) Mov. Disord., 5 (3), pp. 243-247; Kessentini, O., Dalce, R., Megdiche, I., Bastide, R., (2018) Towards Predicting Frailty Symptoms through a Smart Walking Stick, pp. 1-7. , IFIP/IEEE International Conference on Performance Evaluation and Modeling in Wired and Wireless Networks (PEMWN), France, September 26-28; IEEE; Dabir, A., Solkar, R., Kumbhar, M., Narayanan, G., (2018) Gps and IoT Equipped Smart Walking Stick, pp. 0322-0326. , International Conference on Communication and Signal Processing (ICCSP), China, March 16-19; IEEE; Yuan, F., Liu, S., Zhou, J., Wang, S., Wang, Y., Xuan, S., Gong, X., Smart Touchless Triboelectric Nanogenerator towards Safeguard and 3D Morphological Awareness (2021) Nano Energy, 86, p. 106071; Chang, W.J., Chen, L.B., Chen, M.C., Su, J.P., Sie, C.Y., Yang, C.H., Design and Implementation of an Intelligent Assistive System for Visually Impaired People for Aerial Obstacle Avoidance and Fall Detection (2020) Ieee Sens. J., 20 (17), pp. 10199-10210; Sahoo, N., Lin, H.W., Chang, Y.H., Design and Implementation of a Walking Stick Aid for Visually Challenged People (2019) Sensors, 19 (1), p. 130; Lee, K., Ni, X., Lee, J.Y., Arafa, H., Pe, D.J., Xu, S., Avila, R., Park, J.B., Mechano-Acoustic Sensing of Physiological Processes and Body Motions via a Soft Wireless Device Placed at the Suprasternal Notch (2020) Nat. Biomed. Eng., 4 (2), pp. 148-158; Liu, S.Q., Zhang, J.C., Zhu, R., A Wearable Human Motion Tracking Device Using Micro Flow Sensor Incorporating a Micro Accelerometer (2020) Ieee Trans. Biomed. Eng., 67 (4), pp. 940-948; Liu, S., Zhang, J., Zhang, Y., Zhu, R., A Wearable Motion Capture Device Able to Detect Dynamic Motion of Human Limbs (2020) Nat. Commun., 11 (1), p. 5615; Jeong, H., Rogers, J.A., Xu, S., Continuous On-Body Sensing for the COVID-19 Pandemic: Gaps and Opportunities (2020) Sci. Adv., 6 (36), p. eabd4794; Wen, F., He, T., Liu, H., Chen, H.-Y., Zhang, T., Lee, C., Advances in Chemical Sensing Technology for Enabling the Next-Generation Self-Sustainable Integrated Wearable System in the IoT Era (2020) Nano Energy, 78 (JULY), p. 105155; Zhou, H., Zhang, Y., Qiu, Y., Wu, H., Qin, W., Liao, Y., Yu, Q., Cheng, H., Stretchable Piezoelectric Energy Harvesters and Self-Powered Sensors for Wearable and Implantable Devices (2020) Biosens. Bioelectron., 168 (MAY), p. 112569; Chu, Y., Zhong, J., Liu, H., Ma, Y., Liu, N., Song, Y., Liang, J., Lin, L., Human Pulse Diagnosis for Medical Assessments Using a Wearable Piezoelectret Sensing System (2018) Adv. Funct. Mater., 28 (40), p. 1803413; Dong, K., Peng, X., Wang, Z.L., Fiber/Fabric-Based Piezoelectric and Triboelectric Nanogenerators for Flexible/Stretchable and Wearable Electronics and Artificial Intelligence (2020) Adv. Mater., 32 (5), p. 1902549; Li, Z., Zheng, Q., Wang, Z.L., Li, Z., Nanogenerator-Based Self-Powered Sensors for Wearable and Implantable Electronics (2020) Research, 2020, pp. 1-25; Zhu, M., Sun, Z., Chen, T., Lee, C., Low Cost Exoskeleton Manipulator Using Bidirectional Triboelectric Sensors Enhanced Multiple Degree of Freedom Sensory System (2021) Nat. Commun., 12 (1), p. 2692; Zhu, M., Shi, Q., He, T., Yi, Z., Ma, Y., Yang, B., Chen, T., Lee, C., Self-Powered and Self-Functional Cotton Sock Using Piezoelectric and Triboelectric Hybrid Mechanism for Healthcare and Sports Monitoring (2019) Acs Nano, 13, p. 1; Zhu, J., Sun, Z., Xu, J., Walczak, R.D., Dziuban, J.A., Lee, C., Volatile Organic Compounds Sensing Based on Bennet Doubler-Inspired Triboelectric Nanogenerator and Machine Learning-Assisted Ion Mobility Analysis (2021) Sci. Bull., 66 (12), pp. 1176-1185; Zhu, J., Zhu, M., Shi, Q., Wen, F., Liu, L., Dong, B., Haroun, A., Lee, C., Progress in TENG Technology-A Journey from Energy Harvesting to Nanoenergy and Nanosystem (2020) EcoMat, 2 (4), pp. 1-53; Gao, Q., Cheng, T., Wang, Z.L., Triboelectric Mechanical Sensors-Progress and Prospects (2021) Extrem. Mech. Lett., 42, p. 101100; Kwak, S.S., Yoon, H.-J., Kim, S.-W., Textile-Based Triboelectric Nanogenerators for Self-Powered Wearable Electronics (2019) Adv. Funct. Mater., 29 (2), p. 1804533; Liu, L., Guo, X., Lee, C., Nano Energy Promoting Smart Cities into the 5G Era with Multi-Field Internet of Things (IoT) Applications Powered with Advanced Mechanical Energy Harvesters (2021) Nano Energy, 88 (JULY), p. 106304; Dong, B., Shi, Q., Yang, Y., Wen, F., Zhang, Z., Lee, C., Technology Evolution from Self-Powered Sensors to AIoT Enabled Smart Homes (2021) Nano Energy, 79, p. 105414; Zhou, Y., Shen, M., Cui, X., Shao, Y., Li, L., Zhang, Y., Triboelectric Nanogenerator Based Self-Powered Sensor for Artificial Intelligence (2021) Nano Energy, 84, p. 105887; Sun, Z., Zhu, M., Zhang, Z., Chen, Z., Shi, Q., Shan, X., Yeow, R.C.H., Lee, C., Artificial Intelligence of Things (AIoT) Enabled Virtual Shop Applications Using Self-Powered Sensor Enhanced Soft Robotic Manipulator (2021) Adv. Sci., , 2100230, 2100230; Karan, S.K., Maiti, S., Lee, J.H., Mishra, Y.K., Khatua, B.B., Kim, J.K., Recent Advances in Self-Powered Tribo-/Piezoelectric Energy Harvesters: All-In-One Package for Future Smart Technologies (2020) Adv. Funct. Mater., 30 (48), p. 2004446; Guo, X., Liu, L., Zhang, Z., Gao, S., He, T., Shi, Q., Lee, C., Technology Evolution from Micro-Scale Energy Harvesters to Nanogenerators (2021) J. Micromech. Microeng., , accepted for publication; Bai, Y., Jantunen, H., Juuti, J., Energy Harvesting Research: The Road from Single Source to Multisource (2018) Adv. Mater., 30 (34), p. 1707271; Wang, Y., Wang, H., Xuan, J., Leung, D.Y.C., Powering Future Body Sensor Network Systems: A Review of Power Sources (2020) Biosens. Bioelectron., 166 (JULY), p. 112410; Hudak, N.S., Amatucci, G.G., Small-Scale Energy Harvesting through Thermoelectric, Vibration, and Radiofrequency Power Conversion (2008) J. Appl. Phys., 103 (10), p. 101301; Beeby, S.P., Tudor, M.J., White, N.M., Energy Harvesting Vibration Sources for Microsystems Applications (2006) Meas. Sci. Technol., 17 (12), pp. R175-R195; Wen, Z., Yeh, M.-H., Guo, H., Wang, J., Zi, Y., Xu, W., Deng, J., Wang, Z.L., Self-Powered Textile for Wearable Electronics by Hybridizing Fiber-Shaped Nanogenerators, Solar Cells, and Supercapacitors (2016) Sci. Adv., 2 (10), p. e1600097; Han, K., Kim, J., Rajabi-Abhari, A., Bui, V., Kim, J., Choi, D., Oh, I., Long-Lasting and Steady Triboelectric Energy Harvesting from Low-Frequency Irregular Motions Using Escapement Mechanism (2021) Adv. Energy Mater., 11 (4), p. 2002929; Wang, J., Li, S., Yi, F., Zi, Y., Lin, J., Wang, X., Xu, Y., Wang, Z.L., Sustainably Powering Wearable Electronics Solely by Biomechanical Energy (2016) Nat. Commun., 7 (1), p. 12744; Chen, G., Li, Y., Bick, M., Chen, J., Smart Textiles for Electricity Generation (2020) Chem. Rev., 120 (8), pp. 3668-3720; Guo, H., Yeh, M.-H., Lai, Y.-C., Zi, Y., Wu, C., Wen, Z., Hu, C., Wang, Z.L., All-in-One Shape-Adaptive Self-Charging Power Package for Wearable Electronics (2016) Acs Nano, 10 (11), pp. 10580-10588; Huang, L., Lin, S., Xu, Z., Zhou, H., Duan, J., Hu, B., Zhou, J., Fiber-Based Energy Conversion Devices for Human-Body Energy Harvesting (2020) Adv. Mater., 32 (5), p. 1902034; Pu, X., Hu, W., Wang, Z.L., Toward Wearable Self-Charging Power Systems: The Integration of Energy-Harvesting and Storage Devices (2018) Small, 14 (1), p. 1702817; Seung, W., Gupta, M.K., Lee, K.Y., Shin, K., Lee, J., Kim, T.Y., Kim, S., Kim, S., Nanopatterned Textile-Based Wearable Triboelectric Nanogenerator (2015) Acs Nano, 9 (4), pp. 3501-3509; Hou, C., Chen, T., Li, Y., Huang, M., Shi, Q., Liu, H., Sun, L., Lee, C., A Rotational Pendulum Based Electromagnetic/Triboelectric Hybrid-Generator for Ultra-Low-Frequency Vibrations Aiming at Human Motion and Blue Energy Applications (2019) Nano Energy, 63 (MARCH), p. 103871; Liu, L., Shi, Q., Lee, C., A Hybridized Electromagnetic-Triboelectric Nanogenerator Designed for Scavenging Biomechanical Energy in Human Balance Control (2021) Nano Res., 12 (1); Maharjan, P., Bhatta, T., Cho, H., Hui, X., Park, C., Yoon, S., Salauddin, M., Park, J.Y., A Fully Functional Universal Self-Chargeable Power Module for Portable/Wearable Electronics and Self-Powered IoT Applications (2020) Adv. Energy Mater., 10 (48), p. 2002782; Maharjan, P., Bhatta, T., Salauddin Rasel, M., Salauddin, M., Toyabur Rahman, M., Park, J.Y., High-Performance Cycloid Inspired Wearable Electromagnetic Energy Harvester for Scavenging Human Motion Energy (2019) Appl. Energy, 256, p. 113987; Quan, T., Wang, X., Wang, Z.L., Yang, Y., Hybridized Electromagnetic-Triboelectric Nanogenerator for a Self-Powered Electronic Watch (2015) Acs Nano, 9 (12), pp. 12301-12310; Tan, P., Zheng, Q., Zou, Y., Shi, B., Jiang, D., Qu, X., Ouyang, H., Li, Z., A Battery-Like Self-Charge Universal Module for Motional Energy Harvest (2019) Adv. Energy Mater., 9 (36), p. 1901875; Mitcheson, P.D., Yeatman, E.M., Rao, G.K., Holmes, A.S., Green, T.C., Energy Harvesting from Human and Machine Motion for Wireless Electronic Devices (2008) Proc. Ieee, 96 (9), pp. 1457-1486; Liu, H., Tay, C.J., Quan, C., Kobayashi, T., Lee, C., A Scrape-Through Piezoelectric MEMS Energy Harvester with Frequency Broadband and Up-Conversion Behaviors (2011) Microsyst. Technol., 17 (12), pp. 1747-1754; Kulah, H., Najafi, K., Energy Scavenging from Low-Frequency Vibrations by Using Frequency Up-Conversion for Wireless Sensor Applications (2008) Ieee Sens. J., 8 (3), pp. 261-268; Yan, C., Gao, Y., Zhao, S., Zhang, S., Zhou, Y., Deng, W., Li, Z., Chen, J., A Linear-to-Rotary Hybrid Nanogenerator for High-Performance Wearable Biomechanical Energy Harvesting (2020) Nano Energy, 67, p. 104235; Jiang, D., Ouyang, H., Shi, B., Zou, Y., Tan, P., Qu, X., Chao, S., Li, Z., A Wearable Noncontact Free-Rotating Hybrid Nanogenerator for Self-Powered Electronics (2020) InfoMat, 2 (6), pp. 1191-1200; Luo, A., Zhang, Y., Dai, X., Wang, Y., Xu, W., Lu, Y., Wang, M., Wang, F., An Inertial Rotary Energy Harvester for Vibrations at Ultra-Low Frequency with High Energy Conversion Efficiency (2020) Appl. Energy, 279, p. 115762; Lin, Y., Chen, J., Tavakoli, M.M., Gao, Y., Zhu, Y., Zhang, D., Kam, M., Fan, Z., Printable Fabrication of a Fully Integrated and Self-Powered Sensor System on Plastic Substrates (2019) Adv. Mater., 31 (5), p. 1804285; Kim, C.S., Yang, H.M., Lee, J., Lee, G.S., Choi, H., Kim, Y.J., Lim, S.H., Cho, B.J., Self-Powered Wearable Electrocardiography Using a Wearable Thermoelectric Power Generator (2018) Acs Energy Lett., 3 (3), pp. 501-507; He, T., Wang, H., Wang, J., Tian, X., Wen, F., Shi, Q., Ho, J.S., Lee, C., Self-Sustainable Wearable Textile Nano-Energy Nano-System (NENS) for Next-Generation Healthcare Applications (2019) Adv. Sci., 6 (24), p. 1901437; Zhang, Z., He, T., Zhu, M., Sun, Z., Shi, Q., Zhu, J., Dong, B., Lee, C., Deep Learning-Enabled Triboelectric Smart Socks for IoT-Based Gait Analysis and VR Applications (2020) Npj Flex. Electron., 4 (1), p. 29; Zhou, Z., Chen, K., Li, X., Zhang, S., Wu, Y., Zhou, Y., Meng, K., Chen, J., Sign-to-Speech Translation Using Machine-Learning-Assisted Stretchable Sensor Arrays (2020) Nat. Electron., 3 (9), pp. 571-578; Gao, S., He, T., Zhang, Z., Ao, H., Jiang, H., A Motion Capturing and Energy Harvesting Hybridized Lower-Limb System for Rehabilitation and Sports Applications (2021) Adv. Sci., , L, C; Kaponig, M., Mölleken, A., Nienhaus, H., Möller, R., Dynamics of Contact Electrification (2021) Sci. Adv., 7 (22), p. eabg7595; Wang, Z.L., Wang, A.C., On the Origin of Contact-Electrification (2019) Mater. Today, 30, pp. 34-51; Zou, H., Zhang, Y., Guo, L., Wang, P., He, X., Dai, G., Zheng, H., Wang, Z.L., Quantifying the Triboelectric Series (2019) Nat. Commun., 10 (1), p. 1427; Niu, S., Wang, S., Lin, L., Liu, Y., Zhou, Y.S., Hu, Y., Wang, Z.L., Theoretical Study of Contact-Mode Triboelectric Nanogenerators as an Effective Power Source (2013) Energy Environ. Sci., 6 (12), pp. 3576-3583; Zi, Y., Niu, S., Wang, J., Wen, Z., Tang, W., Wang, Z.L., Standards and Figure-of-Merits for Quantifying the Performance of Triboelectric Nanogenerators (2015) Nat. Commun., 6; Fu, H., Mei, X., Yurchenko, D., Zhou, S., Theodossiades, S., Nakano, K., Yeatman, E.M., Rotational Energy Harvesting for Self-Powered Sensing (2021) Joule, pp. 1-45; Zijlstra, A., De Bruin, E.D., Bruins, N., Zijlstra, W., The Step Length - Frequency Relationship in Physically Active Community-Dwelling Older Women (2008) Eur. J. Appl. Physiol., 104 (3), pp. 427-434; Yang, Y., Sun, N., Wen, Z., Cheng, P., Zheng, H., Shao, H., Xia, Y., Lee, S.-T., Liquid-Metal-Based Super-Stretchable and Structure-Designable Triboelectric Nanogenerator for Wearable Electronics (2018) Acs Nano, 12 (2), pp. 2027-2034; Wang, L., Liu, W., Yan, Z., Wang, F., Wang, X., Stretchable and Shape-Adaptable Triboelectric Nanogenerator Based on Biocompatible Liquid Electrolyte for Biomechanical Energy Harvesting and Wearable Human-Machine Interaction (2021) Adv. Funct. Mater., 31 (7), p. 2007221; Fan, K., Cai, M., Wang, F., Tang, L., Liang, J., Wu, Y., Qu, H., Tan, Q., A String-Suspended and Driven Rotor for Efficient Ultra-Low Frequency Mechanical Energy Harvesting (2019) Energy Convers. Manage., 198 (JULY), p. 111820; Wu, Z., Tang, J., Zhang, X., Yu, Z., An Energy Harvesting Bracelet (2017) Appl. Phys. Lett., 111 (1), p. 013903; Saha, C.R., O'Donnell, T., Wang, N., McCloskey, P., Electromagnetic Generator for Harvesting Energy from Human Motion (2008) Sens. Actuators, A, 147 (1), pp. 248-253; Halim, M.A., Rantz, R., Zhang, Q., Gu, L., Yang, K., Roundy, S., An Electromagnetic Rotational Energy Harvester Using Sprung Eccentric Rotor, Driven by Pseudo-Walking Motion (2018) Appl. Energy, 217, pp. 66-74; Galchev, T., Aktakka, E.E., Najafi, K., A Piezoelectric Parametric Frequency Increased Generator for Harvesting Low-Frequency Vibrations (2012) J. Microelectromech. Syst., 21 (6), pp. 1311-1320; Hart, J., Hall, M., Wrigley, T.V., Marshall, C.J., Bennell, K.L., Body Weight Support through a Walking Cane in Inexperienced Users with Knee Osteoarthritis (2019) Gait Posture, 67, pp. 50-56</t>
  </si>
  <si>
    <t>American Chemical Society</t>
  </si>
  <si>
    <t>19360851</t>
  </si>
  <si>
    <t>2-s2.0-85112554823</t>
  </si>
  <si>
    <t>Artificial intelligence-enabled caregiving walking stick powered by ultra-low-frequency human motion</t>
  </si>
  <si>
    <t>Tov W., Ng K.L., Lin H., Qiu L.</t>
  </si>
  <si>
    <t>16445117800;55960680400;7405570439;35737669300;</t>
  </si>
  <si>
    <t>Detecting well-being via computerized content analysis of brief diary entries</t>
  </si>
  <si>
    <t>Psychological Assessment</t>
  </si>
  <si>
    <t>25</t>
  </si>
  <si>
    <t>1069</t>
  </si>
  <si>
    <t>1078</t>
  </si>
  <si>
    <t>10.1037/a0033007</t>
  </si>
  <si>
    <t>https://www.scopus.com/inward/record.uri?eid=2-s2.0-84890079445&amp;doi=10.1037%2fa0033007&amp;partnerID=40&amp;md5=b8d1b96f5120ea617755c0a6ee1fdcba</t>
  </si>
  <si>
    <t>School of Social Sciences, Singapore Management University, Singapore; Division of Psychology, Nanyang Technological University, Singapore</t>
  </si>
  <si>
    <t>Tov, W., School of Social Sciences, Singapore Management University, Singapore; Ng, K.L., School of Social Sciences, Singapore Management University, Singapore; Lin, H., Division of Psychology, Nanyang Technological University, Singapore; Qiu, L., Division of Psychology, Nanyang Technological University, Singapore</t>
  </si>
  <si>
    <t>Two studies evaluated the correspondence between self-reported well-being and codings of emotion and life content by the Linguistic Inquiry and Word Count (LIWC; Pennebaker, Booth, &amp; Francis, 2011). Open-ended diary responses were collected from 206 participants daily for 3 weeks (Study 1) and from 139 participants twice a week for 8 weeks (Study 2). LIWC negative emotion consistently correlated with self-reported negative emotion. LIWC positive emotion correlated with self-reported positive emotion in Study 1 but not in Study 2. No correlations were observed with global life satisfaction. Using a co-occurrence coding method to combine LIWC emotion codings with life-content codings, we estimated the frequency of positive and negative events in 6 life domains (family, friends, academics, health, leisure, and money). Domain-specific event frequencies predicted self-reported satisfaction in all domains in Study 1 but not consistently in Study 2. We suggest that the correspondence between LIWC codings and self-reported well-being is affected by the number of writing samples collected per day as well as the target period (e.g., past day vs. past week) assessed by the self-report measure. Extensions and possible implications for the analyses of similar types of open-ended data (e.g., social media messages) are discussed. © 2013 American Psychological Association.</t>
  </si>
  <si>
    <t>Content analysis; Emotion; Linguistic analysis; Satisfaction; Well-being</t>
  </si>
  <si>
    <t>adult; article; computer analysis; computer program; computerized content analysis; content analysis; data collection method; diary; emotion; female; human; information retrieval; information storage; life event; life satisfaction; Linguistic Inquiry and Word Count; linguistics; male; open ended questionnaire; self report; wellbeing; writing; young adult; anxiety; depression; emotion; medical record; natural language processing; psychology; psychometry; quality of life; reproducibility; Singapore; software; statistics and numerical data; student; validation study; writing; Anxiety; Depression; Emotions; Female; Humans; Life Change Events; Linguistics; Male; Medical Records; Natural Language Processing; Psychometrics; Quality of Life; Reproducibility of Results; Singapore; Software; Students; Writing; Young Adult</t>
  </si>
  <si>
    <t>Alvarez-Conrad, J., Zoellner, L.A., Foa, E.B., Linguistic predictors of trauma pathology, and physical health [Special issue] (2001) Applied Cognitive Psychology, 15, pp. S159-S170. , doi:10.1002/acp.839; Back, M.D., Küfner, A.C.P., Egloff, B., The emotional timeline of September 11 (2010) Psychological Science, 21, pp. 1417-1419. , doi: 10.1177/0956797610382124; Bantum, E.O., Owen, J.E., Evaluating the validity of computerized content analysis programs for identification of emotional expression in cancer narratives (2009) Psychological Assessment, 21, pp. 79-88. , doi: 10.1037/a0014643; Baumeister, R.F., Bratslavsky, E., Finkenauer, C., Vohs, K.D., Bad is stronger than good (2001) Review of General Psychology, 5, pp. 323-370. , doi:10.1037/1089-2680.5.4.323; Beck, A.T., Rial, W.Y., Rickels, K., Short form of Depression Inventory: Cross-validation (1974) Psychological Reports, 34, pp. 1184-1186; Bolger, N., Davis, A., Rafaeli, E., Diary methods: Capturing life as it is lived (2003) Annual Review of Psychology, 54, pp. 579-616. , doi:10.1146/annurev.psych.54.101601.145030; Burke, M., Marlow, C., Lento, T., Social network activity and social well-being (2010) Proceedings of the SIGCHI Conference on Human Factors in Computing Systems, pp. 1909-1912. , In E. Mynatt (General Chair), G. Fitzpatrick, S. Hudson, K. Edwards, T. Rodden (Program Chairs), &amp; L. Dabbish (Session Head), New York, NY: ACM. doi:10.1145/1753326.1753613; Craske, M.G., Rapee, R.M., Jackel, L., Barlow, D.H., Qualitative dimensions of worry in DSM-III-R generalized anxiety disorder subjects and nonanxious controls (1989) Behaviour Research and Therapy, 27, pp. 397-402. , doi:10.1016/0005-7967(89)90010-7; Csikszentmihalyi, M., LeFevre, J., Optimal experience in work and leisure (1989) Journal of Personality and Social Psychology, 56, pp. 815-822. , doi:10.1037/0022-3514.56.5.815; Diener, E., Emmons, R.A., Larsen, R.J., Griffin, S., The Satisfaction With Life Scale (1985) Journal of Personality Assessment, 49, pp. 71-75. , doi:10.1207/s15327752jpa4901_13; Diener, E., Iran-Nejad, A., The relationship in experience between various types of affect (1986) Journal of Personality and Social Psychology, 50, pp. 1031-1038. , doi:10.1037/0022-3514.50.5.1031; Diener, E., Suh, E.M., Lucas, R.E., Smith, H.L., Subjective well-being: Three decades of progress (1999) Psychological Bulletin, 125, pp. 276-302. , doi:10.1037/0033-2909.125.2.276; Diener, E., Tov, W., Well-being on planet earth (2009) Psychological Topics, 18, pp. 213-219; Frisch, M.B., Cornell, J., Villanueva, M., Retzlaff, P.J., Clinical validation of the Quality of Life Inventory: A measure of life satisfaction for use in treatment planning and outcome assessment (1992) Psychological Assessment, 4, pp. 92-101. , doi:10.1037/1040-3590.4.1.92; Golder, S.A., Macy, M.W., Diurnal and season mood vary with work, sleep, and daylength across diverse cultures (2011) Science, 333, pp. 1878-1881. , September 30, doi:10.1126/science.1202775; Kahn, J.H., Tobin, R.M., Massey, A.E., Anderson, J.A., Measuring emotional expression with the Linguistic Inquiry and Word Count (2007) The American Journal of Psychology, 120, pp. 263-286. , doi: 10.2307/20445398; Kensinger, E.A., Remembering the details: Effects of emotion (2009) Emotion Review, 1, pp. 99-113. , doi:10.1177/1754073908100432; Kramer, A.D.I., An unobtrusive behavioral model of "gross national happiness (2010) Proceedings of the SIGCHI Conference on Human Factors in Computing Systems, pp. 287-290. , In E. Mynatt (General Chair), G. Fitzpatrick, S. Hudson, K. Edwards, T. Rodden (Program Chairs), &amp; S. Kiesler (Session Head), New York, NY: ACM. doi: 10.1145/1753326.1753369; Lavallee, L.F., Campbell, J.D., Impact of personal goals on self-regulation processes elicited by daily negative events (1995) Journal of Personality and Social Psychology, 69, pp. 341-352. , doi:10.1037/0022-3514.69.2.341; Mehl, M.R., The lay assessment of subclinical depression in daily life (2006) Psychological Assessment, 18, pp. 340-345. , doi:10.1037/1040-3590.18.3.340; Mehl, M.R., Gosling, S.D., Pennebaker, J.W., Personality in its natural habitat: Manifestations and implicit folk theories of personality in daily life (2006) Journal of Personality and Social Psychology, 90, pp. 862-877. , doi:10.1037/0022-3514.90.5.862; Pennebaker, J.W., Booth, R.J., Francis, M.E., (2011) LIWC2007: Linguistic Inquiry and Word Count, , (Version 1.12) [Computer software]. Austin, TX: LIWC.net; Pennebaker, J.W., Chung, C.K., Ireland, M., Gonzales, A., Booth, R.J., (2007) The development and psychometric properties of LIWC2007, , Austin, TX: LIWC.net; Pennebaker, J.W., Francis, M.E., Booth, R.J., (2001) Linguistic Inquiry and Word Count: LIWC2001 [Computer software], , Mahwah, NJ: Erlbaum; Pennebaker, J.W., King, L.A., Linguistic styles: Language use as an individual difference (1999) Journal of Personality and Social Psychology, 77, pp. 1296-1312. , doi:10.1037/0022-3514.77.6.1296; Pury, C.L.S., Automation can lead to confounds in text analysis: Back, Küfner, and Egloff(2010) and the not-so-angry Americans (2011) Psychological Science, 22, pp. 835-836. , doi:10.1177/0956797611408735; Qiu, L., Lin, H., Leung, A.K., Tov, W., Putting their best foot forward: Emotional disclosure on Facebook (2012) Cyberpsychology, Behavior, and Social Networking, 15, pp. 569-572. , doi:10.1089/cyber.2012.0200; Raudenbush, S.W., Bryk, A.S., (2002) Hierarchical linear models: Applications and data analysis methods, , (2nd ed.). Thousand Oaks, CA: Sage Publications; Rodriguez, A.J., Holleran, S.E., Mehl, M.R., Reading between the lines: The lay assessment of subclinical depression from written self-descriptions (2010) Journal of Personality, 78, pp. 575-598. , doi:10.1111/j.1467-6494.2010.00627.x; Rozin, P., Royzman, E.B., Negativity bias, negativity dominance, and contagion (2001) Personality and Social Psychology Review, 5, pp. 296-320. , doi:10.1207/S15327957PSPR0504_2; Russell, J.A., A circumplex model of affect (1980) Journal of Personality and Social Psychology, 39, pp. 1161-1178. , doi:10.1037/h0077714; Shiffman, S., Stone, A.A., Hufford, M.R., Ecological momentary assessment (2008) Annual Review of Clinical Psychology, 4, pp. 1-32. , doi: 10.1146/annurev.clinpsy.3.022806.091415; Shrout, P.E., Lane, S.P., Psychometrics (2012) Handbook of research methods for studying daily life, pp. 302-320. , In M. R. Mehl &amp; T. S. Conner (Eds.), New York, NY: Guilford Press; Stone, A.A., Event content in a daily survey is differentially associated with concurrent mood (1987) Journal of Personality and Social Psychology, 52, pp. 56-58. , doi:10.1037/0022-3514.52.1.56; Tausczik, Y.R., Pennebaker, J.W., The psychological meaning of words: LIWC and computerized text analysis methods (2010) Journal of Language and Social Psychology, 29, pp. 24-54. , doi:10.1177/0261927X09351676; Thiele, C., Laireiter, A.-R., Baumann, U., Diaries in clinical psychology and psychotherapy: A selective review (2002) Clinical Psychology &amp; Psychotherapy, 9, pp. 1-37. , doi:10.1002/cpp.302; Tov, W., Daily experiences and well-being: Do memories of events matter (2012) Cognition and Emotion, 26, pp. 1371-1389. , doi:10.1080/02699931.2012.660135; Wang, N., Kosinski, M., Stillwell, D.J., Rust, J., Can well-being be measured using Facebook status updates? Validation of Facebook's Gross National Happiness Index, , Social Indicators Research. doi:10.1007/s11205-012-9996-9, in press; Watson, D., Clark, L.A., Tellegen, A., Development and validation of brief measures of positive and negative affect: The PANAS Scales (1988) Journal of Personality and Social Psychology, 54, pp. 1063-1070. , doi:10.1037/0022-3514.54.6.1063</t>
  </si>
  <si>
    <t>10403590</t>
  </si>
  <si>
    <t>PYASE</t>
  </si>
  <si>
    <t>Psychol. Assess.</t>
  </si>
  <si>
    <t>2-s2.0-84890079445</t>
  </si>
  <si>
    <t>Rahman S., Irfan M., Raza M., Ghori K.M., Yaqoob S., Awais M.</t>
  </si>
  <si>
    <t>57198872439;35069404400;57197446345;50161451400;57203994611;57220844018;</t>
  </si>
  <si>
    <t>Performance analysis of boosting classifiers in recognizing activities of daily living</t>
  </si>
  <si>
    <t>17</t>
  </si>
  <si>
    <t>1082</t>
  </si>
  <si>
    <t>10.3390/ijerph17031082</t>
  </si>
  <si>
    <t>https://www.scopus.com/inward/record.uri?eid=2-s2.0-85079313653&amp;doi=10.3390%2fijerph17031082&amp;partnerID=40&amp;md5=9d9c454815b1cf7944b19023ef10a1fe</t>
  </si>
  <si>
    <t>Electrical Engineering Department, College of Engineering, Najran University, Najran 61441, Saudi Arabia; Department of Computer and Information Sciences, Northumbria University, Newcastle-upon-Tyne, NE1 8ST, United Kingdom; Department of Computer Science, National University of Modern Languages, Islamabad, 44000, Pakistan; Faculty of Medicine and Health, School of Psychology, University of Leeds, Leeds, LS2 9JT, United Kingdom</t>
  </si>
  <si>
    <t>Rahman, S., Electrical Engineering Department, College of Engineering, Najran University, Najran 61441, Saudi Arabia; Irfan, M., Electrical Engineering Department, College of Engineering, Najran University, Najran 61441, Saudi Arabia; Raza, M., Department of Computer and Information Sciences, Northumbria University, Newcastle-upon-Tyne, NE1 8ST, United Kingdom; Ghori, K.M., Department of Computer Science, National University of Modern Languages, Islamabad, 44000, Pakistan; Yaqoob, S., Department of Computer Science, National University of Modern Languages, Islamabad, 44000, Pakistan; Awais, M., Faculty of Medicine and Health, School of Psychology, University of Leeds, Leeds, LS2 9JT, United Kingdom</t>
  </si>
  <si>
    <t>Physical activity is essential for physical and mental health, and its absence is highly associated with severe health conditions and disorders. Therefore, tracking activities of daily living can help promote quality of life. Wearable sensors in this regard can provide a reliable and economical means of tracking such activities, and such sensors are readily available in smartphones and watches. This study is the first of its kind to develop a wearable sensor-based physical activity classification system using a special class of supervised machine learning approaches called boosting algorithms. The study presents the performance analysis of several boosting algorithms (extreme gradient boosting—XGB, light gradient boosting machine—LGBM, gradient boosting— GB, cat boosting—CB and AdaBoost) in a fair and unbiased performance way using uniform dataset, feature set, feature selection method, performance metric and cross-validation techniques. The study utilizes the Smartphone-based dataset of thirty individuals. The results showed that the proposed method could accurately classify the activities of daily living with very high performance (above 90%). These findings suggest the strength of the proposed system in classifying activity of daily living using only the smartphone sensor’s data and can assist in reducing the physical inactivity patterns to promote a healthier lifestyle and wellbeing. © 2020 by the authors. Licensee MDPI, Basel, Switzerland.</t>
  </si>
  <si>
    <t>Activities of daily living; Boosting classifiers; Machine learning; Performance; Physical activity classification</t>
  </si>
  <si>
    <t>algorithm; lifestyle; machine learning; medical geography; mental health; performance assessment; physical activity; public health; sport; activity of daily living assessment; AdaBoost; Article; boosting algorithm; cat boosting; classification algorithm; classifier; cross validation; daily life activity; extreme gradient boosting; feature detection; feature selection; gradient boosting; healthy lifestyle; human; light gradient boosting machine; measurement accuracy; physical activity; physical inactivity; physical performance; physical well-being; supervised machine learning; actimetry; adult; algorithm; classification; daily life activity; devices; exercise; female; male; middle aged; procedures; quality of life; reproducibility; smartphone; supervised machine learning; Actigraphy; Activities of Daily Living; Adult; Algorithms; Exercise; Female; Humans; Male; Middle Aged; Quality of Life; Reproducibility of Results; Smartphone; Supervised Machine Learning</t>
  </si>
  <si>
    <t>(2010) Global Recommendations on Physical Activity for Health, , World Health Organization: Geneva, Switzerland; Gellert, P., Wienert, J., Ziegelmann, J.P., Kuhlmey, A., Profiles of physical activity biographies in relation to life and aging satisfaction in older adults: Longitudinal findings (2019) Eur. Rev. Aging Phys., 16, pp. 221-226; Daskalopoulou, C., Stubbs, B., Kralj, C., Koukounari, A., Prince, M., Prina, A.M., Physical activity, and healthy ageing: A systematic review and meta-analysis of longitudinal cohort studies (2017) Ageing Res. Rev., 38, pp. 6-17; Keadle, S.K., McKinnon, R., Graubard, B.I., Troiano, R.P., Prevalence and trends in physical activity among older adults in the United States: A comparison across three national surveys (2016) Prev. Med., 89, pp. 37-43; Morrill, A.C., Chinn, C.D., The obesity epidemic in the United States (2004) J. Public Health Policy, 25, pp. 353-366; Johnson, J.A., 3Rd, Johnson, A.M., Urban-rural differences in childhood and adolescent obesity in the United States: A systematic review and meta-analysis (2015) Child. Obes., 11, pp. 233-241; Lobstein, T., Jackson-Leach, R., Moodie, M.L., Hall, K.D., Gortmaker, S.L., Swinburn, B.A., James, W.P.T., Wang, Y., Child and adolescent obesity: Part of a bigger picture (2015) Lancet, 385, pp. 2510-2520; Denicola, E., Aburizaiza, O.S., Siddique, A., Khwaja, H., Carpenter, D.O., Obesity and public health in the Kingdom of Saudi Arabia (2015) Rev. Environ. Health, 30, pp. 191-205; Memish, Z.A., El Bcheraoui, C., Tuffaha, M., Robinson, M., Daoud, F., Jaber, S., Mikhitarian, S., Mokdad, A.H., Obesity and Associated Factors—Kingdom of Saudi Arabia, 2013 (2014) Prev. Chronic Dis., 11, pp. E174; Al-Hazzaa, H.M., Abahussain, N.A., Al-Sobayel, H.I., Qahwaji, D.M., Alsulaiman, N.A., Musaiger, A.O., Prevalence of overweight, obesity, and abdominal obesity among Urban Saudi adolescents: Gender and regional variations (2014) J. Health Popul. Nutr., 32, pp. 634-645; Azzeh, F.S., Bukhari, H.M., Header, E.A., Ghabashi, M.A., Al-Mashi, S.S., Noorwali, N.M., Trends in overweight or obesity and other anthropometric indices in adults aged 18-60 years in Western Saudi Arabia (2017) Ann. Saudi Med., 37, pp. 106-113; Engin, A., The definition and prevalence of obesity and metabolic syndrome (2017) Adv. Exp. Med. Biol., 960, pp. 1-17; Ng, S.W., Zaghloul, S., Ali, H., Harrison, G., Popkin, P.M., The prevalence and trends of overweight, obesity and nutrition-related non-communicable diseases in the Arabian Gulf States (2011) Obes. Res., 12, pp. 1-13; Hamam, F.A., Eldalo, A.S., Alnofeie, A.A., Alghamdi, W.Y., Almutairi, S.S., Badyan, F.S., The association of eating habits and lifestyle with overweight and obesity among health sciences students in Taif University, KSA (2017) J. Taibah Univ. Med Sci., 12, pp. 249-260; Raza, M., Awais, M., Ellahi, W., Aslam, N., Nguyen, H.X., Le-Minh, H., Diagnosis and Monitoring of Alzheimer's Patients Using Classical and Deep Learning Techniques (2019) Expert Syst. Appl., 136, pp. 353-364; Alphen, H.J.V., Hortobagyi, T., Heuvelen, M.J.V., Barriers, motivators, and facilitators of physical activity in dementia patients: A systematic review (2016) Arch. Gerontol. Geriatr., 66, pp. 109-118; Blankevoort, C.G., van Heuvelen, M.J., Boersma, F., Luning, H., de Jong, J., Scherder, E.J., Review of effects of physical activity on strength, balance, mobility and ADL performance in elderly subjects with dementia (2010) Dement. Geriatr. Cogn. Disord., 30, pp. 392-402; Burns, J.M., Mayo, M.S., Anderson, H.S., Smith, H.J., Donnelly, J.E., Cardiorespiratory fitness in early-stage Alzheimer disease (2008) Alzheimer Dis. Assoc. Disord., 22, pp. 39-46; Cedervall, Y., Åberg, A.C., Physical activity and implications on well-being in mild Alzheimer's disease: A qualitative case study on two men with dementia and their spouses (2010) Physiother. Theory Pract., 26, pp. 226-239; Friedman, J.H., Stochastic gradient boosting (2002) Comput. Stat. Data Anal., 38, pp. 367-378; Ke, G., Meng, Q., Finley, T., Wang, T., Chen, W., Ma, W., Ye, Q., Liu, T.Y., LightGBM: A Highly Efficient Gradient Boosting Decision Tree (2017) Proceedings of the 31St Conference on Neural Information Processing Systems, , Long Beach, CA, USA, 4, December; Chen, T., Guestrin, C., XGBoost: A Scalable Tree Boosting System (2016) Proceedings of the 22Nd ACM Sigkdd International Conference on Knowledge Discovery and Data Mining, , San Francisco, CA, USA, 13–17 August; Prokhorenkova, L., Gusev, G., Vorobev, A., Dorogush, A.V., Gulin, A., CatBoost: Unbiased boosting with categorical features (2018) Proceedings of the 32Nd International Conference on Neural Information Processing Systems, pp. 6639-6649. , Montréal, QC, Canada, 3–8 December; Fisher, W.D., On Grouping for Maximum Homogeneity (1958) J. Am. Stat. Assoc., 53, pp. 789-798; Li, P., Wang, Y., Tian, Y., Zhou, T.S., Li, J.S., An Automatic User-Adapted Physical Activity Classification Method Using Smartphones (2017) IEEE Trans. Biomed. Eng, 64, pp. 706-714; Zubair, M., Song, K., Yoon, C., Human activity recognition using wearable accelerometer sensors (2016) Proceedings of the 2016 IEEE International Conference on Consumer Electronics-Asia, pp. 1-5. , Seoul, South Korea, 26–28 October; Ugulino, W., Cardador, D., Vega, K., Velloso, E., Milidiú, R., Fuks, H., Wearable Computing: Accelerometers’ Data Classification of Body Postures and Movements (2012) Proceedings of the 21St Brazilian Symposium on Artificial Intelligence Conference on Advances in Artificial Intelligence-Sbia 2012, pp. 52-61. , Curitiba, Brazil, 20–25 October 2012; Springer: Berlin/Heidelberg, Germany; Reiss, A., Stricker, D., Hendeby, G., Confidence-based multiclass AdaBoost for physical activity monitoring (2013) Proceedings of the 17Th Annual International Symposium on International Symposium on Wearable Computers, pp. 13-20. , Zurich, Switzerland, 8–12 September; Asuncion, A., Newman, D.J., (2007) UCI Machine Learning Repository, , http://archive.ics.uci.edu/ml/index.php, University of California, Irvine, School of Information and Computer Science: Irvine, CA, USA, accessed on 2 October 2019; Lee, K., Kwan, M.P., Physical activity classification in free-living conditions using smartphone accelerometer data and exploration of predicted results (2018) Comput. Environ. Urban Syst., 67, pp. 124-131; Esseiva, J., Caon, J., Mugellini, E., Khaled, O.A., Aminian, K., Feet fidgeting detection based on accelerometers using decision tree learning and gradient boosting (2018) Proceedings of the International Conference on Bioinformatics and Biomedical Engineering, pp. 75-84. , Kunming, China, 15–17 September 2018; Springer: Berlin/Heidelberg, Germany; Guo, J., Yang, L., Bie, R., Yu, J., Gao, Y., Shen, Y., Kos, A., An XGBoost-based physical fitness evaluation model using advanced feature selection and Bayesian hyper-parameter optimization for wearable running monitoring (2019) Comput. Netw., 151, pp. 166-180; Zhang, W., Zhao, X., Li, Z., A Comprehensive Study of Smartphone-Based Indoor Activity Recognition via Xgboost (2019) IEEE Access, 7, pp. 80027-80042; Gao, X., Luo, H., Wang, Q., Zhao, F., Ye, L., Zhang, Y., A Human Activity Recognition Algorithm Based on Stacking Denoising Autoencoder and LightGBM (2019) Sensors, 19, p. 947; Awais, M., Palmerini, L., Bourke, A.K., Ihlen, E.A., Helbostad, J.L., Chiari, L., Performance Evaluation of State of the Art Systems for Physical Activity Classification of Older Subjects Using Inertial Sensors in a Real-Life Scenario: A Benchmark Study (2016) Sensors, 16, p. 2105; Anguita, D., Ghio, A., Oneto, L., Parra, X., Reyes-Ortiz, J.L.A., Public Domain Dataset for Human Activity Recognition Using Smartphones (2013) Proceedings of the European Symposium on Artificial Neural Networks, pp. 24-26. , Bruges, Belgium, 24–26 April; Awais, M., Chiari, L., Ihlen, E.A., Helbostad, J.L., Palmerini, L., Physical Activity Classification for Elderly People in Free-Living Conditions (2019) IEEE J. Biomed. Health Inform., 23, pp. 197-207</t>
  </si>
  <si>
    <t>2-s2.0-85079313653</t>
  </si>
  <si>
    <t>Sommet N., Elliot A.J.</t>
  </si>
  <si>
    <t>56026283400;7005287437;</t>
  </si>
  <si>
    <t>Social touch in the age of computational ethology: Embracing as a multidimensional and complex behaviour</t>
  </si>
  <si>
    <t>Journal of Educational Psychology</t>
  </si>
  <si>
    <t>109</t>
  </si>
  <si>
    <t>1141</t>
  </si>
  <si>
    <t>1162</t>
  </si>
  <si>
    <t>10.1037/edu0000199</t>
  </si>
  <si>
    <t>https://www.scopus.com/inward/record.uri?eid=2-s2.0-85016771993&amp;doi=10.1037%2fedu0000199&amp;partnerID=40&amp;md5=e9d74f268cec37768648eb916a0aef52</t>
  </si>
  <si>
    <t>Department of Clinical and Social Sciences in Psychology, University of Rochester and LINES, SSP, ISS, University of Lausanne, Switzerland; Department of Clinical and Social Sciences in Psychology, University of Rochester, United States</t>
  </si>
  <si>
    <t>Sommet, N., Department of Clinical and Social Sciences in Psychology, University of Rochester and LINES, SSP, ISS, University of Lausanne, Switzerland; Elliot, A.J., Department of Clinical and Social Sciences in Psychology, University of Rochester, United States</t>
  </si>
  <si>
    <t>In the present research, we proposed a systematic approach to disentangling the shared and unique variance explained by achievement goals, reasons for goal pursuit, and specific goal-reason combinations (i.e., achievement goal complexes). Four studies using this approach (involving nearly 1,800 participants) led to 3 basic sets of findings. First, when testing goals and reasons separately, mastery (-approach) goals and autonomous reasons explained variance in beneficial experiential (interest, satisfaction, positive emotion) and self-regulated learning (deep learning, help-seeking, challenging tasks, persistence) outcomes. Second, when testing goals and reasons simultaneously, mastery goals and autonomous reasons explained independent variance in most of the outcomes, with the predictive strength of each being diminished. Third, when testing goals, reasons, and goal complexes together, the autonomous mastery goal complex explained incremental variance in most of the outcomes, with the predictive strength of both mastery goals and autonomous reasons being diminished. Comparable results were observed for performance (-approach) goals, the autonomous performance goal complex, and performance goal-relevant outcomes. These findings suggest that achievement goals and reasons are both distinct and overlapping constructs, and that neither unilaterally eliminates the influence of the other. Integrating achievement goals and reasons offers the most promising avenue for a full account of competence motivation. © 2017 American Psychological Association.</t>
  </si>
  <si>
    <t>Achievement goal; Achievement goal complex; Autonomous and controlled reasons; Self-determination theory</t>
  </si>
  <si>
    <t>Ames, C., Classrooms: Goals, structures, and student motivation (1992) Journal of Educational Psychology, 84, pp. 261-271. , http://dx.doi.org/10.1037/0022-0663.84.3.261; Ames, C., Archer, J., Achievement goals in the classroom: Students' learning strategies and motivation processes (1988) Journal of Educational Psychology, 80, pp. 260-267. , http://dx.doi.org/10.1037/0022-0663.80.3.260; Baranik, L.E., Stanley, L.J., Bynum, B.H., Lance, C.E., Examining the construct validity of mastery-avoidance achievement goals: A meta-analysis (2010) Human Performance, 23, pp. 265-282. , http://dx.doi.org/10.1080/08959285.2010.488463; Benita, M., Roth, G., Deci, E.L., When are mastery goals more adaptive? (2014) It depends on experiences of autonomy support and autonomy. Journal of Educational Psychology, 106, pp. 258-267. , http://dx.doi.org/10.1037/a0034007; Brambor, T., Clark, W.R., Golder, M., Understanding interaction models: Improving empirical analyses (2006) Political Analysis, 14, pp. 63-82. , http://dx.doi.org/10.1093/pan/mpi014; Buhrmester, M., Kwang, T., Gosling, S.D., Amazon's Mechanical Turk a new source of inexpensive, yet high-quality, data? (2011) Perspectives on Psychological Science, 6, pp. 3-5. , http://dx.doi.org/10.1177/1745691610393980; Carver, C.S., Baird, E., The American dream revisited: Is it what you want or why you want it that matters? (1998) Psychological Science, 9, pp. 289-292. , http://dx.doi.org/10.1111/1467-9280.00057; Chirkov, V.I., A cross-cultural analysis of autonomy in education. A self-determination theory perspective (2009) Theory and Research in Education, 7, pp. 253-262. , http://dx.doi.org/10.1177/1477878509104330; Chirkov, V.I., Ryan, R.M., Parent and teacher autonomysupport in Russian and U.S. adolescents' common effects on well-being and academic motivation (2001) Journal of Cross-Cultural Psychology, 32, pp. 618-635. , http://dx.doi.org/10.1177/0022022101032005006; Daniels, L.M., Stupnisky, R.H., Pekrun, R., Haynes, T.L., Perry, R.P., Newall, N.E., A longitudinal analysis of achievement goals: From affective antecedents to emotional effects and achievement outcomes (2009) Journal of Educational Psychology, 101, pp. 948-963. , http://dx.doi.org/10.1037/a0016096; Darnon, C., Dompnier, B., Delmas, F., Pulfrey, C., Butera, F., Achievement goal promotion at university: Social desirability and social utility of mastery and performance goals (2009) Journal of Personality and Social Psychology, 96, pp. 119-134. , http://dx.doi.org/10.1037/a0012824; Deci, E.L., Ryan, R.M., Intrinsic motivation and selfdetermination in human behavior (1985), http://dx.doi.org/10.1007/978-1-4899-2271-7, New York, NY: Plenum Press; Deci, E.L., Ryan, R.M., The "what" and" why" of goal pursuits: Human needs and the self-determination of behavior (2000) Psychological Inquiry, 11, pp. 227-268. , http://dx.doi.org/10.1207/S15327965PLI1104_01; Deci, E.L., Ryan, R.M., Self-determination theory: A macrotheory of human motivation, development, and health (2008) Canadian Psychology, 49, pp. 182-185. , http://dx.doi.org/10.1037/a0012801; Deci, E.L., Ryan, R.M., Optimizing students' motivation in the era of testing and pressure: A self-determination theory perspective (2016) Building autonomous Learners: Perspectives from research and practice using selfdetermination theory, pp. 9-29. , http://dx.doi.org/10.1007/978-981-287-630-0_2, C. W. Liu, K. J. C. Wang, &amp; M. R. Ryan (Eds.), Singapore: Springer; Deci, E.L., Vallerand, R.J., Pelletier, L.G., Ryan, R.M., Motivation and education: The self-determination perspective (1991) Educational Psychologist, 26, pp. 325-346. , http://dx.doi.org/10.1080/00461520.1991.9653137; Dekker, S., Fischer, R., Cultural differences in academic motivation goals: A meta-analysis across 13 societies (2008) The Journal of Educational Research, 102, pp. 99-110. , http://dx.doi.org/10.3200/JOER.102.2.99-110; Diener, E., Emmons, R.A., Larsen, R.J., Griffin, S., The satisfaction with life scale (1985) Journal of Personality Assessment, 49, pp. 71-75. , http://dx.doi.org/10.1207/s15327752jpa4901_13; Diseth, A., Self-efficacy, goal orientations and learning strategies as mediators between preceding and subsequent academic achievement (2011) Learning and Individual Differences, 21, pp. 191-195. , http://dx.doi.org/10.1016/j.lindif.2011.01.003; Diseth, A., Samdal, O., Autonomy support and achievement goals as predictors of perceived school performance and life satisfaction in the transition between lower and upper secondary school (2014) Social Psychology of Education, 17, pp. 269-291. , http://dx.doi.org/10.1007/s11218-013-9244-4; Dompnier, B., Darnon, C., Butera, F., Faking the desire to learn: A clarification of the link between mastery goals and academic achievement (2009) Psychological Science, 20, pp. 939-943. , http://dx.doi.org/10.1111/j.1467-9280.2009.02384.x; Dompnier, B., Darnon, C., Butera, F., When performanceapproach goals predict academic achievement and when they do not: A social value approach (2013) British Journal of Social Psychology, 52, pp. 587-596. , http://dx.doi.org/10.1111/bjso.12025; Donche, V., De Maeyer, S., Coertjens, L., Van Daal, T., Van Petegem, P., Differential use of learning strategies in first-year higher education: The impact of personality, academic motivation, and teaching strategies (2013) The British Journal of Educational Psychology, 83, pp. 238-251. , http://dx.doi.org/10.1111/bjep.12016; Dweck, C.S., Motivational processes affecting learning (1986) American Psychologist, 41, pp. 1040-1048. , http://dx.doi.org/10.1037/0003-066X.41.10.1040; Dweck, C.S., Self-theories: Their role in motivation, personality, and development (1999), Philadelphia, PA: Psychology Press; Dysvik, A., Kuvaas, B., Exploring the relative and combined influence of mastery-approach goals and work intrinsic motivation on employee turnover intention (2010) Personnel Review, 39, pp. 622-638. , http://dx.doi.org/10.1108/00483481011064172; Dysvik, A., Kuvaas, B., Intrinsic and extrinsic motivation as predictors of work effort: The moderating role of achievement goals (2013) British Journal of Social Psychology, 52, pp. 412-430. , http://dx.doi.org/10.1111/j.2044-8309.2011.02090.x; Elliot, A.J., Approach and avoidance motivation and achievement goals (1999) Educational Psychologist, 34, pp. 169-189. , http://dx.doi.org/10.1207/s15326985ep3403_3; Elliot, A.J., A conceptual history of the achievement goal construct (2005) Handbook of competence and motivation, pp. 52-72. , A. J. Elliot &amp; C. Dweck (Eds.), New York, NY: Guilford Press; Elliot, A.J., The hierarchical model of approach-avoidance motivation (2006) Motivation and Emotion, 30, pp. 111-116. , http://dx.doi.org/10.1007/s11031-006-9028-7; Elliot, A.J., Church, M.A., A hierarchical model of approach and avoidance achievement motivation (1997) Journal of Personality and Social Psychology, 72, pp. 218-232. , http://dx.doi.org/10.1037/0022-3514.72.1.218; Elliot, A.J., Fryer, J.W., The goal concept in psychology (2008) Handbook of motivational science, pp. 235-250. , J. Shah &amp; W. Gardner (Eds.), New York, NY: Guilford Press; Elliot, A.J., McGregor, H.A., A 2 × 2 achievement goal framework (2001) Journal of Personality and Social Psychology, 80, pp. 501-519. , http://dx.doi.org/10.1037/0022-3514.80.3.501; Elliot, A.J., McGregor, H.A., Gable, S., Achievement goals, study strategies, and exam performance: A mediational analysis (1999) Journal of Educational Psychology, 91, pp. 549-563. , http://dx.doi.org/10.1037/0022-0663.91.3.549; Elliot, A.J., Murayama, K., On the measurement of achievement goals: Critique, illustration, and application (2008) Journal of Educational Psychology, 100, pp. 613-628. , http://dx.doi.org/10.1037/0022-0663.100.3.613; Elliot, A.J., Murayama, K., Pekrun, R., A 3 × 2 achievement goal model (2011) Journal of Educational Psychology, 103, pp. 632-648. , http://dx.doi.org/10.1037/a0023952; Elliot, A.J., Thrash, T.M., Achievement goals and the hierarchical model of achievement motivation (2001) Educational Psychology Review, 13, pp. 139-156. , http://dx.doi.org/10.1023/A:1009057102306; Fisher, C.D., Minbashian, A., Beckmann, N., Wood, R.E., Task appraisals, emotions, and performance goal orientation (2013) Journal of Applied Psychology, 98, pp. 364-373. , http://dx.doi.org/10.1037/a0031260; Freud, R.J., Littell, R.C., (2000) SAS system for regression, , Cary, NC: SAS Institute; Gagné, M., Deci, E.L., Self-determination theory and work motivation (2005) Journal of Organizational Behavior, 26, pp. 331-362. , http://dx.doi.org/10.1002/job.322; Gagné, M., Forest, J., Gilbert, M.H., Aubé, C., Morin, E., Malorni, A., The Motivation at Work Scale: Validation evidence in two languages (2010) Educational and Psychological Measurement, 70, pp. 628-646. , http://dx.doi.org/10.1177/0013164409355698; Gaudreau, P., Goal self-concordance moderates the relationship between achievement goals and indicators of academic adjustment (2012) Learning and Individual Differences, 22, pp. 827-832. , http://dx.doi.org/10.1016/j.lindif.2012.06.006; Gaudreau, P., Braaten, A., Achievement goals and their underlying goal motivation: Does it matter why sport participants pursue their goals? (2016) Psychologica Belgica, 56, pp. 244-268. , http://dx.doi.org/10.5334/pb.266; Gillet, N., Lafrenière, M.A.K., Huyghebaert, T., Fouquereau, E., Autonomous and controlled reasons underlying achievement goals: Implications for the 3 × 2 achievement goal model in educational and work settings (2015) Motivation and Emotion, 39, pp. 858-875. , http://dx.doi.org/10.1007/s11031-015-9505-y; Gillet, N., Lafrenière, M.A.K., Vallerand, R.J., Huart, I., Fouquereau, E., The effects of autonomous and controlled regulation of performance-approach goals on well-being: A process model (2014) British Journal of Social Psychology, 53, pp. 154-174. , http://dx.doi.org/10.1111/bjso.12018; Harackiewicz, J.M., Barron, K.E., Carter, S.M., Lehto, A.T., Elliot, A.J., Predictors and consequences of achievement goals in the college classroom: Maintaining interest and making the grade (1997) Journal of Personality and Social Psychology, 73, pp. 1284-1295. , http://dx.doi.org/10.1037/0022-3514.73.6.1284; Heidemeier, H., Wiese, B.S., Achievement goals and autonomy: How person-Context interactions predict effective functioning and well-being during a career transition (2014) Journal of Occupational Health Psychology, 19, pp. 18-31. , http://dx.doi.org/10.1037/a0034929; Holman, D., Epitropaki, O., Fernie, S., Understanding learning strategies in the workplace: A factor analytic investigation (2001) Journal of Occupational and Organizational Psychology, 74, pp. 675-681. , http://dx.doi.org/10.1348/096317901167587; Horton, J.J., Chilton, L.B., The labor economics of paid crowdsourcing (2010) Proceedings of the 11th ACM Conference on Electronic Commerce, pp. 209-218. , https://arxiv.org/pdf/1001.0627.pdf, New York, NY: ACM. Retrieved from; Huang, C., Achievement goals and achievement emotions: A metaanalysis (2011) Educational Psychology Review, 23, pp. 359-388. , http://dx.doi.org/10.1007/s10648-011-9155-x; Huang, C., Achievement goals and self-efficacy: A meta-analysis (2016) Educational Research Review, 19, pp. 119-137. , http://dx.doi.org/10.1016/j.edurev.2016.07.002; Hulleman, C.S., Schrager, S.M., Bodmann, S.M., Harackiewicz, J.M., A meta-analytic review of achievement goal measures: Different labels for the same constructs or different constructs with similar labels? (2010) Psychological Bulletin, 136, pp. 422-449. , http://dx.doi.org/10.1037/a0018947; Janssen, O., Van Yperen, N.W., Employees' goal orientations, the quality of leader-member exchange, and the outcomes of job performance and job satisfaction (2004) Academy of Management Journal, 47, pp. 368-384. , http://dx.doi.org/10.2307/20159587; Johnson, R.B., Onwuegbuzie, A.J., Mixed methods research: A research paradigm whose time has come (2004) Educational Researcher, 33, pp. 14-26. , http://dx.doi.org/10.3102/0013189X033007014; Kaplan, A., Maehr, M.L., The contributions and prospects of goal orientation theory (2007) Educational Psychology Review, 19, pp. 141-184. , http://dx.doi.org/10.1007/s10648-006-9012-5; Karabenick, S.A., Perceived achievement goal structure and college student help seeking (2004) Journal of Educational Psychology, 96, pp. 569-581. , http://dx.doi.org/10.1037/0022-0663.96.3.569; Kasser, T., Ryan, R.M., Further examining the American dream: Differential correlates of intrinsic and extrinsic goals (1996) Personality and Social Psychology Bulletin, 22, pp. 80-87. , http://dx.doi.org/10.1177/0146167296223006; Katz, I., Assor, A., Kanat-Maymon, Y., A projective assessment of autonomous motivation in children: Correlational and experimental evidence (2008) Motivation and Emotion, 32, pp. 109-119. , http://dx.doi.org/10.1007/s11031-008-9086-0; Kirby, J.R., Knapper, C.K., Evans, C.J., Carty, A.E., Gadula, C., Approaches to learning at work and workplace climate (2003) International Journal of Training and Development, 7, pp. 31-52. , http://dx.doi.org/10.1111/1468-2419.00169; Kusurkar, R.A., Ten Cate, T.J., Vos, C.M.P., Westers, P., Croiset, G., How motivation affects academic performance: A structural equation modelling analysis (2013) Advances in Health Sciences Education, 18, pp. 57-69. , http://dx.doi.org/10.1007/s10459-012-9354-3; Lam, C.F., Gurland, S.T., Self-determined work motivation predicts job outcomes, but what predicts self-determined work motivation? (2008) Journal of Research in Personality, 42, pp. 1109-1115. , http://dx.doi.org/10.1016/j.jrp.2008.02.002; Lee, M., Bong, M., In their own words: Reasons underlying the achievement striving of students in schools (2016) Journal of Educational Psychology, 108, pp. 274-294. , http://dx.doi.org/10.1037/edu0000048; Lepper, M.R., Corpus, J.H., Iyengar, S.S., Intrinsic and extrinsic motivational orientations in the classroom: Age differences and academic correlates (2005) Journal of Educational Psychology, 97, pp. 184-196. , http://dx.doi.org/10.1037/0022-0663.97.2.184; Levy, I., Kaplan, A., Patrick, H., Early adolescents' achievement goals, social status, and attitudes towards cooperation with peers (2004) Social Psychology of Education, 7, pp. 127-159. , http://dx.doi.org/10.1023/B:SPOE.0000018547.08294.b6; Lewin, K., Field theory in social science: Selected theoretical papers (1951), York, NY: Harper &amp; Row; Mackinnon, D.P., Lockwood, C.M., Williams, J., Confidence limits for the indirect effect: Distribution of the product and resampling methods (2004) Multivariate Behavioral Research, 39, pp. 99-128. , http://dx.doi.org/10.1207/s15327906mbr3901_4; Maehr, M.L., Nicholls, J.G., Culture and achievement motivation: A second look (1980) Studies in cross-cultural psychology, 3, pp. 221-267. , N. Warren (Ed.), New York, NY: Academic Press; Mason, C.H., Perreault, W.D., Jr., Collinearity, power, and interpretation of multiple regression analysis (1991) Journal of Marketing Research, 28, pp. 268-280. , http://dx.doi.org/10.2307/3172863; McClelland, D.C., Human motivation (1985) Glenview, IL: Scott Foresman. McGregor, H. A., &amp; Elliot, A. J. (2002). Achievement goals as predictors of achievement-relevant processes prior to task engagement. Journal of Educational Psychology, 94, pp. 381-395. , http://dx.doi.org/10.1037/0022-0663.94.2.381; Meece, J.L., Anderman, E.M., Anderman, L.H., Classroom goal structure, student motivation, and academic achievement (2006) Annual Review of Psychology, 57, pp. 487-503. , http://dx.doi.org/10.1146/annurev.psych.56.091103.070258; Michou, A., Vansteenkiste, M., Mouratidis, A., Lens, W., Enriching the hierarchical model of achievement motivation: Autonomous and controlling reasons underlying achievement goals (2014) The British Journal of Educational Psychology, 84, pp. 650-666. , http://dx.doi.org/10.1111/bjep.12055; Murayama, K., Elliot, A.J., The competition-performance relation: A meta-analytic review and test of the opposing processes model of competition and performance (2012) Psychological Bulletin, 138, pp. 1035-1070. , http://dx.doi.org/10.1037/a0028324; Murray, H., (1938) Explorations in personality, , New York, NY: Oxford University Press; Nicholls, J.G., Achievement motivation: Conceptions of ability, subjective experience, task choice, and performance (1984) Psychological Review, 91, pp. 328-346. , http://dx.doi.org/10.1037/0033-295X.91.3.328; Nicholls, J.G., (1989) The competitive ethos and democratic education, , Cambridge, MA: Harvard University Press; Ntoumanis, N., Healy, L.C., Sedikides, C., Duda, J., Stewart, B., Smith, A., Bond, J., When the going gets tough: The "why" of goal striving matters (2014) Journal of Personality, 82, pp. 225-236. , http://dx.doi.org/10.1111/jopy.12047; Ozdemir Oz, A., Lane, J.F., Michou, A., Autonomous and controlling reasons underlying achievement goals during task engagement: Their relation to intrinsic motivation and cheating (2015) Educational Psychology; Pekrun, R., The control-value theory of achievement emotions: Assumptions, corollaries, and implications for educational research and practice (2006) Educational Psychology Review, 18, pp. 315-341. , http://dx.doi.org/10.1007/s10648-006-9029-9; Pekrun, R., Elliot, A.J., Maier, M.A., Achievement goals and discrete achievement emotions: A theoretical model and prospective test (2006) Journal of Educational Psychology, 98, pp. 583-597. , http://dx.doi.org/10.1037/0022-0663.98.3.583; Pintrich, P.R., The role of motivation in promoting and sustaining self-regulated learning (1999) International Journal of Educational Research, 31, pp. 459-470. , http://dx.doi.org/10.1016/S0883-0355(99)00015-4; Pintrich, P.R., Garcia, T., Student goal orientation and selfregulation in the college classroom (1991) Advances in motivation and achievement: Goals and self-regulatory processes, 7, pp. 371-402. , M. Maehr &amp; P. R. Pintrich (Eds.), Greenwich, CT: JAI; Preenen, P.T.Y., de Pater, I.E., van Vianen, A.E.M., Keijzer, L., Managing voluntary turnover through challenging assignments (2011) European Journal of Work and Organizational Psychology, 23, pp. 48-61. , http://dx.doi.org/10.1080/1359432X.2012.702420; Ratelle, C.F., Guay, F., Vallerand, R.J., Larose, S., Senécal, C., Autonomous, controlled, and amotivated types of academic motivation: A person-oriented analysis (2007) Journal of Educational Psychology, 99, pp. 734-746. , http://dx.doi.org/10.1037/0022-0663.99.4.734; Retelsdorf, J., Butler, R., Streblow, L., Schiefele, U., Teachers' goal orientations for teaching: Associations with instructional practices, interest in teaching, and burnout (2010) Learning and Instruction, 20, pp. 30-46. , http://dx.doi.org/10.1016/j.learninstruc.2009.01.001; Ryan, A.M., Shim, S.S., An exploration of young adolescents' social achievement goals and social adjustment in middle school (2008) Journal of Educational Psychology, 100, pp. 672-687. , http://dx.doi.org/10.1037/0022-0663.100.3.672; Ryan, R.M., Control and information in the intrapersonal sphere: An extension of cognitive evaluation theory (1982) Journal of Personality and Social Psychology, 42, pp. 450-461. , http://dx.doi.org/10.1037/0022-3514.43.3.450; Ryan, R.M., Deci, E.L., Self-determination theory and the facilitation of intrinsic motivation, social development, and well-being (2000) American Psychologist, 55, pp. 68-78. , http://dx.doi.org/10.1037/0003-066X.55.1.68; Ryan, R.M., Deci, E.L., Self-regulation and the problem of human autonomy: Does psychology need choice, self-determination, and will? (2006) Journal of Personality, 74, pp. 1557-1585. , http://dx.doi.org/10.1111/j.1467-6494.2006.00420.x; Ryan, R.M., Powelson, C.L., Autonomy and relatedness as fundamental to motivation and education (1991) Journal of Experimental Education, 60, pp. 49-66. , http://dx.doi.org/10.1080/00220973.1991.10806579; Sebire, S.J., Standage, M., Vansteenkiste, M., Examining intrinsic versus extrinsic exercise goals: Cognitive, affective, and behavioral outcomes (2009) Journal of Sport &amp; Exercise Psychology, 31, pp. 189-210. , http://dx.doi.org/10.1123/jsep.31.2.189; Senko, C., Achievement goal theory: A story of early promises, eventual discords, and future possibilities (2016) Handbook of motivation at school, 2, pp. 75-95. , K. Wentzel &amp; D. Miele (Eds.), New York, NY: Routledge; Senko, C., Hama, H., Belmonte, K., Achievement goals, study strategies, and achievement: A test of the "learning agenda" framework (2013) Learning and Individual Differences, 24, pp. 1-10. , http://dx.doi.org/10.1016/j.lindif.2012.11.003; Senko, C., Hulleman, C.S., Harackiewicz, J.M., Achievement goal theory at the crossroads: Old controversies, current challenges, and new directions (2011) Educational Psychologist, 46, pp. 26-47. , http://dx.doi.org/10.1080/00461520.2011.538646; Senko, C., Miles, K.M., Pursuing their own learning agenda: How mastery-oriented students jeopardize their class performance (2008) Contemporary Educational Psychology, 33, pp. 561-583. , http://dx.doi.org/10.1016/j.cedpsych.2007.12.001; Senko, C., Tropiano, K.L., Comparing three models of achievement goals: Goal orientations, goal standards, and goal complexes (2016) Journal of Educational Psychology, 108, pp. 1178-1192. , http://dx.doi.org/10.1037/edu0000114; Sheldon, K.M., (2004) Optimal human being: An integrated multi-level perspective, , Mahwah, NJ: Erlbaum; Sheldon, K.M., Elliot, A.J., Not all personal goals are personal: Comparing autonomous and controlled reasons for goals as predictors of effort and attainment (1998) Personality and Social Psychology Bulletin, 24, pp. 546-557. , http://dx.doi.org/10.1177/0146167298245010; Sheldon, K.M., Ryan, R.M., Deci, E.L., Kasser, T., The independent effects of goal contents and motives on well-being: It's both what you pursue and why you pursue it (2004) Personality and Social Psychology Bulletin, 30, pp. 475-486. , http://dx.doi.org/10.1177/0146167203261883; Sideridis, G.D., Kaplan, A., Achievement goals and persistence across tasks: The roles of failure and success (2011) Journal of Experimental Education, 79, pp. 429-451. , http://dx.doi.org/10.1080/00220973.2010.539634; Skaalvik, E.M., Skaalvik, S., School goal structure: Associations with students' perceptions of their teachers as emotionally supportive, academic self-concept, intrinsic motivation, effort, and help seeking behavior (2013) International Journal of Educational Research, 61, pp. 5-14. , http://dx.doi.org/10.1016/j.ijer.2013.03.007; Smeding, A., Dompnier, B., Meier, E., Darnon, C., Baumberger, B., Butera, F., The motivation to learn as a self-presentation tool among Swiss high school students: The moderating role of mastery goals' perceived social value on learning (2015) Learning and IndividualDifferences, 43, pp. 204-210. , http://dx.doi.org/10.1016/j.lindif.2015.08.036; Spray, C.M., John Wang, C.K., Biddle, S.J., Chatzisarantis, N.L., Understanding motivation in sport: An experimental test of achievement goal and self-determination theories (2006) European Journal of Sport Science, 6, pp. 43-51. , http://dx.doi.org/10.1080/17461390500422879; Srivastava, A., Locke, E.A., Bartol, K.M., Money and subjective well-being: It's not the money, it's the motives (2001) Journal of Personality and Social Psychology, 80, pp. 959-971. , http://dx.doi.org/10.1037/0022-3514.80.6.959; Standage, M., Duda, J.L., Ntoumanis, N., A test of selfdetermination theory in school physical education (2005) The British Journal of Educational Psychology, 75, pp. 411-433. , http://dx.doi.org/10.1348/000709904X22359; Urdan, T.C., Predictors of academic self-handicapping and achievement: Examining achievement goals, classroom goal structures, and culture (2004) Journal of Educational Psychology, 96, pp. 251-264. , http://dx.doi.org/10.1037/0022-0663.96.2.251; Urdan, T.C., Using multiple methods to assess students' perceptions of classroom goal structures (2004) European Psychologist, 9, pp. 222-231. , http://dx.doi.org/10.1027/1016-9040.9.4.222; Urdan, T., Mestas, M., The goals behind performance goals (2006) Journal of Educational Psychology, 98, pp. 354-365. , http://dx.doi.org/10.1037/0022-0663.98.2.354; Vallerand, R.J., Fortier, M.S., Guay, F., Self-determination and persistence in a real-life setting: Toward a motivational model of high school dropout (1997) Journal of Personality and Social Psychology, 72, pp. 1161-1176. , http://dx.doi.org/10.1037/0022-3514.72.5.1161; Vansteenkiste, M., Lens, W., Deci, E.L., Intrinsic versus extrinsic goal contents in self-determination theory: Another look at the quality of academic motivation (2006) Educational Psychologist, 41, pp. 19-31. , http://dx.doi.org/10.1207/s15326985ep4101_4; Vansteenkiste, M., Lens, W., Elliot, A.J., Soenens, B., Mouratidis, A., Moving the achievement goal approach one step forward: Toward a systematic examination of the autonomous and controlled reasons underlying achievement goals (2014) Educational Psychologist, 49, pp. 153-174. , http://dx.doi.org/10.1080/00461520.2014.928598; Vansteenkiste, M., Mouratidis, A., Emerging trends and future directions for the field of motivation psychology: A special issue in honor of Prof (2016) Dr. Willy Lens. Psychologica Belgica, 56, pp. 118-142. , http://dx.doi.org/10.5334/pb.354; Vansteenkiste, M., Mouratidis, A., Lens, W., Detaching reasons from aims: Fair play and well-being in soccer as a function of pursuing performance-approach goals for autonomous or controlling reasons (2010) Journal of Sport &amp; Exercise Psychology, 32, pp. 217-242. , http://dx.doi.org/10.1123/jsep.32.2.217; Vansteenkiste, M., Mouratidis, A., Van Riet, T., Lens, W., Examining correlates of game-to-game variation in volleyball players' achievement goal pursuit and underlying autonomous and controlling reasons (2014) Journal of Sport &amp; Exercise Psychology, 36, pp. 131-145. , http://dx.doi.org/10.1123/jsep.2012-0271; Vansteenkiste, M., Smeets, S., Soenens, B., Lens, W., Matos, L., Deci, E.L., Autonomous and controlled regulation of performanceapproach goals: Their relations to perfectionism and educational outcomes (2010) Motivation and Emotion, 34, pp. 333-353. , http://dx.doi.org/10.1007/s11031-010-9188-3; Vansteenkiste, M., Zhou, M., Lens, W., Soenens, B., Experiences of autonomy and control among Chinese learners: Vitalizing or immobilizing? (2005) Journal of Educational Psychology, 97, pp. 468-483. , http://dx.doi.org/10.1037/0022-0663.97.3.468; Van Yperen, N.W., Blaga, M., Postmes, T., A meta-analysis of self-reported achievement goals and nonself-report performance across three achievement domains (work, sports, and education) (2014) PLoS ONE, 9. , http://dx.doi.org/10.1371/journal.pone.0093594; Van Yperen, N.W., Blaga, M., Postmes, T., A meta-analysis of the impact of situationally induced achievement goals on task performance (2015) Human Performance, 28, pp. 165-182. , http://dx.doi.org/10.1080/08959285.2015.1006772; Watson, D., Clark, L.A., Tellegen, A., Development and validation of brief measures of positive and negative affect: The PANAS scales (1988) Journal of Personality and Social Psychology, 54, pp. 1063-1070. , http://dx.doi.org/10.1037/0022-3514.54.6.1063; Wolters, C.A., Advancing achievement goal theory: Using goal structures and goal orientations to predict students' motivation, cognition, and achievement (2004) Journal of Educational Psychology, 96, pp. 236-250. , http://dx.doi.org/10.1037/0022-0663.96.2.236; Yzerbyt, V.Y., Muller, D., Judd, C.M., Adjusting researchers' approach to adjustment: On the use of covariates when testing interactions (2004) Journal of Experimental Social Psychology, 40, pp. 424-431. , http://dx.doi.org/10.1016/j.jesp.2003.10.001; Zan, G., Xiang, P., Louis, H., Jianmin, G., YunPeng, R., A cross-cultural analysis of achievement goals and self-efficacy between American and Chinese college students in physical education (2008) International Journal of Sport Psychology, 39, pp. 312-328; Zimmerman, B.J., A social cognitive view of self-regulated academic learning (1989) Journal of Educational Psychology, 81, pp. 329-339. , http://dx.doi.org/10.1037/0022-0663.81.3.329</t>
  </si>
  <si>
    <t>American Psychological Association Inc.</t>
  </si>
  <si>
    <t>00220663</t>
  </si>
  <si>
    <t>J. Educ. Psychol.</t>
  </si>
  <si>
    <t>2-s2.0-85016771993</t>
  </si>
  <si>
    <t>Achievement goals, reasons for goal pursuit, and achievement goal complexes as predictors of beneficial outcomes: is the influence of goals reducible to reasons?</t>
  </si>
  <si>
    <t>Lin Y., Qian F., Shen L., Chen F., Chen J., Shen B.</t>
  </si>
  <si>
    <t>56152839700;55659060500;57206658554;57207166413;55717760800;7401580760;</t>
  </si>
  <si>
    <t>Computer-aided biomarker discovery for precision medicine: Data resources, models and applications</t>
  </si>
  <si>
    <t>Briefings in Bioinformatics</t>
  </si>
  <si>
    <t>bbx158</t>
  </si>
  <si>
    <t>952</t>
  </si>
  <si>
    <t>975</t>
  </si>
  <si>
    <t>10.1093/bib/bbx158</t>
  </si>
  <si>
    <t>https://www.scopus.com/inward/record.uri?eid=2-s2.0-85068495468&amp;doi=10.1093%2fbib%2fbbx158&amp;partnerID=40&amp;md5=fc2056e66c3293cc1bf517bb709b030c</t>
  </si>
  <si>
    <t>Center for Systems Biology, Soochow University, Suzhou, Jiangsu, China; School of Chemistry, Biology and Material Engineering, Suzhou University of Science and Technology, China</t>
  </si>
  <si>
    <t>Lin, Y., Center for Systems Biology, Soochow University, Suzhou, Jiangsu, China; Qian, F., Center for Systems Biology, Soochow University, Suzhou, Jiangsu, China; Shen, L., Center for Systems Biology, Soochow University, Suzhou, Jiangsu, China; Chen, F., Center for Systems Biology, Soochow University, Suzhou, Jiangsu, China; Chen, J., School of Chemistry, Biology and Material Engineering, Suzhou University of Science and Technology, China; Shen, B., Center for Systems Biology, Soochow University, Suzhou, Jiangsu, China</t>
  </si>
  <si>
    <t>Biomarkers are a class of measurable and evaluable indicators with the potential to predict disease initiation and progression. In contrast to disease-associated factors, biomarkers hold the promise to capture the changeable signatures of biological states. With methodological advances, computer-aided biomarker discovery has now become a burgeoning paradigm in the field of biomedical science. In recent years, the 'big data' term has accumulated for the systematical investigation of complex biological phenomena and promoted the flourishing of computational methods for systems-level biomarker screening. Compared with routine wet-lab experiments, bioinformatics approaches are more efficient to decode disease pathogenesis under a holistic framework, which is propitious to identify biomarkers ranging from single molecules to molecular networks for disease diagnosis, prognosis and therapy. In this review, the concept and characteristics of typical biomarker types, e.g. single molecular biomarkers, module/network biomarkers, cross-level biomarkers, etc., are explicated on the guidance of systems biology. Then, publicly available data resources together with some well-constructed biomarker databases and knowledge bases are introduced. Biomarker identification models using mathematical, network and machine learning theories are sequentially discussed. Based on network substructural and functional evidences, a novel bioinformatics model is particularly highlighted for microRNA biomarker discovery. This article aims to give deep insights into the advantages and challenges of current computational approaches for biomarker detection, and to light up the future wisdom toward precision medicine and nation-wide healthcare. © 2017 The Author 2017. Published by Oxford University Press. All rights reserved. For Permissions, please email: journals.permissions@oup.com.</t>
  </si>
  <si>
    <t>bioinformatics models; databases and knowledge bases; molecular biomarkers; precision medicine; systems biology</t>
  </si>
  <si>
    <t>biological marker; biological model; computer simulation; human; metabolism; personalized medicine; systems biology; Biomarkers; Computer Simulation; Humans; Models, Biological; Precision Medicine; Systems Biology</t>
  </si>
  <si>
    <t>Biomarkers</t>
  </si>
  <si>
    <t>(2001) Clin Pharmacol Ther, 69, pp. 89-95. , Biomarkers Definitions Working Group. Biomarkers and surrogate endpoints: preferred definitions and conceptual framework; Strimbu, K., Tavel, J.A., What Are Biomarkers Curr Opin, 5 (6), pp. 463-466. , HIV AIDS 2010; Chen, J., Sun, M., Shen, B., Deciphering oncogenic drivers: From single genes to integrated pathways (2015) Brief Bioinform, 16 (3), pp. 413-428; Ford, D., Easton, D.F., Stratton, M., Genetic heterogeneity and penetrance analysis of the BRCA1 and BRCA2 genes in breast cancer families (1998) Am J Hum Genet, 62 (3), pp. 676-689. , The Breast Cancer Linkage Consortium; Lehmann-Werman, R., Neiman, D., Zemmour, H., Identification of tissue-specific cell death using methylation patterns of circulating DNA (2016) Proc Natl Acad Sci USA, 113, pp. 1826-1834; Rezvani, N., Alibakhshi, R., Vaisi-Raygani, A., Detection of spg20 gene promoter-methylated DNA, as a novel epigenetic biomarker, in plasma for colorectal cancer diagnosis using the methylight method (2017) Oncol Lett, (13), pp. 3277-3284; Jones, A., Teschendorff, A.E., Li, Q., Role of DNA methylation and epigenetic silencing of HAND2 in endometrial cancer development (2013) PLoS Med, 10 (11), p. 1001551; Qu, K., Zhang, X., Lin, T., Circulating miRNA-21-5p as a diagnostic biomarker for pancreatic cancer: Evidence from comprehensive miRNA expression profiling analysis and clinical validation (2017) Sci Rep, 7 (1), p. 1692; Ng, L., Wan, T.M., Man, J.H., Identification of serum miR-139-3p as a non-invasive biomarker for colorectal cancer (2017) Oncotarget, (8), pp. 27393-27400; He, B., Zeng, J., Chao, W., Serum long non-coding RNAs MALAT1 AFAP1-AS1 and AL359062 as diagnostic and prognostic biomarkers for nasopharyngeal carcinoma (2017) Oncotarget, 8 (25), pp. 41166-41177; Nogueira Jorge, N.A., Wajnberg, G., Ferreira, C.G., SnoRNAand piRNA expression levels modified by tobacco use in women with lung adenocarcinoma (2017) PLoS One, 12 (8), p. 0183410; Assumpcao, C.B., Calcagno, D.Q., Araujo, T.M., The role of piRNA and its potential clinical implications in cancer (2015) Epigenomics, 7, pp. 975-984; Meng, S., Zhou, H., Feng, Z., CircRNA: Functions and properties of a novel potential biomarker for cancer (2017) Mol Cancer, 16 (1), p. 94; Meng, X., Li, X., Zhang, P., Circular RNA: An emerging key player in RNA world (2017) Brief Bioinform, 18 (4), pp. 547-557; Yao, J.T., Zhao, S.H., Liu, Q.P., Over-expression of CircRNA-100876 in non-small cell lung cancer and its prognostic value (2017) Pathol Res Pract, 213 (5), pp. 453-456; Agostini, M., Janssen, K.P., Kim, I.J., An integrative approach for the identification of prognostic and predictive biomarkers in rectal cancer (2015) Oncotarget, 6 (32), pp. 32561-32574; Datta, S., Datta, S., Empirical bayes screening of many p-values with applications to microarray studies (2005) Bioinformatics, 21 (9), pp. 1987-1994; Yuan, X., Chen, J., Lin, Y., Network biomarkers constructed from gene expression and protein-protein interaction data for accurate prediction of Leukemia (2017) J Cancer, 8 (2), pp. 278-286; Liu, R., Guo, C.X., Zhou, H.H., Network-based approach to identify prognostic biomarkers for estrogen receptor-positive breast cancer treatmentwith tamoxifen (2015) Cancer Biol Ther, 16 (2), pp. 317-324; Butti, M.D., Chanfreau, H., Martinez, D., BioPlat: A software for human cancer biomarker discovery (2014) Bioinformatics, 30 (12), pp. 1782-1784; Tremoulet, A.H., Dutkowski, J., Sato, Y., Novel data-mining approach identifies biomarkers for diagnosis of kawasaki disease (2015) Pediatr Res, 78 (5), pp. 547-553; Hu, Y., Hase, T., Li, H.P., A machine learning approach for the identification of key markers involved in brain development from single-cell transcriptomic data (2016) BMC Genomics, 17 (13), p. 1025; Min, W., Liu, J., Zhang, S., Network-regularized sparse logistic regression models for clinical risk prediction and biomarker discovery (2016) ACM Trans Comput Biol Bioinform, , IEEE/; Cun, Y., Frohlich, H., Network and data integration for biomarker signature discovery via network smoothed T-statistics (2013) PLoS One, 8 (9), p. 73074; Zeng, T., Zhang, W., Yu, X., Big-data-based edge biomarkers: Study on dynamical drug sensitivity and resistance in individuals (2016) Brief Bioinform, 17 (4), pp. 576-592; Balk, S.P., Ko, Y.J., Bubley, G.J., Biology of prostate-specific antigen (2003) J Clin Oncol, 21 (2), pp. 383-391; Salman, J.W., Schoots, I.G., Carlsson, S.V., Prostate specific antigen as a tumor marker in prostate cancer: Biochemical and clinical aspects (2015) Adv Exp Med Biol, 867, pp. 93-114; Senior, J.R., Alanine aminotransferase: A clinical and regulatory tool for detecting liver injury-past present and future (2012) Clin Pharmacol Ther, 92 (3), pp. 332-339; Gupta, R.A., Shah, N., Wang, K.C., Long non-coding RNA HOTAIR reprograms chromatin state to promote cancer metastasis (2010) Nature, 464 (7291), pp. 1071-1076; Teschendorff, A.E., Lee, S.H., Jones, A., Hotair and its surrogate DNA methylation signature indicate carboplatin resistance in ovarian cancer (2015) Genome Med, 7 (1), p. 108; Wang, W., He, X., Zheng, Z., Serum hotair as a novel diagnostic biomarker for esophageal squamous cell carcinoma (2017) Mol Cancer, 16 (1), p. 75; Dalerba, P., Sahoo, D., Paik, S., Cdx2 as a prognostic biomarker in stage II and stage III colon cancer (2016) N Engl J Med, 374 (3), pp. 211-222; Qin, M., Liu, G., Huo, X., Hsacirc 0001649: A circular RNA and potential novel biomarker for hepatocellular carcinoma (2016) Cancer Biomark, 16 (1), pp. 161-169; Chen, L., Wu, J., Systems biology for complex diseases (2012) J Mol Cell Biol, 4 (3), pp. 125-126; Sudlow, C., Gallacher, J., Allen, N., UK biobank: An open access resource for identifying the causes of a wirange of complex diseases of middle and old age (2015) PLoS Med, 12 (3), p. 1001779; Bandyopadhyay, S., Mehta, M., Kuo, D., Rewiring of genetic networks in response to DNA damage (2010) Science, 330 (6009), pp. 1385-1389; Creixell, P., Schoof, E.M., Erler, J.T., Navigating cancer network attractors for tumor-specific therapy (2012) Nat Biotechnol, 30 (9), pp. 842-848; Creixell, P., Schoof, E.M., Simpson, C.D., Kinome-widecoding of network-Attacking mutations rewiring cancer signaling (2015) Cell, 163 (1), pp. 202-217; Lee, M.J., Ye, A.S., Gardino, A.K., Sequential application of anticancer drugs enhances cell death by rewiring apoptotic signaling networks (2012) Cell, 149 (4), pp. 780-794; Teschendorff, A.E., Severini, S., Increased entropy of signal transduction in the cancer metastasis phenotype (2010) BMC Syst Biol, 4, p. 104; Sahni, N., Yi, S., Zhong, Q., Edgotype: A fundamental link between genotype and phenotype (2013) Curr Opin Genet Dev, 23 (6), pp. 649-657; Yu, X., Li, G., Chen, L., Prediction and early diagnosis of complex diseases by edge-network (2014) Bioinformatics, 30 (6), pp. 852-859; Zhang, W., Zeng, T., Chen, L., EdgeMarker: Identifying differentially correlated molecule pairs as edge-biomarkers (2014) J Theor Biol, 362, pp. 35-43; Iida, N., Dzutsev, A., Stewart, C.A., Commensal bacteria control cancer response to therapy by modulating the tumor microenvironment (2013) Science, 342 (6161), pp. 967-970; Zhang, H.M., Kuang, S., Xiong, X., Transcription factor and microrna co-regulatory loops: Important regulatory motifs in biological processes and diseases (2015) Brief Bioinform, 16 (1), pp. 45-58; Cui, W., Qian, Y., Zhou, X., Discovery and characterization of long intergenic non-coding rnas lincrna) module biomarkers in prostate cancer: An integrative analysis of rnaseq data (2015) BMC Genomics, 16 (7), p. 3; Liu, Y., Zhang, J., Li, L., Genomic heterogeneity of multiple synchronous lung cancer (2016) Nat Commun, (7), p. 13200; Lin, Y., Yuan, X., Shen, B., Network-based biomedical data analysis (2016) Adv Exp Med Biol, (939), pp. 309-332; Li, M., Zeng, T., Liu, R., Detecting tissue-specific early warning signals for complex diseases based on dynamical network biomarkers: Study of type 2 diabetes by cross-Tissue analysis (2014) Brief Bioinform, 15 (2), pp. 229-243; Liu, R., Wang, X., Aihara, K., Early diagnosis of complex diseases by molecular biomarkers network biomarkers and dynamical network biomarkers (2014) Med Res Rev, 34 (3), pp. 455-478; Chuang, H.Y., Lee, E., Liu, Y.T., Network-based classification of breast cancer metastasis (2007) Mol Syst Biol, 3, p. 140; Liu, X., Liu, R., Zhao, X.M., Detecting early-warning signals of type 1 diabetes and its leading biomolecular networks by dynamical network biomarkers (2013) BMC Med Genomics, 6 (2), p. 8; Galban, C.J., Han, M.K., Boes, J.L., Computed tomographybased biomarker provides unique signature for diagnosis of COPD phenotypes and disease progression (2012) Nat Med, 18, pp. 1711-1715; Pasikhova, Y., Ludlow, S., Baluch, A., Fever in patients with cancer (2017) Cancer Control, 24 (2), pp. 193-197; Feng, F., Tian, Y., Yang, X., Postoperative fever predicts poor prognosis of gastric cancer (2017) Oncotarget, 8 (37), pp. 62622-62629; Astrup, G.L., Rustoen, T., Miaskowski, C., Changes in and predictors of pain characteristics in patients with head and neck cancer undergoing radiotherapy (2015) Pain, 156 (5), pp. 967-979; Lin, Y., Chen, J., Shen, B., Interactions between genetics, lifestyle, and environmental factors for healthcare (2017) Adv Exp Med Biol, (1005), pp. 167-191; Petronis, A., Epigenetics as a unifying principle in the aetiology of complex traits and diseases (2010) Nature, 465 (7299), pp. 721-727; Wood, C.L., Environment. Environmental change and the ecology of infectious disease (2014) Science, 346 (6214), p. 1192; Szklarczyk, D., Morris, J.H., Cook, H., The string database in 2017: Quality-controlled protein-protein association networks, mabroadly accessible (2017) Nucleic Acids Res, 45 (1), pp. 362-368; Stark, C., Breitkreutz, B.J., Chatr-Aryamontri, A., The Biogrid interaction database: 2011 update (2011) Nucleic Acids Res, 39. , seq 60698-704; Keshava Prasad, T.S., Goel, R., Kandasamy, K., Human protein reference database-2009 update (2009) Nucleic Acids Res, 37, pp. 767-772; Cowley, M.J., Pinese, M., Kassahn, K.S., PINA v2.0: Mining interactome modules (2012) Nucleic Acids Res, 40 (1), pp. 862-865; Basha, O., Barshir, R., Sharon, M., The tissuenet v.2 database: A quantitative view of protein-protein interactions across human tissues (2017) Nucleic Acids Res, 1 (45), pp. 427-431; Tryka, K.A., Hao, L., Sturcke, A., NCBI?s database of genotypes and phenotypes: DbGaP (2014) Nucleic Acids Res, 42 (1), pp. 975-979; Kanehisa, M., Furumichi, M., Tanabe, M., KEGG: New perspectives on genomes, pathways, diseases and drugs (2017) Nucleic Acids Res, 45 (1), pp. 353-361; Kramer, A., Green, J., Causal analysis approaches in ingenuity pathway analysis (2014) Bioinformatics, 30, pp. 523-530; Chou, C.H., Chang, N.W., Shrestha, S., MiRTarBase 2016: Updates to the experimentally validated miRNA-Target interactions database (2016) Nucleic Acids Res, 44, pp. 239-247; Vlachos, I.S., Paraskevopoulou, M.D., Karagkouni, D., DIANA-TarBase v7.0: Indexing more than half a million experimentally supported miRNA: mRNA interactions (2015) Nucleic Acids Res; Li, J.H., Liu, S., Zhou, H., Starbase v2.0: Decoding miRNAceRNA, miRNA-ncRNA and protein-RNA interaction networks from large-scale clip-seq data (2014) Nucleic Acids Res, 42 (1), pp. 92-97; Wang, J., Lu, M., Qiu, C., TransmiR: A transcription factormicroRNA regulation database (2010) Nucleic Acids Res, 38 (1), pp. 119-122; Paraskevopoulou, M.D., Vlachos, I.S., Karagkouni, D., DIANA-LncBase v2: Indexing microRNA targets on noncoding transcripts (2016) Nucleic Acids Res, 44 (1), pp. 231-238; Wang, P., Zhi, H., Zhang, Y., MiRSponge: A manually curated database for experimentally supported miRNA sponges and ceRNAs (2015) Database, , 2015:bav098; Liu, Y.C., Li, J.R., Sun, C.H., CircNet: A database of circular RNAs derived from transcriptome sequencing data (2016) Nucleic Acids Res, 44 (1), pp. 209-215; Rosenbloom, K.R., Dreszer, T.R., Long, J.C., (2012) ENCOwholegenome Data in the UCSC, , genome browser: update; Medvedeva, Y.A., Lennartsson, A., Ehsani, R., EpiFactors: A comprehensive database of human epigenetic factors and complexes (2015) Database, , 2015:bav067; Qin, G., Zhao, X.M., A survey on computational approaches to identifying disease biomarkers based on molecular networks (2014) J Theor Biol, 362, pp. 9-16; Edgar, R., Domrachev, M., Lash, A.E., Gene expression omnibus: NCBI gene expression and hybridization array data repository (2002) Nucleic Acids Res, 30 (1), pp. 207-210; Tomczak, K., Czerwinska, P., Wiznerowicz, M., The Cancer Genome Atlas TCGA): An immeasurable source of knowledge (2015) Contemp Oncol, 19 (1), pp. 68-77; Jiang, Q., Wang, Y., Hao, Y., MiR2Disease: A manually curated database for microRNA deregulation in human disease (2009) Nucleic Acids Res, 37, pp. 98-104; Li, Y., Qiu, C., Tu, J., HMDD v2.0: A database for experimentally supported human microRNA and disease associations (2014) Nucleic Acids Res, 42 (1), pp. 1070-1074; Meng, X., Wang, J., Yuan, C., CancerNet: A database for decoding multilevel molecular interactions across diverse cancer types (2015) Oncogenesis, 4, p. 177; Chen, G., Wang, Z., Wang, D., LncRNADisease: A database for long-non-coding RNA-Associated diseases (2013) Nucleic Acids Res, 41, pp. 983-986; Ghosal, S., Das, S., Sen, R., Circ2Traits: A comprehensive database for circular RNA potentially associated with disease and traits (2013) Front Genet, 4, p. 283; Hamosh, A., Scott, A.F., Amberger, J.S., Online mendelian inheritance inman omim), a knowledgebase of human genes and genetic disorders (2005) Nucleic Acids Res, 33, pp. 514-517; Griffith, M., Spies, N.C., Krysiak, K., CIViC is a community knowledgebase for expert crowdsourcing the clinical interpretation of variants in cancer (2017) Nat Genet, 49 (2), pp. 170-174; Singh Nanda, J., Kumar Raghava, R.G.P., DbEM: A database of epigenetic modifiers curated from cancerous and normal genomes (2016) Sci Rep, 6 (1), p. 19340; Qi, Y., Wang, D., Wang, D., HEDD: The human epigenetic drug database (2016) Database, , 2016:baw159; Kibbe, W.A., Arze, C., Felix, V., Disease ontology 2015 update: An expanded and updated database of human diseases for linking biomedical knowledge through disease data (2015) Nucleic Acids Res, 43, pp. 1071-1078; Hankey, B.F., Ries, L.A., Edwards, B.K., The surveillance, epidemiology, and end results program: A national resource (1999) Cancer Epidemiol Biomarkers Prev, 8, pp. 1117-1121; Clark, K., Vendt, B., Smith, K., The Cancer Imaging Archive TCIA): Maintaining and operating a public information repository (2013) J Digit Imaging, 26 (6), pp. 1045-1057; Egevad, L., Cheville, J., Evans, A.J., Pathology imagebase-A reference image database for standardization of pathology (2017) Histopathology, 71 (5), pp. 677-685; Hupe, P., La Rosa, P., Liva, S., ACTuDB, a new database for the integrated analysis of array-CGH and clinical data for tumors (2007) Oncogene, 26 (46), pp. 6641-6652; Trimarchi, M., Lund, V.J., Nicolai, P., Database for the collection and analysis of clinical data and images of neoplasms of the sinonasal tract (2004) Ann Otol Rhinol Laryngol, 113 (4), pp. 335-337; Narang, P., Dhapola, P., Chowdhury, S., BreCAN-DB: A repository cum browser of personalized DNA breakpoint profiles of cancer genomes (2016) Nucleic Acids Res, 44 (1), pp. 952-958; Gusev, Y., Harris, M., G-DOC: A systems medicine platform for personalized oncology (2011) Neoplasia, 13 (9), pp. 771-783; Yu, Q., Huang, J.F., The DEER database: A bridge connecting drugs environmental effects and regulations (2013) Gene, 520 (2), pp. 98-105; Yang, Q., Qiu, C., Yang, J., MiREnvironment database: Providing a bridge for microRNAs environmental factors and phenotypes (2011) Bioinformatics, 27 (23), pp. 3329-3330; Ouyang, J., Sun, Y., Li, W., DbPHCC: A database of prognostic biomarkers for hepatocellular carcinoma that provides online prognostic modeling (2016) Biochim Biophys Acta, (11), pp. 2688-2695; Agarwal, R., Kumar, B., Jayadev, M., CoReCG: A comprehensive database of genes associated with colon-rectal cancer (2016) Database, , 2016:baw059; Savas, S., Younghusband, H.B., DbCPCO: A database of genetic markers tested for their predictive and prognostic value in colorectal cancer (2010) Hum Mutat, 31 (8), pp. 901-907; Pradeepkiran, J.A., Sainath, S.B., Kumar, K.K., CGMD: An integrated database of cancer genes and markers (2015) Sci Rep, 5, p. 12035; Dienstmann, R., Jang, I.S., Bot, B., Database of genomic biomarkers for cancer drugs and clinical targetability in solid tumors (2015) Cancer Discov, 5 (2), pp. 118-123; Sircar, G., Saha, B., Jana, T., DAAB: A manually curated database of allergy and asthma biomarkers (2015) Clin Exp Allergy, 45 (7), pp. 1259-1261; Yang, I.S., Ryu, C., Cho, K.J., IDBD: Infectious disease biomarker database (2008) Nucleic Acids Res, 36; Shao, C., Li, M., Li, X., A tool for biomarker discovery in the urinary proteome: A manually curated human and animal urine protein biomarker database (2011) Mol Cell Proteomics, 10 (11); Neveu, V., Moussy, A., Rouaix, H., Exposome-explorer: A manually-curated database on biomarkers of exposure to dietary and environmental factors (2017) Nucleic Acids Res, 45 (1), pp. 979-984; Tien, W.S., Chen, J.H., Wu, K.P., SheddomeDB: The ectodomain shedding database for membrane-bound shed markers (2017) BMC Bioinformatics, 18 (3), p. 42; Kang, S., Li, Q., Chen, Q., CancerLocator: Non-invasive cancer diagnosis and tissue-of-origin prediction using methylation profiles of cell-free DNA (2017) Genome Biol, (18), p. 53; Li, X., Wang, Q., Zheng, Y., Prioritizing human cancer microRNAs based on genes? Functional consistency between microRNA and cancer (2011) Nucleic Acids Res, 39 (22), p. 153; Gao, L., Ma, J., Mannoor, K., Genome-wismall nucleolar RNA expression analysis of lung cancer by next-generation deep sequencing (2015) Int J Cancer, 136 (6), pp. 623-629; Mazzara, S., CombiROC: An interactive web tool for selecting accurate marker combinations of omics data (2017) Sci Rep, (7), p. 45477; Ren, X., Wang, Y., Chen, L., Tool for Identifying A Heterogeneous Set of Cancer Biomarkers Based on Gene Expressions. Nucleic Acids Res 2013 A., 41 (4), p. 53; Kayano, M., Matsui, H., Yamaguchi, R., Gene set differential analysis of time course expression profiles via sparse estimation in functional logistic model with application to time-dependent biomarker detection (2016) Biostatistics, 17 (2), pp. 235-248; Wang, G.M., Kuai, D., Yang, Y.D., Screening of potential gene markers for predicting carotid atheroma plaque formation using bioinformatics approaches (2017) Mol Med Rep, 15 (4), pp. 2039-2048; Chen, X., Liu, M.X., Yan, G.Y., Rwrmda: Predicting novel human microrna-disease associations (2012) Mol Biosyst, 8 (10), pp. 2792-2798; Zhou, M., Diao, Z., Yue, X., Construction and analysis of dysregulated lncRNA-Associated ceRNA network identified novel lncRNA biomarkers for early diagnosis of human pancreatic cancer (2016) Oncotarget, 7 (35), pp. 56383-56394; Wang, P., Ning, S., Zhang, Y., Identification of lncRNAassociated competing triplets reveals global patterns and prognostic markers for cancer (2015) Nucleic Acids Res, 43 (7), pp. 3478-3489; Langfelder, P., Horvath, S., WGCNA: An R package for weighted correlation network analysis (2008) BMC Bioinformatics, 9, p. 559; Shao, T., Wu, A., Chen, J., Identification of module biomarkers from the dysregulated ceRNA-ceRNA interaction network in lung adenocarcinoma (2015) Mol Biosyst, 11 (11), pp. 3048-3058; Wang, Y.C., Chen, B.S., A network-based biomarker approach for molecular investigation and diagnosis of lung cancer (2011) BMC Med Genomics, 4 (1), p. 2; Liu, X., Wang, Y., Ji, H., Personalized characterization of diseases using sample-specific networks (2016) Nucleic Acids Res, 44 (22), p. 164; Farahmand, S., Goliaei, S., Ansari-Pour, N., GTA: A game theoretic approach to identifying cancer subnetwork markers (2016) Mol Biosyst, 12 (3), pp. 818-825; Zhao, X.M., Liu, K.Q., Zhu, G., Identifying cancer-related microRNAs based on gene expression data (2015) Bioinformatics, 31 (8), pp. 1226-1234; Mukhopadhyay, A., Maulik, U., An SVM-wrapped multiobjective evolutionary feature selection approach for identifying cancer-microrna markers (2013) IEEE Trans Nanobioscience, 12 (4), pp. 275-281; Xu, J., Li, C.X., Lv, J.Y., Prioritizing candidate disease miRNAs by topological features in the miRNA target-dysregulated network: Case study of prostate cancer (2011) Mol Cancer Ther, 10, pp. 1857-1866; Yang, Y., Huang, N., Hao, L., A clustering-based approach for efficient identification of microRNA combinatorial biomarkers (2017) BMC Genomics, 18 (2), p. 210; Li, Y., Dong, Y., Huang, Z., Computational identifying and characterizing circular RNAs and their associated genes in hepatocellular carcinoma (2017) PLoS One, 12 (3), p. 0174436; Samuel, N., Id Said, B., Guha, T., Assessment of TP53 Polymorphisms and MDM2 SNP309 in premenopausal breast cancer risk (2017) Hum Mutat, 38 (3), pp. 265-268; Wang, Y., Makedon, F.S., Ford, J.C., HykGene: A hybrid approach for selecting marker genes for phenotype classification using microarray gene expression data (2005) Bioinformatics, 21 (8), pp. 1530-1537; Zou, M., Zhang, P.J., Wen, X.Y., A novel mixed integer programming for multi-biomarker panel identification by distinguishing malignant from benign colorectal tumors (2015) Methods, 83, pp. 3-17; Ding, Y., Chen, M., Et, Al.L.Z., AtBioNet-An integrated network analysis tool for genomics and biomarker discovery (2012) BMC Genomics, 13, p. 325; Wen, Z., Zhang, W., Zeng, T., MCentridFS: A tool for identifying module biomarkers for multi-phenotypes from highthroughput data (2014) Mol Biosyst, 10 (11), pp. 2870-2875; Zhang, W., Zang, J., Jing, X., Identification of candidate miRNA biomarkers from miRNA regulatory network with application to prostate cancer (2014) J Transl Med, 12 (1), p. 66; Yan, W., Xu, L., Sun, Z., Microrna biomarker identification for pediatric acute myeloid leukemia based on a novel bioinformatics model (2015) Oncotarget, 6 (28), pp. 26424-26436; Shen, L., Lin, Y., Sun, Z., Knowledge-guided bioinformatics model for identifying autism spectrum disorder diagnostic MicroRNA biomarkers (2016) Sci Rep, 6 (1), p. 39663; Vaquerizas, J.M., Kummerfeld, S.K., Teichmann, S.A., A census of human transcription factors: Function, expression and evolution (2009) Nat Rev Genet, 10 (4), pp. 252-263; Chen, J., Zhang, D., Zhang, W., Clear cell renal cell carcinoma associated microRNA expression signatures identified by an integrated bioinformatics analysis (2013) J TranslMed, 11 (1), p. 169; Zhu, J., Wang, S., Zhang, W., Screening key microRNAs for castration-resistant prostate cancer based on miRNA/mRNA functional synergistic network (2015) Oncotarget, 6 (41), pp. 43819-43830; Yan, W., Wang, S., Sun, Z., Identification of microRNAs as potential biomarker for gastric cancer by system biological analysis (2014) Biomed Res Int, 2014, p. 901428; Huang, J., Sun, Z., Yan, W., Identification of microRNA as sepsis biomarker based on miRNAs regulatory network analysis (2014) Biomed Res Int, p. 594350; Zhu, Y., Lin, Y., Yan, W., Novel biomarker MicroRNAs for subtyping of acute coronary syndrome: A bioinformatics approach (2016) Biomed Res Int, 2016, p. 4618323; Tang, Y., Yan, W., Chen, J., Identification of novel microRNA regulatory pathways associated with heterogeneous prostate cancer (2013) BMC Syst Biol, 7 (3), p. 6; Sagner, M., McNeil, A., Puska, P., (2017) The P4 health spectrum-A predictive preventive personalized and participatory, 59 (5), pp. 506-521. , Continuum for promoting healthspan. Prog Cardiovasc Dis</t>
  </si>
  <si>
    <t>Oxford University Press</t>
  </si>
  <si>
    <t>14675463</t>
  </si>
  <si>
    <t>Brief. Bioinform.</t>
  </si>
  <si>
    <t>2-s2.0-85068495468</t>
  </si>
  <si>
    <t>Computer-aided biomarker discovery for precision medicine: data resources, models and applications</t>
  </si>
  <si>
    <t>Silverman B.G., Hanrahan N., Bharathy G., Gordon K., Johnson D.</t>
  </si>
  <si>
    <t>7101647997;6508279718;13905892400;56562462600;56562106400;</t>
  </si>
  <si>
    <t>A systems approach to healthcare: Agent-based modeling, community mental health, and population well-being</t>
  </si>
  <si>
    <t>Artificial Intelligence in Medicine</t>
  </si>
  <si>
    <t>63</t>
  </si>
  <si>
    <t>10.1016/j.artmed.2014.08.006</t>
  </si>
  <si>
    <t>https://www.scopus.com/inward/record.uri?eid=2-s2.0-84928207619&amp;doi=10.1016%2fj.artmed.2014.08.006&amp;partnerID=40&amp;md5=8d49a9a81b7338484ef046ef56a57621</t>
  </si>
  <si>
    <t>Electrical and Systems Engineering, University of Pennsylvania, Philadelphia, PA  19104, United States; School of Nursing, University of Pennsylvania, Philadelphia, PA  19104, United States</t>
  </si>
  <si>
    <t>Silverman, B.G., Electrical and Systems Engineering, University of Pennsylvania, Philadelphia, PA  19104, United States; Hanrahan, N., School of Nursing, University of Pennsylvania, Philadelphia, PA  19104, United States; Bharathy, G., Electrical and Systems Engineering, University of Pennsylvania, Philadelphia, PA  19104, United States; Gordon, K., Electrical and Systems Engineering, University of Pennsylvania, Philadelphia, PA  19104, United States; Johnson, D., Electrical and Systems Engineering, University of Pennsylvania, Philadelphia, PA  19104, United States</t>
  </si>
  <si>
    <t>Purpose: Explore whether agent-based modeling and simulation can help healthcare administrators discover interventions that increase population wellness and quality of care while, simultaneously, decreasing costs. Since important dynamics often lie in the social determinants outside the health facilities that provide services, this study thus models the problem at three levels (individuals, organizations, and society). Methods: The study explores the utility of translating an existing (prize winning) software for modeling complex societal systems and agent's daily life activities (like a Sim City style of software), into a desired decision support system. A case study tests if the 3 levels of system modeling approach is feasible, valid, and useful. The case study involves an urban population with serious mental health and Philadelphia's Medicaid population (n= 527,056), in particular. Results: Section 3 explains the models using data from the case study and thereby establishes feasibility of the approach for modeling a real system. The models were trained and tuned using national epidemiologic datasets and various domain expert inputs. To avoid co-mingling of training and testing data, the simulations were then run and compared (Section 4.1) to an analysis of 250,000 Philadelphia patient hospital admissions for the year 2010 in terms of re-hospitalization rate, number of doctor visits, and days in hospital. Based on the Student t-test, deviations between simulated vs. real world outcomes are not statistically significant. Validity is thus established for the 2008-2010 timeframe. We computed models of various types of interventions that were ineffective as well as 4 categories of interventions (e.g., reduced per-nurse caseload, increased check-ins and stays, etc.) that result in improvement in well-being and cost. Conclusions: The 3 level approach appears to be useful to help health administrators sort through system complexities to find effective interventions at lower costs. © 2014 Elsevier B.V.</t>
  </si>
  <si>
    <t>Agent-based; Community healthcare; Decision support; Mental health systems; Readmission; Systems analysis</t>
  </si>
  <si>
    <t>Artificial intelligence; Computational methods; Costs; Decision support systems; Health; Health care; Health insurance; Hospitals; Systems analysis; Agent based; Agent-based modeling and simulation; Daily life activities; Decision supports; Hospital admissions; Mental health; Readmission; Training and testing; Software agents; Article; community mental health; daily life activity; decision making; decision support system; Global Assessment of Functioning; health care management; hospital admission; hospital readmission; hospitalization; human; major clinical study; medicaid; mental health; priority journal; public health; social determinants of health; social norm; United States; urban population; wellbeing; cost benefit analysis; decision support system; economics; health promotion; mental health; mental health service; procedures; system analysis; Community Mental Health Services; Cost-Benefit Analysis; Decision Support Techniques; Health Promotion; Hospitalization; Humans; Medicaid; Mental Health; Patient Readmission; Philadelphia; Systems Analysis; United States</t>
  </si>
  <si>
    <t>Carpenter, S.R., Folke, C., Norström, A., Olsson, O., Schultz, L., Agarwal, B., Program on ecosystem change and society: an international research strategy for integrated social-ecological systems (2012) Curr Opin Environ Sustain, 4 (1), pp. 134-138; Christiansen, J.H., Campbell, A.P., (2003) HealthSim. An agent-based model of simulating health care delivery; Bauer, A.M., Thielke, S.M., Katon, W., Unutzer, J., Arean, P., Aligning health information technologies with effective service delivery models to improve chronic disease care (2014) Prevent Med, 66 (JUNE), pp. 167-172; Bharathy, G.K., Silverman, B., (2012) Applications of social systems modeling to political risk management, , Springer; Silverman, B., Bharathy, G., Kim, G., The new frontier of agent-based modeling and simulation of social systems with country databases, newsfeeds, and expert surveys (2009) Agents simulation and applications, , Taylor and Francis; Silverman, B.G., Systems social science: a design inquiry approach for stabilization and reconstruction of social systems (2010) J Intell Decis Technol, 4 (1), pp. 51-74; Rothbard, A., Chhatre, S., Zubritsky, C., Fortuna, K., Dettwyler, S., Henry, R., Effectiveness of a high end users program for persons with psychiatric disorders (2012) Community Ment Health J, 48 (5), pp. 598-603; Jencks, S.F., Defragmenting care (2010) Ann Intern Med, 153 (DECEMBER 11), pp. 757-758; Colton, C.W., Mandersheid, R.W., (2006) Congruencies in increased mortality rates, years of potential life lost, and causes of death among public mental health clients in eight states, , Center for Disease Control; Axtell, R., Epstein, J.M., (1996) Growing artificial societies: social science from the bottom up, , Brookings Inst. Press, Washington, DC; Parsons, S., Wooldridge, M., Game theory and decision theory in multi-agent systems (2002) Auton Agents Multi-Agent Syst, 5 (3), pp. 243-254; Brailsford, M., Clark, D., Gissing, R., Simulation brought to life (2013) Nurs Stand, 28 (SEPTEMBER 1), p. 64; Schlessinger, L., Eddy, D.M., Archimedes: a new model for simulating health care systems-the mathematical formulation (2002) J Biomed Inform, 35 (1), pp. 37-50; Newell, A., (1990) Unified theories of cognition, , Harvard University, Cambridge, MA; Anderson, J.R., Matessa, M., Lebiere, C., ACT-R: a theory of higher level cognition and its relation to visual attention (1997) Hum-Comput Interact, 12 (4), pp. 439-462; Cooper, R., Shallice, T., Soar and the case for unified theories of cognition (1995) Cognition, 55 (2), pp. 115-149; Manoj, B., Rao, R.R., Zorzi, M., CogNet: a cognitive complete knowledge network system (2008) Wireless Commun IEEE, 15 (6), pp. 81-88; Gluck, K.A., Pew, R.W., (2005) Modeling human behavior with integrated cognitive architectures: comparison, evaluation, and validation, , Psychology Press; Zacharias, G.L., MacMillan, J., Van Hemel, S.B., (2008) Behavioral modeling and simulation: from individuals to society, , Committee on Organizational Modeling from Individuals to Societies. National Research Council of the National Academies, National Academies Press, Washington, DC; Silverman, B.G., Pietrocola, D., Nye, B., Weyer, N., Osin, O., Johnson, D., Rich socio-cognitive agents for immersive training environments: case of NonKin Village (2012) Auton Agents Multi-Agent Syst, 24 (2), pp. 312-343; Ortony, A., The cognitive structure of emotions (1990) J Intell Decis Technol, 4 (1), pp. 51-74; Bartels, S.J., Caring for the whole person: integrated health care for older adults with severe mental illness and medical comorbidity (2004) J Am Geriatr Soc, 52, pp. S249-S257; Druss, B.G., Zhao, L., Cummings, J.R., Shim, R.S., Rust, G.S., Marcus, S.C., Mental comorbidity and quality of diabetes care under Medicaid: a 50-state analysis (2012) Med Care, 50 (MAY 5), pp. 428-433; Jones, S.H., Thornicroft, G., Coffey, M., Dunn, G., A brief mental health outcome scale-reliability and validity of the Global Assessment of Functioning (GAF) (1995) Br J Psychiatry, 166 (5), pp. 654-659; Michan, Z., Warner, J., Zhang, L., (2012) mhsSIM: mental health system simulator. An agent-based approach to modeling mental health policies &amp; interventions; Alegria, M., Jackson, J.S., Kessler, R.C., Takeuchi, D., (2009) Collaborative Psychiatric Epidemiology Surveys (CPES), 2001-2003 [United States], , Inter-university Consortium for Political and Social Research (ICPSR) [distributor]; Folsom, D.P., Hawthorne, W., Lindamer, L., Gilmer, T., Bailey, A., Golshan, S., Prevalence and risk factors for homelessness and utilization of mental health services among 10,340 patients with serious mental illness in a large public mental health system (2005) Am J Psychiatry, 162 (FEBRUARY 2), pp. 370-376; Brown, R.S., Peikes, D., Peterson, G., Schore, J., Razafindrakoto, C.M., Six features of Medicare coordinated care demonstration programs that cut hospital admissions of high-risk patients (2012) Health Aff, 31 (JUNE 6), pp. 1156-1166; Hanrahan, N.P., Wu, E., Marcotte, J., Kelly, D., Ma, C., Aiken, L., Randomized clinical trial of the effectiveness of home-based advanced practice nursing on outcomes for individuals with serious mental illness and HIV (2011) Nurs Res Pract, , Article ID 840248, 10 pages; Solomon, P., Hanrahan, N.P., Hurford, M., DeCesaris, M., Josey, L., Lessons learned from implementing a pilot RCT of transitional care model for individuals with serious mental illness (2014) Arch Psychiatr Nurs, 28 (4), pp. 250-255; Blank, M.B., Hanrahan, N.P., Fishbein, M., Wu, E.S., Tennille, J.A., Ten Have, T.R., A randomized trial of a nursing intervention for HIV disease management among persons with serious mental illness (2011) Psychiatr Serv, 62 (NOVEMBER 11), pp. 1318-1324</t>
  </si>
  <si>
    <t>Elsevier</t>
  </si>
  <si>
    <t>09333657</t>
  </si>
  <si>
    <t>AIMEE</t>
  </si>
  <si>
    <t>Artif. Intell. Med.</t>
  </si>
  <si>
    <t>2-s2.0-84928207619</t>
  </si>
  <si>
    <t>A systems approach to healthcare: agent-based modeling, community mental health, and population well-being</t>
  </si>
  <si>
    <t>Kang J., Liu M., Qu W.</t>
  </si>
  <si>
    <t>55926118000;26643381300;57192365108;</t>
  </si>
  <si>
    <t>Using gameplay data to examine learning behavior patterns in a serious game</t>
  </si>
  <si>
    <t>72</t>
  </si>
  <si>
    <t>757</t>
  </si>
  <si>
    <t>770</t>
  </si>
  <si>
    <t>10.1016/j.chb.2016.09.062</t>
  </si>
  <si>
    <t>https://www.scopus.com/inward/record.uri?eid=2-s2.0-85005842145&amp;doi=10.1016%2fj.chb.2016.09.062&amp;partnerID=40&amp;md5=488472291a9160bd0e7a5180f9c86fda</t>
  </si>
  <si>
    <t>Learning Technologies Program, The University of Texas at Austin, 1912 Speedway Stop D5700, Austin, TX  78712-1293, United States; Quantitative Psychology Program, University of Notre Dame, 118 Haggar Hall, Notre Dame, IN  46556, United States</t>
  </si>
  <si>
    <t>Kang, J., Learning Technologies Program, The University of Texas at Austin, 1912 Speedway Stop D5700, Austin, TX  78712-1293, United States; Liu, M., Learning Technologies Program, The University of Texas at Austin, 1912 Speedway Stop D5700, Austin, TX  78712-1293, United States; Qu, W., Quantitative Psychology Program, University of Notre Dame, 118 Haggar Hall, Notre Dame, IN  46556, United States</t>
  </si>
  <si>
    <t>Research has shown how open-ended serious games can facilitate students' development of specific skills and improve learning performance through problem-solving. However, understanding how students learn these complex skills in a game environment is a challenge, as much research uses typical paper-and-pencil assessments and self-reported surveys or other traditional observational and quantitative methods. The purpose of this study is to identify students' learning behavior patterns of problem-solving and explore behavior patterns of different performing groups within an open-ended serious game called Alien Rescue. To accomplish this purpose, this study intends to use gameplay data by incorporating sequential pattern mining and statistical analysis. The findings of this study confirmed the results from previous research (using ex situ data such as interviews) and at the same time provide an analytical approach to understand in-depth students' sequential behavior patterns using in situ gameplay data. This study examined the frequent sequential patterns between low- and high-performing students and showed that problem-solving strategies were different between these two performing groups. By using this integrated analytical method, we can gain a better understanding of the learning pathway of students’ performance and problem-solving strategies of students with different learning characteristics in a serious games context. © 2016</t>
  </si>
  <si>
    <t>Learning behavior; Learning process; Middle school science; Pattern mining; Problem-solving; Serious games analytics</t>
  </si>
  <si>
    <t>Data mining; Education; Students; Learning behavior; Learning process; Middle school science; Pattern mining; Serious games; Problem solving</t>
  </si>
  <si>
    <t>Agrawal, R., Srikant, R., Mining sequential patterns (1995) Proceedings of the eleventh IEEE international conference on data engineering (ICDE), pp. 3-14. , (Taipei, Taiwan); Bakeman, R., Gottman, J.M., Observing interaction: An introduction to sequential analysis (1997), 2nd ed. Cambridge University Press UK; Barab, S.A., Scott, B., Siyahhan, S., Goldstone, R., Ingram-Goble, A., Zuiker, S.J., Transformational play as a curricular scaffold: Using videogames to support science education (2009) Journal of Science Education and Technology, 18, pp. 305-320; Bland, J.M., Altman, D.G., Multiple significance tests: The Bonferroni (1995); Brown, A.L., Design experiments: Theoretical and methodological challenges in creating complex interventions in classroom settings (1992) The Journal of the Learning Sciences, 2 (2), pp. 141-178; Chi, M.T.H., Feltovich, P., Glaser, R., Categorization and representation of physics problems by experts and novices (1981) Cognitive Science, 5, pp. 121-152; Clarke-Midura, J., Dede, C., Norton, J., The road ahead for state assessments (2011), Policy Analysis for California Education and Rennie Center for Educational Research &amp; Policy Cambridge, MA; Clark, D.B., Martinez-Garza, M.M., Biswas, G., Luecht, R.M., Sengupta, P., Driving assessment of students' explanations in game dialog using computer-adaptive testing and hidden Markov Modeling (2012) Game-based learning: Foundations, innovations, and perspectives, pp. 173-199. , D. Ifenthaler D. Eseryel G. Xun Springer New York; Cobb, P., Confrey, J., diSessa, A., Lehrer, R., Schauble, L., Design experiments in educational research (2003) Educational Researcher, 32 (1), pp. 9-13; Dreyfus, S.E., The five-stage model of adult skill acquisition (2004) Bulletin of Science, Technology and Society, 24 (3), pp. 177-181; Dreyfus, H.L., Dreyfus, S.E., Peripheral vision: Expertise in real world contexts (2005) Organization Studies, 26 (5), pp. 779-792; Foundation of American Scientists, Summit on educational games: Harnessing the power of video games for learning (2006), Washington, DC; Gick, M.L., Problem-solving strategies (1986) Educational Psychologist, 21, pp. 99-120; Glaser, R., The maturing of the relationship between the science of learning and cognition and educational practice (1991) Learning and Instruction, 1 (2), pp. 129-144; Hou, H.-T., Integrating cluster and sequential analysis to explore learners' flow and behavioral patterns in a simulation game with situated-learning context for science courses: A video-based process exploration (2015) Computers in Human Behavior, 48, pp. 424-435; Jonassen, D.H., Toward a design theory of problem-solving (2000) Educational Technology Research and Development, 48 (4), pp. 63-85; Kang, J., Liu, M., Liu, S., Tracking students' activities in serious games (2017) Learning and knowledge analytics in open education, pp. 125-137. , http://link.springer.com/chapter/10.1007/978-3-319-38956-1_10, F.-Q. Lai J.D. Lehman Springer International Publishing Retrieved from; Liu, M., Bera, S., An analysis of cognitive tool use patterns in a hypermedia learning environment (2005) Educational Technology Research and Development, 53 (1), pp. 5-21; Liu, C.C., Cheng, Y.B., Huang, C.W., The effect of simulation games on the learning of computational problem solving (2011) Computers and Education, 57 (3), pp. 1907-1918; Liu, M., Horton, L.R., Corliss, S.B., Svinicki, M.D., Bogard, T., Kim, J., Chang, M., Students' problem solving as mediated by their cognitive tool use: A study of tool use patterns (2009) Journal of Educational Computing Research, 40 (1), pp. 111-139; Liu, M., Horton, L., Kang, J., Kimmons, R., Lee, J., Using a ludic simulation to make learning of middle school space science fun (2013) The International Journal of Gaming and Computer-Mediated Simulations, 5 (1), pp. 66-86; Liu, M., Horton, L., Olmanson, J., Toprac, P., A study of learning and motivation in a new media enriched environment for middle school science (2011) Educational Technology Research and Development, pp. 1-17; Liu, M., Kang, J., Lee, J., Winzeler, E., Liu, S., Examining through visualization what tools learners access as they play a serious game for middle school science (2015) Serious games analytics: methodologies for performance measurement, assessment, and improvement, pp. 181-208. , C.S. Loh Y. Sheng D. Ifenthaler Springer Switzerland; Liu, M., Lee, J., Kang, Liu, S., What we can learn from the data: A multiple-case study examining behavior patterns by students with different characteristics in using a serious game (2016) The Technology, Knowledge and Learning Journal, 21 (1), pp. 33-57; Liu, M., Wivagg, J., Geurtz, R., Lee, S.-T., Chang, H.M., Examining how middle school science teachers implement a multimedia-enriched problem-based learning environment (2012) Interdisciplinary Journal of Problem-Based Learning, 6 (2), pp. 46-84; Loh, C.S., Information trails: In-process assessment of game-based learning (2012) Assessment in game-based learning: Foundations, innovations, and perspectives, pp. 123-144. , D. Ifenthaler D. Eseryel X. Ge Springer New York; Loh, C.S., Sheng, Y., Maximum similarity index (MSI): A metric to differentiate the performance of novices vs. multiple-experts in serious games (2014) Computers in Human Behavior, 39, pp. 322-330; Loh, C.S., Sheng, Y., Measuring expert performance for serious games analytics: From data to insights (2015) Serious games analytics: Methodologies for performance measurement, assessment, and improvement, pp. 101-134. , C.S. Loh Y. Sheng D. Ifenthaler Springer Switzerland; Loh, C.S., Sheng, Y., Ifenthaler, D., Serious games analytics: Theoretical framework (2015) Serious games analytics: Methodologies for performance measurement, assessment, and improvement, pp. 3-29. , C.S. Loh Y. Sheng D. Ifenthaler Springer Switzerland; van Merriënboer, J.J., Perspectives on problem-solving and instruction (2013) Computers &amp; Education, 64, pp. 153-160; National Research Council, National science Education Standard (1996), The National Academies Press Washington, DC; Pei, J., Han, J., Wang, W., Constraint-based sequential pattern mining: The pattern-growth methods (2007) Journal of Intelligent Information Systems, 28 (2), pp. 133-160; Quellmalz, E., Timms, M., Schneider, S., Assessment of student learning in science simulations and games (2009) Proceedings of the Workshop on learning science: Computer games, simulations, and education, , National Academy of Sciences Washington, DC; Schmidt, R.A., Lee, T., Motor control and learning: A behavioral emphasis (2011), 5th ed. Human Kinetics Champaign, IL; Squire, K., Open-ended video games: A model for developing learning for the interactive age (2008) The ecology of games: Connecting youth, games, and learning, pp. 167-198. , K. Salen The MIT Press Cambridge, MA; Wallner, G., Kriglstein, S., Visualization-based analysis of gameplay data—A review of literature (2013) Entertainment Computing, 4 (3), pp. 143-155; Wang, F., Hannafin, M.J., Design-based research and technology-enhanced learning environments (2005) Educational Technology Research and Development, 53 (4), pp. 5-23; Wiley, J., Expertise as mental set: The effects of domain knowledge in creative problem solving (1998) Memory and Cognition, 26 (4), pp. 716-730; Zaki, M., Scalable algorithms for association mining (2000) IEEE Transactions on Knowledge and Data Engineering, 12 (3), pp. 372-390; Zaki, M., SPADE: An efficient algorithm for mining frequent sequences (2001) Machine Learning, 40, pp. 31-60; Zhou, M., Xu, Y., Nesbit, J.C., Winne, P.H., Sequential pattern analysis of learning logs: Methodology and applications (2010) Handbook of educational data mining, pp. 107-121. , C. Romero et al. (eds.) Chapman &amp; Hall/CRC Press</t>
  </si>
  <si>
    <t>2-s2.0-85005842145</t>
  </si>
  <si>
    <t>Marsh H.W., Huppert F.A., Donald J.N., Horwood M.S., Sahdra B.K.</t>
  </si>
  <si>
    <t>7201585638;7007028658;57191261369;57212309860;6505970010;</t>
  </si>
  <si>
    <t>machine-Learning-Aided Self-Powered Assistive Physical Therapy Devices</t>
  </si>
  <si>
    <t>32</t>
  </si>
  <si>
    <t>10.1037/pas0000787</t>
  </si>
  <si>
    <t>https://www.scopus.com/inward/record.uri?eid=2-s2.0-85076420524&amp;doi=10.1037%2fpas0000787&amp;partnerID=40&amp;md5=0f6042424c5b5ab7268d10e02f0d9cf3</t>
  </si>
  <si>
    <t>Australian Catholic University, Australia; The University of Sydney Business School, Australia</t>
  </si>
  <si>
    <t>Marsh, H.W., Australian Catholic University, Australia; Huppert, F.A., Australian Catholic University, Australia; Donald, J.N., The University of Sydney Business School, Australia; Horwood, M.S., Australian Catholic University, Australia; Sahdra, B.K., Australian Catholic University, Australia</t>
  </si>
  <si>
    <t>There is no universally agreed definition of well-being as a subjective experience, but Huppert and So (2013) adopted and systematically applied the definition of well-being as positive mental health-the opposite of the common mental disorders described in standard mental health classifications (e.g., Diagnostic and Statistical Manual of Mental Disorders). We extended their theoretical approach to include multi-item scales, using 2 waves of nationally representative U.S. adult samples to develop, test, and validate our multidimensional measure of well-being (WB-Pro). This resulted in a good-fitting a priori (48-item, 15-factor) model that was invariant over time, education, gender, and age; showed good reliability (coefficient αs .81-.93), test-retest correlation (.73-.85; M = .80), and convergent/ discriminant validity based on a multitrait-multimethod analysis, and relations with demographic variables, selected psychological measures, and other multidimensional and purportedly unidimensional well-being measures. Further, we found that items from 2 widely used, purportedly unidimensional well-being measures loaded on different WB-Pro factors consistent with a priori predictions based on the WB-Pro factor structure, thereby calling into question their claimed unidimensionality and theoretical rationale. Because some applications require a short global measure, we used a machine-learning algorithm to construct 2 global well-being short versions (five- and 15-item forms) and tested these formative measures in relation to the full-form and validity criteria (to download short and long versions see https://ippe.acu.edu.au/research/research-instruments/wb-pro). The WB-Pro appears to be one of the most comprehensive measures of subjective well-being, based on a sound conceptual model and empirical support, with broad applicability for research and practice, as well as providing a framework for evaluating the breadth of other well-being measures. © 2019 American Psychological Association.</t>
  </si>
  <si>
    <t>Convergent and discriminant validity; Factor analysis; Formative; Machine-learning; Multiple dimensions of well-being; Reflective, and unidimensional scales</t>
  </si>
  <si>
    <t>adult; Article; conceptual model; controlled study; convergent validity; discriminant validity; female; health care policy; health care practice; human; International Classification of Diseases; learning algorithm; life event; male; mental health; middle aged; psychological well-being; social determinants of health; test retest reliability; emotion; empathy; factor analysis; human relation; mental health; optimism; personal autonomy; psychological resilience; psychometry; questionnaire; reproducibility; satisfaction; self concept; Adult; Emotions; Empathy; Factor Analysis, Statistical; Female; Humans; Interpersonal Relations; Male; Mental Health; Middle Aged; Optimism; Personal Autonomy; Personal Satisfaction; Psychometrics; Reproducibility of Results; Resilience, Psychological; Self Concept; Surveys and Questionnaires</t>
  </si>
  <si>
    <t>(1994) Diagnostic and statistical manual of mental disorders (4th ed.), , Washington, DC: Author; (2013) Diagnostic and statistical manual of mental disorders (5th ed.), , Washington, DC: Author; Asparouhov, T., Muthén, B., Structural Equation Modeling (2009) Exploratory structural equation modeling, 16, pp. 397-438. , http://dx.doi.org/10.1080/10705510903008204; Baron-Cohen, S., (2011) Zero degrees of empathy: A new theory of human cruelty, , London, UK: Allen Lane; Basarkod, G., Sahdra, B., Ciarrochi, J., Body image-acceptance and action questionnaire-5: An abbreviation using genetic algorithms (2018) Behavior Therapy, 49, pp. 388-402. , http://dx.doi.org/10.1016/j.beth.2017.09.006; Batson, C.D., (1991) The altruism question: Toward a socialpsychological answer, , Hillsdale, NJ: Erlbaum, Inc; Bollen, K.A., Lennox, R., Psychological Bulletin (1991) Conventional wisdom on measurement: A structural equation perspective, 110, pp. 305-314. , http://dx.doi.org/10.1037/0033-2909.110.2.305; Bradburn, N.M., (1969) The structure of psychological well-being, , Oxford, England: Aldine; Butler, J., Kern, M.L., International Journal of Wellbeing (2016) The PERMA-Profiler: A brief multidimensional measure of flourishing, 6, pp. 1-48. , http://dx.doi.org/10.5502/ijw.v6i3.526; Caligor, E., Levy, K.N., Yeomans, F.E., The American Journal of Psychiatry (2015) Narcissistic personality disorder: Diagnostic and clinical challenges, 172, pp. 415-422. , http://dx.doi.org/10.1176/appi.ajp.2014.14060723; Campbell, D.T., Fiske, D.W., Psychological Bulletin (1959) Convergent and discriminant validation by the multitrait-multimethod matrix, 56, pp. 81-105. , http://dx.doi.org/10.1037/h0046016; Campbell, D.T., O'Connell, E.J., Methods factors in multitraitmultimethod matrices: Multiplicative rather than additive? (1967) Multivariate Behavioral Research, 2, pp. 409-426. , http://dx.doi.org/10.1207/s15327906mbr0204_1; Cantril, H., (1965) The pattern of human concerns, , New Brunswick, NJ: Rutgers University Press; Cappelleri, J.C., Bushmakin, A.G., McDermott, A.M., Sadosky, A.B., Petrie, C.D., Martin, S., Psychometric properties of a singleitem scale to assess sleep quality among individuals with fibromyalgia (2009) Health and Quality of Life Outcomes, 7, p. 54. , http://dx.doi.org/10.1186/1477-7525-7-54; Chen, B., Vansteenkiste, M., Beyers, W., Boone, L., Deci, E.L., Van der Kaap-Deeder, J., Verstuyf, J., Basic psychological need satisfaction, need frustration, and need strength across four cultures (2015) Motivation and Emotion, 39, pp. 216-236. , http://dx.doi.org/10.1007/s11031-014-9450-1; Chen, F.F., Structural Equation Modeling (2007) Sensitivity of goodness of fit indexes to lack of measurement invariance, 14, pp. 464-504. , http://dx.doi.org/10.1080/10705510701301834; Cheung, G.W., Rensvold, R.B., Structural Equation Modeling (2002) Evaluating goodness-of-fit indexes for testing measurement invariance, 9, pp. 233-255. , http://dx.doi.org/10.1207/S15328007SEM0902_5; Clark, A.E., Flèche, A., Layard, S., Powdthavee, R., Ward, N., (2018) The origins of happiness: The science of well-being over the life course Princeton, , http://dx.doi.org/10.2307/j.ctvc77dgq, NJ: Princeton University Press; Cummins, R., Social Indicators Research (1996) The domains of life satisfaction: An attempt to order chaos, 38, pp. 303-328. , http://dx.doi.org/10.1007/BF00292050; Davis, M.H., (1994) Empathy: A social psychological approach, , Madison, WI: Brown &amp; Benchmark; Davis, M.H., Oathout, H.A., Journal of Personality and Social Psychology (1987) Maintenance of satisfaction in romantic relationships: Empathy and relational competence, 53, pp. 397-410. , http://dx.doi.org/10.1037/0022-3514.53.2.397; Dicke, T., Marsh, H.W., Riley, P., Parker, P.D., Guo, J., Horwood, M., Validating the Copenhagen Psychosocial Questionnaire (COPSOQ-II) using set-ESEM: Identifying psychosocial risk factors in a sample of school principals (2018) Frontiers in Psychology, 9, p. 584. , http://dx.doi.org/10.3389/fpsyg.2018.00584; Diener, E., Emmons, R.A., Larsen, R.J., Griffin, S., Journal of Personality Assessment (1985) The satisfaction with life scale, 49, pp. 71-75. , http://dx.doi.org/10.1207/s15327752jpa4901_13; Diener, E., Seligman, M.E., Psychological Science in the Public Interest (2004) Beyond money: Toward an economy of well-being, 5, pp. 1-31. , http://dx.doi.org/10.1111/j.0963-7214.2004.00501001.x; Diener, E., Suh, E.M., Lucas, R.E., Smith, H.L., Psychological Bulletin (1999) Subjective well-being: Three decades of progress, 125, pp. 276-302. , http://dx.doi.org/10.1037/0033-2909.125.2.276; Diener, E., Wirtz, D., Tov, W., Kim-Prieto, C., Choi, D., Oishi, S., Biswas-Diener, R., Social Indicators Research (2010) New well-being measures: Short scales to assess flourishing and positive and negative feelings, 97, pp. 143-156. , http://dx.doi.org/10.1007/s11205-009-9493-y; Edwards, J.R., Bagozzi, R.P., Psychological Methods (2000) On the nature and direction of relationships between constructs and measures, 5, pp. 155-174. , http://dx.doi.org/10.1037/1082-989X.5.2.155; Eisenbarth, H., Lilienfeld, S.O., Yarkoni, T., Psychological Assessment (2015) Using a genetic algorithm to abbreviate the Psychopathic Personality Inventory-Revised (PPI-R), 27, pp. 194-202. , http://dx.doi.org/10.1037/pas0000032; Eisenberg, N., Fabes, R.A., Spinrad, T.L., (2007) Handbook of child psychology: Vol. 3. Social, emotional, and personality development, pp. 646-718. , Prosocial development In W. Damon, R. M. Lerner, &amp; N. Eisenberg (Eds.). New York, NY: Wiley; Forsyth, J.P., Parker, J.D., Finlay, C.G., Addictive Behaviors (2003) Anxiety sensitivity, controllability, and experiential avoidance and their relation to drug of choice and addiction severity in a residential sample of substanceabusing veterans, 28, pp. 851-870. , http://dx.doi.org/10.1016/S0306-4603(02)00216-2; Fredrickson, B., (2009) Positivity, , New York, NY: Three Rivers Press; Gogol, K., Brunner, M., Goetz, T., Martin, R., Ugen, S., Keller, U., Preckel, F., "My questionnaire is too long!" The assessments of motivational-affective constructs with three-item and single-item measures (2014) Contemporary Educational Psychology, 39, pp. 188-205. , http://dx.doi.org/10.1016/j.cedpsych.2014.04.002; Hayes, S.C., Strosahl, K., Wilson, K.G., (1999) Acceptance and commitment therapy: An experiential approach to behavior change, , New York, NY: Guilford Press; Hayes, S.C., Strosahl, K.D., Wilson, K.G., (2012) Acceptance and commitment therapy: The process and practice of mindful change (2nd ed.), , New York, NY: Guilford Press; Hayes, S.C., Wilson, K.G., Gifford, E.V., Bissett, R., Piasecki, M., Batten, S.V., Gregg, J., Behavior Therapy (2004) A preliminary trial of Twelve-Step Facilitation and Acceptance and Commitment Therapy with polysubstance-abusing methadone-maintained opiate addicts, 35, pp. 667-688. , http://dx.doi.org/10.1016/S0005-7894(04)80014-5; Henry, C.S., Sager, D.W., Plunkett, S.W., Adolescent's perceptions of family system characteristics, parent-adolescent dyadic behaviors, adolescent qualities, and adolescent empathy (1996) Family Relations, 45, p. 283. , http://dx.doi.org/10.2307/585500; Holland, J., (1975) Adaption in natural and artificial systems, , Ann Arbor, MI: The University of Michigan Press; Hu, L.-T., Bentler, P.M., Cutoff criteria for fit indexes in covariance structure analysis: Conventional criteria versus new alternatives (1999) Structural Equation Modeling, 6, pp. 1-55. , http://dx.doi.org/10.1080/10705519909540118; Huppert, F.A., The state of well-being science: Concepts, measures, interventions and policies. In F. Huppert &amp; C. Cooper (Eds.) (2014) Wellbeing: A complete reference guide, Volume VI, Interventions and policies to enhance wellbeing, pp. 1-49. , https://www.safaribooksonline.com/library/view/wellbeing-a-complete/9781118716168/9781118716168c01.xhtml, Chichester, England: Wiley-Blackwell; Huppert, F.A., Marks, N., Clark, A., Siegrist, J., Stutzer, A., Vittersø, J., Wahrendorf, M., Measuring well-being across Europe: Description of the ESS well-being module and preliminary findings (2009) Social Indicators Research, 91, pp. 301-315; Huppert, F., Marks, N., Michaelson, J., Vázquez, C., Vittersø, J., (2013) European social survey round 6 module on personal and social wellbeing- Final module in template, , http://www.europeansocialsurvey.org/docs/round6/questionnaire/ESS6_final_personal_and_social_well_being_module_template.pdf, London, UK: European Social Survey; Huppert, F.A., Ruggeri, K., Policy challenges: Well-being as a priority in public mental health (2018) Oxford textbook of public mental health, pp. 131-140. , In D. Bhugra, K. Bhul, S. Wong, &amp; S Gillman (Eds.), Oxford, England: Oxford University Press; Huppert, F.A., So, T.T.C., Social Indicators Research (2013) Flourishing across Europe: Application of a new conceptual framework for defining well-being, 110, pp. 837-861. , http://dx.doi.org/10.1007/s11205-011-9966-7; Jahoda, M., (1958) Current concepts of positive mental health, , http://dx.doi.org/10.1037/11258-000, New York, NY: Basic Books; James, G., Witten, D., Hastie, T., Tibshirani, R., (2013) An introduction to statistical learning, , http://dx.doi.org/10.1007/978-1-4614-7138-7, New York, NY: Springer; Kahneman, D., Diener, E., Schwarz, N., (1999) Well-being: Foundations of hedonic psychology, , New York, NY: Russell Sage Foundation; Keyes, C.L., Waterman, M.B., Dimensions of well-being and mental health in adulthood (2003) Crosscurrents in contemporary psychology, pp. 477-497. , In M. Bornstein (Ed.), Mahwah, NJ: Erlbaum; Kotov, R., Krueger, R.F., Watson, D., Achenbach, T.M., Althoff, R.R., Bagby, R.M., Zimmerman, M., Journal of Abnormal Psychology (2017) The Hierarchical Taxonomy of Psychopathology (HiTOP): A dimensional alternative to traditional nosologies, 126, pp. 454-477. , http://dx.doi.org/10.1037/abn0000258; Layard, R., (2005) Happiness: Lessons form a new science, , London, UK: Allen Lane; Marsh, H.W., Multitrait multimethod analysis (1988) In J. P. Keeves (Ed.), Educational research methodology, measurement and evaluation: An international handbook, pp. 570-580. , Oxford, England: Pergamon Press; Marsh, H.W., Applied Measurement in Education (1993) Multitrait-multimethod analyses: Inferring each trait-method combination with multiple indicators, 6, pp. 49-81. , http://dx.doi.org/10.1207/s15324818ame0601_4; Marsh, H.W., (2007) Self-concept theory, measurement and research into practice: The role of self-concept in educational psychology, , Leicester, England: British Psychological Society; Marsh, H.W., Balla, J., McDonald, R.P., Psychological Bulletin (1988) Goodness of fit in confirmatory factor analysis: The effect of sample size, 103, pp. 391-410. , http://dx.doi.org/10.1037/0033-2909.103.3.391; Marsh, H.W., Ellis, L.A., Parada, R.H., Richards, G., Heubeck, B.G., A short version of the Self Description Questionnaire II: Operationalizing criteria for short-form evaluation with new applications of confirmatory factor analyses (2005) Psychological Assessment, 17, pp. 81-102. , http://dx.doi.org/10.1037/1040-3590.17.1.81; Marsh, H.W., Grayson, D., Latent-variable models of multitraitmultimethod data. In R. H. Hoyle (Ed.) (1995) Structural equation modeling: Issues and applications, pp. 177-198. , Thousand Oaks, CA: Sage; Marsh, H.W., Guo, J., Dicke, T., Parker, P.D., Craven, R.G., Confirmatory factor analysis (CFA), exploratory structural equation modeling (ESEM), and Set-ESEM: Optimal balance between goodness of fit and parsimony. Multivariate Behavioral Research (2019) Advance online publication, , http://dx.doi.org/10.1080/00273171.2019.1602503; Marsh, H.W., Hau, K.T., Artelt, C., Baumert, J., Peschar, J.L., OECD's brief self-report measure of educational psychology's most useful affective constructs: Cross-cultural, psychometric comparisons across 25 countries (2006) International Journal of Testing, 6, pp. 311-360. , http://dx.doi.org/10.1207/s15327574ijt0604_1; Marsh, H.W., Hau, K.T., Grayson, D., Goodness of fit evaluation in structural equation modeling. In A. Maydeu-Olivares &amp; McArdle (Eds.) (2005) Contemporary psychometrics. A Festschrift for Roderick P. McDonald, pp. 275-340. , Mahwah, NJ: Erlbaum; Marsh, H.W., Hau, K.T., Wen, Z., Structural Equation Modeling (2004) In search of golden rules: Comment on hypothesis testing approaches to setting cutoff values for fit indexes and dangers in overgeneralising Hu &amp; Bentler's (1999) findings, 11, pp. 320-341. , http://dx.doi.org/10.1207/s15328007sem1103_2; Marsh, H.W., Hocevar, D., Journal of Applied Psychology (1988) A new, more powerful approach to multitrait-multimethod analyses: Application of second-order confirmatory factor analysis, 73, pp. 107-117. , http://dx.doi.org/10.1037/0021-9010.73.1.107; Marsh, H.W., Lüdtke, O., Muthén, B., Asparouhov, T., Morin, A.J., Trautwein, U., Nagengast, B., Psychological Assessment (2010) A new look at the big five factor structure through exploratory structural equation modeling, 22, pp. 471-491. , http://dx.doi.org/10.1037/a0019227; Marsh, H.W., Lüdtke, O., Nagengast, B., Morin, A.J., Von Davier, M., Why item parcels are (almost) never appropriate: Two wrongs do not make a right-Camouflaging misspecification with item parcels in CFA models (2013) Psychological Methods, 18, pp. 257-284. , http://dx.doi.org/10.1037/a0032773; Marsh, H.W., Martin, A.J., Jackson, S., Journal of Sport &amp; Exercise Psychology (2010) Introducing a short version of the physical self description questionnaire: New strategies, short-form evaluative criteria, and applications of factor analyses, 32, pp. 438-482. , http://dx.doi.org/10.1123/jsep.32.4.438; Marsh, H.W., Martin, A.J., Yeung, A., Craven, R., Competence self-perceptions. In A. J. Elliot, C. Dweck, &amp; D. Yeager (Eds.) (2017) Handbook of competence and motivation, pp. 85-115. , New York, NY: Guilford Press; Marsh, H.W., Morin, A.J., Parker, P.D., Kaur, G., Annual Review of Clinical Psychology (2014) Exploratory structural equation modeling: An integration of the best features of exploratory and confirmatory factor analysis, 10, pp. 85-110. , http://dx.doi.org/10.1146/annurev-clinpsy-032813-153700; Marsh, H.W., Muthén, B., Asparouhov, T., Lüdtke, O., Robitzsch, A., Morin, A.J., Trautwein, U., Structural Equation Modeling (2009) Exploratory structural equation modeling, integrating CFA and EFA: Application to students' evaluations of university teaching, 16, pp. 439-476. , http://dx.doi.org/10.1080/10705510903008220; Marsh, H.W., Nagengast, B., Morin, A.J.S., Developmental Psychology (2013) Measurement invariance of big-five factors over the life span: ESEM tests of gender, age, plasticity, maturity, and la dolce vita effects, 49, pp. 1194-1218. , http://dx.doi.org/10.1037/a0026913; Marsh, H.W., Pekrun, R., Parker, P., Murayama, K., Guo, J., Dicke, T., Journal of Educational Psychology (2019) The Murky Distinction Between Self-Concept and Self-Efficacy Beware of Lurking Jingle-Jangle Fallacies, 111, pp. 331-353. , http://dx.doi.org/10.1037/edu0000281; Marx, B.P., Sloan, D.M., Peritraumatic dissociation and experiential avoidance as predictors of posttraumatic stress symptomatology (2005) Behaviour Research and Therapy, 43, pp. 569-583. , http://dx.doi.org/10.1016/j.brat.2004.04.004; Meyer, B., Enström, M., Harstveit, M., Bowles, D., Beevers, C., Happiness and despair on the catwalk: Need satisfaction, well-being, and personality adjustment among fashion models (2007) The Journal of Positive Psychology, 2, pp. 2-17. , http://dx.doi.org/10.1080/17439760601076635; Morin, A.J., Marsh, H.W., Nagengast, B., Exploratory structural equation modeling. In G. R. Hancock &amp; R. O. Mueller (Eds.) (2013) Structural equation modeling: A second course, pp. 395-436. , Charlotte, NC: Information Age Publishing Inc; Muthén, L.K., Muthén, B.O., (2017) Mplus user's guide (8th ed.), , Los Angeles, CA: Author; Noetel, M., Ciarrochi, J., Sahdra, B., Lonsdale, C., Using genetic algorithms to abbreviate the mindfulness inventory for sport: A substantive-methodological synthesis (2019) Psychology of Sport and Exercise, 45, p. 101545. , http://dx.doi.org/10.1016/j.psychsport.2019.101545; (2013) OECD guidelines on measuring subjective well-being, , Paris, France: OECD Publishing; Pejtersen, J.H., Kristensen, T.S., Borg, V., Bjorner, J.B., Scandinavian Journal of Public Health (2010) The second version of the Copenhagen Psychosocial Questionnaire, 38, pp. 8-24. , http://dx.doi.org/10.1177/1403494809349858; Radloff, L.S., Applied Psychological Measurement (1977) The CES-D scale: A self-report depression scale for research in the general population, 1, pp. 385-401. , http://dx.doi.org/10.1177/014662167700100306; (2018) A language and environment for statistical computing, , http://www.R-project.org/, Vienna, Austria: R Foundation for Statistical Computing; Roemer, L., Salters, K., Raffa, S.D., Orsillo, S.M., Cognitive Therapy and Research (2005) Fear and avoidance of internal experiences in GAD: Preliminary tests of a conceptual model, 29, pp. 71-88. , http://dx.doi.org/10.1007/s10608-005-1650-2; Ryan, R.M., Deci, E.L., Self-determination theory and the facilitation of intrinsic motivation, social development, and well-being (2000) American Psychologist, 55, pp. 68-78. , http://dx.doi.org/10.1037/0003-066X.55.1.68; Ryan, R.M., Deci, E.L., Annual Review of Psychology (2001) On happiness and human potentials: A review of research on hedonic and eudaimonic well-being, 52, pp. 141-166. , http://dx.doi.org/10.1146/annurev.psych.52.1.141; Ryan, R.M., Deci, E.L., (2017) Self-determination theory: Basic psychological needs in Motivation, development, and wellness, , New York, NY: Guilford Press; Ryff, C.D., Journal of Personality and Social Psychology (1989) Happiness is everything, or is it? Explorations on the meaning of psychological well-being, 57, pp. 1069-1081. , http://dx.doi.org/10.1037/0022-3514.57.6.1069; Ryff, C.D., Singer, B., Psychotherapy and Psychosomatics (1996) Psychological well-being: Meaning, measurement, and implications for psychotherapy research, 65, pp. 14-23. , http://dx.doi.org/10.1159/000289026; Sahdra, B.K., Ciarrochi, J., Parker, P.D., Marshall, S., Heaven, P., Empathy and nonattachment independently predict peer nominations of prosocial behavior of adolescents (2015) Frontiers in Psychology, 6, p. 263. , http://dx.doi.org/10.3389/fpsyg.2015.00263; Sahdra, B.K., Ciarrochi, J., Parker, P., Scrucca, L., Using genetic algorithms in a large nationally representative American sample to abbreviate the Multidimensional Experiential Avoidance Questionnaire (2016) Frontiers in Psychology, 7, p. 189. , http://dx.doi.org/10.3389/fpsyg.2016.00189; Sass, D.A., Schmitt, T.A., Multivariate Behavioral Research (2010) A comparative investigation of rotation criteria within exploratory factor analysis, 45, pp. 73-103. , http://dx.doi.org/10.1080/00273170903504810; Schroeders, U., Wilhelm, O., Olaru, G., Intelligence (2016) The influence of item sampling on sex differences in knowledge tests, 58, pp. 22-32. , http://dx.doi.org/10.1016/j.intell.2016.06.003; Scrucca, L., Sahdra, B.K., GAabbreviate: Abbreviating questionnaires (or other measures) using genetic algorithms (Version 1.0: R package) [Computer software] (2015), http://CRAN.Rproject.org/packageGAabbreviate; Self, A., Thomas, J., Randall, C., (2012) Measuring national well-being: Life in the UK, 2012, , http://webarchive.nationalarchives.gov.uk/20160105183326/http://www.ons.gov.uk/ons/rel/wellbeing/measuring-national-well-being/first-annual-report-on-measuringnational-well-being/art-measuring-national-well-being-annual-report.html; Seligman, M.E.P., (2002) Authentic happiness: Using the new positive psychology to realize your potential for lasting fulfillment, , New York, NY: Free Press; Seligman, M.E.P., (2011) Flourish: A visionary new understanding of happiness and well-being, , New York, NY: Free Press; Steffick, D.E., (2000) Documentation of affective functioning measures in the health and retirement study, , (Technical Report No. HRS/AHEAD) Ann Arbor, MI: Survey Research Center, University of Michigan; Stewart-Brown, S., Tennant, A., Tennant, R., Platt, S., Parkinson, J., Weich, S., Internal construct validity of the Warwick-Edinburgh Mental Well-being Scale (WEMWBS): A Rasch analysis using data from the Scottish Health Education Population Survey (2009) Health and Quality of Life Outcomes, 7, p. 15. , http://dx.doi.org/10.1186/1477-7525-7-15; Su, R., Tay, L., Diener, E., Applied Psychology Health and Well-Being (2014) The development and validation of the Comprehensive Inventory of Thriving (CIT) and the Brief Inventory of Thriving (BIT), 6, pp. 251-279. , http://dx.doi.org/10.1111/aphw.12027; Tennant, R., Hiller, L., Fishwick, R., Platt, S., Joseph, S., Weich, S., Stewart-Brown, S., The Warwick-Edinburgh mental well-being scale (WEMWBS): Development and U. K. validation (2007) Health and Quality of Life Outcomes, 5, p. 63. , http://dx.doi.org/10.1186/1477-7525-5-63; Thøgersen-Ntoumani, C., Ntoumanis, N., Journal of Health Psychology (2007) A self-determination theory approach to the study of body image concerns, self-presentation and self-perceptions in a sample of aerobic instructors, 12, pp. 301-315. , http://dx.doi.org/10.1177/1359105307074267; Tull, M.T., Gratz, K.L., Salters, K., Roemer, L., Journal of Nervous and Mental Disease (2004) The role of experiential avoidance in posttraumatic stress symptoms and symptoms of depression, anxiety, and somatization, 192, pp. 754-761. , http://dx.doi.org/10.1097/01.nmd.0000144694.30121.89; Watson, D., Clark, L.A., Tellegen, A., Journal of Personality and Social Psychology (1988) Development and validation of brief measures of positive and negative affect: The PANAS scales, 54, pp. 1063-1070. , http://dx.doi.org/10.1037/0022-3514.54.6.1063; Wei, M., Shaffer, P., Young, S., Zakalik, R., Journal of Counseling Psychology (2005) Adult attachment, shame, depression, and loneliness: The mediation role of basic psychological needs satisfaction, 52, pp. 591-601. , http://dx.doi.org/10.1037/0022-0167.52.4.591; Weinstein, N., Ryan, R.M., Journal of Personality and Social Psychology (2010) When helping helps: Autonomous motivation for prosocial behavior and its influence on well-being for the helper and recipient, 98, pp. 222-244. , http://dx.doi.org/10.1037/a0016984; The development of the World Health Organization quality of life assessment instrument (the WHOQOL). In J. Orley &amp; W. Kuyken (Eds.) (1994) Quality of life assessment: International perspectives, pp. 41-57. , http://dx.doi.org/10.1007/978-3-642-79123-9_4, Berlin, Germany: Springer; (1990) The ICD-10 classification of mental and behavioural disorders: Clinical descriptions and diagnostic guidelines, , Geneva, Switzerland: World Health Organization; (2018) The ICD-11 International statistical classification of diseases and related health problems, , Geneva, Switzerland: World Health Organization; (2006) Official records of the World Health Organization (Vol. 2), , https://apps.who.int/iris/bitstream/handle/10665/85573/Official_record2_eng.pdf?sequence, Geneva, Switzerland: World Health Organization; Yarkoni, T., Journal of Research in Personality (2010) The abbreviation of personality, or how to measure 200 personality scales with 200 items, 44, pp. 180-198. , http://dx.doi.org/10.1016/j.jrp.2010.01.002</t>
  </si>
  <si>
    <t>American Psychological Association</t>
  </si>
  <si>
    <t>2-s2.0-85076420524</t>
  </si>
  <si>
    <t>The well-being profile (wb-pro): creating a theoretically based multidimensional measure of well- being to advance theory, research, policy, and practice</t>
  </si>
  <si>
    <t>Friedman N., Fekete T., Gal K., Shriki O.</t>
  </si>
  <si>
    <t>57210114576;37004346900;57200991584;6506619366;</t>
  </si>
  <si>
    <t>EEG-based prediction of cognitive load in intelligence tests</t>
  </si>
  <si>
    <t>Frontiers in Human Neuroscience</t>
  </si>
  <si>
    <t>13</t>
  </si>
  <si>
    <t>191</t>
  </si>
  <si>
    <t>10.3389/fnhum.2019.00191</t>
  </si>
  <si>
    <t>https://www.scopus.com/inward/record.uri?eid=2-s2.0-85069451882&amp;doi=10.3389%2ffnhum.2019.00191&amp;partnerID=40&amp;md5=2969618cd53fff1d0d9f5eb5cd3df6e8</t>
  </si>
  <si>
    <t>Department of Software and Information Systems Engineering, Ben-Gurion University of the Negev, Beersheba, Israel; Department of Cognitive and Brain Sciences, Ben-Gurion University of the Negev, Beersheba, Israel; School of Informatics, University of Edinburgh, Edinburgh, United Kingdom; Department of Computer Science, Ben-Gurion University of the Negev, Beersheba, Israel; Zlotowski Center for Neuroscience, Ben-Gurion University of the Negev, Beersheba, Israel</t>
  </si>
  <si>
    <t>Friedman, N., Department of Software and Information Systems Engineering, Ben-Gurion University of the Negev, Beersheba, Israel, Department of Cognitive and Brain Sciences, Ben-Gurion University of the Negev, Beersheba, Israel; Fekete, T., Department of Cognitive and Brain Sciences, Ben-Gurion University of the Negev, Beersheba, Israel; Gal, K., Department of Software and Information Systems Engineering, Ben-Gurion University of the Negev, Beersheba, Israel, School of Informatics, University of Edinburgh, Edinburgh, United Kingdom; Shriki, O., Department of Cognitive and Brain Sciences, Ben-Gurion University of the Negev, Beersheba, Israel, Department of Computer Science, Ben-Gurion University of the Negev, Beersheba, Israel, Zlotowski Center for Neuroscience, Ben-Gurion University of the Negev, Beersheba, Israel</t>
  </si>
  <si>
    <t>Measuring and assessing the cognitive load associated with different tasks is crucial for many applications, from the design of instructional materials to monitoring the mental well-being of aircraft pilots. The goal of this paper is to utilize EEG to infer the cognitive workload of subjects during intelligence tests. We chose the well established advanced progressive matrices test, an ideal framework because it presents problems at increasing levels of difficulty and has been rigorously validated in past experiments. We train classic machine learning models using basic EEG measures as well as measures of network connectivity and signal complexity. Our findings demonstrate that cognitive load can be well predicted using these features, even for a low number of channels. We show that by creating an individually tuned neural network for each subject, we can improve prediction compared to a generic model and that such models are robust to decreasing the number of available channels as well. © 2019 Friedman, Fekete, Gal and Shriki.</t>
  </si>
  <si>
    <t>Brain-computer interface; Cognitive load; Electroencephalography; Machine learning; Raven's matrices</t>
  </si>
  <si>
    <t>adult; article; brain computer interface; electroencephalogram; electroencephalography; female; human; human experiment; intelligence test; machine learning; male; prediction; workload</t>
  </si>
  <si>
    <t>Abásolo, D., Hornero, R., Gómez, C., García, M., López, M., Analysis of eeg background activity in Alzheimer's disease patients with lempel–ziv complexity and central tendency measure (2006) Med. Eng. Phys, 28, pp. 315-322. , 16122963; Aricò, P., Borghini, G., Di Flumeri, G., Colosimo, A., Bonelli, S., Golfetti, A., Adaptive automation triggered by eeg-based mental workload index: A passive brain-computer interface application in realistic air traffic control environment (2016) Front. Hum. Neurosci, 10, p. 539. , a, 27833542; Aricò, P., Borghini, G., Di Flumeri, G., Colosimo, A., Pozzi, S., Babiloni, F., A passive brain–computer interface application for the mental workload assessment on professional air traffic controllers during realistic air traffic control tasks (2016) Prog. Brain Res, 228, pp. 295-328. , b, 27590973; Arthur, W., Jr., Tubre, T.C., Paul, D.S., Sanchez-Ku, M.L., College-sample psychometric and normative data on a short form of the raven advanced progressive matrices test (1999) J. Psychoeduc. Assess, 17, pp. 354-361; Bell, A.J., Sejnowski, T.J., An information-maximization approach to blind separation and blind deconvolution (1995) Neural Comput, 7, pp. 1129-1159. , 7584893; Borghini, G., Aricò, P., Di Flumeri, G., Cartocci, G., Colosimo, A., Bonelli, S., Eeg-based cognitive control behaviour assessment: An ecological study with professional air traffic controllers (2017) Sci. Rep, 7, p. 547. , 28373684; Brainard, D.H., Vision, S., The psychophysics toolbox (1997) Spat. Vis, 10, pp. 433-436. , 9176952; Brouwer, A.-M., Hogervorst, M.A., Van Erp, J.B., Heffelaar, T., Zimmerman, P.H., Oostenveld, R., Estimating workload using eeg spectral power and erps in the n-back task (2012) J. Neural Eng, 9, p. 045008. , 22832068; Buitinck, L., Louppe, G., Blondel, M., Pedregosa, F., Mueller, A., Grisel, O., “API design for machine learning software: Experiences from the scikit-learn project,” (2013) ECML PKDD Workshop: Languages for Data Mining and Machine Learning, pp. 108-122. , Prague; Bullmore, E., Barnes, A., Bassett, D.S., Fornito, A., Kitzbichler, M., Meunier, D., Generic aspects of complexity in brain imaging data and other biological systems (2009) Neuroimage, 47, pp. 1125-1134. , 19460447; Bullmore, E., Sporns, O., Complex brain networks: Graph theoretical analysis of structural and functional systems (2009) Nat. Rev. Neurosci, 10, p. 186. , 19190637; Chen, T., Guestrin, C., “Xgboost: A scalable tree boosting system,” (2016) Proceedings of the 22nd ACM Sigkdd International Conference on Knowledge Discovery and Data Mining, pp. 785-794. , San Francisco, CA, ACM; Chollet, F., (2015) Keras, , https://keras.io, (accessed May, 2019; Conrad, C.D., Bliemel, M., “Psychophysiological measures of cognitive absorption and cognitive load in E-learning applications,” (2016) Proceedings of the 37th International Conference on Information Systems, December, pp. 11-14. , Dublin eds P. Agerfalk, N. Levina, and S. S. Kien; Coyne, J.T., Baldwin, C., Cole, A., Sibley, C., Roberts, D.M., “Applying real time physiological measures of cognitive load to improve training,” (2009) International Conference on Foundations of Augmented Cognition, pp. 469-478. , San Diego, CA, Springer; Delorme, A., Makeig, S., Eeglab: An open source toolbox for analysis of single-trial eeg dynamics including independent component analysis (2004) J. Neurosci. Methods, 134, pp. 9-21. , 15102499; Fekete, T., Beacher, F.D., Cha, J., Rubin, D., Mujica-Parodi, L.R., Small-world network properties in prefrontal cortex correlate with predictors of psychopathology risk in young children: A nirs study (2014) NeuroImage, 85, pp. 345-353. , 23863519; Forbes, A., An item analysis of the advanced matrices (1964) Br. J. Educ. Psychol, 34, pp. 223-236; Gerě, I., Jaušcvec, N., Multimedia: Differences in cognitive processes observed with eeg (1999) Educ. Technol. Res. Dev, 47, pp. 5-14; Gruber, I., Hlaváč, M., Železnỳ, M., Karpov, A., “Facing face recognition with resnet: Round one,” (2017) International Conference on Interactive Collaborative Robotics, pp. 67-74. , Hatfield, Springer; Ho, T.K., “Random decision forests,” (1995) Proceedings of 3rd International Conference on Document Analysis and Recognition, 1, pp. 278-282. , Montreal, QC, IEEE; Ikehara, C.S., Crosby, M.E., “Assessing cognitive load with physiological sensors,” (2005) Proceedings of the 38th Annual Hawaii International Conference on System Sciences, pp. 295-303. , in; Kleiner, M., Brainard, D., Pelli, D., Ingling, A., Murray, R., Broussard, C., What's new in psychtoolbox-3 (2007) Perception, 36, p. 1; Logan, G.D., Skill and automaticity: Relations, implications, and future directions (1985) Can. J. Psychol./Revue Can. Psychol, 39, p. 367; Mak, J.N., Chan, R.H., Wong, S.W., “Spectral modulation of frontal eeg activities during motor skill acquisition: Task familiarity monitoring using single-channel eeg,” (2013) Engineering in Medicine and Biology Society (embc), 2013 35th Annual International Conference of the IEEE, pp. 5638-5641. , Osaka, IEEE, 24111016; McDonald, N.J., Soussou, W., “Quasar's qstates cognitive gauge performance in the cognitive state assessment competition 2011,” (2011) Engineering in Medicine and Biology Society, EMBC, 2011 Annual International Conference of the IEEE, pp. 6542-6546. , Boston, MA, IEEE; Mills, C., Fridman, I., Soussou, W., Waghray, D., Olney, A.M., D'Mello, S.K., “Put your thinking cap on: Detecting cognitive load using eeg during learning,” (2017) Proceedings of the Seventh International Learning Analytics &amp; Knowledge Conference, pp. 80-89. , Vancouver, BC, ACM; Mullen, T.R., Kothe, C.A., Chi, Y.M., Ojeda, A., Kerth, T., Makeig, S., Real-time neuroimaging and cognitive monitoring using wearable dry eeg (2015) IEEE Trans. Biomed. Eng, 62, pp. 2553-2567. , 26415149; Palinko, O., Kun, A.L., Shyrokov, A., Heeman, P., “Estimating cognitive load using remote eye tracking in a driving simulator,'́ (2010) Proceedings of the 2010 Symposium on Eye-Tracking Research &amp; Applications, pp. 141-144. , Austin, TX, ACM; Pelli, D.G., The videotoolbox software for visual psychophysics: Transforming numbers into movies (1997) Spat. Vis, 10, pp. 437-442. , 9176953; Peng, C.-K., Havlin, S., Stanley, H.E., Goldberger, A.L., Quantification of scaling exponents and crossover phenomena in nonstationary heartbeat time series (1995) Chaos, 5, pp. 82-87. , 11538314; Pope, A.T., Bogart, E.H., Bartolome, D.S., Biocybernetic system evaluates indices of operator engagement in automated task (1995) Biol. Psychol, 40, pp. 187-195. , 7647180; Raven, J., The raven's progressive matrices: Change and stability over culture and time (2000) Cogn. Psychol, 41, pp. 1-48. , 10945921; Raven, J.C., Court, J.H., (1998) Raven's Progressive Matrices and Vocabulary Scales, , London, Psychological Corporation; Rubin, D., Fekete, T., Mujica-Parodi, L.R., Optimizing complexity measures for fmri data: Algorithm, artifact, and sensitivity (2013) PLoS ONE, 8. , 23700424; Stevens, R., Galloway, T., Berka, C., “Integrating EEG models of cognitive load with machine learning models of scientific problem solving,” (2006) Augmented Cognition: Past, Present and Future, pp. 55-65. , Arlington, VA, Strategic Analysis,, eds D. Schmorrow, K. Stanney, and L. Reeves; Sweller, J., Van Merrienboer, J.J., Paas, F.G., Cognitive architecture and instructional design (1998) Educ. Psychol. Rev, 10, pp. 251-296; Tononi, G., Edelman, G.M., Consciousness and complexity (1998) science, 282, pp. 1846-1851. , 9836628; Zhang, X.-S., Roy, R.J., Jensen, E.W., Eeg complexity as a measure of depth of anesthesia for patients (2001) IEEE Trans. Biomed. Eng, 48, pp. 1424-1433. , 11759923; Zhou, Z.-H., (2012) Ensemble Methods: Foundations and Algorithms, , Raton, FL, Chapman and Hall/CRC</t>
  </si>
  <si>
    <t>Frontiers Media S.A.</t>
  </si>
  <si>
    <t>16625161</t>
  </si>
  <si>
    <t>Front. Human Neurosci.</t>
  </si>
  <si>
    <t>2-s2.0-85069451882</t>
  </si>
  <si>
    <t>Eeg-based prediction of cognitive load in intelligence tests</t>
  </si>
  <si>
    <t>Golan M., Cohen Y., Singer G.</t>
  </si>
  <si>
    <t>55364586100;7403234787;7102795609;</t>
  </si>
  <si>
    <t>A framework for operator– workstation interaction in Industry 4.0</t>
  </si>
  <si>
    <t>International Journal of Production Research</t>
  </si>
  <si>
    <t>58</t>
  </si>
  <si>
    <t>2421</t>
  </si>
  <si>
    <t>2432</t>
  </si>
  <si>
    <t>10.1080/00207543.2019.1639842</t>
  </si>
  <si>
    <t>https://www.scopus.com/inward/record.uri?eid=2-s2.0-85068788622&amp;doi=10.1080%2f00207543.2019.1639842&amp;partnerID=40&amp;md5=32bec2b7f394f943fe5ef825c958c7ec</t>
  </si>
  <si>
    <t>Afeka Academic College of Engineering, Tel Aviv, Israel</t>
  </si>
  <si>
    <t>Golan, M., Afeka Academic College of Engineering, Tel Aviv, Israel; Cohen, Y., Afeka Academic College of Engineering, Tel Aviv, Israel; Singer, G., Afeka Academic College of Engineering, Tel Aviv, Israel</t>
  </si>
  <si>
    <t>We draw on cognitive and behavioural theories and on the artificial intelligence literature in order to propose a framework of future operator – workstation interaction in the ‘Industry 4.0’ era. We name the proposed framework ‘Operator – Workstation Interaction 4.0’. The latter’s capabilities permit an adaptive, ongoing interaction that aims to improve operator safety, performance, well-being, and satisfaction as well as the factory’s production measures. The framework is composed of three subsystems: (1) the observation subsystem which observes the operator and the processes occurring in the workstation, (2) the analysis subsystem which generates understanding and implications of the observations output, (3) the reaction subsystem which determines if and how to respond. The paper describes these elements and illustrate them using an example of a fatigued worker. The contributions, implications, and limitations of the proposed framework are discussed, and future research directions are presented. © 2019, © 2019 Informa UK Limited, trading as Taylor &amp; Francis Group.</t>
  </si>
  <si>
    <t>affective computing; cognitive manufacturing; human-machine interaction; Industry 4.0; Operator 4.0; OWI 4.0</t>
  </si>
  <si>
    <t>Computation theory; Affective Computing; Future research directions; Human machine interaction; Operator 4.0; Operator safety; OWI 4.0; Well being; Workstation interactions; Industry 4.0</t>
  </si>
  <si>
    <t>(2013) Diagnostic and Statistical Manual of Mental Disorders, , 5th ed., Arlington, VA: American Psychiatric Publishing; Antonakaki, P., Kosmopoulos, D., Perantonis, S.J., Detecting Abnormal Human Behaviour Using Multiple Cameras (2009) Signal Processing, 89 (9), pp. 1723-1738; Ardanza, A., Moreno, A., Segura, A., de la Cruz, M., Aguinaga, D., Sustainable and Flexible Industrial Human Machine Interfaces to Support Adaptable Applications in the Industry 4.0 Paradigm (2019) International Journal of Production Research, 57, pp. 4045-4059; Atallah, L., Yang, G.-Z., The use of Pervasive Sensing for Behaviour Profiling — a Survey (2009) Pervasive and Mobile Computing, 5 (5), pp. 447-464; Baraglia, J., Cakmak, M., Nagai, Y., Rao, R.P., Asada, M., Efficient Human-Robot Collaboration: When Should a Robot Take Initiative? (2017) The International Journal of Robotics Research; Behoora, I., Tucker, C.S., Machine Learning Classification of Design Team Members’ Body Language Patterns for Real Time Emotional State Detection (2015) Design Studies, 39, pp. 100-127; Bergasa, L.M., Almería, D., Almazán, J., Yebes, J.J., Arroyo, R., (2014), Drivesafe: An app for alerting inattentive drivers and scoring driving behaviors. Intelligent Vehicles Symposium Proceedings IEEE, June, 240–245; Brunelli, R., Falavigna, D., Person Identification Using Multiple Cues (1995) IEEE Transactions on Pattern Analysis and Machine Intelligence, 17 (10), pp. 955-966; Buer, S.V., Strandhagen, J.O., Chan, F.T.S., The Link Between Industry 4.0 and Lean Manufacturing: Mapping Current Research and Establishing a Research Agenda (2018) International Journal of Production Research, 56 (8), pp. 2924-2940; Burger, N., Demartini, M., Tonelli, F., Bodendorf, F., Testa, C., Investigating Flexibility as a Performance Dimension of a Manufacturing Value Modeling Methodology (MVMM): A Framework for Identifying Flexibility Types in Manufacturing Systems (2017) Procedia CIRP, 63, pp. 33-38; Calvo, M.G., Gutiérrez-García, A., Fernández-Martín, A., Nummenmaa, L., Recognition of Facial Expressions of Emotion is Related to Their Frequency in Everyday Life (2014) Journal of Nonverbal Behavior, 38 (4), pp. 549-567; Cambria, E., Affective Computing and Sentiment Analysis (2016) IEEE Intelligent Systems, 31 (2), pp. 102-107; Clark, C.C., Barnes, C.M., Stratton, G., McNarry, M.A., Mackintosh, K.A., Summers, H.D., A Review of Emerging Analytical Techniques for Objective Physical Activity Measurement in Humans (2017) Sports Medicine, 47 (3), pp. 439-447; Clarke, J.R., Sr., Clarke, P.M., (1997) U.S. Patent No. 5,689,241, , Washington, DC: U.S. Patent and Trademark Office; Cohen, P.R., Feigenbaum, E.A., (2014) The Handbook of Artificial Intelligence, 3. , Oxford: Butterworth-Heinemann, and, eds; Cohen, Y., Golan, M., Singer, G., Faccio, M., (2018), Workstation–Operator Interaction 4.0 Era: WOI 4.0. 16th IFAC Symposium on Information Control Problems Manufacturing (INCOM-2018); Bergamo Italy; Session: MoAT5 - Assembly System 4.0; June 2018; Crowley-Koch, B.J., Houten, R.V., Automated Measurement in Applied Behavior Analysis: A Review (2013) Behavioral Interventions, 28 (3), pp. 225-240; Crump, M.J., Logan, G.D., Prevention and Correction in Post-Error Performance: An Ounce of Prevention, a Pound of Cure (2013) Journal of Experimental Psychology: General, 142 (3), pp. 692-709; Damiani, L., Demartini, M., Guizzi, G., Revetria, R., Tonelli, F., Augmented and Virtual Reality Applications in Industrial Systems: A Qualitative Review Towards the Industry 4.0 era (2018) IFAC-PapersOnLine, 51 (11), pp. 624-630; Dellaert, F., Polzin, T., Waibel, A., Recognizing Emotion in Speech (1996) Proceedings of ICSLP 1996, , Philadelphia, PA, 1970–1973; Demartini, M., Tonelli, F., Damiani, L., Revetria, R., Cassettari, L., Digitalization of Manufacturing Execution Systems: The Core Technology for Realizing Future Smart Factories (2017) Proceedings of the Summer School Francesco Turco, , 326–333; Draganski, B., Gaser, C., Kempermann, G., Kuhn, H.G., Winkler, J., Büchel, C., May, A., Temporal and Spatial Dynamics of Brain Structure Changes During Extensive Learning (2006) Journal of Neuroscience, 26 (23), pp. 6314-6317; Du, Y., Hu, Q., Chen, D., Ma, P., Kernelized Fuzzy Rough Sets Based Yawn Detection for Driver Fatigue Monitoring (2011) Fundamenta Informaticae, 111 (1), pp. 65-79; Eyben, F., Wollmer, M., Poitschke, T., Schuller, B., Blaschke, C., Farber, B., Nguyem-Thien, N., Emotion on the Road–Necessity, Acceptance and Feasibility of Affective Computing in the car (2010) Advances in Human–Computer Interaction, 2010; Eysenck, M., (2012) Attention and Arousal: Cognition and Performance, , Heidelberg, NY: Springer Science &amp; Business Media; Fink, P., Ørnbøl, E., Hansen, M.S., Søndergaard, L., De Jonge, P., Detecting Mental Disorders in General Hospitals by the SCL-8 Scale (2004) Journal of Psychosomatic Research, 56 (3), pp. 371-375; Gershwin, S.B., The Future of Manufacturing Systems Engineering (2018) International Journal of Production Research, 56 (1-2), pp. 224-237; Gorecky, D., Schmitt, M., Loskyll, M., Zühlke, D., Human-machine-interaction in the Industry 4.0 era (2014) 12th IEEE International Conference on industrial Informatics (INDIN) (2014), , Porto Alegre, 289–294; Grant, A.M., Does Intrinsic Motivation Fuel the Prosocial Fire? Motivational Synergy in Predicting Persistence, Performance, and Productivity (2008) Journal of Applied Psychology, 93 (1), pp. 48-58; Happy, S.L., Routray, A., Automatic Facial Expression Recognition Using Features of Salient Facial Patches (2015) IEEE Transactions on Affective Computing, 6 (1), pp. 1-12; He, M., Guo, B., Chen, H., Chin, A., Tian, J., Yu, Z., WhozDriving: Abnormal Driving Trajectory Detection by Studying Multi-Faceted Driving (2016) BigCom, 2016, pp. 135-144. , LNCS 9784, and; Hu, C., Meng, M.Q., Liu, P.X., Wang, X., (2003) International Conference on Intelligent Robots and Systems, , Visual Gesture Recognition for Human-machine Interface of Robot Teleoperation. Proceedings 2003 IEEE/RSJ (IROS 2003) (Cat. 03CH37453), 2, 1560–1565; Hülse, M., Hild, M., Informatics for Cognitive Robots (2010) Advanced Engineering Informatics, 24 (1), pp. 2-3; Jiao, Y., Peng, Y., Lu, B.L., Chen, X., Chen, S., Wang, C., Recognizing Slow eye Movement for Driver Fatigue Detection with Machine Learning Approach (2014) IJCNN (2014). International Joint Conference on neural networks, , IEEE, July, 4035–4041; Kanfer, R., Ackerman, P., Individual Differences in Work Motivation: Further Explorations of a Trait Framework (2000) Applied Psychology, 49 (3), pp. 470-482; Larovyi, S., Lastra, J.L.M., Haber, R., del Toro, R., From Artificial Cognitive Systems and Open Architectures to Cognitive Manufacturing Systems (2015) 2015 IEEE 13th International Conference on industrial Informatics (INDIN), , IEEE, 1225–1232; Layons, M.L., Akamatsu, S., Kamachi, M., Gyoba, J., Coding Facial Expressions with Gabor Wavelets (1998) Proceedings, third IEEE International Conference on automatic face and gesture Recognition, , Nara, Japan. IEEE Computer Society, April 14–16, 200–205; Lee, C.M., Narayanan, S., Pieraccini, R., (2001), Recognition of Negative Emotion the Human Speech Signals. Workshop on auto. speech recognition and understanding, Dec. 2001; Li, G., Chung, W.Y., Detection of Driver Drowsiness Using Wavelet Analysis of Heart Rate Variability and a Support Vector Machine Classifier (2013) Sensors, 13 (12), pp. 16494-16511; Liu, J., Xiao, Y., Hao, Q., Ghaboosi, K., Bio-inspired Visual Attention in Agile Sensing for Target Detection (2009) International Journal of Sensor Networks, 5 (2), pp. 98-111; Lora, M., (2017) IEEE international high level design validation and test workshop (HLDVT), , Validation of HMI Applications for Industrial Smart Display. 2017, 23–30; Luis, J., Pelaez, V., Lopez, G., Fernandez, M.A., Elvarez, E., Diaz, G., An Automatic Data Mining Method to Detect Abnormal Human Behaviour Using Physical Activity Measurements (2014) Pervasive and Mobile Computing, 15, pp. 228-241; Luneski, A., Bamidis, E.K.P.D., Affective Medicine: A Review of Affective Computing Efforts in Medical Informatics (2010) MIM, 49 (3), pp. 207-218; Montag, C., Panksepp, J., Primal Emotional-Affective Expressive Foundations of Human Facial Expression (2016) Motivation and Emotion, 40 (5), pp. 760-766; Murukesan, L., Murugappan, M., Iqbal, M., Saravanan, K., Machine Learning Approach for Sudden Cardiac Arrest Prediction Based on Optimal Heart Rate Variability Features (2014) Journal of Medical Imaging and Health Informatics, 4 (4), pp. 521-532; Omidyeganeh, M., Javadtalab, A., Shirmohammadi, S., Intelligent Driver Drowsiness Detection Through Fusion of Yawning and eye Closure (2011) 2011 IEEE International Conference on virtual environments human-computer interfaces and measurement systems (VECIMS), , IEEE, 1–6; Onnasch, L., Wickens, C.D., Li, H., Manzey, D., Human Performance Consequences of Stages and Levels of Automation: An Integrated Meta-Analysis (2014) Human Factors: The Journal of the Human Factors and Ergonomics Society, 56 (3), pp. 476-488; Park, K.S., (2014) Human Reliability: Analysis, Prediction, and Prevention of Human Errors, 7. , New York, NY: Elsevier; Pekrun, R., Frese, M., Emotions in Work and Achievement (1992) International Review of Industrial and Organizational Psychology, 7, pp. 153-200; Perera, C., Zaslavsky, A., Christen, P., Georgakopoulos, D., Context Aware Computing for the Internet of Things: A Survey (2014) IEEE Communications Surveys &amp; Tutorials, 16 (1), pp. 414-454; Picard, R.W., Vyzas, E., Healey, J., Toward Machine Emotional Intelligence: Analysis of Affective Physiological State (2001) IEEE Transactions on Pattern Analysis and Machine Intelligence, 23 (10), pp. 1175-1191; Pinto, J.M.O., Melo, P.F., Saldanha, P.L.C., Human-machine Interface (HMI) Scenario Quantification Performed by ATHEANA, a Technique for Human Error Analysis (2015) Safety and Reliability of Complex Engineered Systems, pp. 3111-3118. , Podofillini L., Sudret B., Stojadinovic B., Zio E., Kröger W., (eds), London: CRC Press, and,. edited by; Poria, S., Cambria, E., Bajpai, R., Hussain, A., A Review of Affective Computing: From Unimodal Analysis to Multimodal Fusion (2017) Information Fusion, 37, pp. 98-125; Rautaray, S.S., Agrawal, A., Vision Based Hand Gesture Recognition for Human Computer Interaction: A Survey (2015) Artificial Intelligence Review, 43 (1), pp. 1-54; Romero, D., Stahre, J., Wuest, T., Noran, O., Bernus, P., Fast-Berglund, Å., Gorecky, D., (2016), Towards an Operator 4.0 Typology: A Human-Centric Perspective on the Fourth Industrial Revolution Technologies. CIE46, 1–11; Salmeron-Majadas, S., Arevalillo-Herráez, M., Santos, O.C., Saneiro, M., Cabestrero, R., Quirós, P., Arnau, D., Boticario, J.G., Filtering of Spontaneous and low Intensity Emotions in Educational Contexts (2015) Artificial Intelligence in Education AIED 2015. Lecture Notes in Computer Science, vol 9112., pp. 429-438. , Conati C., Heffernan N., Mitrovic A., Verdejo M., (eds), Cham: Springer, and,. edited by; Schutte, N.S., Malouff, J.M., Thorsteinsson, E.B., Increasing Emotional Intelligence Through Training: Current Status and Future Directions (2013) International Journal of Emotional Education, 5 (1), p. 56; Shen, L., Wang, M., Shen, R., Affective e-Learning: Using “Emotional” Data to Improve Learning in Pervasive Learning Environment (2009) Educational Technology &amp; Society, 12 (2), pp. 176-189; Shruthi, S., Sona, K., Kumar, S.K., Classification on Hand Gesture Recognition and Translation From Real Time Video Using svm-knn (2016) International Journal of Applied Engineering Research, 11 (8), pp. 5414-5418; Strauch, B., (2017) Investigating Human Error: Incidents, Accidents, and Complex Systems, , New York: CRC Press; Strozzi, F., Colicchia, C., Creazza, A., Noè, C., Literature Review on the ‘Smart Factory’ Concept Using Bibliometric Tools (2017) International Journal of Production Research, 55 (22), pp. 6572-6591; Sudhkar, R.S., Anil, M.C., Emotion Detection of Speech Signals with Analysis of Salient Aspect Pitch Contour (2016) Emotion, 3 (10), pp. 138-142; Tao, J., Tan, T., Affective Computing: A Review (2005) Affective Computing and Intelligent Interaction, pp. 981-995. , Picard R.W., (ed), Berlin, Heidelberg: Springer, and,. ACII 2005. Lecture Notes Computer Science, vol 3784. edited by; Wang, Z., Lou, X., Yu, Z., Guo, B., Zhou, X., Enabling non-Invasive and Real-Time Human-Machine Interactions Based on Wireless Sensing and fog Computing (2019) Personal and Ubiquitous Computing, 23 (1), pp. 29-41; Wittenberg, C., (2016) IFAC PapersOnLine, , Human CPS Interaction Requirements and Human Machine Interaction Methods for the Industry 4.0. 49–19. 420–425; Yamamoto, E., Nakamura, S., Shikano, K., Lip Movement Synthesis from Speech Based on Hidden Markov Models (1998) Speech Communication, 26, pp. 105-115; Yin, Y., Stecke, K.E., Li, D., The Evolution of Production Systems from Industry 2.0 Through Industry 4.0 (2018) International Journal of Production Research, 56 (1-2), pp. 848-861; Zhao, Y.Z., Xu, X., Enabling Cognitive Manufacturing Through Automated on-Machine Measurement Planning and Feedback (2010) Advanced Engineering Informatics, 24 (3), pp. 269-284; Zhao, Q., Yuan, X., Tu, D., Lu, J., Eye Moving Behaviors Identification for Gaze Tracking Interaction (2015) Journal on Multimodal User Interfaces, 9 (2), pp. 89-104; Zhou, K., Liu, T., Zhou, L., Industry 4.0: Towards Future Industrial Opportunities and Challenges (2015) The 12th international conference on Fuzzy systems and knowledge Discovery (FSKD); ZiLin, L., Tan, G., Pang, Y., Tang, Y., Qian, K., (2017) SAE Technical Paper, , Driving Fatigue Detection Based on Blink Frequency and Eye Movements (2017-01-1443)., 1–9</t>
  </si>
  <si>
    <t>Taylor and Francis Ltd.</t>
  </si>
  <si>
    <t>00207543</t>
  </si>
  <si>
    <t>IJPRB</t>
  </si>
  <si>
    <t>Int J Prod Res</t>
  </si>
  <si>
    <t>2-s2.0-85068788622</t>
  </si>
  <si>
    <t>A framework for operator– workstation interaction in industry 4.0</t>
  </si>
  <si>
    <t>Hou R., Kong Y.Q., Cai B., Liu H.</t>
  </si>
  <si>
    <t>56347648200;56903555500;57625196200;57212608603;</t>
  </si>
  <si>
    <t>Unstructured big data analysis algorithm and simulation of Internet of Things based on machine learning</t>
  </si>
  <si>
    <t>Neural Computing and Applications</t>
  </si>
  <si>
    <t>10</t>
  </si>
  <si>
    <t>5399</t>
  </si>
  <si>
    <t>5407</t>
  </si>
  <si>
    <t>10.1007/s00521-019-04682-z</t>
  </si>
  <si>
    <t>https://www.scopus.com/inward/record.uri?eid=2-s2.0-85077198458&amp;doi=10.1007%2fs00521-019-04682-z&amp;partnerID=40&amp;md5=7c05bd90f843ea375838c50faa107e70</t>
  </si>
  <si>
    <t>School of Economics and Management, North China Electric Power University, Beijing, 102206, China; School of Energy Power and Mechanical Engineering, North China Electric Power University, Beijing, 102206, China; State Grid Ningxia Electric Power Co., Ltd, Yinchuan, Ningxia  750001, China; State-Owned Assets Supervision and Administration Commission, Yinchuan, Ningxia  750000, China</t>
  </si>
  <si>
    <t>Hou, R., School of Economics and Management, North China Electric Power University, Beijing, 102206, China; Kong, Y.Q., School of Energy Power and Mechanical Engineering, North China Electric Power University, Beijing, 102206, China; Cai, B., State Grid Ningxia Electric Power Co., Ltd, Yinchuan, Ningxia  750001, China; Liu, H., State-Owned Assets Supervision and Administration Commission, Yinchuan, Ningxia  750000, China</t>
  </si>
  <si>
    <t>Big data values data processing to ensure effective value-added data. With the rapid development of the cloud era, the coverage of big data has gradually expanded, and it has received wide attention from all walks of life. In the process of modern social development, big data analysis is gradually applied to the future development planning, risk evaluation and integration of market development status. With the rapid development of many fields of society, the flow of information has gradually expanded, and the Internet has developed more rapidly, prompting the application of big data in various fields. Machine learning is a multidisciplinary study of how computers use data or past experience. With the ability to independently improve specific algorithms, the computer acquires knowledge through learning and achieves the goal of artificial intelligence.Big data and machine learning are the major technological changes in the modern computer world, and these technologies have had a huge impact on all walks of life. At present, with the rapid development of the Internet, mobile communications, social networks and the Internet of Things, these networks generate large amounts of data every day, and data become the most important information resource of today. Some studies have shown that in many cases, the larger the amount of data, the better the data will be for machine learning. On this basis, this paper proposes an online client algorithm based on machine learning algorithm for IoT unstructured big data analysis and uses it in other big data analysis scenarios. Use the online data entered by the customer to implement background data mining, the parallel way to verify its efficiency through machine learning algorithms such as K-nearest neighbor algorithm. © 2020, Springer-Verlag London Ltd., part of Springer Nature.</t>
  </si>
  <si>
    <t>Big data analysis; Internet of Things; Machine learning; Unstructured data</t>
  </si>
  <si>
    <t>Big data; Data handling; Data mining; Engineering education; Internet of things; Learning systems; Machine learning; Mammography; Nearest neighbor search; Pattern recognition; Risk assessment; Data analysis algorithms; Development planning; Information resource; K nearest neighbor algorithm; Large amounts of data; Mobile communications; Technological change; Unstructured data; Learning algorithms</t>
  </si>
  <si>
    <t>Yang, C., Huang, Q., Li, Z., Big Data and cloud computing: innovation opportunities and challenges (2017) Int J Digital Earth, 10 (1), pp. 13-53; Akter, S., Wamba, S.F., Big data and disaster management: a systematic review and agenda for future research (2017) Ann Oper Res, 9, pp. 1-21; Chaurasia, S.S., Rosin, A.F., From Big Data to Big Impact: analytics for teaching and learning in higher education (2017) Ind Commer Train, 49 (7-8), pp. 321-328; Zhang, Y., Qiu, M., Tsai, C.W., Health-CPS: healthcare cyber-physical system assisted by cloud and big data (2017) IEEE Syst J, 11 (1), pp. 88-95; Zhao, L., Chen, Z., Hu, Y., Distributed feature selection for efficient economic big data analysis (2018) IEEE Trans Big Data PP, (99), pp. 1-1; Kim, J.H., A review of cyber-physical system research relevant to the emerging IT trends: industry 4.0, IoT, Big Data, and Cloud Computing (2017) J Ind Integr Manag, 2 (3), p. 1750011; Sharma, P.K., Chen, M.-Y., Park, J.H., A software defined fog node based distributed blockchain cloud architecture for IoT (2017) IEEE Access, (99), pp. 1-1; Pérez, H., Gutiérrez, J.J., Peiró, S., Distributed architecture for developing mixed-criticality systems in multi-core platforms (2016) J Syst Softw, 123, pp. 145-159; Yuan, J., Holtz, C., Smith, T., Autism spectrum disorder detection from semi-structured and unstructured medical data (2017) EURASIP J Bioinf Syst Biol, 1, pp. 3-12; Banowosari, L.Y., Purnamasari, D., Approach for unwrapping the unstructured to structured data the case of classified ads in HTML format (2016) Adv Sci Lett, 22 (8), pp. 1909-1913; Lai, L., Lu, Q., Lin, X., Scalable subgraph enumeration in MapReduce: a cost-oriented approach (2017) VLDB J Int J Very Large Data Bases, 26 (3), pp. 421-446; Cheng, D., Jia, R., Guo, Y., Improving performance of heterogeneous MapReduce clusters with adaptive task tuning (2017) IEEE Trans Parallel Distrib Syst, 28 (3), pp. 774-786; Zhang, Y., Wen, J., The IoT electric business model: using blockchain technology for the internet of things (2017) Peer-to-Peer Netw Appl, 10 (4), pp. 983-994; Schulz, P., Matthe, M., Klessig, H., Latency critical IoT applications in 5G: perspective on the design of radio interface and network architecture (2017) IEEE Commun Mag, 55 (2), pp. 70-78; Mehdi, M., Al-Fuqaha, A., Sorour, S., Deep learning for IoT big data and streaming analytics: a survey (2018) IEEE Commun Surv Tutor, 20 (4), pp. 2923-2960; Zhu, D., Deep learning over IoT big data-based ubiquitous parking guidance robot for parking near destination especially hospital (2018) Pers Ubiquit Comput, 4, pp. 1-8; Liu, C., Yang, C., Zhang, X., External integrity verification for outsourced big data in cloud and IoT: a big picture (2015) Future Gener Comput Syst, 49 (C), pp. 58-67; Zhang, Q., Yang, L.T., Chen, Z., High-order possibilistic c-means algorithms based on tensor decompositions for big data in IoT (2018) Inf Fusion, 39, pp. 72-80; Vijaykumar, S., Saravanakumar, S.G., Balamurugan, M., Unique Sense: smart computing prototype for industry 4.0 revolution with IOT and Bigdata implementation model (2015) Indian J Sci Technol, 8 (35), pp. 1-4; Bi, Z., Embracing internet of things (iot) and big data for industrial informatics (2017) Enterp Inf Syst, 123, pp. 145-159; Yeu, C.W.T., Lim, M.-H., Huang, G.-B., A new machine learning paradigm for terrain reconstruction (2012) IEEE Geosci Remote Sens Lett, 3 (3), pp. 382-386; Hassan, M.K., El-Desouky, A.I., Badawy, M.M., Sarhan, A.M., Elhoseny, M., Manogaran, G., EoT-driven hybrid ambient assisted living framework with naïve Bayes-firefly algorithm (2019) Neural Comput Appl, 31 (5), pp. 1275-1300</t>
  </si>
  <si>
    <t>Springer</t>
  </si>
  <si>
    <t>09410643</t>
  </si>
  <si>
    <t>Neural Comput. Appl.</t>
  </si>
  <si>
    <t>2-s2.0-85077198458</t>
  </si>
  <si>
    <t>Unstructured big data analysis algorithm and simulation of internet of things based on machine learning</t>
  </si>
  <si>
    <t>Du S., Xie C.</t>
  </si>
  <si>
    <t>19638579200;35367498500;</t>
  </si>
  <si>
    <t>Paradoxes of artificial intelligence in consumer markets: Ethical challenges and opportunities</t>
  </si>
  <si>
    <t>Journal of Business Research</t>
  </si>
  <si>
    <t>129</t>
  </si>
  <si>
    <t>961</t>
  </si>
  <si>
    <t>974</t>
  </si>
  <si>
    <t>10.1016/j.jbusres.2020.08.024</t>
  </si>
  <si>
    <t>https://www.scopus.com/inward/record.uri?eid=2-s2.0-85090067284&amp;doi=10.1016%2fj.jbusres.2020.08.024&amp;partnerID=40&amp;md5=b93675ce8e20d21a833d19e4975e04c1</t>
  </si>
  <si>
    <t>Peter T. Paul College of Business and Economics, University of New Hampshire, 10 Garrison Avenue, Durham, NH  03824-3593, United States; Department of Business Administration, Faculty of Business Administration and Social Sciences, Western Norway University of Applied Sciences, Postbox 7030, Bergen, N-5020, Norway</t>
  </si>
  <si>
    <t>Du, S., Peter T. Paul College of Business and Economics, University of New Hampshire, 10 Garrison Avenue, Durham, NH  03824-3593, United States, Department of Business Administration, Faculty of Business Administration and Social Sciences, Western Norway University of Applied Sciences, Postbox 7030, Bergen, N-5020, Norway; Xie, C., Peter T. Paul College of Business and Economics, University of New Hampshire, 10 Garrison Avenue, Durham, NH  03824-3593, United States, Department of Business Administration, Faculty of Business Administration and Social Sciences, Western Norway University of Applied Sciences, Postbox 7030, Bergen, N-5020, Norway</t>
  </si>
  <si>
    <t>Products and services empowered by artificial intelligence (AI) are becoming widespread in today's marketplace. However, consumers have mixed feelings about AI technologies due to the numerous ethical challenges associated the development and deployment of AI. Drawing upon prior research on the moral significance of technology and the emerging literature on AI, we delineate three key dimensions of AI-enabled products (i.e., multi-functionality, interactivity, and AI intelligence stage) that have relevance for ethical implications and adopt a socio-technical approach to provide a multi-layered ethical analysis of AI products at the product-, consumer-, and society-levels. Some key ethical issues identified in the paper include AI biases, ethical design, consumer privacy, cybersecurity, individual autonomy and wellbeing, and unemployment. Companies need to engage in corporate social responsibility (CSR) to shape the future of ethical AI; drawing upon stakeholder theory and institutional theory, we develop a conceptual framework on AI-related CSR, highlighting the product-, company-, and institutional environment-specific factors that influence firms’ socially responsible actions in the domain of AI and discussing the subsequent outcomes for firm, consumers, and the society. We include a section on future research agenda for AI ethics and firm CSR in this important domain. © 2020 Elsevier Inc.</t>
  </si>
  <si>
    <t>Artificial intelligence; Corporate social responsibility; Ethical issues; Interactivity; Moral significance of technology; Multi-functionality</t>
  </si>
  <si>
    <t>Abbott, R., Bogenschneider, B., Should robots pay taxes: Tax policy in the age of automation (2018) Harvard Law &amp; Policy Review, 12, pp. 145-175; Abowd, G.D., Mynatt, E.D., Charting past, present, and future research in ubiquitous computing (2000) ACM Transactions on Computer-Human Interaction, 7 (1), pp. 29-58; Anderson, M., Anderson, S.L., (2011) Machine ethics, , Cambridge University Press; Anderson, C.A., Dill, K.E., Video games and aggressive thoughts, feelings, and behavior in the laboratory and in life (2000) Journal of Personality and Social Psychology, 78 (4), p. 772; André, Q., Carmon, Z., Wertenbroch, K., Crum, A., Frank, D., Goldstein, W., Yang, H., Consumer choice and autonomy in the age of artificial intelligence and big data (2018) Customer Needs and Solutions, 5 (1-2), pp. 28-37; Ark, T.V., (2018), https://www.forbes.com/sites/tomvanderark/2018/09/13/ethics-on-a-deadline/#220a07602e21, Let's talk about AI ethics; We are on a deadline. Available at: (accessed January 19, 2019); Ashworth, L., Free, C., Marketing dataveillance and digital privacy: Using theories of justice to understand consumers’ online privacy concerns (2006) Journal of Business Ethics, 67, pp. 107-123; Baker, T.L., Hunt, T.G., Andrews, M.C., Promoting ethical behavior and organizational citizenship behaviors: The influence of corporate ethical values (2006) Journal of Business Research, 59 (7), pp. 849-857; Barocas, S., Nissenbaum, H., Big data's end run around anonymity and consent (2014) Privacy, big data, and the public good: Framework for engagement, , J. Lane V. Stodden S. Bender H. Nissenbaum Cambridge University Press; Baskentli, S., Sen, S., Du, S., Bhattacharya, C.B., Consumer reactions to corporate social responsibility: The role of CSR domains (2019) Journal of Business Research, 95, pp. 502-513; Becker-Olsen, K.L., Cudmore, B.A., Hill, R.P., The impact of perceived corporate social responsibility on consumer behavior (2006) Journal of Business Research, 59 (1), pp. 46-53; Bhattacharya, C.B., Sen, S., Doing better at doing good: When, why, and how consumers respond to corporate social initiatives (2004) California Management Review, 47 (1), pp. 9-24; Bodenhausen, G.V., Stereotypic biases in social decision making and memory: Testing process models of stereotype use (1988) Journal of Personality and Social Psychology, 55 (5), p. 726; Bonnefon, J.F., Shariff, A., Rahwan, I., The social dilemma of autonomous vehicles (2016) Science, 352 (6293), pp. 1573-1576; Bostrom, N., Superintelligence: Paths, dangers, strategies (2014), Oxford University Press Oxford, UK; Bostrom, N., Yudkowsky, E., The ethics of artificial intelligence (2014) The Cambridge handbook of artificial intelligence, , K. Frankish W.M. Ramsey Cambridge University Press; Burgoon, J.K., Bonito, J.A., Bengtsson, B., Cederberg, C., Lundeberg, M., Allspach, L., Interactivity in human–computer interaction: A study of credibility, understanding, and influence (2000) Computers in Human Behavior, 16 (6), pp. 553-574; Carpenter, J., (2015), https://www.independent.co.uk/life-style/gadgets-and-tech/news/googles-algorithm-shows-prestigious-job-ads-to-men-but-not-to-women-10372166.html, (accessed January 8, 2019); Chakrabarty, S., Bass, A.E., Comparing virtue, consequentialist, and deontological ethics-based corporate social responsibility: Mitigating microfinance risk in institutional voids (2015) Journal of Business Ethics, 126 (3), pp. 487-512; Christman, J., Autonomy in moral and political philosophy (2015) The Stanford encyclopedia of philosophy, , E.N. Zalta Metaphysics Research Lab, Stanford University; Clifford, C., Google, C.E.O., (2018), https://www.cnbc.com/2018/02/01/google-ceo-sundar-pichai-ai-is-more-important-than-fire-electricity.html, A.I is more importance than fire or electricity. Available at: (accessed December 20, 2018); Courtland, R., (2018), https://www.nature.com/articles/d41586-018-05469-3, Bias detectives: The researchers striving to make algorithms fair. Nature. Available on (accessed January 14, 2019); Csikszentmihalyi, M., Beattie, O.V., Life themes: A theoretical and empirical exploration of their origins and effects (1979) Journal of Humanistic Psychology, 19 (1), pp. 45-63; Densham, B., Three cyber-security strategies to mitigate the impact of a data breach (2015) Network Security, 2015 (1), pp. 5-8; DesJardins, J., An introduction to business ethics (2014), p. 10020. , McGraw-Hill/Irwin New York, NY; Donaldson, T., Preston, L.E., The stakeholder theory of the corporation: Concepts, evidence, and implications (1995) Academy of Management Review, 20 (1), pp. 65-91; Du, S., Bhattacharya, C.B., Sen, S., Reaping relational rewards from corporate social responsibility: The role of competitive positioning (2007) International Journal of Research in Marketing, 24 (3), pp. 224-241; Du, S., Bhattacharya, C.B., Sen, S., Corporate social responsibility, multi-faceted job-products, and employee outcomes (2015) Journal of Business Ethics, 131 (2), pp. 319-335; Dworkin, G., Theory and practice of autonomy (1988), Cambridge University Press Cambridge, UK; Etzioni, A., Etzioni, O., Incorporating ethics into artificial intelligence (2017) The Journal of Ethics, 21 (4), pp. 403-418; Ferrell, O.C., Harrison, D.E., Ferrell, L., Hair, J.F., Business ethics, corporate social responsibility, and brand attitudes: An exploratory study (2019) Journal of Business Research, 95, pp. 491-501; Freeman, R.E., Strategic management: A stakeholder approach (1984), Pitman Boston; Freeman, R.E., Harrison, J.S., Wicks, A., Managing for stakeholders: Survival, reputation, and success (2008), Yale University Press New Haven, CT; Friedman, B., Hendry, D.G., Value sensitive design: Shaping technology with moral imagination (2019), MIT Press Cambridge, Massachusetts; (2018), https://www.forbes.com/sites/blakemorgan/2018/07/16/how-amazon-has-re-organized-around-artificial-intelligence-and-machine-learning/#2b786e517361, Forbes. How Amazon has reorganized around artificial intelligence and machine learning. Available at; Gaggioli, A., Riva, G., Peters, D., Calvo, R.A., Positive technology, computing, and design: Shaping a future in which technology promotes psychological well-being (2017) Emotions and affect in human factors and human-computer interaction, pp. 477-502. , Academic Press; Gomez-Uribe, C.A., Hunt, N., The netflix recommender system: Algorithms, business value, and innovation (2016) ACM Transactions on Management Information Systems (TMIS), 6 (4), p. 13; Gwebu, K.L., Wang, J., Wang, L., The role of corporate reputation and crisis response strategies in data breach management (2018) Journal of Management Information Systems, 35 (2), pp. 683-714; Halkos, G., Skouloudis, A., Revisiting the relationship between corporate social responsibility and national culture (2017) Management Decision; Hambrick, D.C., Mason, P.A., Upper echelons: The organization as a reflection of its top managers (1984) Academy of Management Review, 9 (2), pp. 193-206; Hamilton, I.A., (2018), https://www.businessinsider.com/amazon-ai-biased-against-women-no-surprise-sandra-wachter-2018-10, Why it's totally unsurprising that Amazon's recruitment AI was baised against women. Available at (accessed January 10, 2019); Han, J.K., Chung, S.W., Sohn, Y.S., Technology convergence: When do consumers prefer converged products to dedicated products? (2009) Journal of Marketing, 73 (4), pp. 97-108; Handelman, J.M., Arnold, S.J., The role of marketing actions with a social dimension: Appeals to the institutional environment (1999) Journal of Marketing, 63 (3), pp. 33-48; (2020), https://hi.hofstede-insights.com/national-culture, Hofstede-insights.com. National culture. Available at (accessed May 15, 2020); Hogan, S.J., Coote, L.V., Organizational culture, innovation, and performance: A test of Schein's model (2014) Journal of Business Research, 67 (8), pp. 1609-1621; Howard, A., Borenstein, J., The ugly truth about ourselves and our robot creations: The problem of bias and social inequity (2018) Science and Engineering Ethics, 24 (5), pp. 1521-1536; Huang, M.H., Rust, R.T., Artificial intelligence in service (2018) Journal of Service Research, 21 (2), pp. 155-172; Husain, A., The sentient machine: The coming age of artificial intelligence (2018), Scribner; Kang, C., (2016), https://www.nytimes.com/2016/09/21/technology/the-15-point-federal-checklist-for-self-driving-cars.html, The 15-point federal checklist for self-driving cars. The New York Times, September 21. Available at (accessed January 16, 2019); Kaplan, A., Haenlein, M., Siri, Siri, in my hand: Who's the fairest in the land? On the interpretations, illustrations, and implications of artificial intelligence (2019) Business Horizons, 62 (1), pp. 15-25; Kroes, P., Verbeek, P.P., The moral status of technical artefacts (2014), Springer Science &amp; Business Media; Lo, F.Y., Fu, P.H., The interaction of chief executive officer and top management team on organization performance (2016) Journal of Business Research, 69 (6), pp. 2182-2186; Malhotra, N.K., Kim, S.S., Agarwal, J., Internet users’ information privacy concerns: The construct, the scale, and a causal model (2004) Information Systems Research, 15, pp. 336-355; (2018), https://www.marketsandmarkets.com/Market-Reports/artificial-intelligence-market-74851580.html, Markets and Markets. Artificial Intelligence Market by Offering, technology, end-user industry, and geography – Global forecast to 2025. Available at; Martin, K.D., Murphy, P.E., The role of data privacy in marketing (2017) Journal of the Academy of Marketing Science, 45 (2), pp. 135-155; Martin, K.D., Borah, A., Palmatier, R.W., Data privacy: Effects on customer and firm performance (2017) Journal of Marketing, 81 (1), pp. 36-58; (2017), McKinsey. Artificial intelligence: the next digital frontier? Discussion paper by Bughing J., Hazan E., Ramaswamy S., Chui M., Allas T., Dahlström P., Henke N., Trench M; Mick, D.G., Fournier, S., Paradoxes of technology: Consumer cognizance, emotions, and coping strategies (1998) Journal of Consumer Research, 25 (2), pp. 123-143; Mitchell, R.K., Agle, B.R., Wood, D.J., Toward a theory of stakeholder identification and salience: Defining the principle of who and what really counts (1997) Academy of Management Review, 22 (4), pp. 853-886; Morrow, D.R., When technologies make good people do bad things: Another argument against the value-neutrality of technologies (2014) Science and Engineering Ethics, 20 (2), pp. 329-343; Noble, C.H., Kumar, M., Using product design strategically to create deeper consumer connections (2008) Business Horizons, 51 (5), pp. 441-450; Nowlis, S.M., Simonson, I., The effect of new product features on brand choice (1996) Journal of Marketing Research, pp. 36-46; (2018), https://www.pwc.com/hu/hu/kiadvanyok/assets/pdf/impact_of_automation_on_jobs.pdf, PWC. Will robots really steal our jobs? An international analysis of the potential long term impact of automation. Available at (accessed January 20, 2019); Rice, R.E., Task analyzability, use of new media, and effectiveness: A multi-site exploration of media richness (1992) Organization Science, 3 (4), pp. 475-500; Rijsdijk, S.A., Hultink, E.J., Diamantopoulos, A., Product intelligence: Its conceptualization, measurement and impact on consumer satisfaction (2007) Journal of the Academy of Marketing Science, 35 (3), pp. 340-356; Rijsdijk, S.A., Hultink, E.J., How today's consumers perceive tomorrow's smart products (2009) Journal of Product Innovation Management, 26 (1), pp. 24-42; Riva, G., Banos, R.M., Botella, C., Wiederhold, B.K., Gaggioli, A., Positive technology: Using interactive technologies to promote positive functioning (2012) Cyberpsychology, Behavior, and Social Networking, 15 (2), pp. 69-77; Roberts, J.A., David, M.E., My life has become a major distraction from my cell phone: Partner phubbing and relationship satisfaction among romantic partners (2016) Computers in Human Behavior, 54, pp. 134-141; Russell, S., Norvig, P., (2016), Artificial intelligence: A modern approach (Global Edition). Englewood Cliffs, NJ: Pearson Higher Ed; Ryan, R.M., Deci, E.L., Self-determination theory and the facilitation of intrinsic motivation, social development, and well-being (2000) American Psychologist, 55 (1), p. 68; Samaha, M., Hawi, N.S., Relationships among smartphone addiction, stress, academic performance, and satisfaction with life (2016) Computers in Human Behavior, 57, pp. 321-325; Schein, E.H., Organizational culture and leadership (1992), Jossey-Bass Inc San Francisco; Scott, W.R., The adolescence of institutional theory (1987) Administrative Science Quarterly, pp. 493-511; Sela, A., Berger, J., How attribute quantity influences option choice (2012) Journal of Marketing Research, 49 (6), pp. 942-953; Seligman, M.E.P., Flourish: A visionary new understanding of happiness and well-being (2011), Free Press New York; Smith, J.H., Milberg, S.J., Burke, J.B., Information privacy: Measuring individuals’ concerns about organizational practices (1996) MIS Quarterly, pp. 167-196; Strandburg, K., Monitoring, datafication and consent: Legal approaches to privacy in the big data context (2014) Privacy, big data, and the public good: Framework for engagement, , J. Lane V. Stodden S. Bender H. Nissenbaum Cambridge University Press; Suchman, M.C., Managing legitimacy: Strategic and institutional approaches (1995) Academy of Management Review, 20 (3), pp. 571-610; Tegmark, M., Life 3.0: Being human in the age of artificial intelligence (2017) Knopf; Thompson, D.V., Hamilton, R.W., Rust, R.T., Feature fatigue: When product capabilities become too much of a good thing (2005) Journal of Marketing RESEARCH, 42 (4), pp. 431-442; (2018), http://time.com/4278790/smart-people-ai/, Time. What seven of the world's smartest people think about artificial intelligence. Available at; Udo, G., Bagchi, K., Kirs, P., Analysis of the growth of security breaches: A multi-growth model approach (2018) Issues in Information Systems, 19 (4), pp. 176-186; Vail, M.W., Earp, J.B., Antón, A.I., An empirical study of consumer perceptions and comprehension of web site privacy policies (2008) IEEE Transactions on Engineering Management, 55, pp. 442-454; van den Eijnden, R.J., Lemmens, J.S., Valkenburg, P.M., The social media disorder scale (2016) Computers in Human Behavior, 61, pp. 478-487; van de Poel, I., Kroes, P., Can technology embody values? (2014) The moral status of technical artefacts, pp. 103-124. , Springer; Vargo, S.L., Lusch, R.F., Service-dominant logic 2025 (2017) International Journal of Research in Marketing, 34 (1), pp. 46-67; Vargo, S.L., Lusch, R.F., Service-dominant logic: Continuing the evolution (2008) Journal of the Academy of Marketing Science, 36 (1), pp. 1-10; Vargo, S.L., Lusch, R.F., Evolving to a new dominant logic for marketing (2004) Journal of Marketing, 68 (1), pp. 1-17; Verbeek, P.P., Some misunderstandings about the moral significance of technology (2014) The moral status of technical artefacts, pp. 75-88. , Springer; Verbeek, P.P., Moralizing technology: Understanding and designing the morality of things (2011), University of Chicago Press; Wallach, W., Allen, C., Moral machines: Teaching robots right from wrong (2008), Oxford University Press; (2020), https://www.whitehouse.gov/wp-content/uploads/2020/01/Draft-OMB-Memo-on-Regulation-of-AI-1-7-19.pdf, Whitehouse.gov. Guidance for regulation of artificial intelligence applications. Available at (accessed May 10, 2020); Wirtz, J., Lwin, M.O., Regulatory focus theory, trust, and privacy concern (2009) Journal of Service Research, 20, pp. 1-18; Xie, C., Bagozzi, R.P., Grønhaug, K., The impact of corporate social responsibility on consumer brand advocacy: The role of moral emotions, attitudes, and individual differences (2019) Journal of Business Research, 95, pp. 514-530; Zou, J., Schiebinger, L., (2018), https://www.nature.com/articles/d41586-018-05707-8, AI can be sexist and racist—it's time to make it fair. Available at: (accessed January 18, 2019)</t>
  </si>
  <si>
    <t>Elsevier Inc.</t>
  </si>
  <si>
    <t>01482963</t>
  </si>
  <si>
    <t>JBRED</t>
  </si>
  <si>
    <t>J. Bus. Res.</t>
  </si>
  <si>
    <t>2-s2.0-85090067284</t>
  </si>
  <si>
    <t>Paradoxes of artificial intelligence in consumer markets: ethical challenges and opportunities</t>
  </si>
  <si>
    <t>Geis J.R., Brady A., Wu C.C., Spencer J., Ranschaert E., Jaremko J.L., Langer S.G., Kitts A.B., Birch J., Shields W.F., van den Hoven van Genderen R., Kotter E., Gichoya J.W., Cook T.S., Morgan M.B., Tang A., Safdar N.M., Kohli M.</t>
  </si>
  <si>
    <t>6602850280;7103045676;56134918600;56419275700;57191017885;6603936098;7202164685;56509433700;57096215500;57196800122;56491128800;6701842995;55805424500;36144992200;8451657200;35189530600;8703030000;24338219900;</t>
  </si>
  <si>
    <t>Ethics of artificial intelligence in radiology: summary of the joint European and North American multisociety statement</t>
  </si>
  <si>
    <t>Insights into Imaging</t>
  </si>
  <si>
    <t>101</t>
  </si>
  <si>
    <t>10.1186/s13244-019-0785-8</t>
  </si>
  <si>
    <t>https://www.scopus.com/inward/record.uri?eid=2-s2.0-85073982110&amp;doi=10.1186%2fs13244-019-0785-8&amp;partnerID=40&amp;md5=00706e751ac4522dc5f85b47624361f8</t>
  </si>
  <si>
    <t>American College of Radiology Data Science Institute, Reston, VA, United States; Department of Radiology, National Jewish Health, Denver, CO, United States; Mercy University Hospital, Cork, Ireland; University of Texas MD Anderson Cancer Center, Houston, TX, United States; Department of Linguistics and Philosophy, MIT, Cambridge, MA, United States; Netherlands Cancer Institute, Amsterdam, Netherlands; Department of Radiology and Diagnostic Imaging, University of Alberta, Edmonton, AB, Canada; Radiology Department-Mayo Clinic, Rochester, MN, United States; Lahey Hospital &amp; Medical Center, Burlington, MA, United States; Pelvic Pain Support Network, Poole, United Kingdom; General Counsel, American College of Radiology, Reston, VA, United States; Center of Law and Internet, Vrije Universiteit Amsterdam, Amsterdam, Netherlands; Department of Radiology, University Medical Center, Freiburg, Germany; Department of Interventional Radiology, Oregon Health &amp; Science University, Portland, OR, United States; Department of Radiology and Imaging Sciences, Emory University, Atlanta, GA, United States; Department of Radiology, University of Pennsylvania, Philadelphia, PA, United States; Department of Radiology and Imaging Sciences, University of Utah, Salt Lake City, UT, United States; Centre de Recherche du Centre Hospitalier de L’Université de MontréalQC, Canada; Department of Radiology and Biomedical Imaging, UCSF, San Francisco, CA, United States</t>
  </si>
  <si>
    <t>Geis, J.R., American College of Radiology Data Science Institute, Reston, VA, United States, Department of Radiology, National Jewish Health, Denver, CO, United States; Brady, A., Mercy University Hospital, Cork, Ireland; Wu, C.C., University of Texas MD Anderson Cancer Center, Houston, TX, United States; Spencer, J., Department of Linguistics and Philosophy, MIT, Cambridge, MA, United States; Ranschaert, E., Netherlands Cancer Institute, Amsterdam, Netherlands; Jaremko, J.L., Department of Radiology and Diagnostic Imaging, University of Alberta, Edmonton, AB, Canada; Langer, S.G., Radiology Department-Mayo Clinic, Rochester, MN, United States; Kitts, A.B., Lahey Hospital &amp; Medical Center, Burlington, MA, United States; Birch, J., Pelvic Pain Support Network, Poole, United Kingdom; Shields, W.F., General Counsel, American College of Radiology, Reston, VA, United States; van den Hoven van Genderen, R., Center of Law and Internet, Vrije Universiteit Amsterdam, Amsterdam, Netherlands; Kotter, E., Department of Radiology, University Medical Center, Freiburg, Germany; Gichoya, J.W., Department of Interventional Radiology, Oregon Health &amp; Science University, Portland, OR, United States, Department of Radiology and Imaging Sciences, Emory University, Atlanta, GA, United States; Cook, T.S., Department of Radiology, University of Pennsylvania, Philadelphia, PA, United States; Morgan, M.B., Department of Radiology and Imaging Sciences, University of Utah, Salt Lake City, UT, United States; Tang, A., Centre de Recherche du Centre Hospitalier de L’Université de MontréalQC, Canada; Safdar, N.M., Department of Radiology and Imaging Sciences, Emory University, Atlanta, GA, United States; Kohli, M., Department of Radiology and Biomedical Imaging, UCSF, San Francisco, CA, United States</t>
  </si>
  <si>
    <t>This is a condensed summary of an international multisociety statement on ethics of artificial intelligence (AI) in radiology produced by the ACR, European Society of Radiology, RSNA, Society for Imaging Informatics in Medicine, European Society of Medical Imaging Informatics, Canadian Association of Radiologists, and American Association of Physicists in Medicine. AI has great potential to increase efficiency and accuracy throughout radiology, but also carries inherent pitfalls and biases. Widespread use of AI-based intelligent and autonomous systems in radiology can increase the risk of systemic errors with high consequence, and highlights complex ethical and societal issues. Currently, there is little experience using AI for patient care in diverse clinical settings. Extensive research is needed to understand how to best deploy AI in clinical practice. This statement highlights our consensus that ethical use of AI in radiology should promote well-being, minimize harm, and ensure that the benefits and harms are distributed among stakeholders in a just manner. We believe AI should respect human rights and freedoms, including dignity and privacy. It should be designed for maximum transparency and dependability. Ultimate responsibility and accountability for AI remains with its human designers and operators for the foreseeable future. The radiology community should start now to develop codes of ethics and practice for AI which promote any use that helps patients and the common good and should block use of radiology data and algorithms for financial gain without those two attributes. © 2019, The Author(s).</t>
  </si>
  <si>
    <t>Artificial Intelligence; Data; Ethics; Machine Learning; Radiology</t>
  </si>
  <si>
    <t>Kohli, M., Prevedello, L.M., Filice, R.W., Geis, J.R., Implementing Machine Learning in Radiology Practice and Research (2017) American Journal of Roentgenology, 208 (4), pp. 754-760; Erickson, B.J., Korfiatis, P., Akkus, Z., Kline, T.L., Machine Learning for Medical Imaging (2017) RadioGraphics, 37 (2), pp. 505-515; Mittelstadt, B.D., Floridi, L., The Ethics of Big Data: Current and Foreseeable Issues in Biomedical Contexts (2015) Science and Engineering Ethics, 22 (2), pp. 303-341; IEEE Global Initiative Ethically Aligned Design, Version 2 (EADv2), , https://standards.ieee.org/content/dam/ieeestandards/standards/web/documents/other/ead_v2.pdf, Institute of Electrical and Electronics Engineers. Available via, Accessed 23 Aug 2019; O’Neil, C., (2016) Weapons of Math Destruction: How Big Data Increases Inequality and Threatens Democracy, , 1, Crown, New York; Gilpin, L.H., Bau, D., Yuan, B.Z., Bajwa, A., Specter, M., Kagal, L., (2018) Explaining explanations: An overview of interpretability of machine learning, , Cs Stat; Schönberger, D., Artificial intelligence in healthcare: a critical analysis of the legal and ethical implications (2019) Int J Law Inf Technol, 27, pp. 171-203. , https://doi.org/10.1093/ijlit/eaz004; (2019) Defense Advanced Research Projects Agency. Explainable Artificial Intelligence, , https://www.darpa.mil/program/explainable-artificial-intelligence, Available via, Accessed 17 Feb; (2019), https://ai.google/education/responsible-ai-practices/, Google AI. Available via, Accessed 17 May; Floridi, L., Taddeo, M., What is data ethics? (2016) Philosophical Transactions of the Royal Society A: Mathematical, Physical and Engineering Sciences, 374 (2083), p. 20160360. , https://doi.org/10.1098/rsta.2016.0360; Li, Y.B., James, L., McKibben, J., Trust between physicians and patients in the e-health era (2016) Technology in Society, 46, pp. 28-34; Mirsky, Y., Mahler, T., Shelef, I., Elovici, Y., (2019) CT-GAN: Malicious Tampering of 3D Medical Imagery Using Deep Learning, p. 2019. , https://arxiv.org/abs/1901.03597, Available via, Accessed 23 Aug 2019; Chuquicusma, M.J.M., Hussein, S., Burt, J., Bagci, U., (2017) How to Fool Radiologists with Generative Adverssarial Networks? A Visual Turing Test for Lung Cancer Diagnosis, , Cs Q-Bio; Finlayson, S.G., Chung, H.W., Kohane, I.S., Beam, A.L., (2018) Adversarial attacks against medical deep learning systems, , Cs Stat; Kim, H., Jung, D.C., Choi, B.W., Exploiting the Vulnerability of Deep Learning-Based Artificial Intelligence Models in Medical Imaging: Adversarial Attacks (2019) Journal of the Korean Society of Radiology, 80 (2), p. 259; Barwell, B.-E., (2018) Legal Liability Options for Artificial Intelligence | Lexology, , https://www.lexology.com/library/detail.aspx?g=6c014d78-7f4c-4595-a977-ddecaa3a12e4, Available via, Accessed 8 July 2019; Kingston, J., (2018) Artificial Intelligence and Legal Liability</t>
  </si>
  <si>
    <t>Springer Verlag</t>
  </si>
  <si>
    <t>18694101</t>
  </si>
  <si>
    <t>Insights Imaging</t>
  </si>
  <si>
    <t>2-s2.0-85073982110</t>
  </si>
  <si>
    <t>Ethics of artificial intelligence in radiology: summary of the joint european and north american multisociety statement</t>
  </si>
  <si>
    <t>Sahdra B.K., Ciarrochi J., Parker P., Scrucca L.</t>
  </si>
  <si>
    <t>6505970010;6603787754;23470098500;6507506550;</t>
  </si>
  <si>
    <t>Using Genetic Algorithms in a Large Nationally Representative American Sample to Abbreviate the Multidimensional Experiential Avoidance Questionnaire</t>
  </si>
  <si>
    <t>Frontiers in Psychology</t>
  </si>
  <si>
    <t>189</t>
  </si>
  <si>
    <t>10.3389/fpsyg.2016.00189</t>
  </si>
  <si>
    <t>https://www.scopus.com/inward/record.uri?eid=2-s2.0-85026840462&amp;doi=10.3389%2ffpsyg.2016.00189&amp;partnerID=40&amp;md5=c8c613e6604020ac61a348f83f12365d</t>
  </si>
  <si>
    <t>Institute for Positive Psychology and Education, Australian Catholic University StrathfieldNSW, Australia; Department of Economics, University of Perugia Perugia, Italy</t>
  </si>
  <si>
    <t>Sahdra, B.K., Institute for Positive Psychology and Education, Australian Catholic University StrathfieldNSW, Australia; Ciarrochi, J., Institute for Positive Psychology and Education, Australian Catholic University StrathfieldNSW, Australia; Parker, P., Institute for Positive Psychology and Education, Australian Catholic University StrathfieldNSW, Australia; Scrucca, L., Department of Economics, University of Perugia Perugia, Italy</t>
  </si>
  <si>
    <t>Genetic algorithms (GAs) are robust machine learning approaches for abbreviating a large set of variables into a shorter subset that maximally captures the variance in the original data. We employed a GA-based method to shorten the 62-item Multidimensional Experiential Avoidance Questionnaire (MEAQ) by half without much loss of information. Experiential avoidance or the tendency to avoid negative internal experiences is a key target of many psychological interventions and its measurement is an important issue in psychology. The 62-item MEAQ has been shown to have good psychometric properties, but its length may limit its use in most practical settings. The recently validated 15-item brief version (BEAQ) is one short alternative, but it reduces the multidimensional scale to a single dimension. We sought to shorten the 62-item MEAQ by half while maintaining fidelity to its six dimensions. In a large nationally representative sample of Americans (N = 7884; 52% female; Age: M = 47.9, SD = 16), we employed a GA method of scale abbreviation implemented in the R package, GAabbreviate. The GA-derived short form, MEAQ-30 with five items per subscale, performed virtually identically to the original 62-item MEAQ in terms of inter-subscales correlations, factor structure, factor correlations, and zero-order correlations and unique latent associations of the six subscales with other measures of mental distress, wellbeing and personal strivings. The two measures also showed similar distributions of means across American census regions. The MEAQ-30 provides a multidimensional assessment of experiential avoidance whilst minimizing participant burden. The study adds to the emerging literature on the utility of machine learning methods in psychometrics. © Copyright © 2016 Sahdra, Ciarrochi, Parker and Scrucca.</t>
  </si>
  <si>
    <t>abbreviation; experiential avoidance; genetic algorithms; measurement; psychometrics</t>
  </si>
  <si>
    <t>Abramowitz, J.S., Tolin, D.F., Street, G.P., Paradoxical effects of thought suppression: a meta-analysis of controlled studies (2001) Clin. Psychol. Rev, 21, pp. 683-703. , 11434226; Bagby, R.M., Parker, J.D., Taylor, G.J., The twenty-item toronto alexithymia scale—I. Item selection and cross-validation of the factor structure (1994) J. Psychosom. Res, 38, pp. 23-32. , 8126686; Bond, F.W., Hayes, S.C., Baer, R.A., Carpenter, K.M., Guenole, N., Orcutt, H.K., Preliminary psychometric properties of the Acceptance and Action Questionnaire–II: a revised measure of psychological inflexibility and experiential avoidance (2011) Behav. Ther, 42, pp. 676-688. , 22035996; Chawla, N., Ostafin, B., Experiential avoidance as a functional dimensional approach to psychopathology: an empirical review (2007) J. Clin. Psychol, 63, pp. 871-890. , 17674402; Ciarrochi, J., Sahdra, B., Marshall, S., Parker, P., Horwath, C., Psychological flexibility is not a single dimension: the distinctive flexibility profiles of underweight, overweight, and obese people (2014) J. Contextual Behav. Sci, 3, pp. 236-247. , 25485230; Cook, C., Heath, F., Thompson, R.L., A meta-analysis of response rates in web-or internet-based surveys (2000) Educ. Psychol. Meas, 60, pp. 821-836; Dempster, A.P., Laird, N.M., Rubin, D.B., Maximum likelihood from incomplete data via the EM algorithm (1977) J. R. Stat. Soc. B, 39, pp. 1-38; Diener, E., Emmons, R.A., Larsen, R.J., Griffin, S., The satisfaction with life scale (1985) J. Pers. Assess, 49, pp. 71-75. , 16367493; Eisenbarth, H., Lilienfeld, S.O., Yarkoni, T., Using a genetic algorithm to abbreviate the psychopathic personality inventory–revised (PPI-R) (2015) Psychol. Assess, 27, pp. 194-202. , 25436663; Emmons, R.A., McAdams, D.P., Personal strivings and motive dispositions: exploring the links (1991) Pers. Soc. Psychol. Bull, 17, pp. 648-654; Enders, C.K., (2010) Applied Missing Data Analysis, , New York, NY, Guilford Press; Gámez, W., Chmielewski, M., Kotov, R., Ruggero, C., Suzuki, N., Watson, D., The brief experiential avoidance questionnaire: development and initial validation (2014) Psychol. Assess, 26, pp. 35-45. , 24059474; Gámez, W., Chmielewski, M., Kotov, R., Ruggero, C., Watson, D., Development of a measure of experiential avoidance: the multidimensional experiential avoidance questionnaire (2011) Psychol. Assess, 23, pp. 692-713. , 21534697; Goldberg, D., (1978) Manual of the General Health Questionnaire, , Windsor, ON, National Foundation of Education Research; Goldberg, D., McDowell, I., Newell, C., (1996) Measuring Health: A Guide to Rating Scales and Questionnaires, , New York, NY, Oxford University Press; Graham, J.W., Taylor, B.J., Olchowski, A.E., Cumsille, P.E., Planned missing data designs in psychological research (2006) Psychol. Methods, 11, p. 323. , 17154750; Hayes, S.C., Strosahl, K.D., Wilson, K.G., (2012) Acceptance and Commitment Therapy: The Process and Practice of Mindful Change, 2nd Edn, , New York, NY, Guilford Press; Holland, J., (1975) Adaption in Natural and Artificial Systems, , Ann Arbor, MI, The University of Michigan Press; Honaker, J., King, G., Blackwell, M., Amelia II: a program for missing data (2011) J. Stat. Softw, 45, pp. 1-47; James, G., Witten, D., Hastie, T., (2014) An Introduction to Statistical Learning: With Applications in R, , New York, NY, Springer; Kashdan, T.B., Goodman, F.R., Machell, K.A., Kleiman, E.M., Monfort, S.S., Ciarrochi, J., A contextual approach to experiential avoidance and social anxiety: evidence from an experimental interaction and daily interactions of people with social anxiety disorder (2014) Emotion, 14, pp. 769-781. , 24749634; Keyes, C.L., Mental health in adolescence: is America's youth flourishing? (2006) Am. J. Orthopsychiatry, 76, pp. 395-402. , 16981819; King, G., Honaker, J., Joseph, A., Scheve, K., Analyzing incomplete political science data: An alternative algorithm for multiple imputation (2001) Am. Polit. Sci. Rev, 95, pp. 49-69; Landstra, J., Ciarrochi, J., Deane, F.P., Hillman, R.J., Identifying and describing feelings and psychological flexibility predict mental health in men with HIV (2013) Br. J. Health Psychol, 18, pp. 844-857. , 23368629; Linehan, M., (1993) Cognitive-Behavioral Treatment of Borderline Personality Disorder, , New York, NY, Guilford Press; Little, R.J., Rubin, D.B., (1987) Statistical Analysis with Missing Data, , New York, NY, Wiley; Marsh, H.W., Ellis, L.A., Parada, R.H., Richards, G., Heubeck, B.G., A short version of the Self Description Questionnaire II: operationalizing criteria for short-form evaluation with new applications of confirmatory factor analyses (2005) Psychol. Assess, 17, p. 81. , 15769230; Mccurry, S.M., Hayes, S.C., Strosahl, K., Wilson, K., Bissett, R., Pistorello, J., Measuring experiential avoidance: a preliminary test of a working model (2004) Psychol. Rec, 54, pp. 553-578; Pornprasertmanit, S., Miller, P., Schoemann, A., Rosseel, Y., (2013) semTools: Useful Tools for Structural Equation Modeling (Version 0.4-0), , http://CRAN.R-project.org/package=semTools, Available online at; (2015) R: A Language And Environment For Statistical Computing (Version 3.2.0), , http://www.R-project.org/, Vienna, R Foundation for Statistical Computing, :, Available online at; Rosseel, Y., lavaan: an R package for structural equation modeling (2012) J. Stat. Softw, 48, pp. 1-36; Rubin, D.B., (1987) Multiple Imputation for Nonresponse in Surveys, , New York, NY, Wiley and Sons; Sandy, C.J., Gosling, S.D., Koelkebeck, T., Psychometric comparison of automated versus rational methods of scale abbreviation (2014) J. Individ. Diff, 35, pp. 221-235; Schafer, J., (1997) Analysis of Incomplete Multivariate Data, , New York, NY, Chapman Hall; Scrucca, L., GA: a package for genetic algorithms in R (2013) J. Stat. Softw, 53, pp. 1-37; Scrucca, L., Sahdra, B., (2015) GAabbreviate: Abbreviating Questionnaires (or Other Measures) using Genetic Algorithms (Version 1.0): R package, , http://CRAN.R-project.org/package=GAabbreviate, Available onlie at; Sheldon, K.M., Kasser, T., Getting older, getting better? Personal strivings and psychological maturity across the life span (2001) Dev Psychol, 37, p. 491. , 11444485; Smith, G.T., McCarthy, D.M., Anderson, K.G., On the sins of short-form development (2000) Psychol. Assess, 12, p. 102. , 10752369; Warden, P., (2011) Data Source Handbook, , Sabestopol, CA, O'Reilly Media, Inc; Wegner, D.M., (1989) White Bears and Other Unwanted Thoughts: Suppression, Obsession, and the Psychology of Mental Control, , New York, NY, Penguin Press; Wegner, D.M., Erber, R., The hyperaccessibility of suppressed thoughts (1992) J. Pers. Soc. Psychol, 63, p. 903; Whitley, D., A genetic algorithm tutorial (1994) Stat. Comput, 4, pp. 65-85; Yarkoni, T., The abbreviation of personality, or how to measure 200 personality scales with 200 items (2010) J. Res. Pers, 44, pp. 180-198. , 20419061</t>
  </si>
  <si>
    <t>16641078</t>
  </si>
  <si>
    <t>Front. Psychol.</t>
  </si>
  <si>
    <t>2-s2.0-85026840462</t>
  </si>
  <si>
    <t>Using genetic algorithms in a large nationally representative american sample to abbreviate the multidimensional experiential avoidance questionnaire</t>
  </si>
  <si>
    <t>Kulikowski C.A.</t>
  </si>
  <si>
    <t>7005149346;</t>
  </si>
  <si>
    <t>Beginnings of Artificial Intelligence in Medicine (AIM): Computational Artifice Assisting Scientific Inquiry and Clinical Art - with Reflections on Present AIM Challenges</t>
  </si>
  <si>
    <t>Yearbook of medical informatics</t>
  </si>
  <si>
    <t>28</t>
  </si>
  <si>
    <t>249</t>
  </si>
  <si>
    <t>256</t>
  </si>
  <si>
    <t>10.1055/s-0039-1677895</t>
  </si>
  <si>
    <t>https://www.scopus.com/inward/record.uri?eid=2-s2.0-85068570063&amp;doi=10.1055%2fs-0039-1677895&amp;partnerID=40&amp;md5=bfe63e1ad3648a500f445b627313b81a</t>
  </si>
  <si>
    <t>Department of Computer Science, Rutgers University, United States</t>
  </si>
  <si>
    <t>Kulikowski, C.A., Department of Computer Science, Rutgers University, United States</t>
  </si>
  <si>
    <t>BACKGROUND: The rise of biomedical expert heuristic knowledge-based approaches for computational modeling and problem solving, for scientific inquiry and medical decision-making, and for consultation in the 1970's led to a major change in the paradigm that affected all of artificial intelligence (AI) research. Since then, AI has evolved, surviving several "winters", as it has oscillated between relying on expensive and hard-to-validate knowledge-based approaches, and the alternative of using machine learning methods for inferring classification rules from labelled datasets. In the past couple of decades, we are seeing a gradual but progressive intertwining of the two. OBJECTIVES: To give an overview of early directions in AI in medicine and threads of some subsequent developments motivated by the very different goals of scientific inquiry for biomedical research, and for computational modeling of clinical reasoning and more general healthcare problem solving from the perspective of today's "AI-Deep Learning Boom". To show how, from the beginning, AI was central to Biomedical and Health Informatics (BMHI), as a field investigating how to understand intelligent thinking in dealing professionally with the practice for healthcare, developing mathematical models, technology, and software tools to aid human experts in biomedicine, despite many previous bouts of "exuberant optimism" about the methodologies deployed. METHODS: An overview and commentary on some of the early research and publications in AI in biomedicine, emphasizing the different approaches to the modeling of problems involved in clinical practice in contrast to those of biomedical science. A concluding reflection of a few current challenges and pitfalls of AI in some biomedical applications. CONCLUSION: While biomedical knowledge-based systems played a critical role in influencing AI in its early days, 50 years later they have taken a back seat behind "Deep Learning" which promises to discover knowledge structures for inference and prediction, both in science and for clinical decision-support. Early work on AI for medical consultation turned out to be more useful for explanation and teaching than for clinical practice, as had been originally intended. Today, despite the many reported successes of deep learning, fundamental scientific challenges arise in drawing on models of brain science, cognition, and language, if AI is to augment and complement rather than replace human judgment and expertise in biomedicine while also incorporating these advances for translational medicine. Understanding clinical phenotypes and how they relate to precision and personalization of care requires not only scientific inquiry, but also humanistic models of treatment that respond to patient and practitioner narrative exchanges, since it is the stories and insights of human experts which encourage what Norbert Weiner termed the ethical "human use of human beings", so central to adherence to the Hippocratic Oath. Georg Thieme Verlag KG Stuttgart.</t>
  </si>
  <si>
    <t>artificial intelligence; expert system; history; medical informatics; Artificial Intelligence; Expert Systems; History, 20th Century; Medical Informatics</t>
  </si>
  <si>
    <t>NLM (Medline)</t>
  </si>
  <si>
    <t>23640502</t>
  </si>
  <si>
    <t>Yearb Med Inform</t>
  </si>
  <si>
    <t>2-s2.0-85068570063</t>
  </si>
  <si>
    <t>Beginnings of artificial intelligence in medicine (aim): computational artifice assisting scientific inquiry and clinical art - with reflections on present aim challenges</t>
  </si>
  <si>
    <t>Fadhil A., Wang Y., Reiterer H.</t>
  </si>
  <si>
    <t>57191505029;57191169466;23398200600;</t>
  </si>
  <si>
    <t>Assistive Conversational Agent for Health Coaching: A Validation Study</t>
  </si>
  <si>
    <t>Methods of Information in Medicine</t>
  </si>
  <si>
    <t>9</t>
  </si>
  <si>
    <t>10.1055/s-0039-1688757</t>
  </si>
  <si>
    <t>https://www.scopus.com/inward/record.uri?eid=2-s2.0-85068611002&amp;doi=10.1055%2fs-0039-1688757&amp;partnerID=40&amp;md5=f6a41cca76217e3f8f1a48aa5aaf853d</t>
  </si>
  <si>
    <t>University of Trento, Via Calepina, 14, Trento TN, 38122, Italy; HCI Group, University of Konstanz, Konstanz, Germany</t>
  </si>
  <si>
    <t>Fadhil, A., University of Trento, Via Calepina, 14, Trento TN, 38122, Italy; Wang, Y., HCI Group, University of Konstanz, Konstanz, Germany; Reiterer, H., HCI Group, University of Konstanz, Konstanz, Germany</t>
  </si>
  <si>
    <t>Objective Poor lifestyle represents a health risk factor and is the leading cause of morbidity and chronic conditions. The impact of poor lifestyle can be significantly altered by individual's behavioral modification. Although there are abundant lifestyle promotion applications and tools, they are still limited in providing tailored social support that goes beyond their predefined functionalities. In addition, virtual coaching approaches are still unable to handle user emotional needs. Our approach presents a human-virtual agent mediated system that leverages the conversational agent to handle menial caregiver's works by engaging users (e.g., patients) in a conversation with the conversational agent. The dialog used a natural conversation to interact with users, delivered by the conversational agent and handled with a finite state machine automaton. Our research differs from existing approaches that replace a human coach with a fully automated assistant on user support. The methodology allows users to interact with the technology and access health-related interventions. To assist physicians, the conversational agent gives weighting to user's adherence, based on prior defined conditions. Materials and Methods This article describes the design and validation of CoachAI, a conversational agent-assisted health coaching system to support health intervention delivery to individuals or groups. CoachAI instantiates a text-based health care conversational agent system that bridges the remote human coach and the users. Results We will discuss our approach and highlight the outcome of a 1-month validation study on physical activity, healthy diet, and stress coping. The study validates technology aspects of our human-virtual agent mediated health coaching system. We present the intervention settings and findings from the study. In addition, we present some user-experience validation results gathered during or after the experimentation. Conclusions The study provided a set of dimensions when building a human-conversational agent powered health intervention tool. The results provided interesting insights when using human-conversational agent mediated approach in health coaching systems. The findings revealed that users who were highly engaged were also more adherent to conversational-agent activities. This research made key contributions to the literature on techniques in providing social, yet tailored health coaching support: (1) identifying habitual patterns to understand user preferences; (2) the role of a conversational agent in delivering health promoting microactivities; (3) building the technology while adhering to individuals' daily messaging routine; and (4) a socio-technical system that fits with the role of conversational agent as an assistive component. Future Work Future improvements will consider building the activity recommender based on users' interaction data and integrating users' dietary pattern and emotional wellbeing into the initial user clustering by leveraging information and communication technology approaches (e.g., machine learning). We will integrate a sentiment analysis capability to gather further data about individuals and report these data to the caregiver. © 2019 Georg Thieme Verlag KG Stuttgart New York.</t>
  </si>
  <si>
    <t>conversational agent; Health coaching; healthy diet; mental wellness; physical activity; validation study</t>
  </si>
  <si>
    <t>attitude to health; diet; exercise; health; human; interpersonal communication; mental health; mentoring; motivation; patient compliance; questionnaire; Communication; Diet; Exercise; Health; Health Knowledge, Attitudes, Practice; Humans; Mental Health; Mentoring; Motivation; Patient Compliance; Surveys and Questionnaires</t>
  </si>
  <si>
    <t>Epstein, L.H., Gordy, C.C., Raynor, H.A., Beddome, M., Kilanowski, C.K., Paluch, R., Increasing fruit and vegetable intake and decreasing fat and sugar intake in families at risk for childhood obesity (2001) Obes Res, 9 (3), pp. 171-178; Bech, P., Olsen, L.R., Kjoller, M., Rasmussen, N.K., Measuring well-being rather than the absence of distress symptoms: A comparison of the SF-36 Mental Health subscale and the WHO-Five Well-Being Scale (2003) Int J Methods Psychiatr Res, 12 (2), pp. 85-91; Smith, K.A., Dennis, M., Masthoff, J., Personalizing reminders to personality for melanoma self-checking Proceedings of the 2016 Conference on User Modeling Adaptation and Personalization, , July 13, 2016; New York, NY: ACM; 85-93; Sawyer, M.G., Arney, F.M., Baghurst, P.A., The mental health of young people in Australia: Key findings from the child and adolescent component of the national survey of mental health and well-being (2001) Aust N Z J Psychiatry, 35 (6), pp. 806-814; Dol, A., Kulyk, O., Velthuijsen, H., Van Gemert-Pijnen, J.E., Strien, T.V., The use of dialectical dialogues in a personalized virtual coach for obese emotional eaters: A research protocol for a field study among target group (2017) ETELEMED 2017: The Ninth International Conference on EHealth, Telemedicine, and Social Medicine, , Welmington, DE: International Academy, Research, and Industry Association (IARIA); Turner-Mcgrievy, G.M., Beets, M.W., Moore, J.B., Kaczynski, A.T., Barr-Anderson, D.J., Tate, D.F., Comparison of traditional versus mobile app self-monitoring of physical activity and dietary intake among overweight adults participating in an mHealth weight loss program (2013) J Am Med Inform Assoc, 20 (3), pp. 513-518; Schoffman, D.E., Turner-Mcgrievy, G., Jones, S.J., Wilcox, S., Mobile apps for pediatric obesity prevention and treatment, healthy eating, and physical activity promotion: Just fun and games? (2013) Transl Behav Med, 3 (3), pp. 320-325; Bosomworth, D., (2015) Mobile Marketing Statistics, , Leeds: Smart Insights (Marketing Intelligence) Ltd; Seiler, R., Hüttermann, M., E-Health, fitness trackers and wearables-Use among Swiss students (2015) Advances in Business-Related Scientific Research Conference 2015 Proceedings, , Venice, Italy; Clawson, J., Pater, J.A., Miller, A.D., Mynatt, E.D., Mamykina, L., No longer wearing: Investigating the abandonment of personal health-tracking technologies on craigslist (2015) Proceedings of the ACM International Joint Conference on Pervasive and Ubiquitous Computing, pp. 647-658. , September 7, 2015; New York, NY: ACM; Hall, A.K., Cole-Lewis, H., Bernhardt, J.M., Mobile text messaging for health: A systematic review of reviews (2015) Annu Rev Public Health, 36, pp. 393-415; Fadhil, A., Matteotti, C., Armellin, G., Villafiorita, A., Betti, D., Coach Me: A platform for promoting healthy lifestyle Proceedings of the 18th International Conference on Human-Computer Interaction with Mobile Devices and Services Adjunct, pp. 1077-1080. , September 6, 2016; New York, NY: ACM; Fadhil, A., Gabrielli, S., Addressing challenges in promoting healthy lifestyles: The al-conversational agent approach Proceedings of the 11th EAI International Conference on Pervasive Computing Technologies for Healthcare, , May 23, 2017; New York, NY: ACM; 261-265; Fadhil, A., Schiavo, G., Wang, Y., Yilma, B.A., The effect of emojis when interacting with conversational interface assisted health coaching system Proceedings of the 12th EAI International Conference on Pervasive Computing Technologies for Healthcare, , May 21, 2018; New York, NY: ACM; 378-383; Bardus, M., Hamadeh, G., Hayek, B., Al Kherfan, R., A self-directed mobile intervention (WaznApp) to promote weight control among employees at a Lebanese university: Protocol for a feasibility pilot randomized controlled trial (2018) JMIR Res Protoc, 7 (5), p. e133; Fadhil, A., A Conversational Interface to Improve Medication Adherence: Towards AI Support in User's Treatment, , https://arxiv.org/ftp/arxiv/papers/1803/1803.09844.pdf, (preprint arXiv:1803.09844) Accessed April 15, 2019; Fitzpatrick, K.K., Darcy, A., Vierhile, M., Delivering cognitive behavior therapy to young adults with symptoms of depression and anxiety using a fully automated conversational agent (Woebot): A randomized controlled trial (2017) JMIR Ment Health, 4 (2), p. e19; Brawley, L.R., Rejeski, W.J., King, A.C., Promoting physical activity for older adults: The challenges for changing behavior (2003) Am J Prev Med, 25 (3), pp. 172-183; Abdelrazek, M., Ibrahim, A., Cain, A., Grundy, J., Vision: Mobile ehealth learning and intervention platform Proceedings of the 5th International Conference on Mobile Software Engineering and Systems, , May 27, 2018; New York, NY: ACM; 252-256; Ibrahim, Z.M., Fernández De La Cruz, L., Stringaris, A., Goodman, R., Luck, M., Dobson, R.J., A multi-agent platform for automating the collection of user-provided clinical feedback (2015) Proceedings of the International Conference on Autonomous Agents and Multiagent Systems, pp. 831-839. , May 4, 2015; Richland, WA: International Foundation for Autonomous Agents and Multiagent Systems; Kitsiou, S., Thomas, M., Marai, G.E., Development of an innovative mHealth platform for remote physical activity monitoring and health coaching of cardiac rehabilitation patients (2017) IEEE EMBS International Conference on Biomedical &amp; Health Informatics (BHI), pp. 133-136. , February 16, 2017. IEEE; Báez, M., Ibarra, F., Far, I.K., Ferron, M., Casati, F., Online group-exercises for older adults of different physical abilities (2016) International Conference on Collaboration Technologies and Systems (CTS), pp. 524-533. , October 31, 2016; IEEE; Vaira, L., Bochicchio, M.A., Conte, M., Casaluci, F.M., Melpignano, A., MamaBot: A system based on ML and NLP for supporting women and families during pregnancy Proceedings of the 22nd International Database Engineering &amp; Applications Symposium, pp. 273-277. , June 18, 2018; New York, NY: ACM; Wu, J., Sinnott, R.O., Effendy, J., Glöckner, S., Hu, W., Li, J., Usage patterns and data quality: A case study of a national type-1 diabetes study (2017) Proceedings of the 1st International Conference on Medical and Health Informatics, pp. 18-27. , May 20, 2017; New York, NY: ACM; Cruciani, F., Cleland, I., Nugent, C., McCullagh, P., Synnes, K., Hallberg, J., Automatic annotation for human activity recognition in free living using a smartphone (2018) Sensors (Basel), 18 (7), p. 2203; Sourial, M., Elnaggar, A., Reichardt, D., Development of a virtual coach scenario for hand therapy using LEAP motion 2016 Future Technologies Conference (FTC), pp. 1071-1078. , December 2016; IEEE; Haug, S., Castro, R.P., Filler, A., Kowatsch, T., Fleisch, E., Schaub, M.P., Efficacy of an Internet and SMS-based integrated smoking cessation and alcohol intervention for smoking cessation in young people: Study protocol of a two-arm cluster randomised controlled trial (2014) BMC Public Health, 14 (1), p. 1140; Shamekhi, A., Trinh, H., Bickmore, T.W., A virtual self-care coach for individuals with spinal cord injury Proceedings of the 18th International ACM SIGACCESS Conference on Computers and Accessibility, pp. 327-328. , October 23, 2016; New York, NY: ACM; Villalonga, C., Hermens, H., Herrera, L.J., Ontological modeling of motivational messages for physical activity coaching Proceedings of the 11th EAI International Conference on Pervasive Computing Technologies for Healthcare, pp. 355-364. , May 23, 2017; New York, NY: ACM; Boratto, L., Carta, S., Mulas, F., Pilloni, P., An e-coaching ecosystem: Design and effectiveness analysis of the engagement of remote coaching on athletes (2017) Pers Ubiquitous Comput, 21 (4), pp. 689-704; Wang, Y., Fadhil, A., Reiterer, H., Supporting action planning for sedentary behavior change by visualizing personal mobility patterns on smartphone Proceedings of the 12th EAI International Conference on Pervasive Computing Technologies for Healthcare, pp. 396-401. , May 21, 2018; New York, NY: ACM; Ghose, S., Barua, J.J., Toward the implementation of a topic specific dialogue based natural language conversational agent as an undergraduate advisor (2013) International Conference on Informatics, Electronics &amp; Vision (ICIEV), pp. 1-5. , May 17, 2013; IEEE; Fadhil, A., Villafiorita, A., An adaptive learning with gamification &amp; conversational UIs: The rise of CiboPoliBot Adjunct Publication of the 25th Conference on User Modeling, Adaptation and Personalization, pp. 408-412. , July 9, 2017; New York, NY: ACM; Lokman, A.S., Zain, J.M., Komputer, F.S., Perisian, K., Designing a conversational agent for diabetic users International Conference on Software Engineering &amp; Computer Systems (ICSECS'09), pp. 19-21. , October 2009; Sperling, R.A., Aisen, P.S., Beckett, L.A., Toward defining the preclinical stages of Alzheimer's disease: Recommendations from the National Institute on Aging-Alzheimer's Association workgroups on diagnostic guidelines for Alzheimer's disease (2011) Alzheimers Dement, 7 (3), pp. 280-292; Veen, E.V., Bovendeert, J.F., Backx, F.J., Huisstede, B.M., (2017) E-coaching: New Future for Cardiac Rehabilitation? A Systematic Review, 100, pp. 2218-2230; Bickmore, T.W., Pfeifer, L.M., Byron, D., Usability of conversational agents by patients with inadequate health literacy: Evidence from two clinical trials (2010) J Health Commun, 15, pp. 197-210; Schulman, D., Bickmore, T.W., Sidner, C.L., An intelligent conversational agent for promoting long-term health behavior change using motivational interviewing AAAI Spring Symposium: AI and Health Communication, , March 20, 2011; Johnston, B., Wheeler, L., Deuser, J., Sousa, K.H., Outcomes of the Kaiser Permanente tele-home health research project (2000) Arch Fam Med, 9 (1), pp. 40-45; Borawska-Popielarz, M., Addressing Internalizing Problems in Middle School Youth with Check In/check Out, , https://scholarworks.waldenu.edu/cgi/viewcontent.cgi?referer=https://www.google.com/&amp;httpsredir=1&amp;article=3124&amp;context=dissertations, Accessed April 15, 2019; Schwarzer, R., Lippke, S., Luszczynska, A., Mechanisms of health behavior change in persons with chronic illness or disability: The Health Action Process Approach (HAPA) (2011) Rehabil Psychol, 56 (3), pp. 161-170; Venkatesh, V., Davis, F.D., A theoretical extension of the technology acceptance model: Four longitudinal field studies (2000) Manage Sci, 46 (2), pp. 186-204; Hassenzahl, M., Burmester, M., Koller, F., AttrakDiff: Ein Fragebogen zur Messung wahrgenommener hedonischer und pragmatischer Qualität (2003) Mensch &amp; Computer 2003, , Teubner Verlag, Vieweg +;:187-196; (2019) Choose MyPlate. How Many Vegetables Are Needed Daily or Weekly? 2012, , https://www.choosemyplate.gov/vegetables, United States Department of Agriculture.Accessed April 15; Lentferink, A.J., Oldenhuis, H.K., De Groot, M., Polstra, L., Velthuijsen, H., Van Gemert-Pijnen, J.E., Key components in eHealth interventions combining self-tracking and persuasive eCoaching to promote a healthier lifestyle: A scoping review (2017) J Med Internet Res, 19 (8), p. e277; Morrison, L.G., Yardley, L., Powell, J., Michie, S., What design features are used in effective e-health interventions? A review using techniques from critical interpretive synthesis (2012) Telemed J e Health, 18 (2), pp. 137-144; Schwarzer, R., Modeling health behavior change: How to predict and modify the adoption and maintenance of health behaviors (2008) Appl Psychol, 57 (1), pp. 1-29; Cole-Lewis, H., Kershaw, T., Text messaging as a tool for behavior change in disease prevention and management (2010) Epidemiol Rev, 32 (1), pp. 56-69; Tatai, G., Csordás, A., Kiss, Á., Laufer, L., Szaló, A., The chatbot who loved me (2003) Proceedings of the ECA Workshop of AAMAS, , Melbourne, Australia</t>
  </si>
  <si>
    <t>Georg Thieme Verlag</t>
  </si>
  <si>
    <t>00261270</t>
  </si>
  <si>
    <t>MIMCA</t>
  </si>
  <si>
    <t>Methods Inf. Med.</t>
  </si>
  <si>
    <t>2-s2.0-85068611002</t>
  </si>
  <si>
    <t>Assistive conversational agent for health coaching: a validation study</t>
  </si>
  <si>
    <t>Ishaque S., Khan N., Krishnan S.</t>
  </si>
  <si>
    <t>57219014230;58033721800;57216275642;</t>
  </si>
  <si>
    <t>Trends in Heart-Rate Variability Signal Analysis</t>
  </si>
  <si>
    <t>Frontiers in Digital Health</t>
  </si>
  <si>
    <t>639444</t>
  </si>
  <si>
    <t>10.3389/fdgth.2021.639444</t>
  </si>
  <si>
    <t>https://www.scopus.com/inward/record.uri?eid=2-s2.0-85144945937&amp;doi=10.3389%2ffdgth.2021.639444&amp;partnerID=40&amp;md5=1090d8dd969c8d9f248a6da33736fb3e</t>
  </si>
  <si>
    <t>Department of Electrical, Computer and Biomedical Engineering, Ryerson University, Toronto, ON, Canada</t>
  </si>
  <si>
    <t>Ishaque, S., Department of Electrical, Computer and Biomedical Engineering, Ryerson University, Toronto, ON, Canada; Khan, N., Department of Electrical, Computer and Biomedical Engineering, Ryerson University, Toronto, ON, Canada; Krishnan, S., Department of Electrical, Computer and Biomedical Engineering, Ryerson University, Toronto, ON, Canada</t>
  </si>
  <si>
    <t>Heart rate variability (HRV) is the rate of variability between each heartbeat with respect to time. It is used to analyse the Autonomic Nervous System (ANS), a control system used to modulate the body's unconscious action such as cardiac function, respiration, digestion, blood pressure, urination, and dilation/constriction of the pupil. This review article presents a summary and analysis of various research works that analyzed HRV associated with morbidity, pain, drowsiness, stress and exercise through signal processing and machine learning methods. The points of emphasis with regards to HRV research as well as the gaps associated with processes which can be improved to enhance the quality of the research have been discussed meticulously. Restricting the physiological signals to Electrocardiogram (ECG), Electrodermal activity (EDA), photoplethysmography (PPG), and respiration (RESP) analysis resulted in 25 articles which examined the cause and effect of increased/reduced HRV. Reduced HRV was generally associated with increased morbidity and stress. High HRV normally indicated good health, and in some instances, it could signify clinical events of interest such as drowsiness. Effective analysis of HRV during ambulatory and motion situations such as exercise, video gaming, and driving could have a significant impact toward improving social well-being. Detection of HRV in motion is far from perfect, situations involving exercise or driving reported accuracy as high as 85% and as low as 59%. HRV detection in motion can be improved further by harnessing the advancements in machine learning techniques. Copyright © 2021 Ishaque, Khan and Krishnan.</t>
  </si>
  <si>
    <t>drowsiness; exercise; heart rate variability; machine learning; morbidity; stress; wireless sensors</t>
  </si>
  <si>
    <t>Forte, G., Casagrande, M., Heart rate variability and cognitive function: a systematic review (2019) Front Neurosci, 13, p. 710. , 31354419; Li, K., Rüdiger, H., Ziemssen, T., Spectral analysis of heart rate variability: time window matters (2019) Front. Neurol, 10, p. 545. , 31191437; Shaffer, F., Ginsberg, J., An overview of heart rate variability metrics and norms (2017) Front Public Health, 5, p. 258. , 29034226; Kim, H.G., Cheon, E.J., Bai, D.S., Lee, Y.H., Koo, B.H., Stress and heart rate variability: a meta-analysis and review of the literature (2018) Psychiatry Investig, 15, p. 235. , 29486547; Teschler, L., (2020) Monitoring Heart Rate Variability for Better Athletic Ability, , https://www.testandmeasurementtips.com/monitoring-heart-rate-variability-for-better-athletic-ability-faq/, Available online at; Rosenberg, W.V., Chanwimalueang, T., Adjei, T., Jaffer, U., Goverdovsky, V., Mandic, D.P., Resolving ambiguities in the LF/HF ratio: LF-HF scatter plots for the categorization of mental and physical stress from HRV (2017) Front Physiol, 8, p. 360. , 28659811; Blood, J.D., Wu, J., Chaplin, T.M., Hommer, R., Vazquez, L., Rutherford, H.J., The variable heart: High frequency and very low frequency correlates of depressive symptoms in children and adolescents (2015) J Affect Disord, 186, pp. 119-126. , 26233322; Molina, G.E., Fontana, K.E., Porto, L.G.G., Junqueira, L.F., Post-exercise heart-rate recovery correlates to resting heart-rate variability in healthy men (2016) Clin Auton Res, 26, pp. 415-421. , 27510618; Leti, T., Bricout, V.A., Interest of analyses of heart rate variability in the prevention of fatigue states in senior runners (2013) Auton Neurosci, 173, pp. 14-21. , 23159164; Walker, E.D., Brammer, A., Cherniack, M.G., Laden, F., Cavallari, J.M., Cardiovascular and stress responses to short-term noise exposures–A panel study in healthy males (2016) Environ Res, 150, pp. 391-397. , 27371930; Wang, Y., Wei, S., Zhang, S., Zhang, Y., Zhao, L., Liu, C., Comparison of time-domain, frequency-domain and non-linear analysis for distinguishing congestive heart failure patients from normal sinus rhythm subjects (2018) Biomed Signal Process Control, 42, pp. 30-36; Huang, J.C., Chen, C.F., Chang, C.C., Chen, S.C., Hsieh, M.C., Hsieh, Y.P., Effects of stroke on changes in heart rate variability during hemodialysis (2017) BMC Nephrol, 18, p. 90. , 28302058; Pinheiro, A., Pereira, V.L.J., (2015) Curr Med Res Opin, 31, pp. 1849-1854. , Baltatu OC, Campos LA. Cardiac autonomic dysfunction elderly women with myocardial infarction; Toni, G., Murri, M.B., Piepoli, M., Zanetidou, S., Cabassi, A., Squatrito, S., Physical exercise for late-life depression: effects on heart rate variability (2016) Am J Geriatr Psychiatry, 24, pp. 989-997. , 27660194; Shi, H., Yang, L., Zhao, L., Su, Z., Mao, X., Zhang, L., Differences of heart rate variability between happiness and sadness emotion states: a pilot study (2017) J Med Biol Eng, 37, pp. 527-539; Ponnusamy, A., Marques, J.L., Reuber, M., Comparison of heart rate variability parameters during complex partial seizures and psychogenic nonepileptic seizures (2012) Epilepsia, 53, pp. 1314-1321. , 22642646; Howells, F.M., Rauch, H.L., Ives-Deliperi, V.L., Horn, N.R., Stein, D.J., Mindfulness based cognitive therapy may improve emotional processing in bipolar disorder: pilot ERP and HRV study (2014) Metab Brain Dis, 29, pp. 367-375. , 24311196; Rios-Aguilar, S., Merino, J.L.M., Sánchez, A.M., Valdivieso, A.S., Variation of the heartbeat and activity as an indicator of drowsiness at the wheel using a smartwatch (2015) Int J Interact Multimedia Artif Intell, 3, pp. 96-100; Jung, S.J., Shin, H.S., Chung, W.Y., Driver fatigue and drowsiness monitoring system with embedded electrocardiogram sensor on steering wheel (2014) Intell Transport Syst, 8, pp. 43-50; Rahim, H.A., Dalimi, A., Jaafar, H., Detecting drowsy driver using pulse sensor (2015) Jurnal Teknologi, 73, pp. 400-408; Georgiou, K., Larentzakis, A.V., Khamis, N.N., Alsuhaibani, G.I., Alaska, Y.A., Giallafos, E.J., Can wearable devices accurately measure heart rate variability? A systematic review (2018) Folia Med, 60, pp. 7-20. , 29668452; Gontier, C., How to prevent mind-wandering during an EVA? Presentation of a mind-wandering detection method using ECG technology in a Mars-analog environment (2017) Acta Astronaut, 140, pp. 105-112; Vicente, J., Laguna, P., Bartra, A., Bailón, R., Drowsiness detection using heart rate variability (2016) Med Biol Eng Comput, 54, pp. 927-937. , 30403616; He, J., Li, K., Liao, X., Zhang, P., Jiang, N., Real-time detection of acute cognitive stress using a convolutional neural network from electrocardiographic signal (2019) IEEE Access, 7, pp. 42710-42717; Schmidt, P., Reiss, A., Duerichen, R., Marberger, C., Van, L.K., Introducing WESAD, a multimodal dataset for wearable stress and affect detection (2018) Proceedings of the 20th ACM International Conference on Multimodal Interaction, pp. 400-408. , Boulder, CO, In:, (,) p; Cho, D., Ham, J., Oh, J., Park, J., Kim, S., Lee, N.K., Detection of stress levels from biosignals measured in virtual reality environments using a kernel-based extreme learning machine (2017) Sensors, 17, p. 2435. , 29064457; Knox, J., The heart rate during a simple exercise (1940) Brit Heart J, 2, p. 289; Simonson, E., The normal variability of the electrocardiogram as a basis for differentiation between “normal” and “abnormal” in clinical electrocardiography (1958) Am Heart J, 55, pp. 80-103. , 13520555; Lynch, J.J., Heart rate variability of dogs in classical conditioning (1968) Psychol Rec, 18, pp. 101-106; Rompelman, O., Coenen, A., Kitney, R., Measurement of heart-rate variability: Part 1–Comparative study of heart-rate variability analysis methods (1977) Med Biol Eng Comput, 15, p. 233. , 195151; Merri, M., Farden, D.C., Mottley, J.G., Titlebaum, E.L., Sampling frequency of the electrocardiogram for spectral analysis of the heart rate variability (1990) IEEE Trans Biomed Eng, 37, pp. 99-106. , 2303276, 10.1109/; Acharya, U.R., Joseph, K.P., Kannathal, N., Lim, C.M., Suri, J.S., Heart rate variability: a review (2006) Med Biol Eng Comput, 44, pp. 1031-1051; Price, A.D., Heart rate variability and respiratory concomitants of visual and nonvisual “imagery” and cognitive style (1975) J Res Personality, 9, pp. 341-355; Cowan, M.J., Kogan, H., Burr, R., Hendershot, S., Buchanan, L., Power spectral analysis of heart rate variability after biofeedback training (1990) J Electrocardiol, 23, pp. 85-94. , 2090765; Ripoli, A., Emdin, M., Complexity of heart rate, blood pressure and respiration disclosed by pattern fractal analysis (2000) Computers in Cardiology, pp. 135-138. , Cambridge, MA, IEEE, In:, :, p; Orini, M., Bailón, R., Enk, R., Koelsch, S., Mainardi, L., Laguna, P., A method for continuously assessing the autonomic response to music-induced emotions through HRV analysis (2010) Med Biol Eng Comput, 48, pp. 423-433. , 20300873; Alhitary, A.E., Hay, E.W.A., Al-bashir, A.K., Objective detection of chronic stress using physiological parameters (2018) Med Biol Eng Comput, 56, pp. 2273-2286. , 29911251; Lima, R., de Noronha Osório, D.F., Gamboa, H., Heart rate variability and electrodermal activity in mental stress aloud: predicting the outcome (2019) Biosignals, pp. 42-51. , Prague, Springer, In:, :, p; Jovic, A., Bogunovic, N., Electrocardiogram analysis using a combination of statistical, geometric, and nonlinear heart rate variability features (2011) Artif Intell Med, 51, pp. 175-186. , 20980134; Balasubramanian, K., Kumar, R.N., Improvising heart attack prediction system using feature selection and data mining methods (2010) Int J Adv Res Comput Sci, 1, pp. 356-373; Castaldo, R., Montesinos, L., Melillo, P., James, C., Pecchia, L., Ultra-short term HRV features as surrogates of short term HRV: a case study on mental stress detection in real life (2019) BMC Med Inform Decis Mak, 19, pp. 1-13. , 30654799; Martinez, R., Irigoyen, E., Arruti, A., Martin, J.I., Muguerza, J., A real-time stress classification system based on arousal analysis of the nervous system by an F-state machine (2017) Comput Methods Prog Biomed, 148, pp. 81-90. , 28774441; Hwang, B., You, J., Vaessen, T., Myin-Germeys, I., Park, C., Zhang, B.T., Deep ECGNet: An optimal deep learning framework for monitoring mental stress using ultra short-term ECG signals (2018) Telemed e-Health, 24, pp. 753-772. , 29420125; Oskooei, A., Chau, S.M., Weiss, J., Sridhar, A., Martinez, M.R., Michel, B., DeStress: deep learning for unsupervised identification of mental stress in firefighters from heart-rate variability (HRV) data (2019) arXiv preprint arXiv:191113213; Muaremi, A., Arnrich, B., Tröster, G., Towards measuring stress with smartphones and wearable devices during workday and sleep (2013) BioNanoScience 3, 2, pp. 172-183. , 25530929; Kanjo, E., Al-Husain, L., Chamberlain, A., Emotions in context: examining pervasive affective sensing systems, applications, and analyses (2015) Pers Ubiquit Comput, 19, pp. 1197-1212; Venkatesan, C., Karthigaikumar, P., Paul, A., Satheeskumaran, S., Kumar, R., ECG signal preprocessing and SVM classifier-based abnormality detection in remote healthcare applications (2018) IEEE Access, 6, pp. 9767-9773; Stephens, J., Moscou-Jackson, G., Allen, J.K., Young adults, technology, and weight loss: a focus group study (2015) J Obes, 2015, pp. 1-6. , 25789170; Lee, J.W., Lee, S.K., Kim, C.H., Kim, K.H., Kwon, O.C., Detection of drowsy driving based on driving information (2014) International Conference on Information and Communication Technology Convergence (ICTC), pp. 607-608. , Busan, IEEE, In: 2014, :, p; Sangeetha, M., Kalpanadevi, S., Rajendiran, M., Malathi, G., Embedded ECG based real time monitoring and control of driver drowsiness condition (2015) Int J Sci Technol Soc, 3, p. 176; Roy, R., Venkatasubramanian, K., EKG/ECG based driver alert system for long haul drive (2015) Indian J Sci Technol, 8, pp. 8-13; Fernandes, T., Chec, A., Olczak, D., Ferreira, H., Physiological computing gaming: Use of electrocardiogram as an input for video gaming (2015) Proceedings of the International Conference on Physiological Computing Systems (PhyCS), pp. 11-13. , Angers, SCITEPRESS, In:, :, p; Lastre-Dominguez, C., Shmaliy, Y.S., Ibarra-Manzano, O., Munoz-Minjares, J., Morales-Mendoza, L.J., ECG signal denoising and features extraction using unbiased FIR smoothing (2019) BioMed Res Int, 2019. , London, 30915349; Adochiei, F., Edu, I., Adochiei, N., Comparative filtering methods for noisy ECG signals (2011) 2011 E-Health and Bioengineering Conference (EHB), pp. 1-4. , IEEE, In:, p; Sathyapriya, L., Murali, L., Manigandan, T., Analysis and detection R-peak detection using Modified Pan-Tompkins algorithm (2014) 2014 IEEE International Conference on Advanced Communications, Control and Computing Technologies, pp. 483-487. , IEEE, In:, p; Wiklendt, L., Brookes, S.J., Costa, M., Travis, L., Spencer, N.J., Dinning, P.G., A novel method for electrophysiological analysis of EMG signals using MesaClip (2020) Front Physiol, 11, p. 484. , 32581824; Kumari, K., Sahu, S.S., Sinha, R.K., R Peak Detection using empirical mode decomposition with Shannon energy envelope (2018) 2018 Second International Conference on Inventive Communication and Computational Technologies (ICICCT), pp. 550-554. , IEEE, In:, p; Malik, M., Camm, A.J., Heart rate variability and clinical cardiology (1994) Brit Heart J, 71, p. 3; Laborde, S., Mosley, E., Thayer, J.F., Heart rate variability and cardiac vagal tone in psychophysiological research-recommendations for experiment planning, data analysis, and data reporting (2017) Front Psychol, 8, p. 213. , 28265249; O'Connor, P., Neil, D., Liu, S.C., Delbruck, T., Pfeiffer, M., Real-time classification and sensor fusion with a spiking deep belief network (2013) Front Neurosci, 7, p. 178. , 24115919; Bourdillon, N., Schmitt, L., Yazdani, S., Vesin, J.M., Millet, G.P., Minimal window duration for accurate HRV recording in athletes (2017) Front Neurosci, 11, p. 456. , 28848382; Hartmann, R., Schmidt, F.M., Sander, C., Hegerl, U., Heart rate variability as indicator of clinical state in depression (2019) Front Psychiatry, 9, p. 735. , 30705641; Shiro, Y., Arai, Y.C.P., Matsubara, T., Isogai, S., Ushida, T., Effect of muscle load tasks with maximal isometric contractions on oxygenation of the trapezius muscle and sympathetic nervous activity in females with chronic neck and shoulder pain (2012) BMC Musculoskelet Disord, 13, p. 146. , 22889146; Abad, C., Kobal, R., Kitamura, K., Gil, S., Pereira, L., Loturco, I., Heart rate variability in elite sprinters: effects of gender and body position (2017) Clin Physiol Funct Imaging, 37, pp. 442-447. , 26667997; Schneider, C., Wiewelhove, T., Raeder, C., Flatt, A.A., Hoos, O., Hottenrott, L., Heart rate variability monitoring during strength and high-intensity interval training overload microcycles (2019) Front Physiol, 10, p. 582. , 31178746; Choi, A., Shin, H., Quantitative analysis of the effect of an ectopic beat on the heart rate variability in the resting condition (2018) Front Physiol, 9, p. 922. , 30050470; Princip, M., Scholz, M., Meister-Langraf, R.E., Barth, J., Schnyder, U., Znoj, H., Can illness perceptions predict lower heart rate variability following acute myocardial infarction? (2016) Front Psychol, 7, p. 1801. , 27917140; Do, A.J.A., Guida, H.L., De Abreu, L.C., Barnabé, V., Vanderlei, F.M., Valenti, V.E., Effects of auditory stimulation with music of different intensities on heart period (2016) J Trad Complement Med, 6, pp. 23-28. , 26870675; Vickhoff, B., Malmgren, H., Åström, R., Nyberg, G., Engvall, M., Snygg, J., Music structure determines heart rate variability of singers (2013) Front Psychol, 4, p. 334. , 24046761; Cho, H.M., Park, H., Dong, S.Y., Youn, I., Ambulatory and laboratory stress detection based on raw electrocardiogram signals using a convolutional neural network (2019) Sensors, 19, p. 4408. , 31614646; Coutts, L.V., Plans, D., Brown, A.W., Collomosse, J., Deep learning with wearable based heart rate variability for prediction of mental and general health (2020) J Biomed Inform, 112, p. 103610. , 33137470; Taye, G.T., Shim, E.B., Hwang, H.J., Lim, K.M., Machine learning approach to predict ventricular fibrillation based on QRS complex shape (2019) Front Physiol, 10, p. 1193. , 31616311; Arsalan, A., Majid, M., Butt, A.R., Anwar, S.M., Classification of perceived mental stress using a commercially available EEG headband (2019) IEEE J Biomed Health Inform, 23, pp. 2257-2264. , 31283515; Kublanov, V.S., Dolganov, A.Y., Belo, D., Gamboa, H., Comparison of machine learning methods for the arterial hypertension diagnostics (2017) Appl Bionics Biomech, 2017, pp. 1-13. , 28831239; Ma, F., Zhang, J., Liang, W., Xue, J., Automated classification of atrial fibrillation using artificial neural network for wearable devices (2020) Math Probl Eng, 2020, pp. 1-6; Persson, A., Jonasson, H., Fredriksson, I., Wiklund, U., Ahlström, C., Heart rate variability for classification of alert versus sleep deprived drivers in real road driving conditions (2020) IEEE Trans Intell Transport Syst, 21, pp. 1-10; Hu, J., Automated detection of driver fatigue based on AdaBoost classifier with EEG signals (2017) Front Comput Neurosci, 11, p. 72. , 28824409; Montantes, J., (2020) 3 Reasons to Use Random Forest Over a Neural Network-Comparing Machine Learning versus Deep. Towards Data Science, , https://towardsdatascience.com/3-reasons-to-use-random-forest-over-a-neural-network-comparing-machine-learning-versus-deep-f9d65a154d89, Available online at; Posada, H.F., Bolkhovsky, J.B., Machine learning models for the identification of cognitive tasks using autonomic reactions from heart rate variability and electrodermal activity (2019) Behav Sci, 9, p. 45. , 31027251; Padmanaban, S., Baker, J., Greger, B., Feature selection methods for robust decoding of finger movements in a non-human primate (2018) Front Neurosci, 12, p. 22. , 29946235; Hong, K.S., Khan, M.J., Hong, M.J., Feature extraction and classification methods for hybrid fNIRS-EEG brain-computer interfaces (2018) Front Hum Neurosci, 12, p. 246. , 30002623; Hohman, F., Kahng, M., Pienta, R., Chau, D.H., Visual analytics in deep learning: an interrogative survey for the next frontiers (2018) IEEE Trans Visual Comput Graph, 25, pp. 2674-2693. , 29993551; Chu, C., Hsu, A.L., Chou, K.H., Bandettini, P., Lin, C., Initiative, A.D.N., Does feature selection improve classification accuracy? Impact of sample size and feature selection on classification using anatomical magnetic resonance images (2012) Neuroimage, 60, pp. 59-70. , 22166797; Rukavina, S., Gruss, S., Hoffmann, H., Tan, J.W., Walter, S., Traue, H.C., Affective computing and the impact of gender and age (2016) PLoS ONE, 11, p. e0150584. , 26939129; Ishaque, S., Rueda, A., Nguyen, B., Khan, N., Krishnan, S., Physiological signal analysis and classification of stress from virtual reality video game (2020) 2020 42nd Annual International Conference of the IEEE Engineering in Medicine &amp; Biology Society (EMBC), pp. 867-870. , Montreal, QC, IEEE, 33018122, In:, :, p; Pathoumvanh, S., Airphaiboon, S., Hamamoto, K., Robustness study of ECG biometric identification in heart rate variability conditions (2014) IEEE Trans Electric Electron Eng, 9, pp. 294-301; Neto, E., Biessmann, F., Aurlien, H., Nordby, H., Eichele, T., Regularized linear discriminant analysis of EEG features in dementia patients (2016) Front Aging Neurosci, 8, p. 273. , 27965568; Terry-Jack, M., (2019) Deep Learning, NeuroEvolution &amp; Extreme Learning Machines. Medium, , https://medium.com/@b.terryjack/deep-learning-neuroevolution-extreme-learning-machines-6b448860a72a, (,) Available online at; Aishwarya, S., (2020) Introduction to Neural Network: Convolutional Neural Network. Analytics Vidhya, , https://www.analyticsvidhya.com/blog/2020/02/mathematics-behind-convolutional-neural-network/, Available online at; Liang, Y., Yin, S., Tang, Q., Zheng, Z., Elgendi, M., Chen, Z., Deep learning algorithm classifies heartbeat events based on electrocardiogram signals (2020) Front Physiol, 11, p. 569050. , 33117191; He, K., Sun, J., Convolutional neural networks at constrained time cost (2015) Proceedings of the IEEE Conference on Computer Vision and Pattern Recognition, pp. 5353-5360. , Boston, MA, In:, p; Vaswani, A., Shazeer, N., Parmar, N., Uszkoreit, J., Jones, L., Gomez, A.N., Attention is all you need (2017) arXiv preprint arXiv:170603762; Inouchi, Y., Yamaki, H., Shinobu, M., Tsumura, T., Functionally-predefined kernel: a way to reduce CNN computation (2019) 2019 IEEE Pacific Rim Conference on Communications, Computers and Signal Processing (PACRIM), pp. 1-6. , Victoria, BC, IEEE, In:, :, p</t>
  </si>
  <si>
    <t>2673253X</t>
  </si>
  <si>
    <t>Front. Digit. Health</t>
  </si>
  <si>
    <t>2-s2.0-85144945937</t>
  </si>
  <si>
    <t>Trends in heart-rate variability signal analysis</t>
  </si>
  <si>
    <t>Chen L., Gong T., Kosinski M., Stillwell D., Davidson R.L.</t>
  </si>
  <si>
    <t>57196941466;35177507200;54915667100;35312763000;57196940164;</t>
  </si>
  <si>
    <t>Building a profile of subjective well-being for social media users</t>
  </si>
  <si>
    <t>PLoS ONE</t>
  </si>
  <si>
    <t>e0187278</t>
  </si>
  <si>
    <t>10.1371/journal.pone.0187278</t>
  </si>
  <si>
    <t>https://www.scopus.com/inward/record.uri?eid=2-s2.0-85033802848&amp;doi=10.1371%2fjournal.pone.0187278&amp;partnerID=40&amp;md5=021766287df859dedea343a1b2a74f8e</t>
  </si>
  <si>
    <t>Institute for Language, Cognition and Computation, School of Informatics, University of Edinburgh, Edinburgh, United Kingdom; Haskins Laboratories, New Haven, CT, United States; Center for Linguistics and Applied Linguistics, Guangdong University of Foreign Studies, Guangzhou, China; Graduate School of Business, Stanford University, Stanford, CA, United States; Judge Business School, University of Cambridge, Cambridge, United Kingdom; Two Cloaks Ltd., Glasgow, United Kingdom; Scientists for EU Ltd., London, United Kingdom</t>
  </si>
  <si>
    <t>Chen, L., Institute for Language, Cognition and Computation, School of Informatics, University of Edinburgh, Edinburgh, United Kingdom; Gong, T., Haskins Laboratories, New Haven, CT, United States, Center for Linguistics and Applied Linguistics, Guangdong University of Foreign Studies, Guangzhou, China; Kosinski, M., Graduate School of Business, Stanford University, Stanford, CA, United States; Stillwell, D., Judge Business School, University of Cambridge, Cambridge, United Kingdom; Davidson, R.L., Two Cloaks Ltd., Glasgow, United Kingdom, Scientists for EU Ltd., London, United Kingdom</t>
  </si>
  <si>
    <t>Subjective well-being includes ‘affect’ and ‘satisfaction with life’ (SWL). This study proposes a unified approach to construct a profile of subjective well-being based on social media language in Facebook status updates. We apply sentiment analysis to generate users’ affect scores, and train a random forest model to predict SWL using affect scores and other language features of the status updates. Results show that: the computer-selected features resemble the key predictors of SWL as identified in early studies; the machine-predicted SWL is moderately correlated with the self-reported SWL (r = 0.36, p &lt; 0.01), indicating that language-based assessment can constitute valid SWL measures; the machine-assessed affect scores resemble those reported in a previous experimental study; and the machine-predicted subjective well-being profile can also reflect other psychological traits like depression (r = 0.24, p &lt; 0.01). This study provides important insights for psychological prediction using multiple, machine-assessed components and longitudinal or dense psychological assessment using social media language. © 2017 Chen et al. This is an open access article distributed under the terms of the Creative Commons Attribution License, which permits unrestricted use, distribution, and reproduction in any medium, provided the original author and source are credited.</t>
  </si>
  <si>
    <t>affect; analysis; anxiety disorder; Article; attitude; computer model; controlled study; depression; human; language; physical activity; prediction; predictor variable; self report; sentiment analysis; social media; subjective well being; wellbeing; machine learning; satisfaction; theoretical model; Humans; Machine Learning; Models, Theoretical; Personal Satisfaction; Social Media</t>
  </si>
  <si>
    <t>Kahneman, D., Riis, J., Living, and thinking about it: Two perspectives on life (2005) The Science of Wellbeing, pp. 285-304. , Oxford University Press; Diener, E., Subjective well-being: The science of happiness and a proposal for a national index (2000) American Psychologist, 55 (1), pp. 34-43. , PMID: 11392863; Ryff, C.D., Happiness is everything, or is it? Explorations on the meaning of psychological well-being (1989) Journal of Personality and Social Psychology, 57 (6), p. 1069; Diener, E., Emmons, R., Larsen, R., Griffin, S., The satisfaction with life scale (1985) Journal of Personality Assessment, 49 (1), pp. 71-75. , https://doi.org/10.1207/s15327752jpa4901_13, PMID: 16367493; Pavot, W., Diener, E., Review of the satisfaction with life scale (1993) Psychological Assessment, 5 (2), pp. 164-172; Blaney, P.H., Affect and memory (1986) Psychological Bulletin, 99, pp. 229-246. , PMID: 3515383; Lucas, R., Diener, E., Subjective well-being (2008) Handbook of Emotions, pp. 471-484. , Lewis M, Haviland-Jones J, Barrett L, editors. 3rd edition. New York: Guilford Press; Russell, J., Core affect and the psychological construction of emotion (2003) Psychological Review, 110 (1), pp. 145-172. , PMID: 12529060; Watson, D., Clark, L., Tellegen, A., Development and validation of brief measures of positive and negative affect: The PANAS scales (1998) Journal of Personality and Social Psychology, 54 (6), pp. 1063-1070; Kahneman, D., Objective happiness (1999) Well-Being: The Foundations of Hedonic Psychology, pp. 3-25. , Kahneman D, Diener E, Schwarz N, editors. New York: Russell Sage Foundation. p. 3–25; Csikszentmihalyi, M., Hunter, J., Happiness in everyday life: The uses of experience sampling (2003) Journal of Happiness Studies, 4 (2), pp. 185-199; Kammann, R., Flett, R., Affectometer 2: A scale to measure current level of general happiness (1983) Australian Journal of Psychology, 35 (2), pp. 259-265; Diener, E., Colvin, C.R., Pavot, W., Allman, The psychic costs of intense positive emotions (1991) Journal of Personality and Social Psychology, 61 (3), pp. 492-503. , PMID: 1941521; Hu, X.T., L, T.J., Liu, H., Exploiting social relations for sentiment analysis in microblogging (2013) Proceedings of The Sixth ACM International Conference on Web Search and Data Mining, pp. 537-546; Dou, W., Wang, X., Ribarsky, W., Zhou, M., Event detection in social media data (2012) IEEE VisWeek Workshop on Interactive Visual Text Analytics-Task Driven Analytics of Social Media Content, pp. 971-980; Dodds, P., Harris, K., Kloumann, I., Bliss, C., Danforth, C., Temporal patterns of happiness and information in a global social network: Hedonometrics and Twitter (2011) PLOS ONE, 6 (12). , https://doi.org/10.1371/journal.pone.0026752, PMID: 22163266; Mitchell, L., Frank, M.R., Harris, K.D., Dodds, P.S., Danforth, C.M., The geography of happiness: Connecting twitter sentiment and expression, demographics, and objective characteristics of place (2013) PLOS ONE, 8 (5). , https://doi.org/10.1371/journal.pone.0064417, PMID: 23734200; Yang, C., Srinivasan, P., Life Satisfaction and the Pursuit of Happiness on Twitter (2016) PLOS ONE, 11 (3). , https://doi.org/10.1371/journal.pone.0150881, PMID: 26982323; Cambria, E., Howard, N., Xia, Y., Chua, T.S., Computational intelligence for big social data analysis [Guest Editorial] (2016) IEEE Computational Intelligence Magazine, 11 (3), pp. 8-9. , Aug; Youyou, W., Kosinski, M., Stillwell, D., Computer-based personality judgments are more accurate than those made by humans (2015) Proceedings of The National Academy of Sciences, 112, pp. 1036-1040; Hills, T., Proto, E., Sgroi, D., Historical analysis of national subjective wellbeing using millions of digitized books (2015) CESifo Working Paper; Collins, S., Sun, Y., Kosinski, M., Stillwell, D., Markuzon, N., Are You Satisfied with Life? Predicting Satisfaction with Life from Facebook (2015) Social Computing, Behavioral-Cultural Modeling, and Prediction, pp. 24-33. , New York: Springer International Publishing; Sapolsky, R.M., The physiology and pathophysiology of unhappiness (1999) Well-Being: The Foundations of Hedonic Psychology, pp. 453-469. , Kahneman D, Diener E, Schwarz N, editors. New York: Russell Sage Foundation; Zheng, X., A study on relationship between depression and subjective well-being of college student (2016) Psychology, 7 (6), p. 885; Mahmoud, J.S.R., Hall, L.A., Lennie, T.A., The relationship among young adult college students’ depression, anxiety, stress, demographics, life satisfaction, and coping styles (2012) Issues in Mental Health Nursing, 33 (3), pp. 149-156. , https://doi.org/10.3109/01612840.2011.632708, PMID: 22364426; Kosinsk, M., Stillwell, D., T, G., Private traits and attributes are predictable from digital records of human behavior (2013) Proceedings of The National Academy of Sciences, pp. 5802-5805. , USA; Diener, E., Assessing subjective well-being: Progress and opportunities (1994) Social Indicators Research, 31 (2), pp. 103-157; (2016) A Language and Environment for Statistical Computing, , http://www.Rproject.org/, Vienna; Davidov, D., Tsur, O., Rappoport, A., Enhanced sentiment learning using twitter hashtags and smileys (2010) Proceedings of The 23rd International Conference on Computational Linguistics, pp. 241-249. , Joshi A, Huang C, Jurafsky D, editors; Erik, C., Affective computing and sentiment analysis (2016) IEEE Intelligent Systems, 31 (2), pp. 102-107; Erik, C., Dipankar, D., Sivaji, B., Feraco, A., Affective Computing and Sentiment Analysis (2017) A Practical Guide to Sentiment Analysis, pp. 1-10. , Cambria E, Das D, Bandyopadhyay S, Feraco A, editors. Springer International Publishing; Barrett, L., Valence is a basic building block of emotional life (2006) Journal of Research in Personality, 40 (1), pp. 33-55; Liu, H., Lieberman, H., Selker, T., A model of textual affect sensing using real-world knowledge (2003) Proceedings of The 8th International Conference on Intelligent User Interfaces, pp. 125-132. , Leake D, Johnson L, Andrew E, editors. New York: ACM; Hu, M., Liu, B., Mining opinion features in customer reviews (2004) Proceedings of Nineteeth National Conference on Artificial Intellgience, pp. 755-760; Pennebaker, J., Francis, M., Booth, R., (2001) Linguistic Inquiry and Word Count: LIWC 2001, , Mahway: NJ: Lawrence Erlbaum Associates; Tausczik, Y.R., Pennebaker, J.W., The psychological meaning of words: LIWC and computerized text analysis methods (2010) Journal of Language and Social Psychology, 29 (1), pp. 24-54; Blei, D., Ng, A., Jordan, M., Latent Dirichlet allocation (2003) Journal of Machine Learning Research, 3, pp. 993-1022; Tang, J., Meng, Z., Nguyen, X., Mei, Q., M, Z., Understanding the limiting factors of topic modeling via posterior contraction analysis (2014) Proceedings of The 31st International Conference on Machine Learning, pp. 190-198. , Xing E, Jebara T, editors; Schwartz, H., Eichstaedt, J., Kern, M., Dziurzynski, L., Ramones, S., Agrawal, M., Personality, gender, and age in the language of social media: The open-vocabulary approach (2013) PLOS ONE, 8 (9). , https://doi.org/10.1371/journal.pone.0073791, PMID: 24086296; Schwartz, H., Sap, M., Kern, M., Eichstaedt, J., Kapelner, A., Agrawal, M., Predicting individual well-being through the language of social media (2016) Pacific Symposium on Biocomputing, 21, p. 516. , PMID: 26776214; Zou, H., Hastie, T., Regularization and variable selection via the elastic net (2005) Journal of The Royal Statistical Society: Series B (Statistical Methodology), 67 (2), pp. 301-320; Tibshirani, R., Regression shrinkage and selection via the lasso (1996) Journal of The Royal Statistical Society. Series B (Methodological), 58 (1), pp. 267-288; Kotsiantis, S., Zaharakis, I., Pintelas, P., Supervised machine learning: A review of classification techniques (2007) Informatica, 31, pp. 249-268; Breiman, L., Random forests (2001) Machine Learning, 45 (1), pp. 5-32; Breiman, L., Bagging predictors (1996) Machine Learning, 24 (2), pp. 123-140; Lewis, C., Dorahy, M., Schumaker, J., Depression and satisfaction with life among Northern Irish adults (1999) Journal of Social Psychology, 139, pp. 533-535. , https://doi.org/10.1080/00224549909598413, PMID: 10457765; Jung, O.H., Ozkaya, E., LaRose, R., How does online social networking enhance life satisfaction? The relationships among online supportive interaction, affect, perceived social support, sense of community, and life satisfaction (2014) Computers in Human Behavior, 30, pp. 69-78; Hughes, D., Rowe, M., Batey, M., Lee, A., A tale of two sites: Twitter vs. Facebook and the personality predictors of social media usage (2012) Computers in Human Behaviors, 28 (2), pp. 561-569</t>
  </si>
  <si>
    <t>Public Library of Science</t>
  </si>
  <si>
    <t>19326203</t>
  </si>
  <si>
    <t>POLNC</t>
  </si>
  <si>
    <t>2-s2.0-85033802848</t>
  </si>
  <si>
    <t>Sauer S., Buettner R., Heidenreich T., Lemke J., Berg C., Kurz C.</t>
  </si>
  <si>
    <t>25646364100;24831738000;55897188800;54890630700;57200678851;57196280466;</t>
  </si>
  <si>
    <t>Mindful machine learning: Using machine learning algorithms to predict the practice of mindfulness</t>
  </si>
  <si>
    <t>European Journal of Psychological Assessment</t>
  </si>
  <si>
    <t>34</t>
  </si>
  <si>
    <t>10.1027/1015-5759/a000312</t>
  </si>
  <si>
    <t>https://www.scopus.com/inward/record.uri?eid=2-s2.0-85042164464&amp;doi=10.1027%2f1015-5759%2fa000312&amp;partnerID=40&amp;md5=95575c8d8732ad25c0b7f281cfa776b6</t>
  </si>
  <si>
    <t>Institute of Business Psychology/ Institute of Management and Information Systems, FOM University of Applied Sciences, Arnulfstr. 30, Munich, 80335, Germany; Brain Mind, and Healing Program, Samueli Institute, Alexandria, VA, United States; Faculty of Social Work, Health and Nursing, Esslingen University of Applied Sciences, Germany; Institute of Transcultural Health Sciences, Viadrina University, Frankfurt/Oder, Germany; Institute of Health Economics and Health Care Managemant, Helmholtz Zentrum Mönchen, Germany</t>
  </si>
  <si>
    <t>Sauer, S., Institute of Business Psychology/ Institute of Management and Information Systems, FOM University of Applied Sciences, Arnulfstr. 30, Munich, 80335, Germany, Brain Mind, and Healing Program, Samueli Institute, Alexandria, VA, United States; Buettner, R., Institute of Business Psychology/ Institute of Management and Information Systems, FOM University of Applied Sciences, Arnulfstr. 30, Munich, 80335, Germany; Heidenreich, T., Faculty of Social Work, Health and Nursing, Esslingen University of Applied Sciences, Germany; Lemke, J., Institute of Transcultural Health Sciences, Viadrina University, Frankfurt/Oder, Germany; Berg, C., Institute of Business Psychology/ Institute of Management and Information Systems, FOM University of Applied Sciences, Arnulfstr. 30, Munich, 80335, Germany; Kurz, C., Institute of Health Economics and Health Care Managemant, Helmholtz Zentrum Mönchen, Germany</t>
  </si>
  <si>
    <t>Mindfulness refers to a stance of nonjudgmental awareness of present-moment experiences. A growing body of research suggests that mindfulness may increase cognitive resources, thereby buffering stress. However, existing models have not achieved a consensus on how mindfulness should be operationalized. As the sound measurement of mindfulness is the foundation needed before substantial hypotheses can be supported, we propose a novel way of gauging the psychometric quality of a mindfulness measurement instrument (the Freiburg Mindfulness Inventory; FMI). Specifically, we employed 10 predictive algorithms to scrutinize the measurement quality of the FMI. Our criterion of measurement quality was the degree to which an algorithm separated mindfulness practitioner from nonpractitioners in a sample of N = 276. A high predictive accuracy of class membership can be taken as an indicator of the psychometric quality of the instrument. In sum, two findings are of interest. First, over and above some items of the FMI were able to reliably predict class membership. However, some items appeared to be uninformative. Second, from an applied methodological point of view, it appears that machine learning algorithms can outperform traditional predictive methods such as logistic regression. This finding may generalize to other branches of research. © 2016 Hogrefe Publishing.</t>
  </si>
  <si>
    <t>Machine Learning; Measurement; Mindfulness; Predictive Modeling; Questionnaire</t>
  </si>
  <si>
    <t>Altman, D.G., Bland, J.M., Diagnostic tests. 1: Sensitivity and specificity. BMJ (1994) British Medical Journal, 308, p. 1552; Baer, R.A., Measuring mindfulness (2011) Contemporary Buddhism, 12, pp. 241-261; Bishop, S.R., Lau, M., Shapiro, S., Carlson, L., Anderson, N.D., Carmody, J., Speca, M., Mindfulness: A proposed operational definition (2004) Clinical Psychology Science and Practice, 11, pp. 230-241; Bohlmeijer, E., Ten Klooster, P.M., Fledderus, M., Veehof, M., Baer, R., Psychometric properties of the five facet mindfulness questionnaire in depressed adults and development of a short form (2011) Assessment, 18, pp. 308-320; Brown, K.W., Ryan, R.M., The benefits of being present: Mindfulness and its role in psychological well-being (2003) Journal of Personality and Social Psychology, 84, pp. 822-848; Chiesa, A., Calati, R., Serretti, A., Does mindfulness training improve cognitive abilities? A systematic review of neuropsychological findings (2011) Clinical Psychology Review, 31, pp. 449-464; Cohen, J., Cohen, P., West, S.G., Aiken, L.S., (2013) Applied Multiple Regression/correlation Analysis for the Behavioral Sciences, , London, UK Routledge; Dudoit, S., Fridlyand, J., Speed, T.P., Comparison of discrimination methods for the classification of tumors using gene expression data (2002) Journal of the American Statistical Association, 97, pp. 77-87; Eberth, J., Sedlmeier, P., The effects of mindfulness meditation: A meta-Analysis (2012) Mindfulness, 3, pp. 174-189; Eisendrath, S.J., Delucchi, K., Bitner, R., Fenimore, P., Smit, M., McLane, M., Mindfulness-based cognitive therapy for treatment-resistant depression: A pilot study (2008) Psychotherapy and Psychosomatics, (77), pp. 319-320; Farb, N.A.S., Anderson, A.K., Segal, Z.V., The mindful brain and emotion regulation inmood disorders Canadian Journal of Psychiatry (2012) Revue Canadienne de Psychiatrie, 57, pp. 70-77; Fleiss, J.L., Cohen, J., The equivalence of weighted kappa and the intraclass correlation coefficient as measures of reliability (1973) Educational and Psychological Measurement, 33, pp. 613-619; Gard, T., Hölzel, B.K., Lazar, S.W., The potential effects of meditation on age-related cognitive decline: A systematic review (2014) Annals of the New York Academy of Sciences, 1307, pp. 89-103; Grossman, P., On measuring mindfulness in psychosomatic and psychological research (2008) Journal of Psychosomatic Research, 64, pp. 405-408; Grossman, P., Defining mindfulness by How poorly i think i pay attention during everyday awareness and other intractable problems for psychologys (re)invention of mindfulness: Comment on Brown et al 2011 (2011) Psychological Assessment, 23, pp. 1034-1040; Hastie, T., Tibshirani, R., Friedman, J., (2009) The Elements of Statistical Learning. Elements, 1. , New York City, NY Springer; Hoefling, V., Moosbrugger, H., Schermelleh-Engel, K., Heidenreich, T., Höfling, V., (2011) Mindfulness or Mindlessness? European Journal of Psychological Assessment, 27, pp. 59-64; Hofmann, S.G., Sawyer, A.T., Witt, A.A., Oh, D., The effect of mindfulness-based therapy on anxiety and depression: A meta-Analytic review (2010) Journal of Consulting and Clinical Psychology, 78, pp. 169-183; Kohls, N., Sauer, S., Walach, H., Facets of mindfulness-results of an online study investigating the Freiburg mindfulness inventory (2009) Personality and Individual Differences, 46, pp. 224-230; Kuhn, M., Building predictive models in R using the Caret package (2008) Journal of Statistical Software, 28, pp. 1-26; Landis, J.R., Koch, G.G., An application of hierarchical kappa-Type statistics in the assessment of majority agreement among multiple observers (1977) Biometrics, 33, pp. 363-374; Langer, E.J., Moldoveanu, M., The construct of mindfulness (2000) Journal of Social Issues, 56, pp. 1-9; Larsen, R.J., Buss, D.M., (2008) Personality Psychology, , New York City, NY: Mac Graw-Hill; Leigh, J., Bowen, S., Marlatt, G.A., Spirituality, mindfulness and substance abuse (2005) Addictive Behaviors, 30, pp. 1335-1341; Mars, T.S., Abbey, H., Mindfulness meditation practise as a healthcare intervention: A systematic review (2010) International Journal of Osteopathic Medicine, 13 (56-66); Sauer, S., Lemke, J., Wittmann, M., Kohls, N., Mochty, U., Walach, H., How long is now for mindfulness meditators? (2012) Personality and Individual Differences, 52, pp. 750-754; Sauer, S., Walach, H., Kohls, N., Grays Behavioural Inhibition System as a mediator of mindfulness towards wellbeing (2010) Personality and Individual Differences, 50, pp. 506-551; Sauer, S., Walach, H., Offenbächer, M., Lynch, S., Kohls, N., Measuring mindfulness: A Rasch analysis of the Freiburg mindfulness inventory (2011) Religions, 2, pp. 693-706; Sauer, S., Walach, H., Schmidt, S., Hinterberger, T., Lynch, S., Bössing, A., Kohls, N., Assessment of mindfulness: Review on state of the art (2013) Mindfulness, 4, pp. 3-17; Sauer, S., Ziegler, M., Danay, E., Ives, J., Kohls, N., Specific objectivity of mindfulness-A Rasch analysis of the Freiburg Mindfulness Inventory (2013) Mindfulness, 4, pp. 45-54; Sedlmeier, P., Eberth, J., Schwarz, M., Zimmermann, D., Haarig, F., Jaeger, S., Kunze, S., The psychological effects of meditation: A meta-Analysis (2012) Psychological Bulletin, 138, pp. 1139-1171; Shipp, M.A., Ross, K.N., Tamayo, P., Weng, A.P., Kutok, J.L., Aguiar, R.C.T., Golub, T.R., Diffuse large B-cell lymphoma outcome prediction by gene-expression profiling and supervised machine learning (2002) Nature Medicine, 8, pp. 68-74; Tang, Y.-Y., Posner, M.I., Tools of the trade: Theory and method in mindfulness neuroscience (2013) Social Cognitive and Affective Neuroscience, (8), pp. 118-120; Teper, R., Inzlicht, M., Meditation, mindfulness and executive control: The importance of emotional acceptance and brain-based performance monitoring (2013) Social Cognitive and Affective Neuroscience, (8), pp. 85-92; Van Dam, N.T., Earleywine, M., Borders, A., Measuring mindfulness? An Item Response Theory analysis of the Mindful Attention Awareness Scale (2010) Personality and Individual Differences, 49, pp. 805-810; Ye, Q.-H., Qin, L.-X., Forgues, M., He, P., Kim, J.W., Peng, A.C., Wang, X.W., Predicting hepatitis B virus-positive metastatic hepatocellular carcinomas using gene expression profiling and supervised machine learning (2003) Nature Medicine, 9, pp. 416-423; Zainal, N.Z., Booth, S., Huppert, F.A., The efficacy of mindfulness-based stress reduction on mental health of breast cancer patients: A meta-Analysis (2013) Psycho-Oncology, 22, pp. 1457-1465</t>
  </si>
  <si>
    <t>Hogrefe Publishing GmbH</t>
  </si>
  <si>
    <t>10155759</t>
  </si>
  <si>
    <t>Eur. J. Psychol. Assess.</t>
  </si>
  <si>
    <t>2-s2.0-85042164464</t>
  </si>
  <si>
    <t>Mindful machine learning: using machine learning algorithms to predict the practice of mindfulness</t>
  </si>
  <si>
    <t>Zhou K., Meng X., Cheng B.</t>
  </si>
  <si>
    <t>57212192211;57188632471;57216318324;</t>
  </si>
  <si>
    <t>Review of Stereo Matching Algorithms Based on Deep Learning</t>
  </si>
  <si>
    <t>Computational Intelligence and Neuroscience</t>
  </si>
  <si>
    <t>2020</t>
  </si>
  <si>
    <t>8562323</t>
  </si>
  <si>
    <t>10.1155/2020/8562323</t>
  </si>
  <si>
    <t>https://www.scopus.com/inward/record.uri?eid=2-s2.0-85083092588&amp;doi=10.1155%2f2020%2f8562323&amp;partnerID=40&amp;md5=8f184ed4a1fb5660218ec0e073d5b760</t>
  </si>
  <si>
    <t>School of Mathematics Science, Peking University, Beijing, China; Suzhou Automotive Research Institute, Tsinghua University, Beijing, China; Key Laboratory of Carcinogenesis and Translational Research (Ministry of Education/Beijing), Department of Nuclear Medicine, Peking University Cancer Hospital and Institute, Beijing, China; Su Zhou Automobile Research Institute, Suzhou, Jiangsu, China</t>
  </si>
  <si>
    <t>Zhou, K., School of Mathematics Science, Peking University, Beijing, China, Suzhou Automotive Research Institute, Tsinghua University, Beijing, China; Meng, X., Key Laboratory of Carcinogenesis and Translational Research (Ministry of Education/Beijing), Department of Nuclear Medicine, Peking University Cancer Hospital and Institute, Beijing, China; Cheng, B., Suzhou Automotive Research Institute, Tsinghua University, Beijing, China, Su Zhou Automobile Research Institute, Suzhou, Jiangsu, China</t>
  </si>
  <si>
    <t>Stereo vision is a flourishing field, attracting the attention of many researchers. Recently, leveraging on the development of deep learning, stereo matching algorithms have achieved remarkable performance far exceeding traditional approaches. This review presents an overview of different stereo matching algorithms based on deep learning. For convenience, we classified the algorithms into three categories: (1) non-end-to-end learning algorithms, (2) end-to-end learning algorithms, and (3) unsupervised learning algorithms. We have provided a comprehensive coverage of the remarkable approaches in each category and summarized the strengths, weaknesses, and major challenges, respectively. The speed, accuracy, and time consumption were adopted to compare the different algorithms. © 2020 Kun Zhou et al.</t>
  </si>
  <si>
    <t>Deep learning; Stereo image processing; Stereo vision; End to end; Stereo matching algorithm; Three categories; Time consumption; Traditional approaches; Learning algorithms; algorithm; computer assisted diagnosis; procedures; Algorithms; Deep Learning; Image Interpretation, Computer-Assisted</t>
  </si>
  <si>
    <t>Schmid, K., Tomic, T., Ruess, F., Hirschmueller, H., Suppa, M., Stereo vision based indoor/outdoor navigation for flying robots (2013) Proceedings of the 2013 IEEE/RSJ International Conference on Intelligent Robots and Systems, pp. 3955-3962. , November, Tokyo, Japan; Helmer, S., Lowe, D., Using stereo for object recognition (2010) Proceedings of the 2010 IEEE International Conference on Robotics and Automation, pp. 3121-3127. , May, Anchorage, AK, USA IEEE 2-s2.0-77955834995; Shean, D.E., Alexandrov, O., Moratto, Z.M., An automated, open-source pipeline for mass production of digital elevation models (DEMs) from very-high-resolution commercial stereo satellite imagery (2016) ISPRS Journal of Photogrammetry and Remote Sensing, 116, pp. 101-117. , 2-s2.0-84961833553; Menze, M., Geiger, A., Object scene flow for autonomous vehicles (2015) Proceedings of the 2015 IEEE Conference on Computer Vision and Pattern Recognition (CVPR), pp. 3061-3070. , June, Boston, MA, USA; Lu, C., Uchiyama, H., Thomas, D., Shimada, A., Taniguchi, R.-I., Sparse cost volume for efficient stereo matching (2018) Remote Sensing, 10. , 2-s2.0-85057102637; Hirschmueller, H., Stereo processing by semiglobal matching and mutual information (2008) Ieee Transactions on Pattern Analysis and Machine Intelligence, 30, pp. 328-341. , 2-s2.0-37549015676; Zhang, L., Seitz, S.M., Estimating optimal parameters for MRF stereo from a single image pair (2007) IEEE Transactions on Pattern Analysis and Machine Intelligence, 29, pp. 331-342. , 2-s2.0-33947241272; Scharstein, D., Szeliski, R., A taxonomy and evaluation of dense two-frame stereo correspondence algorithms (2002) International Journal of Computer Vision, 47, pp. 7-42. , 2-s2.0-0036537472; Zabih, R., Woodfill, J., Non-parametric local transforms for computing visual correspondence (1994) Proceedings of the European Conference on Computer Vision, , May, Stockholm, Sweden; Calonder, M., Lepetit, V., Strecha, C., Fua, P., Daniilidis, K., Maragos, P., Paragios, N., BRIEF: Binary robust independent elementary features (2010) Computer Vision-Eccv 2010 Lecture Notes in Computer Science, 6314, pp. 778-792. , Berlin, Germany Springer; Hirschmuller, H., Scharstein, D., Evaluation of cost functions for stereo matching (2007) Proceedings of the 2007 IEEE Conference on Computer Vision and Pattern Recognition, p. 2134. , June, Minneapolis, MN, USA IEEE; Kolmogorov, V., Zabih, R., Computing visual correspondence with occlusions using graph cuts (2001) Proceedings of the Eighth IEEE International Conference on Computer Vision. ICCV 2001, , July, Vancouver, Canada; Klaus, A., Sormann, M., Karner, K., Tang, Y.Y., Wang, S.P., Lorette, G., Yeung, D.S., Yan, H., Segment-based stereo matching using belief propagation and a self-adapting dissimilarity measure (2006) Proceedings of the 18th International Conference on Pattern Recognition (ICPR'06), p. 15. , August, Hong Kong, China; Hamzah, R.A., Ibrahim, H., Literature survey on stereo vision disparity map algorithms (2016) Journal of Sensors, 2016, p. 23. , 8742920 2-s2.0-84956909123; Nalpantidis, L., Sirakoulis, G.C., Gasteratos, A., Review of stereo VISION algorithms: From software to hardware (2008) International Journal of Optomechatronics, 2, pp. 435-462. , 2-s2.0-56349108194; Zbontar, J., Lecun, Y., Computing the stereo matching cost with a convolutional neural network (2015) Proceedings of the 2015 IEEE Conference on Computer Vision and Pattern Recognition (CVPR), pp. 1592-1599. , June, Boston, MA, USA IEEE; Luo, W., Schwing, A.G., Urtasun, R., Efficient deep learning for stereo matching (2016) Proceedings of the 2016 IEEE Conference on Computer Vision and Pattern Recognition (CVPR), pp. 5695-5703. , June, Las Vegas, NV, USA 2-s2.0-84986260027; Shaked, A., Wolf, L., Improved stereo matching with constant highway networks and reflective confidence learning (2017) Proceedings of the 2017 IEEE Conference on Computer Vision and Pattern Recognition (CVPR), pp. 6901-6910. , July, Honolulu, HI, USA IEEE 2-s2.0-85028777439; Chen, Z.Y., Sun, X., Wang, L., Yu, Y.A., Huang, C., A deep visual correspondence embedding model for stereo matching costs (2015) Proceedings of the International Conference on Computer Vision, pp. 972-980. , December, Santiago, Chile IEEE 2-s2.0-84973861123; Seki, A., Pollefeys, M., SGM-Nets: Semi-global matching with neural networks (2017) Proceedings of the 2017 IEEE Conference on Computer Vision and Pattern Recognition (CVPR), pp. 6640-6649. , July, Honolulu, HI, USA 2-s2.0-85029716184; Knoebelreiter, P., Reinbacher, C., Shekhovtsov, A., Pock, T., End-to-end training of hybrid CNN-CRF models for stereo (2017) Proceedings of the 2017 IEEE Conference on Computer Vision and Pattern Recognition (CVPR), pp. 1456-1465. , July, Honolulu, HI, USA 2-s2.0-85032429239; Gidaris, S., Komodakis, N., Detect, replace, refine: Deep structured prediction for pixel wise labeling (2017) Proceedings of the 2017 IEEE Conference on Computer Vision and Pattern Recognition (CVPR), pp. 7187-7196. , July, Honolulu, HI, USA IEEE 2-s2.0-85032431435; Liang, Z., Feng, Y., Guo, Y., Learning for disparity estimation through feature constancy (2018) Proceedings of the 2018 IEEE/CVF Conference on Computer Vision and Pattern Recognition, pp. 2811-2820. , June, Salt Lake City, UT, USA 2-s2.0-85060605900; Mayer, N., Ilg, E., Hausser, P., Large dataset to train convolutional networks for disparity, optical flow, and scene flow estimation (2016) Proceedings of the 2016 IEEE Conference on Computer Vision and Pattern Recognition (CVPR), pp. 4040-4048. , June, Las Vegas, NV, USA; Guorun, Y., Hengshuang, Z., Jianping, S., Zhidong, D., Jiaya, J., SegStereo: Exploiting semantic information for disparity estimation (2018) Proceedings of the European Conference on Computer Vision, , September, Munich, Germany 2-s2.0-85055089718; Pang, J.H., Sun, W.X., Ren, J.S.J., Yang, C.X., Yan, Q., Cascade residual learning: A two-stage convolutional neural network for stereo matching (2017) Proceedings of the 2017 IEEE International Conference on Computer Vision Workshops (ICCVW), pp. 878-886. , October, Venice, Italy IEEE 2-s2.0-85044898026; Song, X., Zhao, X., Fang, L., Hu, H., EdgeStereo: An effective multi-task learning network for stereo matching and edge detection (2019) International Journal of Computer Vision, pp. 1-21; Chang, J.R., Chen, Y.S., Pyramid stereo matching network (2018) Proceedings of the 2018 IEEE/CVF Conference on Computer Vision and Pattern Recognition, , June, Salt Lake City, UT, USA 2-s2.0-85062828205; Kendall, A., Martirosyan, H., Dasgupta, S., Henry, P., End-to-end learning of geometry and context for deep stereo regression (2017) Proceedings of the 2017 IEEE International Conference on Computer Vision (ICCV), pp. 66-75. , October, Venice, Italy IEEE 2-s2.0-85041925922; Lidong, Y., Yucheng, W., Yuwei, W., Yunde, J., (2018) Deep Stereo Matching with Explicit Cost Aggregation Sub-architecture, , https://arxiv.org/abs/1801.04065; Guo, X., Yang, K., Yang, W., Wang, X., Lishi, H., Group-wise correlation stereo network (2019) Proceedings of the 2019 IEEE/CVF Conference on Computer Vision and Pattern Recognition (CVPR), , June, Long Beach, CA, USA; Xiao, S., Xu, Z., Hanwen, H., Liangji, F., (2018) EdgeStereo: A Context Integrated Residual Pyramid Network for Stereo Matching, , https://arxiv.org/abs/1803.05196; Jie, Z., Wang, P., Ling, Y., Left-right comparative recurrent model for stereo matching (2018) Proceedings of the 2018 IEEE/CVF Conference on Computer Vision and Pattern Recognition, pp. 3838-3846. , June, Salt Lake City, UT, USA 2-s2.0-85056765610; Flynn, J., Neulander, I., Philbin, J., Snavely, N., DeepStereo: Learning to predict new views from the world's imagery (2016) Proceedings of the 2016 IEEE Conference on Computer Vision and Pattern Recognition (CVPR), pp. 5515-5524. , June, Las Vegas, NV, USA IEEE 2-s2.0-84986252211; Garg, R., Vijaykumar, B.G., Carneiro, G., Reid, I., Leibe, B., Matas, J., Sebe, N., Welling, M., Unsupervised CNN for single view depth estimation: Geometry to the rescue (2016) Computer Vision-Eccv 2016 Lecture Notes in Computer Science, 9912, pp. 740-756. , Berlin, Germany Springer 2-s2.0-84990026532; Godard, C., Mac Aodha, O., Brostow, G.J., Unsupervised monocular depth estimation with left-right consistency (2017) Proceedings of the 2017 IEEE Conference on Computer Vision and Pattern Recognition (CVPR), pp. 6602-6611. , July, Honolulu, HI, USA IEEE 2-s2.0-85030230124; Xie, J.Y., Girshick, R., Farhadi, A., Leibe, B., Matas, J., Sebe, N., Welling, M., Deep3D: Fully automatic 2D-to-3D video conversion with deep convolutional neural networks (2016) Computer Vision-Eccv 2016 Lecture Notes in Computer Science, 9908, pp. 842-857. , Berlin, Germany Springer 2-s2.0-84990046450; Yin, Z., Shi, J., (2018) GeoNet: Unsupervised Learning of Dense Depth, Optical Flow and Camera Pose, , https://arxiv.org/abs/1803.02276; Zhong, Y., Dai, Y., Hongdong, L., (2017) Self-supervised Learning for Stereo Matching with Self-improving Ability, , https://arxiv.org/abs/1709.00930; Smolyanskiy, N., Kamenev, A., Birchfield, S., On the importance of stereo for accurate depth estimation: An efficient semi-supervised deep neural network approach (2018) Proceedings of the IEEE/CVF Conference on Computer Vision and Pattern Recognition Workshops (CVPRW), pp. 1120-1128. , June, Salt Lake City, UT, USA IEEE 2-s2.0-85060867733; Zhou, T.H., Brown, M., Snavely, N., Lowe, D.G., Unsupervised learning of depth and ego-motion from video (2019) Proceedings of the 2019 IEEE International Conference on Artificial Intelligence and Virtual Reality (AIVR), p. 6612. , December, San Diego, CA, USA IEEE 2-s2.0-85042592684; Luo, Y., Ren, J., Lin, M., Single view stereo matching (2018) Proceedings of the 2018 IEEE/CVF Conference on Computer Vision and Pattern Recognition, , June, Salt Lake City, UT, USA; Barron, J.T., Poole, B., Leibe, B., Matas, J., Sebe, N., Welling, M., The fast bilateral solver (2016) Computer Vision-Eccv 2016 Lecture Notes in Computer Science, 9907, pp. 617-632. , Berlin, Germany Springer 2-s2.0-84990057848; Brandao, P., Mazomenos, E., Stoyanov, D., Widening siamese architectures for stereo matching (2019) Pattern Recognition Letters, 120, pp. 75-81. , 2-s2.0-85060355197; Drouyer, S., Beucher, S., Bilodeau, M., Moreaud, M., Sorbier, L., Angulo, J., Velascoforero, S., Meyer, F., Sparse stereo disparity map densification using hierarchical image segmentation (2017) Mathematical Morphology and Its Applications to Signal and Image Processing Lecture Notes in Computer Science, pp. 172-184. , 10225, Berlin, Germany Springer 2-s2.0-85019213138; Kim, K.R., Kim, C.S., Adaptive smoothness constraints for efficient stereo matching using texture and edge information (2016) Proceedings of the 2016 IEEE International Conference on Image Processing (ICIP), pp. 3429-3433. , September, Phoenix, AZ, USA IEEE; Li, L.C., Yu, X., Zhang, S.L., Zhao, X.L., Zhang, L., 3D cost aggregation with multiple minimum spanning trees for stereo matching (2017) Applied Optics, 56, pp. 3411-3420. , 2-s2.0-85018490948; Taniai, T., Matsushita, Y., Sato, Y., Naemura, T., Continuous 3D label stereo matching using local expansion moves (2018) IEEE Transactions on Pattern Analysis and Machine Intelligence, 40, pp. 2725-2739. , 2-s2.0-85032456390; Zagoruyko, S., Komodakis, N., Learning to compare image patches via convolutional neural networks (2015) Proceedings of the 2015 IEEE Conference on Computer Vision and Pattern Recognition (CVPR), pp. 4353-4361. , June, Boston, MA, USA IEEE; Geiger, A., Lenz, P., Urtasun, R., Are we ready for autonomous driving? The KITTI vision benchmark suite (2012) Proceedings of the 2012 IEEE Conference on Computer Vision and Pattern Recognition, pp. 3354-3361. , June, Providence, RI, USA IEEE; Park, H., Lee, K.M., Look wider to match image patches with convolutional neural networks (2017) IEEE Signal Processing Letters, 24, pp. 1788-1792. , 2-s2.0-85036474581; Gueney, F., Geiger, A., Displets: Resolving stereo ambiguities using object knowledge (2015) Proceedings of the 2015 IEEE Conference on Computer Vision and Pattern Recognition (CVPR), pp. 4165-4175. , June, Boston, MA, USA; Dosovitskiy, A., Fischer, P., Ilg, E., FlowNet: Learning optical flow with convolutional networks (2015) Proceedings of the 2015 IEEE International Conference on Computer Vision (ICCV), pp. 2758-2766. , December, Santiago, Chile IEEE 2-s2.0-84973904859; Hui, T.-W., Tang, X., Loy, C.C., LiteFlowNet: A lightweight convolutional neural network for optical flow estimation (2018) Proceedings of the 2018 IEEE/CVF Conference on Computer Vision and Pattern Recognition, pp. 8981-8989. , June, Salt Lake City, UT, USA 2-s2.0-85058390955; Ilg, E., Mayer, N., Saikia, T., Keuper, M., Dosovitskiy, A., Brox, T., FlowNet 2.0: Evolution of optical flow estimation with deep networks (2017) Proceedings of the 2017 IEEE Conference on Computer Vision and Pattern Recognition (CVPR), pp. 1647-1655. , July, Honolulu, HI, USA IEEE 2-s2.0-85041921504; Ranjan, A., Black, M.J., Optical flow estimation using a spatial pyramid network (2017) Proceedings of the 2017 IEEE Conference on Computer Vision and Pattern Recognition (CVPR), pp. 2720-2729. , July, Honolulu, HI, USA IEEE 2-s2.0-85041904657; Xu, J., Ranftl, R., Koltun, V., Accurate optical flow via direct cost volume processing (2017) Proceedings of the 2017 IEEE Conference on Computer Vision and Pattern Recognition (CVPR), pp. 5807-5815. , July, Honolulu, HI, USA IEEE 2-s2.0-85041897159; Zhai, M.L., Xiang, X.Z., Zhang, R.F., Lv, N., El Saddik, B., Learning optical flow using deep dilated residual networks (2019) IEEE Access, 7, pp. 22566-22578; Zweig, S., Wolf, L., InterpoNet, A brain inspired neural network for optical flow dense interpolation (2017) Proceedings of the 2017 IEEE Conference on Computer Vision and Pattern Recognition (CVPR), pp. 6363-6372. , July, Honolulu, HI, USA IEEE 2-s2.0-85044516341; Kendall, A., Martirosyan, H., Dasgupta, S., Henry, P., Kennedy, R., Bachrach, A., Bry A end-to-end learning of geometry and context for deep stereo regression (2017) Proceedings of the 2017 IEEE International Conference on Computer Vision (ICCV), pp. 66-75. , October, Venice, Italy; Tulyakov, S., Ivanov, A., Fleuret, F., (2018) Practical Deep Stereo (PDS): Toward Applications-friendly Deep Stereo Matching, , https://arxiv.org/abs/1806.01677; Poggi, M., Mattoccia, S., Learning to predict stereo reliability enforcing local consistency of confidence maps (2017) Proceedings of the 2017 IEEE Conference on Computer Vision and Pattern Recognition (CVPR), pp. 4541-4550. , July, Honolulu, HI, USA 2-s2.0-85041918947; Slossberg, R., Wetzler, A., Kimmel, R., (2016) Deep Stereo Matching with Dense CRF Priors, , https://arxiv.org/abs/1612.01725; Kim, S., Min, D.B., Kim, S., Sohn, K., Unified confidence estimation networks for robust stereo matching (2019) IEEE Transactions on Image Processing, 28, pp. 1299-1313. , 2-s2.0-85055692060; Ren, Z., Yan, J., Ni, B., Liu, B., Yang, X., Zha, H., Unsupervised deep learning for optical flow estimation (2017) Proceedings of the AAAI, , February, San Francisco, CA, USA; Yu, J.J., Harley, A.W., Derpanis, K.G., Hua, G., Jegou, H., Back to basics: Unsupervised learning of optical flow via brightness constancy and motion smoothness (2016) Computer Vision-ECCV 2016 Workshops Lecture Notes in Computer Science, 9915, pp. 3-10. , Berlin, Germany Springer 2-s2.0-85006062724; Vijayanarasimhan, S., Ricco, S., Schmid, C., Sukthankar, R., Fragkiadaki, K., (2017) SfM-Net: Learning of Structure and Motion from Video, , https://arxiv.org/abs/1704.07804; Yin, Z.C., Shi, J.P., GeoNet: Unsupervised learning of dense depth, optical flow and camera pose (2018) Proceedings of the 2018 IEEE/CVF Conference on Computer Vision and Pattern Recognition, pp. 1983-1992. , June, Salt Lake City, UT, USA IEEE 2-s2.0-85062822054</t>
  </si>
  <si>
    <t>Hindawi Limited</t>
  </si>
  <si>
    <t>16875265</t>
  </si>
  <si>
    <t>Comput. Intell. Neurosci.</t>
  </si>
  <si>
    <t>2-s2.0-85083092588</t>
  </si>
  <si>
    <t>Review of stereo matching algorithms based on deep learning</t>
  </si>
  <si>
    <t>Kumar A., Sharma K., Sharma A.</t>
  </si>
  <si>
    <t>56718788600;7402096819;57197769144;</t>
  </si>
  <si>
    <t>Hierarchical deep neural network for mental stress state detection using IoT based biomarkers</t>
  </si>
  <si>
    <t>Pattern Recognition Letters</t>
  </si>
  <si>
    <t>81</t>
  </si>
  <si>
    <t>10.1016/j.patrec.2021.01.030</t>
  </si>
  <si>
    <t>https://www.scopus.com/inward/record.uri?eid=2-s2.0-85101153175&amp;doi=10.1016%2fj.patrec.2021.01.030&amp;partnerID=40&amp;md5=3360b78fd2c299abddc65c550739367f</t>
  </si>
  <si>
    <t>Department of CSE, Delhi Technological University, Delhi, 110042, India; Department of IT, Delhi Technological University, Delhi, 110042, India</t>
  </si>
  <si>
    <t>Kumar, A., Department of CSE, Delhi Technological University, Delhi, 110042, India; Sharma, K., Department of IT, Delhi Technological University, Delhi, 110042, India; Sharma, A., Department of CSE, Delhi Technological University, Delhi, 110042, India</t>
  </si>
  <si>
    <t>Affective state recognition at an early stage can help in mood stabilization, stress and depression management for mental well-being. Pro-active and remote mental healthcare warrants the use of various biomarkers to detect the affective mental state of the individual by evaluating the daily activities. With the easy accessibility of IoT-based sensors for healthcare, observable and quantifiable characteristics of our body, physiological changes in the body can be measured and tracked using various wearable devices. This work puts forward a model for mental stress state detection using sensor-based bio-signals. A multi-level deep neural network with hierarchical learning capabilities of convolution neural network is proposed. Multivariate time-series data consisting of both wrist-based and chest-based sensor bio-signals is trained using a hierarchy of networks to generate high-level features for each bio-signal feature. A model-level fusion strategy is proposed to combine the high-level features into one unified representation and classify the stress states into three categories as baseline, stress and amusement. The model is evaluated on the WESAD benchmark dataset for mental health and compares favourably to state-of-the-art approaches giving a superlative performance accuracy of 87.7%. © 2021 Elsevier B.V.</t>
  </si>
  <si>
    <t>Benchmarking; Biomarkers; Deep neural networks; Health care; Internet of things; Wearable sensors; Benchmark datasets; Convolution neural network; Hierarchical learning; High-level features; Multivariate time series; State-of-the-art approach; Three categories; Wearable devices; Neural networks</t>
  </si>
  <si>
    <t>Dautov, R., Distefano, S., Buyya, R., Hierarchical data fusion for smart healthcare (2019) J. Big Data, 6 (1), p. 19; Kumar, A., Using cognition to resolve duplicacy issues in socially connected healthcare for smart cities (2020) Comput. Commun., 152, pp. 272-281; Bienertova-Vasku, J., Lenart, P., Scheringer, M., Eustress and distress: neither good nor bad, but rather the same? (2020) BioEssays, p. 1900238; Kumar, S., Biochemistry of the brain (2020) Examining Biological Foundations of Human Behavior; Zenonos, A., Khan, A., Kalogridis, G., Vatsikas, S., Lewis, T., Sooriyabandara, M., Healthyoffice: mood recognition at work using smartphones and wearable sensors (2016) In 2016 IEEE International Conference on Pervasive Computing and Communication Workshops (PerCom Workshops), pp. 1-6, , IEEE; Tong, L., Zhang, Q., Sadka, A., Li, L., Zhou, H., (2019), Inverse boosting pruning trees for depression detection on twitter arXiv:; Esposito, A., Esposito, A.M., Vogel, C., Needs and challenges in human computer interaction for processing social emotional information (2015) Pattern Recognit. Lett., 66, pp. 41-51; Kumar, A., Sharma, A., Arora, A., Anxious depression prediction in real-time social data (2019) In International Conference on Advances in Engineering Science Management &amp; Technology (ICAESMT)-2019, Uttaranchal University, Dehradun, India; Gjoreski, M., Lutrek, M., Gams, M., Gjoreski, H., Monitoring stress with a wrist device using context (2017) J. Biomed. Inf., 73, pp. 159-170; Barra, S., Fraschini, M., Casanova, A., Castiglione, A., Fenu, G., PhysiounicaDB: a dataset of EEG and ECG simultaneously acquired (2019) Pattern Recognit. Lett., 126, pp. 119-122; Schmidt, P., Reiss, A., Duerichen, R., Marberger, C., Laerhoven, K.V., Introducing WESAD, a multimodal dataset for wearable stress and affect detection (2018) Proceedings of the 20th ACM International Conference on Multimodal Interaction, pp. 400-408; Lin, J., Pan, S., Lee, C.S., Oviatt, S., An explainable deep fusion network for affect recognition using physiological signals (2019) In Proceedings of the 28th ACM International Conference on Information and Knowledge Management, pp. 2069-2072; Indikawati, F.I., Winiarti, S., Stress detection from multimodal wearable sensor data (2020) IOP Conference Series: Materials Science and Engineering, vol. 771, no. 1, p. 012028, , IOP Publishing; Picard, R.W., Vyzas, E., Healey, J., Toward machine emotional intelligence: analysis of affective physiological state (2001) IEEE Trans. Pattern Anal. Mach.Intell., 23 (10), pp. 1175-1191; Healey, J., Jennifer, A., Picard, R.W., Detecting stress during real-world driving tasks using physiological sensors (2005) IEEE Trans. Intell. Transp.Syst., 6 (2), pp. 156-166; Koelstra, S., Muhl, C., Soleymani, M., Lee, J.-S., Yazdani, A., Ebrahimi, T., Pun, T., Patras, I., DEAP: a database for emotion analysis; using physiological signals (2011) IEEE Tran. Affect. Comput., 3 (1), pp. 18-31; Maxhuni, A., Hernandez-Leal, P., Sucar, L.E., Osmani, V., Morales, E.F., Mayora, O., Stress modelling and prediction in presence of scarce data (2016) J. Biomed. Inf., 63, pp. 344-356; Kumar, A., Jaiswal, A., Deep learning based sentiment classification on user-generated big data (2020) Recent Adv. Comput. Sci.Commun. (Formerly: Recent Patents on Computer Science), 13 (5), pp. 1047-1056; Lo, S.-C.B., Chan, H.-P., Lin, J.-S., Li, H., Freedman, M.T., Mun, S.K., Artificial convolution neural network for medical image pattern recognition (1995) Neural Netw., 8 (7-8), pp. 1201-1214; Kumar, A., Srinivasan, K., Cheng, W.-H., Zomaya, A.Y., Hybrid context enriched deep learning model for fine-grained sentiment analysis in textual and visual semiotic modality social data (2020) Inf. Process. Manage., 57 (1), p. 102141</t>
  </si>
  <si>
    <t>01678655</t>
  </si>
  <si>
    <t>Pattern Recogn. Lett.</t>
  </si>
  <si>
    <t>2-s2.0-85101153175</t>
  </si>
  <si>
    <t>Hierarchical deep neural network for mental stress state detection using iot based biomarkers</t>
  </si>
  <si>
    <t>Xiao X., Fang Y., Xiao X., Xu J., Chen J.</t>
  </si>
  <si>
    <t>57217584676;57221851406;57226146524;57218592206;57837247800;</t>
  </si>
  <si>
    <t>Machine-Learning-Aided Self-Powered Assistive Physical Therapy Devices</t>
  </si>
  <si>
    <t>18633</t>
  </si>
  <si>
    <t>18646</t>
  </si>
  <si>
    <t>10.1021/acsnano.1c10676</t>
  </si>
  <si>
    <t>https://www.scopus.com/inward/record.uri?eid=2-s2.0-85121981506&amp;doi=10.1021%2facsnano.1c10676&amp;partnerID=40&amp;md5=8a133e61ea5ba1b8e0ba943ad6d0d872</t>
  </si>
  <si>
    <t>Department of Bioengineering, University of California, Los Angeles, Los Angeles, CA  90095, United States</t>
  </si>
  <si>
    <t>Xiao, X., Department of Bioengineering, University of California, Los Angeles, Los Angeles, CA  90095, United States; Fang, Y., Department of Bioengineering, University of California, Los Angeles, Los Angeles, CA  90095, United States; Xiao, X., Department of Bioengineering, University of California, Los Angeles, Los Angeles, CA  90095, United States; Xu, J., Department of Bioengineering, University of California, Los Angeles, Los Angeles, CA  90095, United States; Chen, J., Department of Bioengineering, University of California, Los Angeles, Los Angeles, CA  90095, United States</t>
  </si>
  <si>
    <t>An expanding elderly population and people with disabilities pose considerable challenges to the current healthcare system. As a practical technology that integrates systems and services, assistive physical therapy devices are essential to maintain or to improve an individual's functioning and independence, thus promoting their well-being. Given technological advancements, core components of self-powered sensors and optimized machine-learning algorithms will play innovative roles in providing assistive services for unmet global needs. In this Perspective, we provide an overview of the latest developments in machine-learning-aided assistive physical therapy devices based on emerging self-powered sensing systems and a discussion of the challenges and opportunities in this field. © 2021 American Chemical Society.</t>
  </si>
  <si>
    <t>Learning algorithms; Machine components; Machine learning; 'current; Assistive; Elderly people; Elderly populations; Healthcare systems; Integrate systems; Machine-learning; People with disabilities; Self-powered; Therapy devices; Physical therapy; aged; algorithm; health care delivery; human; machine learning; physiotherapy; self help device; Aged; Algorithms; Delivery of Health Care; Humans; Machine Learning; Physical Therapy Modalities; Self-Help Devices</t>
  </si>
  <si>
    <t>Olusanya, B.O., Neumann, K.J., Saunders, J.E., The Global Burden of Disabling Hearing Impairment: A Call to Action (2014) Bull. World Health. Organ., 92, pp. 367-373; Davis, A.C., Hoffman, H.J., Hearing Loss: Rising Prevalence and Impact (2019) Bull. World Health. Organ., 97, pp. 646-646A; Graydon, K., Waterworth, C., Miller, H., Gunasekera, H., Global Burden of Hearing Impairment and Ear Disease (2019) J. Laryngol. Otol., 133, pp. 18-25; Ackland, P., Resnikoff, S., Bourne, R., World Blindness and Visual Impairment: Despite Many Successes, the Problem is Growing (2017) Community Eye Health, 30 (100), pp. 71-73; Alswailmi, F.K., Global Prevalence and Causes of Visual Impairment with Special Reference to the General Population of Saudi Arabia (2018) Pak. J. Med. Sci., 34, pp. 751-756; Varma, R., Vajaranant, T.S., Burkemper, B., Wu, S., Torres, M., Hsu, C., Choudhury, F., McKean-Cowdin, R., Visual Impairment and Blindness in Adults in the United States: Demographic and Geographic Variations from 2015 to 2050 (2016) JAMA Ophthalmol., 134, pp. 802-809; Kim, S.W., Jeon, H.R., Park, E.J., Chung, H.J., Song, J.E., The Differences in Clinical Aspect between Specific Language Impairment and Global Developmental Delay (2014) Ann. Rehabil. Med., 38, pp. 752-758; Jeong, J.W., Sundaram, S., Behen, M.E., Chugani, H.T., Differentiation of Speech Delay and Global Developmental Delay in Children Using DTI Tractography-Based Connectome (2016) AJNR Am. J. Neuroradiol., 37, pp. 1170-1177; Marrus, N., Hall, L., Intellectual Disability and Language Disorder (2017) Child Adolesc. Psychiatr. Clin. N. Am., 26, pp. 539-554; Krahn, G.L., Walker, D.K., Correa-De-Araujo, R., Persons with Disabilities as an Unrecognized Health Disparity Population (2015) Am. J. Public Health, 105, pp. S198-S206; Banks, L.M., Kuper, H., Polack, S., Poverty and Disability in Low- And Middle-Income Countries: A Systematic Review (2017) PLoS One, 12, p. 0189996; Jesus, T.S., Landry, M.D., Hoenig, H., Global Need for Physical Rehabilitation: Systematic Analysis from the Global Burden of Disease Study 2017 (2019) Int. J. Environ. Res. Public Health, 16, p. 980; Peterson-Besse, J.J., Walsh, E.S., Horner-Johnson, W., Goode, T.D., Wheeler, B., Barriers to Health Care among People with Disabilities Who Are Members of Underserved Racial/Ethnic Groups: A Scoping Review of the Literature (2014) Med. Care, 52, pp. S51-S63; Tinta, N., Steyn, H., Vermaas, J., Barriers Experienced by People with Disabilities Participating in Income-Generating Activities. A Case of a Sheltered Workshop in Bloemfontein, South Africa (2020) Afr. J. Disabil., 9, p. 662; Ali, A., Scior, K., Ratti, V., Strydom, A., King, M., Hassiotis, A., Discrimination and Other Barriers to Accessing Health Care: Perspectives of Patients with Mild and Moderate Intellectual Disability and Their Carers (2013) PLoS One, 8, p. 70855; Noh, J.-W., Kwon, Y.D., Park, J., Oh, I.-H., Kim, J., Relationship between Physical Disability and Depression by Gender: A Panel Regression Model (2016) PLoS One, 11, p. 0166238; Shen, S.-C., Huang, K.-H., Kung, P.-T., Chiu, L.-T., Tsai, W.-C., Incidence, Risk, and Associated Factors of Depression in Adults with Physical and Sensory Disabilities: A Nationwide Population-Based Study (2017) PLoS One, 12, p. 0175141; Hsieh, K., Scott, H.M., Murthy, S., Associated Risk Factors for Depression and Anxiety in Adults with Intellectual and Developmental Disabilities: Five-Year Follow up (2020) Am. J. Intellect. Dev. Disabil., 125, pp. 49-63; Brenes, G.A., Penninx, B.W., Judd, P.H., Rockwell, E., Sewell, D.D., Wetherell, J.L., Anxiety, Depression and Disability across the Lifespan (2008) Aging Ment. Health., 12, pp. 158-163; Brenes, G.A., Guralnik, J.M., Williamson, J.D., Fried, L.P., Simpson, C., Simonsick, E.M., Penninx, B.W., The Influence of Anxiety on the Progression of Disability (2005) J. Am. Geriatr. Soc., 53, pp. 34-39; Tough, H., Siegrist, J., Fekete, C., Social Relationships, Mental Health and Wellbeing in Physical Disability: A Systematic Review (2017) BMC Public Health, 17, p. 414; Alang, S.M., McAlpine, D.D., Henning-Smith, C.E., Disability, Health Insurance and Psychological Distress among US Adults: An Application of the Stress Process (2014) Soc. Ment. Health, 4, pp. 164-178; Druss, B.G., Marcus, S.C., Rosenheck, R.A., Olfson, M., Tanielian, T., Pincus, H.A., Understanding Disability in Mental and General Medical Conditions (2000) Am. J. Psychiatry, 157, pp. 1485-1491; Wilber, N., Mitra, M., Walker, D.K., Allen, D., Disability as a Public Health Issue: Findings and Reflections from the Massachusetts Survey of Secondary Conditions (2002) Milbank Q., 80, pp. 393-421; Dassah, E., Aldersey, H., McColl, M.A., Davison, C., Factors Affecting Access to Primary Health Care Services for Persons with Disabilities in Rural Areas: A "best-Fit" Framework Synthesis (2018) Glob. Health Res. Policy, 3, p. 36; Kanasi, E., Ayilavarapu, S., Jones, J., The Aging Population: Demographics and the Biology of Aging (2016) Periodontol. 2000, 72, pp. 13-18; Carver, J., Ganus, A., Ivey, J.M., Plummer, T., Eubank, A., The Impact of Mobility Assistive Technology Devices on Participation for Individuals with Disabilities (2016) Disabil. Rehabil. Assist. Technol., 11, pp. 468-477; Holloway, C., Dawes, H., Disrupting the World of Disability: The Next Generation of Assistive Technologies and Rehabilitation Practices (2016) Healthc. Technol. Lett., 3, pp. 254-256; O'Brolcháin, F., Autonomy Benefits and Risks of Assistive Technologies for Persons with Intellectual and Developmental Disabilities (2018) Front. Public Health, 6, p. 296; Labarrière, F., Thomas, E., Calistri, L., Optasanu, V., Gueugnon, M., Ornetti, P., Laroche, D., Machine Learning Approaches for Activity Recognition and/or Activity Prediction in Locomotion Assistive Devices─A Systematic Review (2020) Sensors, 20, p. 6345; Meshram, V.V., Patil, K., Meshram, V.A., Shu, F.C., An Astute Assistive Device for Mobility and Object Recognition for Visually Impaired People (2019) IEEE Trans. Hum. Mach. Syst., 49, pp. 449-460; Jiménez-Arberas, E., Diéz, E., Psychosocial Impact of Assistive Devices and Other Technologies on Deaf and Hard of Hearing People (2021) Int. J. Environ. Res. Public Health, 18, p. 7259; Jakobsen, M.D., Aust, B., Kines, P., Madeleine, P., Andersen, L.L., Participatory Organizational Intervention for Improved Use of Assistive Devices in Patient Transfer: A Single-Blinded Cluster Randomized Controlled Trial (2019) Scand. J. Work, Environ. Health, 45, pp. 146-157; Green, J.L., (2018) Assistive Technology in Special Education: Resources to Support Literacy, Communication, and Learning Differences, , Prufrock Press Inc. Waco, TX; Marsh, K.L., Schladant, M., Sudduth, C., Shearer, R., Dowling, M., Natale, R., Improving Engagement: Integrating Assistive Technology in Early Literacy (2021) Teach. Except. Child; Holtkamp, F.C., Wouters, E.J., Verkerk, M.J., Understanding User Practices When Drawing up Requirements─The Case of Designing Assistive Devices for Mobility (2019) Int. J. Environ. Res. Public Health, 16, p. 318; Florio, J., Arnet, U., Gemperli, A., Hinrichs, T., Need and Use of Assistive Devices for Personal Mobility by Individuals with Spinal Cord Injury (2016) J. Spinal. Cord. Med., 39, pp. 461-470; Chen, G., Xiao, X., Zhao, X., Tat, T., Bick, M., Chen, J., Electronic Textiles for Wearable Point-of-Care Systems (2021) Chem. Rev.; Dash, S., Shakyawar, S.K., Sharma, M., Kaushik, S., Big Data in Healthcare: Management, Analysis and Future Prospects (2019) J. Big Data, 6, p. 54; Kumar Sharma, D., Sreenivasa Chakravarthi, D., Ara Shaikh, A., Al Ayub Ahmed, A., Jaiswal, S., Naved, M., The Aspect of Vast Data Management Problem in Healthcare Sector and Implementation of Cloud Computing Technique (2021) Mater. Today Proc., 7, p. 388; Baucas, M.J., Spachos, P., Gregori, S., Internet-of-Things Devices and Assistive Technologies for Health Care: Applications, Challenges, and Opportunities (2021) IEEE Signal Process Mag., 38, pp. 65-77; Pal, S., Hitchens, M., Varadharajan, V., Access Control for Internet of Things-Enabled Assistive Technologies: An Architecture, Challenges and Requirements (2020) Assistive Technology for the Elderly, pp. 1-43. , Elsevier; Anisha, M., Sindhuja, J.F.F., Elliot, C.J., Rani, R.L., Devi, J.D., Monal, K., Chezhiyan, P., Shalini, U., Automated Assistive Health Care System for Disabled Patients Utilizing Internet of Things (2020) J. Eng. Sci. Technol. Rev., 13, pp. 206-213; Luo, Y., Wang, Z., Wang, J., Xiao, X., Li, Q., Ding, W., Fu, H.Y., Triboelectric Bending Sensor Based Smart Glove towards Intuitive Multi-Dimensional Human-Machine Interfaces (2021) Nano Energy, 89, p. 106330; Prosperi, M., Guo, Y., Sperrin, M., Koopman, J.S., Min, J.S., He, X., Rich, S., Bian, J., Causal Inference and Counterfactual Prediction in Machine Learning for Actionable Healthcare (2020) Nat. Mach. Intell., 2, pp. 369-375; Tomašev, N., Harris, N., Baur, S., Mottram, A., Glorot, X., Rae, J.W., Zielinski, M., Laing, C., Use of Deep Learning to Develop Continuous-Risk Models for Adverse Event Prediction from Electronic Health Records (2021) Nat. Protoc., 16, pp. 2765-2787; Von Lilienfeld, O.A., Burke, K., Retrospective on a Decade of Machine Learning for Chemical Discovery (2020) Nat. Commun., 11, p. 4895; Butler, K.T., Davies, D.W., Cartwright, H., Isayev, O., Walsh, A., Machine Learning for Molecular and Materials Science (2018) Nature, 559, pp. 547-555; Raccuglia, P., Elbert, K.C., Adler, P.D.F., Falk, C., Wenny, M.B., Mollo, A., Zeller, M., Norquist, A.J., Machine-Learning-Assisted Materials Discovery Using Failed Experiments (2016) Nature, 533, pp. 73-76; Lecun, Y., Bengio, Y., Hinton, G., Deep Learning (2015) Nature, 521, pp. 436-444; Esteva, A., Robicquet, A., Ramsundar, B., Kuleshov, V., Depristo, M., Chou, K., Cui, C., Dean, J., A Guide to Deep Learning in Healthcare (2019) Nat. Med., 25, pp. 24-29; Ardila, D., Kiraly, A.P., Bharadwaj, S., Choi, B., Reicher, J.J., Peng, L., Tse, D., Shetty, S., End-to-End Lung Cancer Screening with Three-Dimensional Deep Learning on Low-Dose Chest Computed Tomography (2019) Nat. Med., 25, pp. 954-961; Zador, A.M., A Critique of Pure Learning and What Artificial Neural Networks Can Learn from Animal Brains (2019) Nat. Commun., 10, p. 3770; Jain, A.K., Mao, J., Mohiuddin, K.M., Artificial Neural Networks: A Tutorial (1996) Computer, 29, pp. 31-44; Tucker, A., Wang, Z., Rotalinti, Y., Myles, P., Generating High-Fidelity Synthetic Patient Data for Assessing Machine Learning Healthcare Software (2020) NPJ. Digit. Med., 3, p. 147; McCradden, M.D., Stephenson, E.A., Anderson, J.A., Clinical Research Underlies Ethical Integration of Healthcare Artificial Intelligence (2020) Nat. Med., 26, pp. 1325-1326; May, M., Eight Ways Machine Learning is Assisting Medicine (2021) Nat. Med., 27, pp. 2-3; Mortenson, W.B., Demers, L., Fuhrer, M.J., Jutai, J.W., Lenker, J., Deruyter, F., Effects of an Assistive Technology Intervention on Older Adults with Disabilities and Their Informal Caregivers: An Exploratory Randomized Controlled Trial (2013) Am. J. Phys. Med. Rehabil., 92, pp. 297-306; Mortenson, W.B., Demers, L., Fuhrer, M.J., Jutai, J.W., Lenker, J., Deruyter, F., How Assistive Technology Use by Individuals with Disabilities Impacts Their Caregivers: A Systematic Review of the Research Evidence (2012) Am. J. Phys. Med. Rehabil., 91, pp. 984-998; Korpela, R.A., Siirtola, T.O., Koivikko, M.J., The Cost of Assistive Devices for Children with Mobility Limitation (1992) Pediatrics, 90, pp. 597-602; Desmond, D., Layton, N., Bentley, J., Boot, F.H., Borg, J., Dhungana, B.M., Gallagher, P., Scherer, M.J., Assistive Technology and People: A Position Paper from the First Global Research, Innovation and Education on Assistive Technology (GREAT) Summit (2018) Disabil. Rehabilitation. Assist. Technol., 13, pp. 437-444; Shen, S., Xiao, X., Xiao, X., Chen, J., Triboelectric Nanogenerators for Self-Powered Breath Monitoring (2021) ACS Appl. Energy Mater.; Parandeh, S., Etemadi, N., Kharaziha, M., Chen, G., Nashalian, A., Xiao, X., Chen, J., Advances in Triboelectric Nanogenerators for Self-Powered Regenerative Medicine (2021) Adv. Funct. Mater., 31, p. 2105169; Xiao, X., Xiao, X., Nashalian, A., Libanori, A., Fang, Y., Li, X., Chen, J., Triboelectric Nanogenerators for Self-Powered Wound Healing (2021) Adv. Healthcare Mater., 10, p. 2100975; Li, X., Tat, T., Chen, J., Triboelectric Nanogenerators for Self-Powered Drug Delivery (2021) Trends Chem., 3, pp. 765-778; Zhang, S., Bick, M., Xiao, X., Chen, G., Nashalian, A., Chen, J., Leveraging Triboelectric Nanogenerators for Bioengineering (2021) Matter, 4, pp. 845-887; Meng, K., Zhao, S., Zhou, Y., Wu, Y., Zhang, S., He, Q., Wang, X., Chen, J., A Wireless Textile-Based Sensor System for Self-Powered Personalized Health Care (2020) Matter, 2, pp. 896-907; Lin, Z., Chen, J., Li, X., Zhou, Z., Meng, K., Wei, W., Yang, J., Wang, Z.L., Triboelectric Nanogenerator Enabled Body Sensor Network for Self-Powered Human Heart-Rate Monitoring (2017) ACS Nano, 11, pp. 8830-8837; Zhou, Z., Chen, K., Li, X., Zhang, S., Wu, Y., Zhou, Y., Meng, K., Chen, J., Sign-to-Speech Translation Using Machine-Learning-Assisted Stretchable Sensor Arrays (2020) Nat. Electron., 3, pp. 571-578; Zhou, Z., Padgett, S., Cai, Z., Conta, G., Wu, Y., He, Q., Zhang, S., Chen, J., Single-Layered Ultra-Soft Washable Smart Textiles for All-Around Ballistocardiograph, Respiration, and Posture Monitoring during Sleep (2020) Biosens. Bioelectron., 155, p. 112064; Zhao, X., Askari, H., Chen, J., Nanogenerators for Smart Cities in the Era of 5G and Internet of Things (2021) Joule, 5, pp. 1391-1431; Tat, T., Libanori, A., Au, C., Yau, A., Chen, J., Advances in Triboelectric Nanogenerators for Biomedical Sensing (2021) Biosens. Bioelectron., 171, p. 112714; Xiao, X., Chen, G., Libanori, A., Chen, J., Wearable Triboelectric Nanogenerators for Therapeutics (2021) Trends Chem., 3, pp. 279-290; Huang, C., Chen, G., Nashalian, A., Chen, J., Advances in Self-Powered Chemical Sensing via a Triboelectric Nanogenerator (2021) Nanoscale, 13, pp. 2065-2081; Zhang, N., Tao, C., Fan, X., Chen, J., Progress in Triboelectric Nanogenerators as Self-Powered Smart Sensors (2017) J. Mater. Res., 32, pp. 1628-1646; Chen, J., Wang, Z.L., Reviving Vibration Energy Harvesting and Self-Powered Sensing by a Triboelectric Nanogenerator (2017) Joule, 1, pp. 480-521; Yang, J., Chen, J., Yang, Y., Zhang, H., Yang, W., Bai, P., Su, Y., Wang, Z.L., Broadband Vibrational Energy Harvesting Based on a Triboelectric Nanogenerator (2014) Adv. Energy Mater., 4, p. 1301322; Su, Y., Yang, T., Zhao, X., Cai, Z., Chen, G., Yao, M., Chen, K., Chen, J., A Wireless Energy Transmission Enabled Wearable Active Acetone Biosensor for Non-Invasive Prediabetes Diagnosis (2020) Nano Energy, 74, p. 104941; Su, Y., Wang, J., Wang, B., Yang, T., Yang, B., Xie, G., Zhou, Y., Chen, J., Alveolus-Inspired Active Membrane Sensors for Self-Powered Wearable Chemical Sensing and Breath Analysis (2020) ACS Nano, 14, pp. 6067-6075; Su, Y., Chen, G., Chen, C., Gong, Q., Xie, G., Yao, M., Tai, H., Chen, J., Self-Powered Respiration Monitoring Enabled by a Triboelectric Nanogenerator (2021) Adv. Mater., 33, p. 2101262; Chen, G., Au, C., Chen, J., Textile Triboelectric Nanogenerators for Wearable Pulse Wave Monitoring (2021) Trends Biotechnol., 39, pp. 1078-1092; Xu, J., Fang, Y., Chen, J., Wearable Biosensors for Non-Invasive Sweat Diagnostics (2021) Biosensors, 11, p. 245; Shen, S., Xiao, X., Xiao, X., Chen, J., Wearable Triboelectric Nanogenerators for Heart Rate Monitoring (2021) Chem. Commun., 57, pp. 5871-5879; Xu, Q., Fang, Y., Jing, Q., Hu, N., Lin, K., Pan, Y., Xu, L., Wang, L., A Portable Triboelectric Spirometer for Wireless Pulmonary Function Monitoring (2021) Biosens. Bioelectron., 187, p. 113329; Fang, Y., Zou, Y., Xu, J., Chen, G., Zhou, Y., Deng, W., Zhao, X., Chen, J., Ambulatory Cardiovascular Monitoring via a Machine-Learning-Assisted Textile Triboelectric Sensor (2021) Adv. Mater., 33, p. 2104178; Liu, R., Kuang, X., Deng, J., Wang, Y.-C., Wang, A.C., Ding, W., Lai, Y.-C., Wang, Z.L., Shape Memory Polymers for Body Motion Energy Harvesting and Self-Powered Mechanosensing (2018) Adv. Mater., 30, p. 1705195; Wen, Z., Yang, Y., Sun, N., Li, G., Liu, Y., Chen, C., Shi, J., Sun, X., A Wrinkled PEDOT:PSS Film Based Stretchable and Transparent Triboelectric Nanogenerator for Wearable Energy Harvesters and Active Motion Sensors (2018) Adv. Funct. Mater., 28, p. 1803684; Lama, J., Yau, A., Chen, G., Sivakumar, A., Zhao, X., Chen, J., Textile Triboelectric Nanogenerators for Self-Powered Biomonitoring (2021) J. Mater. Chem. A, 9, pp. 19149-19178; Su, Y., Li, W., Yuan, L., Chen, C., Pan, H., Xie, G., Conta, G., Chen, J., Piezoelectric Fiber Composites with Polydopamine Interfacial Layer for Self-Powered Wearable Biomonitoring (2021) Nano Energy, 89, p. 106321; Su, Y., Chen, C., Pan, H., Yang, Y., Chen, G., Zhao, X., Li, W., Chen, J., Muscle Fibers Inspired High-Performance Piezoelectric Textiles for Wearable Physiological Monitoring (2021) Adv. Funct. Mater., 31, p. 2010962; Liu, D.-S., Ryu, H., Khan, U., Wu, C., Jung, J.-H., Wu, J., Wang, Z., Kim, S.-W., Piezoionic-Powered Graphene Strain Sensor Based on Solid Polymer Electrolyte (2021) Nano Energy, 81, p. 105610; Fan, W., He, Q., Meng, K., Tan, X., Zhou, Z., Zhang, G., Yang, J., Wang, Z.L., Machine-Knitted Washable Sensor Array Textile for Precise Epidermal Physiological Signal Monitoring (2020) Sci. Adv., 6, p. eaay2840; Xiong, J., Cui, P., Chen, X., Wang, J., Parida, K., Lin, M.-F., Lee, P.S., Skin-Touch-Actuated Textile-Based Triboelectric Nanogenerator with Black Phosphorus for Durable Biomechanical Energy Harvesting (2018) Nat. Commun., 9, p. 4280; Conta, G., Libanori, A., Tat, T., Chen, G., Chen, J., Triboelectric Nanogenerators for Therapeutic Electrical Stimulation (2021) Adv. Mater., 33, p. 2007502; Zhou, Y., Zhao, X., Xu, J., Fang, Y., Chen, G., Song, Y., Li, S., Chen, J., Giant Magnetoelastic Effect in Soft Systems for Bioelectronics (2021) Nat. Mater., 20, pp. 1670-1676; Chen, G., Zhao, X., Andalib, S., Xu, J., Zhou, Y., Tat, T., Lin, K., Chen, J., Discovering Giant Magnetoelasticity in Soft Matter for Electronic Textiles (2021) Matter, 4, pp. 3725-3740; Zhao, X., Zhou, Y., Xu, J., Chen, G., Fang, Y., Tat, T., Xiao, X., Chen, J., Soft Fibers with Magnetoelasticity for Wearable Electronics (2021) Nat. Commun., 12, p. 6755; Chen, G., Zhou, Y., Fang, Y., Zhao, X., Shen, S., Tat, T., Nashalian, A., Chen, J., Wearable Ultrahigh Current Power Source Based on Giant Magnetoelastic Effect in Soft Elastomer System (2021) ACS Nano; Askari, H., Saadatnia, Z., Asadi, E., Khajepour, A., Khamesee, M.B., Zu, J., A Flexible Hybridized Electromagnetic-Triboelectric Multi-Purpose Self-Powered Sensor (2018) Nano Energy, 45, pp. 319-329; Lai, Y.-C., Lu, H.-W., Wu, H.-M., Zhang, D., Yang, J., Ma, J., Shamsi, M., Dickey, M.D., Elastic Multifunctional Liquid-Metal Fibers for Harvesting Mechanical and Electromagnetic Energy and as Self-Powered Sensors (2021) Adv. Energy Mater., 11, p. 2100411; Zhou, Z., Weng, L., Tat, T., Libanori, A., Lin, Z., Ge, L., Yang, J., Chen, J., Smart Insole for Robust Wearable Biomechanical Energy Harvesting in Harsh Environments (2020) ACS Nano, 14, pp. 14126-14133; Wen, F., Sun, Z., He, T., Shi, Q., Zhu, M., Zhang, Z., Li, L., Lee, C., Machine Learning Glove Using Self-Powered Conductive Superhydrophobic Triboelectric Textile for Gesture Recognition in VR/AR Applications (2020) Adv. Sci., 7, p. 2000261; Wang, Z.L., Song, J., Piezoelectric Nanogenerators Based on Zinc Oxide Nanowire Arrays (2006) Science, 312, pp. 242-246; Ha, D.X., Zheng, J., Belegundu, U., Uchino, K., Crystal Orientation Dependence of Piezoelectric Properties of Lead Zirconate Titanate near the Morphotropic Phase Boundary (1998) Appl. Phys. Lett., 72, pp. 2421-2423; Wang, H.S., Hong, S.K., Han, J.H., Jung, Y.H., Jeong, H.K., Im, T.H., Jeong, C.K., Lee, K.J., Biomimetic and Flexible Piezoelectric Mobile Acoustic Sensors with Multiresonant Ultrathin Structures for Machine Learning Biometrics (2021) Sci. Adv., 7, p. eabe5683; Ertuǧ, B., The Overview of the Electrical Properties of Barium Titanate (2013) Am. J. Eng. Res., 2, pp. 32-43; Cholleti, E.R., Stringer, J., Kelly, P., Bowen, C., Aw, K., The Effect of Barium Titanate Ceramic Loading on the Stress Relaxation Behavior of Barium Titanate-Silicone Elastomer Composites (2020) Polym. Eng. Sci., 60, pp. 3086-3094; Chen, S., Luo, J., Wang, X., Li, Q., Zhou, L., Liu, C., Feng, C., Fabrication and Piezoresistive/Piezoelectric Sensing Characteristics of Carbon Nanotube/PVA/Nano-ZnO Flexible Composite (2020) Sci. Rep., 10, p. 8895; Lee, P.-C., Hsiao, Y.-L., Dutta, J., Wang, R.-C., Tseng, S.-W., Liu, C.-P., Development of Porous ZnO Thin Films for Enhancing Piezoelectric Nanogenerators and Force Sensors (2021) Nano Energy, 82, p. 105702; Jaffe, B., Roth, R., Marzullo, S., Piezoelectric Properties of Lead Zirconate-Lead Titanate Solid-Solution Ceramics (1954) J. Appl. Phys., 25, pp. 809-810; Piazza, G., Stephanou, P.J., Pisano, A.P., Piezoelectric Aluminum Nitride Vibrating Contour-Mode MEMS Resonators (2006) J. Microelectromech. Syst., 15, pp. 1406-1418; Won, S.S., Sheldon, M., Mostovych, N., Kwak, J., Chang, B.-S., Ahn, C.W., Kingon, A.I., Kim, S.-H., Piezoelectric Poly (Vinylidene Fluoride Trifluoroethylene) Thin Film-Based Power Generators Using Paper Substrates for Wearable Device Applications (2015) Appl. Phys. Lett., 107, p. 202901; Anwar, S., Hassanpour Amiri, M., Jiang, S., Abolhasani, M.M., Rocha, P.R., Asadi, K., Piezoelectric Nylon-11 Fibers for Electronic Textiles, Energy Harvesting and Sensing (2021) Adv. Funct. Mater., 31, p. 2004326; Datta, A., Choi, Y.S., Chalmers, E., Ou, C., Kar-Narayan, S., Piezoelectric Nylon-11 Nanowire Arrays Grown by Template Wetting for Vibrational Energy Harvesting Applications (2017) Adv. Funct. Mater., 27, p. 1604262; Fan, F.-R., Lin, L., Zhu, G., Wu, W., Zhang, R., Wang, Z.L., Transparent Triboelectric Nanogenerators and Self-Powered Pressure Sensors Based on Micropatterned Plastic Films (2012) Nano Lett., 12, pp. 3109-3114; Zou, Y., Xu, J., Fang, Y., Zhao, X., Zhou, Y., Chen, J., A Hand-Driven Portable Triboelectric Nanogenerator Using Whirligig Spinning Dynamics (2021) Nano Energy, 83, p. 105845; Jin, L., Xiao, X., Deng, W., Nashalian, A., He, D., Raveendran, V., Yan, C., Chen, J., Manipulating Relative Permittivity for High-Performance Wearable Triboelectric Nanogenerators (2020) Nano Lett., 20, pp. 6404-6411; Deng, W., Zhou, Y., Zhao, X., Zhang, S., Zou, Y., Xu, J., Yeh, M.-H., Chen, J., Ternary Electrification Layered Architecture for High-Performance Triboelectric Nanogenerators (2020) ACS Nano, 14, pp. 9050-9058; Zhang, B., Chun, F., Chen, G., Yang, T., Libanori, A., Chen, K., Conta, G., Chen, J., Water-Evaporation-Induced Intermolecular Force for Nano-Wrinkled Polymeric Membrane (2021) Cell Rep. Phys. Sci., 2, p. 100441; Yan, C., Gao, Y., Zhao, S., Zhang, S., Zhou, Y., Deng, W., Li, Z., Chen, J., A Linear-to-Rotary Hybrid Nanogenerator for High-Performance Wearable Biomechanical Energy Harvesting (2020) Nano Energy, 67, p. 104235; Chen, G., Li, Y., Bick, M., Chen, J., Smart Textiles for Electricity Generation (2020) Chem. Rev., 120, pp. 3668-3720; Zou, Y., Libanori, A., Xu, J., Nashalian, A., Chen, J., Triboelectric Nanogenerator Enabled Smart Shoes for Wearable Electricity Generation (2020) Research, 2020, p. 7158953; Xu, J., Zou, Y., Nashalian, A., Chen, J., Leverage Surface Chemistry for High-Performance Triboelectric Nanogenerators (2020) Front. Chem., 8, p. 577327; Zou, Y., Xu, J., Chen, K., Chen, J., Triboelectric Nanogenerators: Advances in Nanostructures for High-Performance Triboelectric Nanogenerators (2021) Adv. Mater. Technol., 6, p. 2170016; Zhou, Y., Deng, W., Xu, J., Chen, J., Engineering Materials at the Nanoscale for Triboelectric Nanogenerators (2020) Cell Rep. Phys. Sci., 1, p. 100142; Xiao, X., Xiao, X., Zhou, Y., Zhao, X., Chen, G., Liu, Z., Wang, Z., Chen, J., An Ultrathin Rechargeable Solid-State Zinc Ion Fiber Battery for Electronic Textiles (2021) Sci. Adv., 7, p. eabl3742; Chun, J., Ye, B.U., Lee, J.W., Choi, D., Kang, C.-Y., Kim, S.-W., Wang, Z.L., Baik, J.M., Boosted Output Performance of Triboelectric Nanogenerator via Electric Double Layer Effect (2016) Nat. Commun., 7 (1), p. 12985; Wang, D., Zhang, D., Yang, Y., Mi, Q., Zhang, J., Yu, L., Multifunctional Latex/Polytetrafluoroethylene-Based Triboelectric Nanogenerator for Self-Powered Organ-Like MXene/Metal-Organic Framework-Derived CuO Nanohybrid Ammonia Sensor (2021) ACS Nano, 15, pp. 2911-2919; Yun, B.K., Kim, J.W., Kim, H.S., Jung, K.W., Yi, Y., Jeong, M.-S., Ko, J.-H., Jung, J.H., Base-Treated Polydimethylsiloxane Surfaces as Enhanced Triboelectric Nanogenerators (2015) Nano Energy, 15, pp. 523-529; Kim, Y., Wu, X., Oh, J.H., Fabrication of Triboelectric Nanogenerators Based on Electrospun Polyimide Nanofibers Membrane (2020) Sci. Rep., 10, p. 2742; Wang, N., Liu, Y., Wu, Y., Li, Z., Wang, D., A β-cyclodextrin Enhanced Polyethylene Terephthalate Film with Improved Contact Charging Ability in a High Humidity Environment (2021) Nanoscale Adv., 3, pp. 6063-6073; Qian, J., He, J., Qian, S., Zhang, J., Niu, X., Fan, X., Wang, C., Chou, X., A Nonmetallic Stretchable Nylon-Modified High Performance Triboelectric Nanogenerator for Energy Harvesting (2020) Adv. Funct. Mater., 30, p. 1907414; Tang, W., Jiang, T., Fan, F.R., Yu, A.F., Zhang, C., Cao, X., Wang, Z.L., Liquid-Metal Electrode for High-Performance Triboelectric Nanogenerator at an Instantaneous Energy Conversion Efficiency of 70.6% (2015) Adv. Funct. Mater., 25, pp. 3718-3725; Guo, H., Pu, X., Chen, J., Meng, Y., Yeh, M.-H., Liu, G., Tang, Q., Wang, Z.L., A Highly Sensitive, Self-Powered Triboelectric Auditory Sensor for Social Robotics and Hearing Aids (2018) Sci. Robot., 3, p. aat2516; Liu, C., Wang, Y., Zhang, N., Yang, X., Wang, Z., Zhao, L., Yang, W., Zhou, X., A Self-Powered and High Sensitivity Acceleration Sensor with V-Q- a Model Based on Triboelectric Nanogenerators (TENGs) (2020) Nano Energy, 67, p. 104228; Wang, X., Zhang, H., Dong, L., Han, X., Du, W., Zhai, J., Pan, C., Wang, Z.L., Self-Powered High-Resolution and Pressure-Sensitive Triboelectric Sensor Matrix for Real-Time Tactile Mapping (2016) Adv. Mater., 28, pp. 2896-2903; Jiang, B., Long, Y., Pu, X., Hu, W., Wang, Z.L., A Stretchable, Harsh Condition-Resistant and Ambient-Stable Hydrogel and its Applications in Triboelectric Nanogenerator (2021) Nano Energy, 86, p. 106086; Liu, Y., Mo, J., Fu, Q., Lu, Y., Zhang, N., Wang, S., Nie, S., Enhancement of Triboelectric Charge Density by Chemical Functionalization (2020) Adv. Funct. Mater., 30, p. 2004714; Brown Jr, W.F., Theory of Magnetoelastic Effects in Ferromagnetism (1965) J. Appl. Phys., 36, pp. 994-1000; Moran, T., Lüthi, B., Elastic and Magnetoelastic Effects in Magnetite (1969) Phys. Rev., 187, p. 710; Zhao, D., Castán, T., Planes, A., Li, Z., Sun, W., Liu, J., Enhanced Caloric Effect Induced by Magnetoelastic Coupling in NiMnGaCu Heusler Alloys: Experimental Study and Theoretical Analysis (2017) Phys. Rev. B: Condens. Matter Mater. Phys., 96, p. 224105; Du Tremolet De Lacheisserie, E., Magnetoelastic Properties of Amorphous Alloys (1982) J. Magn. Magn. Mater., 25, pp. 251-270; Bell, T.H., Barrow, B.J., Miller, J.T., Subsurface Discrimination Using Electromagnetic Induction Sensors (2001) IEEE Trans. Geosci. Remote Sens., 39, pp. 1286-1293; Farhat, M., Yang, M., Ye, Z., Chen, P.-Y., PT-Symmetric Absorber-Laser Enables Electromagnetic Sensors with Unprecedented Sensitivity (2020) ACS Photonics, 7, pp. 2080-2088; Zhang, B., Chen, J., Jin, L., Deng, W., Zhang, L., Zhang, H., Zhu, M., Wang, Z.L., Rotating-Disk-Based Hybridized Electromagnetic-Triboelectric Nanogenerator for Sustainably Powering Wireless Traffic Volume Sensors (2016) ACS Nano, 10, pp. 6241-6247; Lu, J., Cheng, W., Shi, Y., Jia, P., Liao, C., Zhang, K., Song, L., Hu, Y., A Facile Strategy for Lightweight, Anti-Dripping, Flexible Polyurethane Foam with Low Smoke Emission Tendency and Superior Electromagnetic Wave Blocking (2021) J. Colloid Interface Sci., 603, pp. 25-36; Gu, H., Xu, Y., Shen, Y., Zhu, P., Zhao, T., Hu, Y., Sun, R., Wong, C.-P., Versatile Biomass Carbon Foams for Fast Oil-Water Separation, Flexible Pressure-Strain Sensors, and Electromagnetic Interference Shielding (2020) Ind. Eng. Chem. Res., 59, pp. 20740-20748; Zhang, W., Zhang, X., Wu, Z., Abdurahman, K., Cao, Y., Duan, H., Jia, D., Mechanical, Electromagnetic Shielding and Gas Sensing Properties of Flexible Cotton Fiber/Polyaniline Composites (2020) Compos. Sci. Technol., 188, p. 107966; Yunus, M.A.M., Mukhopadhyay, S.C., Novel Planar Electromagnetic Sensors for Detection of Nitrates and Contamination in Natural Water Sources (2011) IEEE Sens. J., 11, pp. 1440-1447; Fang, Y., Chen, G., Bick, M., Chen, J., Smart Textiles for Personalized Thermoregulation (2021) Chem. Soc. Rev., 50, pp. 9357-9374; Fang, Y., Zhao, X., Chen, G., Tat, T., Chen, J., Smart Polyethylene Textiles for Radiative and Evaporative Cooling (2021) Joule, 5, pp. 752-754; Fang, Y., Zhao, X., Tat, T., Xiao, X., Chen, G., Xu, J., Chen, J., All-in-One Conformal Epidermal Patch for Multimodal Biosensing (2021) Matter, 4, pp. 1102-1105; Wen, F., Zhang, Z., He, T., Lee, C., AI Enabled Sign Language Recognition and VR Space Bidirectional Communication Using Triboelectric Smart Glove (2021) Nat. Commun., 12, p. 5378; Shao, H., Wang, H., Cao, Y., Ding, X., Fang, J., Wang, W., Jin, X., Lin, T., High-Performance Voice Recognition Based on Piezoelectric Polyacrylonitrile Nanofibers (2021) Adv. Electron. Mater., 7, p. 2100206; Zhu, M., Shi, Q., He, T., Yi, Z., Ma, Y., Yang, B., Chen, T., Lee, C., Self-Powered and Self-Functional Cotton Sock Using Piezoelectric and Triboelectric Hybrid Mechanism for Healthcare and Sports Monitoring (2019) ACS Nano, 13, pp. 1940-1952; Zhang, Z., He, T., Zhu, M., Sun, Z., Shi, Q., Zhu, J., Dong, B., Lee, C., Deep Learning-Enabled Triboelectric Smart Socks for IoT-Based Gait Analysis and VR Applications (2020) NPJ. Flex. Electron., 4, p. 29; Cao, X., Xiong, Y., Sun, J., Zhu, X., Sun, Q., Wang, Z.L., Piezoelectric Nanogenerators Derived Self-Powered Sensors for Multifunctional Applications and Artificial Intelligence (2021) Adv. Funct. Mater., 31, p. 2102983; Jung, Y.H., Hong, S.K., Wang, H.S., Han, J.H., Pham, T.X., Park, H., Kim, J., Lee, K.J., Flexible Piezoelectric Acoustic Sensors and Machine Learning for Speech Processing (2020) Adv. Mater., 32, p. 1904020; Zhu, M., Sun, Z., Zhang, Z., Shi, Q., He, T., Liu, H., Chen, T., Lee, C., Haptic-Feedback Smart Glove as a Creative Human-Machine Interface (HMI) for Virtual/Augmented Reality Applications (2020) Sci. Adv., 6, p. eaaz8693; Jin, T., Sun, Z., Li, L., Zhang, Q., Zhu, M., Zhang, Z., Yuan, G., Lee, C., Triboelectric Nanogenerator Sensors for Soft Robotics Aiming at Digital Twin Applications (2020) Nat. Commun., 11, p. 5381; Zhou, Y., Shen, M., Cui, X., Shao, Y., Li, L., Zhang, Y., Triboelectric Nanogenerator Based Self-Powered Sensor for Artificial Intelligence (2021) Nano Energy, 84, p. 105887; Luo, J., Gao, W., Wang, Z.L., The Triboelectric Nanogenerator as an Innovative Technology Toward Intelligent Sports (2021) Adv. Mater., 33, p. 2004178; Shi, Q., Zhang, Z., He, T., Sun, Z., Wang, B., Feng, Y., Shan, X., Lee, C., Deep Learning Enabled Smart Mats as a Scalable Floor Monitoring System (2020) Nat. Commun., 11, p. 4609; Jiao, P., Emerging Artificial Intelligence in Piezoelectric and Triboelectric Nanogenerators (2021) Nano Energy, 88, p. 106227; Li, S., Yan, Z., Liu, Z., Chen, J., Zhi, Y., Guo, D., Li, P., Tang, W., A Self-Powered Solar-Blind Photodetector with Large VOCEnhancing Performance Based on the PEDOT:PSS/Ga2O3Organic-Inorganic Hybrid Heterojunction (2020) J. Mater. Chem. C, 8, pp. 1292-1300; Guo, X., He, T., Zhang, Z., Luo, A., Wang, F., Ng, E.J., Zhu, Y., Lee, C., Artificial Intelligence-Enabled Caregiving Walking Stick Powered by Ultra-Low-Frequency Human Motion (2021) ACS Nano</t>
  </si>
  <si>
    <t>2-s2.0-85121981506</t>
  </si>
  <si>
    <t>Machine-learning-aided self-powered assistive physical therapy devices</t>
  </si>
  <si>
    <t>Gruebner O., Sykora M., Lowe S.R., Shankardass K., Galea S., Subramanian S.V.</t>
  </si>
  <si>
    <t>35233335600;15061787500;23135269800;25643505400;7006024584;57203271614;</t>
  </si>
  <si>
    <t>Big data opportunities for social behavioral and mental health research</t>
  </si>
  <si>
    <t>Social Science and Medicine</t>
  </si>
  <si>
    <t>167</t>
  </si>
  <si>
    <t>169</t>
  </si>
  <si>
    <t>10.1016/j.socscimed.2017.07.018</t>
  </si>
  <si>
    <t>https://www.scopus.com/inward/record.uri?eid=2-s2.0-85026238902&amp;doi=10.1016%2fj.socscimed.2017.07.018&amp;partnerID=40&amp;md5=4550665d07fceb404652ef059323e86c</t>
  </si>
  <si>
    <t>Humboldt-Universität zu Berlin, Geography Department, Unter den Linden 6, Berlin, 10099, Germany; University of Zürich, Epidemiology, Biostatistics, and Prevention Institut, Hirchengraben 84, Zürich, 8001, Switzerland; Loughborough University, School of Business and Economics, Centre for Information Management (CIM), Loughborough, Leicestershire, LE11 3TU, United Kingdom; Montclair State University, Department of Psychology, 1 Normal Avenue, Montclair, NJ, United States; Wilfrid Laurier University, Department of Health Sciences, 75 University Avenue West, Waterloo, Ontario  N2L 3C5, Canada; Boston University, School of Public Health, 715 Albany Street, Talbot 301, Boston, MA  02118, United States; Harvard T.H. Chan School of Public Health, Department of Social and Behavioral Sciences, 677 Huntington Avenue, Boston, MA  02115, United States</t>
  </si>
  <si>
    <t>Gruebner, O., Humboldt-Universität zu Berlin, Geography Department, Unter den Linden 6, Berlin, 10099, Germany, University of Zürich, Epidemiology, Biostatistics, and Prevention Institut, Hirchengraben 84, Zürich, 8001, Switzerland; Sykora, M., Loughborough University, School of Business and Economics, Centre for Information Management (CIM), Loughborough, Leicestershire, LE11 3TU, United Kingdom; Lowe, S.R., Montclair State University, Department of Psychology, 1 Normal Avenue, Montclair, NJ, United States; Shankardass, K., Wilfrid Laurier University, Department of Health Sciences, 75 University Avenue West, Waterloo, Ontario  N2L 3C5, Canada; Galea, S., Boston University, School of Public Health, 715 Albany Street, Talbot 301, Boston, MA  02118, United States; Subramanian, S.V., Harvard T.H. Chan School of Public Health, Department of Social and Behavioral Sciences, 677 Huntington Avenue, Boston, MA  02115, United States</t>
  </si>
  <si>
    <t>[No abstract available]</t>
  </si>
  <si>
    <t>Emotions; Geo-social media; Mental health; Sentiment; Social media</t>
  </si>
  <si>
    <t>access to information; classification; cluster analysis; depression; emotionality; health hazard; human; hurricane; information dissemination; machine learning; medical information; medical research; mental disease; mental health; mental health care; natural disaster; natural language processing; Note; online system; posttraumatic stress disorder; psychological well-being; risk assessment; risk factor; social behavior; social interaction; social media; social network; social psychology; social support; suicidal behavior; terrorism; behavioral research; data mining; procedures; social media; Behavioral Research; Data Mining; Humans; Mental Health; Social Media</t>
  </si>
  <si>
    <t>Bollen, J., Pepe, A., Mao, H., Modeling public mood and emotion: twitter sentiment and socio-economic phenomena (2011) Proceedings of the Fifth International AAAI Conference on Weblogs and Social Media (ICWSM 2011), , 17–21 July 2011, Barcelona, Spain. Presented at the Fifth International AAAI Conference on Weblogs and Social Media; Conway, M., O'Connor, D., Social media, big data, and mental health: current advances and ethical implications (2016) Curr. Opin. Psychol., 9, pp. 77-82; Coppersmith, G., Harman, C., Dredze, M., Measuring post traumatic stress disorder in twitter (2014) Eighth International AAAI Conference on Weblogs and Social Media, pp. 579-582. , Eighth International AAAI Conference on Weblogs and Social Media; De Choudhury, M., Counts, S., Horvitz, E., Social media as a measurement tool of depression in populations (2013) Proceedings of the 5th Annual ACM Web Science Conference on - WebSci ’13; Dodds, P.S., Harris, K.D., Kloumann, I.M., Bliss, C.A., Danforth, C.M., Temporal patterns of happiness and information in a global social network: hedonometrics and twitter (2011) PLoS One, 6, p. e26752; Gerrard, D., Sykora, M., Jackson, T., Social media analytics in museums: extracting expressions of inspiration (2017) Mus. Manag. Curatorsh., 32, pp. 232-250; Glass, K., Colbaugh, R., Estimating the sentiment of social media content for security informatics applications (2011) Proceedings of 2011 IEEE International Conference on Intelligence and Security Informatics; Gruebner, O., Lowe, S.R., Sykora, M., Shankardass, K., Subramanian, S.V., Galea, S., A novel surveillance approach for disaster mental health (2017) PLoS ONE, 12 (7), p. e0181233; Gruebner, O., Sykora, M., Lowe, S.R., Shankardass, K., Trinquart, L., Jackson, T., Subramanian, S.V., Galea, S., Mental health surveillance after the terrorist attacks in Paris (2016) Lancet, 387, pp. 2195-2196; Haight, M., Quan-Haase, A., Corbett, B.A., Revisiting the digital divide in Canada: the impact of demographic factors on access to the internet, level of online activity, and social networking site usage (2014) Inf. Commun. Soc., 17, pp. 503-519; Junco, R., Merson, D., Salter, D.W., The effect of gender, ethnicity, and income on college students’ use of communication technologies (2010) Cyberpsychol. Behav. Soc. Netw., 13, pp. 619-627; Kuehn, B.M., Twitter streams fuel big data approaches to health forecasting (2015) JAMA, 314, pp. 2010-2012; Moreno, M.A., Goniu, N., Moreno, P.S., Diekema, D., Ethics of social media research: common concerns and practical considerations (2013) Cyberpsychol. Behav. Soc. Netw., 16, pp. 708-713; Murphy, S.C., A hands-on guide to conducting psychological research on twitter (2017) Soc. Psychol. Personal. Sci., 8, pp. 396-412; Peng, X., Luo, J., Glenn, C., Zhan, J., Liu, Y., Large-scale Sleep Condition Analysis Using Selfies from Social Media (2017), arXiv preprint arXi:1704; Ravi, K., Ravi, V., A survey on opinion mining and sentiment analysis: tasks, approaches and applications (2015) Knowledge-Based Syst., 89, pp. 14-46; Robertson, C., Feick, R., Sykora, M., Shankardass, K., Shaughnessy, K., Personal activity centres and geosocial data analysis: combining big data with small data (2017) Lecture Notes in Geoinformation and Cartography, pp. 145-161; Sadilek, A., Kautz, H., DiPrete, L., Labus, B., Portman, E., Teitel, J., Silenzio, V., Deploying nEmesis: preventing foodborne illness by data mining social media (2016) Proceedings of the Thirtieth AAAI Conference on Artificial Intelligence, pp. 3982-3989. , AAAI Press; Sax, M., Big data: finders keepers, losers weepers? (2016) Ethics Inf. Technol., 18, pp. 25-31; Shaughnessy, K., Reyes, R., Shankardass, K., Sykora, M., Feick, R., Lawrence, H., Robertson, C., Using geolocated social media for ecological momentary assessments of emotion: innovative opportunities in psychology science and practice (2017) Can. Psychology/Psychologie Can.; Shilton, K., Sayles, S., “We Aren't all going to Be on the same page about ethics”: ethical practices and challenges in research on digital and social media (2016) 2016 49th Hawaii International Conference on System Sciences (HICSS); Sinnenberg, L., Buttenheim, A.M., Padrez, K., Mancheno, C., Ungar, L., Merchant, R.M., Twitter as a tool for health research: a systematic review (2017) Am. J. Public Health, 107, p. 143; Sloan, L., Morgan, J., Who tweets with their Location? Understanding the relationship between demographic characteristics and the use of geoservices and geotagging on twitter (2015) PLoS One, 10, p. e0142209; Sloan, L., Morgan, J., Burnap, P., Williams, M., Who tweets? Deriving the demographic characteristics of age, occupation and social class from twitter user meta-data (2015) PLoS One, 10, p. e0115545; Sykora, M., A Treatise on Web 2.0 with a Case Study from the Financial Markets (PhD) (2012), Loughborough University; Sykora, M.D., Jackson, T.W., OBrien, A., Elayan, S., Emotive ontology: extracting fine-grained emotions from terse, informal messages (2013) Int. J. Comput. Sci. Inf. Syst., 8, pp. 106-118; Sykora, M., Robertson, C., Shankardass, K., Feick, R., Shaughnessy, K., Coates, B., Haydn, L., Jackson, T.W., Stresscapes: validating linkages between place and stress expression on social media (2015) ICML 2015-2nd International Workshop on Mining Urban Data; Thelwall, M., TensiStrength: stress and relaxation magnitude detection for social media texts (2017) Inf. Process. Manag., 53, pp. 106-121; Thelwall, M., Buckley, K., Paltoglou, G., Sentiment in twitter events (2010) J. Am. Soc. Inf. Sci. Technol., 62, pp. 406-418; Ueda, M., Mori, K., Matsubayashi, T., Sawada, Y., Tweeting celebrity suicides: users’ reaction to prominent suicide deaths on Twitter and subsequent increases in actual suicides (2017) Soc. Sci. Med.; Zimmer, M., Proferes, N.J., A topology of Twitter research: disciplines, methods, and ethics (2014) Aslib J. Inf. Manag., 66, pp. 250-261</t>
  </si>
  <si>
    <t>02779536</t>
  </si>
  <si>
    <t>SSMDE</t>
  </si>
  <si>
    <t>Soc. Sci. Med.</t>
  </si>
  <si>
    <t>2-s2.0-85026238902</t>
  </si>
  <si>
    <t>Supriya M., Chattu V.K.</t>
  </si>
  <si>
    <t>57203399257;55743746500;</t>
  </si>
  <si>
    <t>A review of artificial intelligence, big data, and blockchain technology applications in medicine and global health</t>
  </si>
  <si>
    <t>Big Data and Cognitive Computing</t>
  </si>
  <si>
    <t>41</t>
  </si>
  <si>
    <t>10.3390/bdcc5030041</t>
  </si>
  <si>
    <t>https://www.scopus.com/inward/record.uri?eid=2-s2.0-85114881828&amp;doi=10.3390%2fbdcc5030041&amp;partnerID=40&amp;md5=1edcb8145453b08803461182804f33bf</t>
  </si>
  <si>
    <t>Department of Information and Communication Engineering, Anna University, Chennai, 600025, India; Department of Medicine, Temerty Faculty of Medicine, University of Toronto, Toronto, ON  M5S 1A8, Canada; Division of Occupational Medicine, Occupational Medicine Clinic, St. Michael’s Hospital, Toronto, ON  M5C 2C5, Canada; Department of Public Health, Saveetha Medical College and Hospitals, Savitha Institute of Medical and Technical Sciences, Saveetha University, Chennai, 600077, India</t>
  </si>
  <si>
    <t>Supriya, M., Department of Information and Communication Engineering, Anna University, Chennai, 600025, India; Chattu, V.K., Department of Medicine, Temerty Faculty of Medicine, University of Toronto, Toronto, ON  M5S 1A8, Canada, Division of Occupational Medicine, Occupational Medicine Clinic, St. Michael’s Hospital, Toronto, ON  M5C 2C5, Canada, Department of Public Health, Saveetha Medical College and Hospitals, Savitha Institute of Medical and Technical Sciences, Saveetha University, Chennai, 600077, India</t>
  </si>
  <si>
    <t>Artificial intelligence (AI) programs are applied to methods such as diagnostic procedures, treatment protocol development, patient monitoring, drug development, personalized medicine in healthcare, and outbreak predictions in global health, as in the case of the current COVID-19 pandemic. Machine learning (ML) is a field of AI that allows computers to learn and improve without being explicitly programmed. ML algorithms can also analyze large amounts of data called Big data through electronic health records for disease prevention and diagnosis. Wearable medical devices are used to continuously monitor an individual’s health status and store it in cloud computing. In the context of a newly published study, the potential benefits of sophisticated data analytics and machine learning are discussed in this review. We have conducted a literature search in all the popular databases such as Web of Science, Scopus, MEDLINE/PubMed and Google Scholar search engines. This paper describes the utilization of concepts underlying ML, big data, blockchain technology and their importance in medicine, healthcare, public health surveillance, case estimations in COVID-19 pandemic and other epidemics. The review also goes through the possible consequences and difficulties for medical practitioners and health technologists in designing futuristic models to improve the quality and well-being of human lives. © 2021 by the authors. Licensee MDPI, Basel, Switzerland.</t>
  </si>
  <si>
    <t>Alzheimer’s disease; Artificial intelligence; Big data; Blockchain; Cancers; COVID-19; Health technology; Healthcare; Internet of things; Machine learning</t>
  </si>
  <si>
    <t>Big data; Blockchain; Cloud analytics; Data Analytics; Diagnosis; Internet of things; Machine learning; Patient monitoring; Patient treatment; Search engines; Alzheimer; Alzheimer’s disease; Block-chain; Cancer; Diagnostic procedure; Global health; Health technology; Healthcare; Machine-learning; Technology application; COVID-19</t>
  </si>
  <si>
    <t>Dash, S., Shakyawar, S.K., Sharma, M., Sandeep, K., Big data in healthcare: Management, analysis and future prospects (2019) J. Big Data, 6, pp. 1-25. , [CrossRef]; Anirudh, V.K., (2019) What Is Machine Learning: Definition, Types, Applications and Examples, , https://www.toolbox.com/tech/artificial-intelligence/tech-101/what-is-machine-learning-definition-types-applications-and-examples/, 13 December Available on-line: (accessed on 24 December 2020); Yoon, H.-J., Blockchain Technology and Healthcare (2019) Health Inform. Res, 25, pp. 59-60. , [CrossRef]; Chen, H.S., Jarrell, J.T., Carpenter, K.A., Cohen, D.S., Huang, X., Blockchain in Healthcare: A Patient-Centered Model (2019) Biomed. J. Sci. Tech. Res, 20, p. of15017; Clohessy, T., Hasselgren, A., El-Gazzar, R., Stendal, K., Blockchain in Health Care: Hope or Hype? (2020) J. Med. Internet Res, 22, p. e17199. , [CrossRef]; Top 10 Applications of Machine Learning in Healthcare, , https://www.flatworldsolutions.com/healthcare/articles/top-10-applications-of-machine-learning-in-healthcare.php, Flatworld Solutions. (accessed on 2 January 2021); Tandon, A., Dhir, A., Islam, N., Mäntymäki, M., Blockchain in healthcare: A systematic literature review, synthesizing framework and future research agenda (2020) Comput. Ind, 122, p. 103290. , [CrossRef]; Sadiku, M.N.O., Eze, K.G., Musa, S.M., Block chain Technology in Healthcare (2018) Int. J. Adv. Sci. Res. Eng, 4, pp. 154-159. , [CrossRef]; Cernian, A., Tiganoaia, B., Sacala, I., Pavel, A., Iftemi, A., Patient Data Chain: A Block-chain-Based Approach to Integrate Personal Health Records (2020) Sensors, 20, p. 6538. , [CrossRef]; Tith, D., Lee, J.S., Suzuki, H., Wijesundara, W.M.A.B., Taira, N., Obi, T., Ohyama, N., Patient consent management by a purpose-based consent model for electronic health record based on blockchain technology (2020) Healthc. Inform. Res, 26, pp. 265-273. , [CrossRef]; Benke, K., Benke, G., Artificial intelligence and big data in public health (2018) Int. J. Environ. Res. Public Health, 15, p. 2796. , [CrossRef]; Kaur, P., Sharma, M., Mittal, M., Big Data and Machine Learning Based Secure Healthcare Framework (2018) Procedia Comput. Sci, 132, pp. 1049-1059. , [CrossRef]; Milward, J., (2019) What Is Mobile Health?, , https://www.addiction-ssa.org/knowledge-hub/what-is-mobile-health, 20 May (accessed on 23 January 2021); Khan, Z.F., Alotaibi, S.R., Applications of Artificial Intelligence and Big Data Analytics in m-Health: A Healthcare System Perspective (2020) J. Health Eng, 2020, pp. 1-15. , [CrossRef]; Nafis, M.T., Urooj, A., Biswas, S.S., Recent Machine Learning and Internet of Things (IoT) Applications for Personalized Healthcare: Issues and Challenges (2021) Sustainable and Energy Efficient Computing Paradigms for Society, pp. 119-126. , Ahad, M., Paiva, S., Zafar, S., Eds.; EAI/Springer Innovations in Communication and Computing: Cham, Switzerland, [CrossRef]; Ed-daoudy, A., Maalmi, K., A new Internet of Things architecture for real-time prediction of various diseases using machine learning on big data environment (2019) J. Big Data, 6, pp. 1-25. , [CrossRef]; Siddiqui, S., Nesbitt, R., Shakir, M.Z., Khan, A.A., Khan, A.A., Khan, K.K., Ramzan, N., Artificial Neural Network (ANN) Enabled Internet of Things (IoT) Architecture for Music Therapy (2020) Electronics, 9, p. 2019. , [CrossRef]; Abdelaziz, A., Salama, A.S., Riad, A.M., Mahmoud, A.N., A machine learning model for predicting of chronic kidney disease based internet of things and cloud computing in smart cities (2019) Security in Smart Cities: Models, Applications, and Challenges, pp. 93-114. , Springer: Cham, Switzerland; Almakhadmeh, Z., Tolba, A., Utilizing IoT wearable medical device for heart disease prediction using higher order Boltzmann model: A classification approach (2019) Measurement, 147, p. 106815. , [CrossRef]; Sivaparthipan, C., Muthu, B.A., Manogaran, G., Maram, B., Sundarasekar, R., Krishnamoorthy, S., Hsu, C., Chandran, K., Innovative and efficient method of robotics for helping the Parkinson’s disease patient using IoT in big data analytics (2019) Trans. Emerg. Telecommun. Technol, 31, p. e3838. , [CrossRef]; Grossfield’s, B., Deep Learning VS. Machine Learning: A Simple Way to Learn the Difference, , https://www.zendesk.com/blog/machine-learning-and-deep-learning, 23 January 2020. (accessed on 30 January 2021); https://kidshealth.org/en/kids/heart-disease.html, What Is Heart Disease Heart Disease (for Kids)—Nemours Kidshealth. (accessed on 31 July 2021); Amin, M.S., Chiam, Y.K., Varathan, K.D., Identification of significant features and data mining techniques in predicting heart disease (2018) Telemat. Inform, 36, pp. 82-93. , [CrossRef]; Dua, D., Karra Taniskidou, E., (2017) UCI Machine Learning Repository, , Master’s Thesis, School of Information and Computer Science, University of California, Irvine, CA, USA; Mohan, S., Thirumalai, C., Srivastava, G., Effective Heart Disease Prediction Using Hybrid Machine Learning Techniques (2019) IEEE Access, 7, pp. 81542-81554. , [CrossRef]; Archana, S., Kumar, R., Heart disease prediction using machine learning algorithms Proceedings of the 2020 International Conference on Electrical and Electronics Engineering (ICE3), pp. 452-457. , Fargo, ND, USA, 14–15 February 2020; Haq, A.U., Li, J.P., Memon, M.H., Nazir, S., Sun, R., A Hybrid Intelligent System Framework for the Prediction of Heart Disease Using Machine Learning Algorithms (2018) Mob. Inf. Syst, 2018, pp. 1-21. , [CrossRef]; Saba, B., Khan, Z.S., Khan, F.H., Anjum, A., Bashir, K., Improving heart disease prediction using feature selection approaches Proceedings of the 2019 16th International Bhurban Conference on Applied Sciences and Technology (IBCAST), pp. 619-623. , Islamabad, Pakistan, 8–12 January 2019; Krittanawong, C., Rogers, A.J., Aydar, M., Choi, E., Johnson, K.W., Wang, Z., Narayan, S.M., Integrating blockchain technology with artificial intelligence for cardiovascular medicine (2019) Nat. Rev. Cardiol, 17, pp. 1-3. , [CrossRef]; Jo, T., Nho, K., Saykin, A.J., Deep learning in Alzheimer’s disease: Diagnostic classification and prognostic prediction using neuroimaging data (2019) Front. Aging Neurosci, 11, p. 220. , [CrossRef]; Sharma, A., Shukla, D., Goel, T., Mandal, P.K., BHARAT: An Integrated Big Data Analytic Model for Early Diagnostic Biomarker of Alzheimer’s Disease (2019) Front. Neurol, 10, p. 9. , [CrossRef]; Lin, W., Tong, T., Gao, Q., Guo, D., Du, X., Yang, Y., Guo, G., Qu, X., Convolutional neural networks-based MRI image analysis for the Alzheimer’s disease prediction from mild cognitive impairment (2018) Front. Neurosci, 12, p. 777. , [CrossRef]; Fischl, B., Dale, A.M., Measuring the thickness of the human cerebral cortex from magnetic resonance images (2000) Proc. Natl. Acad. Sci. USA, 97, pp. 11050-11055. , [CrossRef]; Fischl, B., Van Der Kouwe, A., Destrieux, C., Halgren, E., Ségonne, F., Salat, D.H., Busa, E., Kennedy, D., Automatically Parcellating the Human Cerebral Cortex (2004) Cereb. Cortex, 14, pp. 11-22. , [CrossRef]; Desikan, R.S., Ségonne, F., Fischl, B., Quinn, B.T., Dickerson, B.C., Blacker, D., Buckner, R.L., Hyman, B.T., An automated labeling system for subdividing the human cerebral cortex on MRI scans into gyral based regions of interest (2006) Neuroimage, 31, pp. 968-980. , [CrossRef] [PubMed]; Han, X., Jovicich, J., Salat, D., van der Kouwe, A., Quinn, B., Czanner, S., Busa, E., Killiany, R., Reliability of MRI-derived measurements of human cerebral cortical thickness: The effects of field strength, scanner upgrade and manufacturer (2006) NeuroImage, 32, pp. 180-194. , [CrossRef] [PubMed]; Kautzky, A., Seiger, R., Hahn, A., Fischer, P., Krampla, W., Kasper, S., Kovacs, G.G., Lanzenberger, R., Prediction of autopsy verified neuropathological change of Alzheimer’s disease using machine learning and MRI (2018) Front. Aging Neurosci, 10, p. 406. , [CrossRef] [PubMed]; Almubark, I., Chang, L.-C., Nguyen, T., Turner, R.S., Jiang, X., Early Detection of Alzheimer’s Disease Using Patient Neuropsycho-logical and Cognitive Data and Machine Learning Techniques Proceedings of the 2019 IEEE International Conference on Big Data (Big Data), pp. 5971-5973. , Los Angeles, CA, USA, 9–12 December 2019; [CrossRef]; Pilozzi, A., Huang, X., Overcoming Alzheimer’s Disease Stigma by Leveraging Artificial Intelligence and Blockchain Technologies (2020) Brain Sci, 10, p. 183. , [CrossRef]; Darwish, A., Bio-inspired computing: Algorithms review, deep analysis, and the scope of applications (2018) Futur. Comput. Inform. J, 3, pp. 231-246. , [CrossRef]; Ghoniem, R.M., A Novel Bio-Inspired Deep Learning Approach for Liver Cancer Diagnosis (2020) Information, 11, p. 80. , [CrossRef]; Elgin Christo, V.R., Khanna Nehemiah, H., Minu, B., Kannan, A., Correlation-Based Ensemble Feature Se-lection Using Bioinspired Algorithms and Classification Using Backpropagation Neural Network (2019) Comput. Math. Methods Med, pp. 1-17. , [CrossRef]; Supriya, M., Deepa, A.J., A novel approach for breast cancer prediction using optimized ANN classifier based on big data environment (2019) Heal. Care Manag. Sci, 23, pp. 414-426. , [CrossRef]; Sharma, M., Gupta, S., Sharma, P., Gupta, D., Bio-inspired algorithms for diagnosis of breast cancer (2019) Int. J. Innov. Comput. Appl, 10, pp. 164-174. , [CrossRef]; Valluru, D., Jeya, I.J.S., IoT with cloud based lung cancer diagnosis model using optimal support vector machine (2020) Health Care Manag. Sci, 23, pp. 670-679. , [CrossRef] [PubMed]; Olivares, R., Munoz, R., Soto, R., Crawford, B., Cárdenas, D., Ponce, A., Taramasco, C., An Optimized Brain-Based Algorithm for Classifying Parkinson’s Disease (2020) Appl. Sci, 10, p. 1827. , [CrossRef]; Sharma, P., Sundaram, S., Sharma, M., Sharma, A., Gupta, D., Diagnosis of Parkinson’s disease using modified grey wolf optimization (2018) Cogn. Syst. Res, 54, pp. 100-115. , [CrossRef]; Hessam, S., Vahdat, S., Asl, I.M., Kazemipoor, M., Aghaei, A., Shamshirband, S., Rabczuk, T., Parkinson’s Disease Detection Using Biogeography-Based Optimization (2019) Comput. Mater. Contin, 61, pp. 11-26. , [CrossRef]; Pasha, A., Latha, P.H., Bio-inspired dimensionality reduction for Parkinson’s disease (PD) classification (2020) Health Inf. Sci. Syst, 8, pp. 13-22. , [CrossRef] [PubMed]; Sharma, P., Jain, R., Sharma, M., Gupta, D., Parkinson’s diagnosis using ant-lion optimisation algorithm (2019) Int. J. Innov. Comput. Appl, 10, pp. 138-146. , [CrossRef]; Hosseini, E., Ghafoor, K.Z., Sadiq, A.S., Guizani, M., Emrouznejad, A., COVID-19 Optimizer Algorithm, Modeling and Controlling of Coronavirus Distribution Process (2020) IEEE J. Biomed. Health Inform, 24, pp. 2765-2775. , [CrossRef] [PubMed]; Abdel-Basset, M., Mohamed, R., Elhoseny, M., Chakrabortty, R.K., Ryan, M., A Hybrid COVID-19 Detection Model Using an Improved Marine Predators Algorithm and a Ranking-Based Diversity Reduction Strategy (2020) IEEE Access, 8, pp. 79521-79540. , [CrossRef]; Altan, A., Karasu, S., Recognition of COVID-19 disease from X-ray images by hybrid model consisting of 2D curvelet transform, chaotic salp swarm algorithm and deep learning technique (2020) Chaos Solitons Fractals, 140, p. 110071. , [CrossRef]; Al-Qaness, M.A., Ewees, A.A., Fan, H., Abd El Aziz, M., Optimization method for fore-casting confirmed cases of COVID-19 in China (2020) J. Clin. Med, 9, p. 674. , [CrossRef]; ELGhamrawy, S.M., Diagnosis and Prediction Model for COVID19 Patients Response to Treatment based on Convolutional Neural Networks and Whale Optimization Algorithm Using CT Images (2020) MedRxiv, pp. 1-23. , [CrossRef]; Kumar, R., Wang, W., Kumar, J., Yang, T., Khan, A., Ali, W., Ali, I., An Integration of blockchain and AI for secure data sharing and detection of CT images for the hospitals (2020) Comput. Med. Imaging Graph, 87, p. 101812. , [CrossRef] [PubMed]; Simon, D., Biogeography-based optimization (2008) IEEE Trans. Evol. Comput, 12, pp. 702-713. , [CrossRef]; Yang, X.S., Flower pollination algorithm for global optimization Proceedings of the International Conference on Unconventional Computing and Natural Computation, pp. 240-249. , Orléans, France, 3–7 September 2012; Mirjalili, S., Gandomi, A.H., Mirjalili, S.Z., Saremi, S., Faris, H., Mirjalili, S.M., Salp Swarm Algorithm: A bio-inspired optimizer for engineering design problems (2017) Adv. Eng. Softw, 114, pp. 163-191. , [CrossRef]; Mirjalili, S., Lewis, A., The whale optimization algorithm (2016) Adv. Eng. Softw, 95, pp. 51-67. , [CrossRef]; Fusco, A., Dicuonzo, G., Dell’Atti, V., Tatullo, M., Blockchain in healthcare: Insights on COVID-19 (2020) Int. J. Environ. Res. Public Health, 17, p. 7167. , [CrossRef]; Sadiku, M.N., Akhare, Y.P., Musa, S.M., Emerging technologies in healthcare: A tutorial (2019) Int. J. Adv. Sci. Res. Eng. (IJASRE), 5, pp. 199-204. , [CrossRef]; Seyfang, A., Miksch, S., Marcos, M., Combining diagnosis and treatment using ASBRU (2002) Int. J. Med. Inform, 68, pp. 49-57. , [CrossRef]; Filippi, L., Chiaravalloti, A., Schillaci, O., Cianni, R., Bagni, O., Theranostic approaches in nuclear medicine: Current status and future prospects (2020) Expert Rev. Med. Devices, 17, pp. 331-343. , [CrossRef] [PubMed]; (2017) What is Value-Based Healthcare?, , https://catalyst.nejm.org/doi/full/10.1056/CAT.17.0558, NEJM Catalyst. 1 January (accessed on 31 July 2021); Jolles, M.P., Lengnick-Hall RMittman, B.S., Core functions and forms of complex health interventions: A patient-centered medical home illustration (2019) J. Gen. Intern. Med, 34, pp. 1032-1038. , [CrossRef] [PubMed]</t>
  </si>
  <si>
    <t>MDPI</t>
  </si>
  <si>
    <t>25042289</t>
  </si>
  <si>
    <t>Big Data Cogn. Computing</t>
  </si>
  <si>
    <t>All Open Access, Gold</t>
  </si>
  <si>
    <t>2-s2.0-85114881828</t>
  </si>
  <si>
    <t>Li B., Sano A.</t>
  </si>
  <si>
    <t>57213520225;54788353200;</t>
  </si>
  <si>
    <t>Extraction and Interpretation of Deep Autoencoder-based Temporal Features from Wearables for Forecasting Personalized Mood, Health, and Stress</t>
  </si>
  <si>
    <t>Proceedings of the ACM on Interactive, Mobile, Wearable and Ubiquitous Technologies</t>
  </si>
  <si>
    <t>49</t>
  </si>
  <si>
    <t>10.1145/3397318</t>
  </si>
  <si>
    <t>https://www.scopus.com/inward/record.uri?eid=2-s2.0-85089763606&amp;doi=10.1145%2f3397318&amp;partnerID=40&amp;md5=502446ce177fc6fea93857dd17bfecf2</t>
  </si>
  <si>
    <t>Department of Electrical and Computer Engineering, Rice University, Houston, TX, United States</t>
  </si>
  <si>
    <t>Li, B., Department of Electrical and Computer Engineering, Rice University, Houston, TX, United States; Sano, A., Department of Electrical and Computer Engineering, Rice University, Houston, TX, United States</t>
  </si>
  <si>
    <t>Continuous wearable sensor data in high resolution contain physiological and behavioral information that can be utilized to predict human health and wellbeing, establishing the foundation for developing early warning systems to eventually improve human health and wellbeing. We propose a deep neural network framework, the Locally Connected Long Short-Term Memory Denoising AutoEncoder (LC-LSTM-DAE), to automatically extract features from passively collected raw sensor data and perform personalized prediction of self-reported mood, health, and stress scores with high precision. We enabled personalized learning of features by finetuning the general representation model with participant-specific data. The framework was evaluated using wearable sensor data and wellbeing labels collected from college students (total 6391 days from N=239). Sensor data include skin temperature, skin conductance, and acceleration; wellbeing labels include self-reported mood, health and stress scored 0 - 100. Compared to the prediction performance based on hand-crafted features, the proposed framework achieved higher precision with a smaller number of features. We also provide statistical interpretation and visual explanation to the automatically learned features and the prediction models. Our results show the possibility of predicting self-reported mood, health, and stress accurately using an interpretable deep learning framework, ultimately for developing real-time health and wellbeing monitoring and intervention systems that can benefit various populations. © 2020 ACM.</t>
  </si>
  <si>
    <t>health monitoring; mood; neural networks; regression; stress</t>
  </si>
  <si>
    <t>Deep learning; Deep neural networks; Forecasting; Health; Learning systems; Long short-term memory; Real time systems; Students; Early Warning System; Learning frameworks; Personalized learning; Prediction performance; Representation model; Skin temperatures; Statistical interpretation; Temporal features; Wearable sensors</t>
  </si>
  <si>
    <t>Abdi, H., Williams, L.J., Tukey's honestly significant difference (hsd) test (2010) Encyclopedia of Research Design. Thousand Oaks, CA: Sage (2010), pp. 1-5; Al-Sarem, M., Emara, A., The effect of training set size in authorship attribution: Application on short Arabic texts (2019) International Journal of Electrical and Computer Engineering, 9 (1), p. 652. , (2019); Alhagry, S., Aly Fahmy, A., El-Khoribi, R.A., Emotion recognition based on EEG using lstm recurrent neural network (2017) Emotion, 8 (10), pp. 355-358. , (2017); Almaslukh, B., AlMuhtadi, J., Artoli, A., An effective deep autoencoder approach for online smartphone-based human activity recognition (2017) Int. J. Comput. Sci. Netw. Secur, 17 (4), pp. 160-165. , (2017); Amodei, D., Ananthanarayanan, S., Anubhai, R., Bai, J., Battenberg, E., Case, C., Casper, J., Zhu, Z., Deep speech 2: End-to-end speech recognition in english and Mandarin (2016) Proceedings of the 33rd International Conference on International Conference on Machine Learning-Volume 48 (ICML'16). JMLR.org, pp. 173-182. , http://dl.acm.org/citation.cfm?id=3045390.3045410; Bahdanau, D., Cho, K., Bengio, Y., (2014) Neural Machine Translation by Jointly Learning to Align and Translate, , arXiv preprint arXiv:1409.0473 (2014); Mansoor Baig, M., Gholamhosseini, H., Smart health monitoring systems: An overview of design and modeling (2013) Journal of Medical Systems, 37 (2), p. 9898. , (2013); Baldi, P., Autoencoders, unsupervised learning, and deep architectures (2012) Proceedings of ICML Workshop on Unsupervised and Transfer Learning, pp. 37-49; Bogomolov, A., Lepri, B., Ferron, M., Pianesi, F., Pentland, A., Daily stress recognition from mobile phone data, weather conditions and individual traits (2014) MM 2014-Proceedings of the 2014 ACM Conference on Multimedia (10 2014), , https://doi.org/10.1145/2647868.2654933; Boucsein, W., (2012) Electrodermal Activity, , Springer Science &amp; Business Media; Caruana, R., (1993) Multitask Learning: A Knowledge-Based Source of Inductive Bias, , In ICML; Chancellor, S., Baumer, E.P., De Choudhury, M., Who is the" human" in human-centered machine learning: The case of predicting mental health from social media (2019) Proceedings of the ACM on Human-Computer Interaction 3, CSCW (2019), pp. 1-32; Chaudhuri, T., Zhai, D., Chai Soh, Y., Li, H., Xie, L., Thermal comfort prediction using normalized skin temperature in a uniform built environment (2018) Energy and Buildings, 159, pp. 426-440; Chen, W., Jaques, N., Taylor, S., Sano, A., Fedor, S., Picard, R.W., Wavelet-based motion artifact removal for electrodermal activity (2015) 2015 37th Annual International Conference of the IEEE Engineering in Medicine and Biology Society (EMBC). IEEE, pp. 6223-6226; Chicco, D., Sadowski, P., Baldi, P., Deep autoencoder neural networks for gene ontology annotation predictions (2014) Proceedings of the 5th ACM Conference on Bioinformatics, Computational Biology, and Health Informatics, pp. 533-540; Choi, D., Passos, A., Shallue, C.J., Dahl, G.E., (2019) Faster Neural Network Training with Data Echoing, , arXiv preprint arXiv:1907.05550 (2019); Church, R.M., The effects of competition on reaction time and palmar skin conductance (1962) The Journal of Abnormal and Social Psychology, 65 (1), p. 32. , (1962); Ciocarlan, A., Masthoff, J., Oren, N., Kindness is contagious: Study into exploring engagement and adapting persuasive games for wellbeing (2018) Proceedings of the 26th Conference on User Modeling, Adaptation and Personalization. ACM, pp. 311-319; Cooijmans, T., Ballas, N., Laurent, C., Gülçehre, C., Courville, A., (2016) Recurrent Batch Normalization, , arXiv preprint arXiv:1603.09025 (2016); De Bra, P., Challenges in user modeling and personalization (2017) IEEE Intelligent Systems, 32 (5), pp. 76-80. , (2017); Dunn, H.L., High-level wellness for man and society (1959) American Journal of Public Health and the Nations Health, 49 (6), pp. 786-792. , (1959); Dwork, C., Roth, A., The algorithmic foundations of differential privacy (2014) Foundations and TrendsR in Theoretical Computer Science, 9 (3-4), pp. 211-407. , (2014); Fan, Z., Song, X., Jiang, R., Chen, Q., Shibasaki, R., Decentralized attention-based personalized human mobility prediction (2019) Proceedings of the ACM on Interactive, Mobile, Wearable and Ubiquitous Technologies, 3 (4), pp. 1-26. , (2019); Garcia-Ceja, E., Osmani, V., Mayora, O., Automatic stress detection in working environments from smartphones' accelerometer data: A first step (2015) IEEE Journal of Biomedical and Health Informatics, 20 (4), pp. 1053-1060. , (2015); Gasparetti, F., Personalization and context-awareness in social local search: State-of-the-art and future research challenges (2017) Pervasive and Mobile Computing, 38, pp. 446-473; Gochoo, M., Tan, T., Huang, S., Batjargal, T., Hsieh, J., Alnajjar, F.S., Chen, Y., Novel iot-based privacy-preserving yoga posture recognition system using low-resolution infrared sensors and deep learning (2019) IEEE Internet of Things Journal (2019); Hair, J.F., Black, W.C., Babin, B.J., Anderson, R.E., Tatham, R.L., (1998) Multivariate Data Analysis, 5. , Prentice hall Upper Saddle River, NJ; Yannick Hammerla, N., Fisher, J., Andras, P., Rochester, L., Walker, R., Plötz, T., (2015) PD Disease State Assessment in Naturalistic Environments Using Deep Learning, , In Twenty-Ninth AAAI conference on artificial intelligence; Haresamudram, H., Anderson, D.V., Plötz, T., On the role of features in human activity recognition (2019) Proceedings of the 23rd International Symposium on Wearable Computers, pp. 78-88; Healey, J.A., Picard, R.W., Detecting stress during real-world driving tasks using physiological sensors (2005) IEEE Transactions on Intelligent Transportation Systems, 6 (2), pp. 156-166. , (2005); Hecht-Nielsen, R., Theory of the backpropagation neural network (1992) Neural Networks for Perception. Elsevier, pp. 65-93; Hernández, F., Suárez, L.F., Villamizar, J., Altuve, M., Human activity recognition on smartphones using a bidirectional lstm network (2019) 2019 XXII Symposium on Image, Signal Processing and Artificial Vision (STSIVA). IEEE, pp. 1-5; Hernandez, J., Morris, R.R., Wpicard, R., Call center stress recognition with person-specific models (2011) International Conference on Affective Computing and Intelligent Interaction. Springer, pp. 125-134; Sajjad Hossain, H.M., Roy, N., Active deep learning for activity recognition with context aware annotator selection (2019) Proceedings of the 25th ACM SIGKDD International Conference on Knowledge Discovery &amp; Data Mining, pp. 1862-1870; Hovsepian, K., Al'Absi, M., Ertin, E., Kamarck, T., Nakajima, M., Kumar, S., Cstress: Towards a gold standard for continuous stress assessment in the mobile environment (2015) Proceedings of the 2015 ACM International Joint Conference on Pervasive and Ubiquitous Computing, pp. 493-504; Hsu, J., (1996) Multiple Comparisons: Theory and Methods, , Chapman and Hall/CRC; Huang, Z., Clustering large data sets with mixed numeric and categorical values (1997) Proceedings of the 1st Pacific-Asia Conference on Knowledge Discovery and Data Mining,(PAKDD). Singapore, pp. 21-34; Iversen, G.R., Wildt, A.R., Norpoth, H., Norpoth, H.P., Analysis of variance (1987) Number, p. 1. , Sage; Jaques, N., Rudovic, O., Taylor, S., Sano, A., Picard, R., Predicting tomorrow's mood, health, and stress level using personalized multitask learning and domain adaptation (2017) Proceedings of IJCAI 2017 Workshop on Artificial Intelligence in Affective Computing (Proceedings of Machine Learning Research), Neil Lawrence and Mark Reid (Eds.), Vol. 66. PMLR, pp. 17-33; Jaques, N., Taylor, S., Azaria, A., Ghandeharioun, A., Sano, A., Picard, R., Predicting students' happiness from physiology, phone, mobility, and behavioral data (2015) 2015 International Conference on Affective Computing and Intelligent Interaction (ACII). IEEE, pp. 222-228; Jaques, N., Taylor, S., Sano, A., Picard, R., Multimodal autoencoder: A deep learning approach to filling in missing sensor data and enabling better mood prediction (2017) 2017 Seventh International Conference on Affective Computing and Intelligent Interaction (ACII). IEEE, pp. 202-208; Jaques, N., Taylor, S., Sano, A., Picard, R., Predicting tomorrow's mood, health, and stress level using personalized multitask learning and domain adaptation (2017) IJCAI 2017 Workshop on Artificial Intelligence in Affective Computing, pp. 17-33; John, O.P., Srivastava, S., (1999) The Big-five Trait Taxonomy: History, Measurement, and Theoretical Perspectives; Kanjo, E., Younis, E.M., Siang Ang, C., Deep learning analysis of mobile physiological, environmental and location sensor data for emotion detection (2019) Information Fusion, 49, pp. 46-56; Kessler, R.C., Berglund, P.A., Bruce, M.L., Randy Koch, J., Laska, E.M., Leaf, P.J., Manderscheid, R.W., Wang, P.S., The prevalence and correlates of untreated serious mental illness (2001) Health Services Research, 36 (6), p. 987. , (2001); Kim, J., Canny, J., Interpretable learning for self-driving cars by visualizing causal attention (2017) Proceedings of the IEEE International Conference on Computer Vision, pp. 2942-2950; Kramer, M.A., Nonlinear principal component analysis using autoassociative neural networks (1991) AIChE Journal, 37 (2), pp. 233-243. , (1991); Krauchi, K., Wirz-Justice, A., Circadian rhythm of heat production, heart rate, and skin and core temperature under unmasking conditions in men (1994) American Journal of Physiology-Regulatory, Integrative and Comparative Physiology, 267 (3), pp. R819-R829. , (1994); Laurent, C., Pereyra, G., Brakel, P., Zhang, Y., Bengio, Y., Batch normalized recurrent neural networks (2016) 2016 IEEE International Conference on Acoustics, Speech and Signal Processing (ICASSP). IEEE, pp. 2657-2661; Li, B., Yu, H., Sano, A., Toward end-to-end prediction of future wellbeing using deep sensor representation learning (2019) 2019 8th International Conference on Affective Computing and Intelligent Interaction Workshops and Demos (ACIIW). IEEE, pp. 253-257; Li, B., Yu, H., Sano, A., Toward end-to-end prediction of future wellbeing using deep sensor representation learning (2019) Machine Learning for the Diagnosis and Treatment of Affective Disorders, ACII Workshop (2019), London UK; LiKamWa, R., Liu, Y., Lane, N.D., Zhong, L., Moodscope: Building a mood sensor from smartphone usage patterns (2013) Proceeding of the 11th Annual International Conference on Mobile Systems, Applications, and Services, pp. 389-402; Liu, A., Su, Y., Nie, W., Kankanhalli, M., Hierarchical clustering multi-task learning for joint human action grouping and recognition (2017) IEEE Transactions on Pattern Analysis and Machine Intelligence, 39 (1), pp. 102-114. , https://doi.org/10.1109/TPAMI.2016.2537337, (Jan 2017); Liu, J., Zhong, L., Wickramasuriya, J., Vasudevan, V., Uwave: Accelerometer-based personalized gesture recognition and its applications (2009) Pervasive and Mobile Computing, 5 (6), pp. 657-675. , (2009); Liu, S., Lin, Y., Zhou, Z., Nan, K., Liu, H., Du, J., On-demand deep model compression for mobile devices: A usage-driven model selection framework (2018) Proceedings of the 16th Annual International Conference on Mobile Systems, Applications, and Services, pp. 389-400; Liu, Y., Chen, J., Chen, H., Less is more: Culling the training set to improve robustness of deep neural networks (2018) International Conference on Decision and Game Theory for Security. Springer, pp. 102-114; Lu, J., Shang, C., Yue, C., Morillo, R., Ware, S., Kamath, J., Bamis, A., Bi, J., Joint modeling of heterogeneous sensing data for depression assessment via multi-task learning (2018) Proc. ACM Interact. Mob. Wearable Ubiquitous Technol, 2 (1), p. 21. , https://doi.org/10.1145/3191753, (March 2018); Mehrotra, A., Musolesi, M., Using autoencoders to automatically extract mobility features for predicting depressive states (2018) Proceedings of the ACM on Interactive, Mobile, Wearable and Ubiquitous Technologies, 2 (3), p. 127. , (2018); Ries Merikangas, K., Swendsen, J., Hickie, I.B., Cui, L., Shou, H., Merikangas, A.K., Zhang, J., Volkow, N.D., Real-time mobile monitoring of the dynamic associations among motor activity, energy, mood, and sleep in adults with bipolar disorder (2019) JAMA Psychiatry, 76 (2), pp. 190-198. , (2019); Mishra, V., From sensing to intervention for mental and behavioral health (2019) Adjunct Proceedings of the 2019 ACM International Joint Conference on Pervasive and Ubiquitous Computing and Proceedings of the 2019 ACM International Symposium OnWearable Computers, pp. 388-392; Mohr, D.C., Zhang, M., Schueller, S.M., Personal sensing: Understanding mental health using ubiquitous sensors and machine learning (2017) Annual Review of Clinical Psychology, 13 (1), pp. 23-47. , https://doi.org/10.1146/annurev-clinpsy-032816-044949arXiv:https://doi.org/10.1146/annurev-clinpsy-032816-044949PMID:28375728, (2017); Morris, J.K., Honea, R.A., Vidoni, E.D., Swerdlow, R.H., Burns, J.M., Is Alzheimer's disease a systemic disease? (2014) Biochimica et Biophysica Acta (BBA).Molecular Basis of Disease, 1842 (9), pp. 1340-1349. , (2014); Bin Morshed, M., Saha, K., Li, R., D'Mello, S.K., De Choudhury, M., Abowd, G.D., Plötz, T., Prediction of mood instability with passive sensing (2019) Proceedings of the ACM on Interactive, Mobile, Wearable and Ubiquitous Technologies, 3 (3), p. 75. , (2019); Wai Mark Ng, C., How How, C., Ping Ng, Y., Major depression in primary care: Making the diagnosis (2016) Singapore Medical Journal, 57 (11), p. 591. , (2016); Oquab, M., Bottou, L., Laptev, I., Sivic, J., Is object localization for free?-weakly-supervised learning with convolutional neural networks (2015) Proceedings of the IEEE Conference on Computer Vision and Pattern Recognition, pp. 685-694; Ordóñez, F., Roggen, D., Deep convolutional and lstm recurrent neural networks for multimodal wearable activity recognition (2016) Sensors, 16 (1), p. 115. , (2016); Palanisamy, K., Murugappan, M., Yaacob, S., Multiple physiological signal-based human stress identification using non-linear classifiers (2013) Elektronika Ir Elektrotechnika, 19 (7), pp. 80-85. , (2013); Peng, L., Chen, L., Ye, Z., Zhang, Y., Aroma: A deep multi-task learning based simple and complex human activity recognition method using wearable sensors (2018) Proceedings of the ACM on Interactive, Mobile,Wearable and Ubiquitous Technologies, 2 (2), pp. 1-16. , (2018); Plötz, T., Hammerla, N.Y., Olivier, P.L., (2011) Feature Learning for Activity Recognition in Ubiquitous Computing, , In Twenty-second international joint conference on artificial intelligence; Priddy, K.L., Keller, P.E., (2005) Artificial Neural Networks: An Introduction (SPIE Tutorial Texts in Optical Engineering, Vol. TT68), , SPIE-International Society for Optical Engineering; Lina Qiu, Y., Zheng, H., Gevaert, O., (2018) A Deep Learning Framework for Imputing Missing Values in Genomic Data, , bioRxiv (2018), 406066; Raghu, M., Gilmer, J., Yosinski, J., Sohl-Dickstein, J., Svcca: Singular vector canonical correlation analysis for deep learning dynamics and interpretability (2017) Advances in Neural Information Processing Systems, pp. 6076-6085; Richmond, V.L., Davey, S., Griggs, K., Havenith, G., Prediction of core body temperature from multiple variables (2015) Annals of Occupational Hygiene, 59 (9), pp. 1168-1178. , (2015); Roman, R., Lopez, J., Mambo, M., Mobile edge computing, fog et al (2018) : A Survey and Analysis of Security Threats and Challenges. Future Generation Computer Systems, 78, pp. 680-698; Rousseeuw, P.J., Silhouettes: A graphical aid to the interpretation and validation of cluster analysis (1987) Journal of Computational and Applied Mathematics, 20, pp. 53-65; Saeb, S., Zhang, M., Karr, C.J., Schueller, S.M., Corden, M.E., Kording, K.P., Mohr, D.C., Mobile phone sensor correlates of depressive symptom severity in daily-life behavior: An exploratory study (2015) Journal of Medical Internet Research, 17 (7), p. e175. , (2015); Sakurada, M., Yairi, T., Anomaly detection using autoencoders with nonlinear dimensionality reduction (2014) Proceedings of the MLSDA 2014 2nd Workshop on Machine Learning for Sensory Data Analysis. ACM, p. 4; Sano, A., (2016) Measuring College Students' Sleep, Stress, Mental Health and Wellbeing with Wearable Sensors and Mobile Phones, , Ph.D. Dissertation. Massachusetts Institute of Technology; Sano, A., Chen, W., Lopez-Martinez, D., Taylor, S., Wpicard, R., (2018) Multimodal Ambulatory Sleep Detection Using LSTM Recurrent Neural Networks, , IEEE journal of biomedical and health informatics (2018); Sano, A., Picard, R.W., Stress recognition using wearable sensors and mobile phones (2013) 2013 Humaine Association Conference on Affective Computing and Intelligent Interaction. IEEE, pp. 671-676; Sano, A., Picard, R.W., Stickgold, R., Quantitative analysis of wrist electrodermal activity during sleep (2014) International Journal of Psychophysiology, 94 (3), pp. 382-389. , (2014); Sano, A., Taylor, S., McHill, A.W., Phillips, A.K., Barger, L.K., Klerman, E., Picard, R., Identifying objective physiological markers and modifiable behaviors for self-reported stress and mental health status using wearable sensors and mobile phones: Observational study (2018) Journal of Medical Internet Research, 20 (6), p. e210. , (2018); See, A., Luong, M., Manning, C.D., Compression of neural machine translation models via pruning (2016) ArXiv Preprint arXiv:1606.09274 (2016); Sharif Razavian, A., Azizpour, H., Sullivan, J., Carlsson, S., Cnn features off-the-shelf: An astounding baseline for recognition (2014) Proceedings of the IEEE Conference on Computer Vision and Pattern Recognition Workshops, pp. 806-813; Spathis, D., Servia-Rodriguez, S., Farrahi, K., Mascolo, C., Rentfrow, J., Sequence multi-task learning to forecast mental wellbeing from sparse self-reported data (2019) Proceedings of the 25th ACM SIGKDD International Conference on Knowledge Discovery &amp; Data Mining (KDD '19). ACM, New York, NY, USA, pp. 2886-2894. , https://doi.org/10.1145/3292500.3330730; Steil, J., Müller, P., Sugano, Y., Bulling, A., Forecasting user attention during everyday mobile interactions using device-integrated and wearable sensors (2018) Proceedings of the 20th International Conference on Human-Computer Interaction with Mobile Devices and Services, pp. 1-13; Ann Taylor, S., Jaques, N., Nosakhare, E., Sano, A., Picard, R., Personalized multitask learning for predicting tomorrow's mood, stress, and health (2017) IEEE Transactions on Affective Computing (2017); Tong, C., Craner, M., Vegreville, M., Lane, N.D., Tracking fatigue and health state in multiple sclerosis patients using connnected wellness devices (2019) Proceedings of the ACM on Interactive, Mobile, Wearable and Ubiquitous Technologies, 3 (3), pp. 1-19. , (2019); Truex, S., Baracaldo, N., Anwar, A., Steinke, T., Ludwig, H., Zhang, R., Zhou, Y., A hybrid approach to privacy-preserving federated learning (2019) Proceedings of the 12th ACM Workshop on Artificial Intelligence and Security, pp. 1-11; Tzirakis, P., Trigeorgis, G., Nicolaou, M.A., Schuller, B.W., Zafeiriou, S., End-to-end multimodal emotion recognition using deep neural networks (2017) IEEE Journal of Selected Topics in Signal Processing, 11 (8), pp. 1301-1309. , (2017); Umematsu, T., Sano, A., Picard, R.W., Daytime data and lstm can forecast tomorrow's stress, health, and happiness (2019) 2019 41st Annual International Conference of the IEEE Engineering in Medicine and Biology Society (EMBC). IEEE, pp. 2186-2190; Umematsu, T., Sano, A., Taylor, S., Picard, R.W., Improving students' daily life stress forecasting using lstm neural networks (2019) 2019 IEEE EMBS International Conference on Biomedical Health Informatics (BHI) (2019), pp. 1-4; Umematsu, T., Sano, A., Taylor, S., Picard, R.W., Improving students' daily life stress forecasting using lstm neural networks (2019) 2019 IEEE EMBS International Conference on Biomedical &amp; Health Informatics (BHI). IEEE, pp. 1-4; Der Maaten, L., Postma, E., Van Den Herik, J., Dimensionality reduction: A comparative (2009) J Mach Learn Res, 10 (66-71), p. 13. , (2009); Der Walt, S., Schönberger, J.L., Nunez-Iglesias, J., Boulogne, F., Warner, J.D., Yager, N., Gouillart, E., Yu, T., Scikit-image: Image processing in python (2014) PeerJ, 2, p. e453; Wang, P., Qian, Y., Soong, F.K., He, L., Zhao, H., (2015) A Unified Tagging Solution: Bidirectional Lstm Recurrent Neural Network with Word Embedding, , arXiv preprint arXiv:1511.00215 (2015); Wang, R., Aung, M.S.H., Abdullah, S., Brian, R., Campbell, A.T., Choudhury, T., Hauser, M., Scherer, E.A., Crosscheck: Toward passive sensing and detection of mental health changes in people with schizophrenia (2016) Proceedings of the 2016 ACM International Joint Conference on Pervasive and Ubiquitous Computing, pp. 886-897; Wang, R., Chen, F., Chen, Z., Li, T., Harari, G., Tignor, S., Zhou, X., Campbell, A., Studentlife: Assessing mental health, academic performance and behavioral trends of college students using smartphones (2014) Proceedings of the 2014 ACM International Joint Conference on Pervasive and Ubiquitous Computing, pp. 3-14; Wang, R., Wang, W., DaSilva, A., Huckins, J.F., Kelley, W.M., Heatherton, T.F., Campbell, A.T., Tracking depression dynamics in college students using mobile phone and wearable sensing (2018) Proceedings of the ACM on Interactive, Mobile, Wearable and Ubiquitous Technologies, 2 (1), pp. 1-26. , (2018); Wang, S., Li, Z., Ding, C., Yuan, B., Qiu, Q., Wang, Y., Liang, Y., C-lstm: Enabling efficient lstm using structured compression techniques on FPGAS (2018) Proceedings of the 2018 ACM/SIGDA International Symposium on Field-Programmable Gate Arrays, pp. 11-20; Indra Winata, G., Pepijn Kampman, O., Fung, P., Attention-based lstm for psychological stress detection from spoken language using distant supervision (2018) 2018 IEEE International Conference on Acoustics, Speech and Signal Processing (ICASSP). IEEE, pp. 6204-6208; Xu, K., Ba, J., Kiros, R., Cho, K., Courville, A., Salakhudinov, R., Zemel, R., Bengio, Y., Show, attend and tell: Neural image caption generation with visual attention (2015) International Conference on Machine Learning, pp. 2048-2057; Yamakoshi, T., Yamakoshi, K., Tanaka, S., Nogawa, M., Park, S., Shibata, M., Sawada, Y., Hirose, Y., Feasibility study on driver's stress detection from differential skin temperature measurement (2008) 2008 30th Annual International Conference of the IEEE Engineering in Medicine and Biology Society. IEEE, pp. 1076-1079; Yoon, J., Jordon, J., Van Der Schaar, M., (2018) Gain: Missing Data Imputation Using Generative Adversarial Nets, , arXiv preprint arXiv:1806.02920 (2018); Yosinski, J., Clune, J., Nguyen, A., Fuchs, T., Lipson, H., (2015) Understanding Neural Networks Through Deep Visualization, , arXiv preprint arXiv:1506.06579 (2015); Yu, H., Klerman, E.B., Picard, R., Sano, A., (2019) Personalized Wellbeing Prediction Using Behavioral, Physiological and Weather Data, , IEEE-EMBS Biomedical and Health Informatics 2019 (2019); Zeng, M., Gao, H., Yu, T., Mengshoel, O.J., Langseth, H., Lane, I., Liu, X., Understanding and improving recurrent networks for human activity recognition by continuous attention (2018) Proceedings of the 2018 ACM International Symposium on Wearable Computers, pp. 56-63; Zenonos, A., Khan, A., Kalogridis, G., Vatsikas, S., Lewis, T., Sooriyabandara, M., Healthyoffice: Mood recognition at work using smartphones and wearable sensors (2016) 2016 IEEE International Conference on Pervasive Computing and Communication Workshops (PerCom Workshops). IEEE, pp. 1-6; Zhang, F., Niu, K., Xiong, J., Jin, B., Gu, T., Jiang, Y., Zhang, D., Towards a diffraction-based sensing approach on human activity recognition (2019) Proc. ACM Interact. Mob.Wearable Ubiquitous Technol, 3 (1), p. 25. , https://doi.org/10.1145/3314420, (March 2019); Zhang, X., Liu, X., Ramachandran, A., Zhuge, C., Tang, S., Ouyang, P., Cheng, Z., Chen, D., High-performance video content recognition with long-term recurrent convolutional network for FPGA (2017) 2017 27th International Conference on Field Programmable Logic and Applications (FPL). IEEE, pp. 1-4; Zhang, X., Desai, M.D., Adaptive denoising based on sure risk (1998) IEEE Signal Processing Letters, 5 (10), pp. 265-267. , (1998); Zhao, S., Gholaminejad, A., Ding, G., Gao, Y., Han, J., Keutzer, K., Personalized emotion recognition by personality-aware high-order learning of physiological signals (2019) ACM Trans. Multimedia Comput. Commun. Appl, 15 (1), p. 18. , https://doi.org/10.1145/3233184, (Jan. 2019); Zhong, W., Kwok, J., (2012) Convex Multitask Learning with Flexible Task Clusters, , arXiv preprint arXiv:1206.4601 (2012); Zhou, J., Chen, J., Ye, J., (2011) Malsar: Multi-task Learning Via Structural Regularization, 21. , Arizona State University, (2011); Zhou, Z., Liao, H., Gu, B., Mohammed Saidul Huq, K., Mumtaz, S., Rodriguez, J., Robust mobile crowd sensing: When deep learning meets edge computing (2018) IEEE Network, 32 (4), pp. 54-60. , (2018)</t>
  </si>
  <si>
    <t>Association for Computing Machinery</t>
  </si>
  <si>
    <t>24749567</t>
  </si>
  <si>
    <t>Proc. ACM Interact. Mob. Wearable Ubiquitous Technol.</t>
  </si>
  <si>
    <t>2-s2.0-85089763606</t>
  </si>
  <si>
    <t>Extraction and interpretation of deep autoencoder-based temporal features from wearables for forecasting personalized mood, health, and stress</t>
  </si>
  <si>
    <t>Farrokhi A., Farahbakhsh R., Rezazadeh J., Minerva R.</t>
  </si>
  <si>
    <t>57221933905;26325390300;11239305000;6603166908;</t>
  </si>
  <si>
    <t>Application of Internet of Things and artificial intelligence for smart fitness: A survey</t>
  </si>
  <si>
    <t>Computer Networks</t>
  </si>
  <si>
    <t>107859</t>
  </si>
  <si>
    <t>10.1016/j.comnet.2021.107859</t>
  </si>
  <si>
    <t>https://www.scopus.com/inward/record.uri?eid=2-s2.0-85100667151&amp;doi=10.1016%2fj.comnet.2021.107859&amp;partnerID=40&amp;md5=7c8362ee50dfad8855eab3fa7e34a90d</t>
  </si>
  <si>
    <t>Institut Mines-Télécom, Télécom SudParis, CNRS Lab UMR5157, 9 rue Charles Fourier, Evry, 91011, France; Azad University, North Tehran Branch, Tehran, Iran; University of Technology Sydney, Sydney, Australia</t>
  </si>
  <si>
    <t>Farrokhi, A., Azad University, North Tehran Branch, Tehran, Iran; Farahbakhsh, R., Institut Mines-Télécom, Télécom SudParis, CNRS Lab UMR5157, 9 rue Charles Fourier, Evry, 91011, France; Rezazadeh, J., Azad University, North Tehran Branch, Tehran, Iran, University of Technology Sydney, Sydney, Australia; Minerva, R., Institut Mines-Télécom, Télécom SudParis, CNRS Lab UMR5157, 9 rue Charles Fourier, Evry, 91011, France</t>
  </si>
  <si>
    <t>The revolution of Internet of Things (IoT) is pervading many facets of our everyday life. Among the multiple IoT application domains, well-being is becoming one of the popular scenarios in IoT which aims to offer new services including smart fitness. This paper focuses on smart fitness covering IoT-based solutions for this domain as well as the impacts of artificial intelligence and social-IoT. IoT-based smart fitness is divided into three categories: Fitness trackers (including wearable and non-wearable sensors), movement analysis and fitness applications. Data collected from IoT-based smart fitness and users could be used for enhancing training performance by Artificial Intelligence (AI)-based algorithms. Sensor to sensor relationship is another notable topic which can be implemented by social-IoT that can share data, information and experiences of users’ training from different places and times. In this his study a comprehensive review on different types of fitness trackers and fitness applications in provided and followed by a review of AI algorithms used in smart fitness scenarios. Lastly detail discussions on the benefits and the potential problems of smart fitness are presented and a shortlist of existing gaps and potential future work have been identified and proposed. © 2021 Elsevier B.V.</t>
  </si>
  <si>
    <t>Artificial intelligence; E-healthcare; Fitness tracker; IoT; Recommendation systems; Smart fitness; Social IoT</t>
  </si>
  <si>
    <t>Artificial intelligence; Data Sharing; Health; User experience; Wearable sensors; AI algorithms; Internet of Things (IOT); IOT applications; Movement analysis; New services; Potential problems; Three categories; Well being; Internet of things</t>
  </si>
  <si>
    <t>Akyildiz, I.F., Su, W., Sankarasubramaniam, Y., Cayirci, E., Wireless sensor networks: a survey (2002) Comput. Netw., 38 (4), pp. 393-422; Blanter, A., Holman, M., https://www.atkearney.com/documents/4634214/6398631/AT+Kearney_Internet+of+Things, Internet of things 2020: a glimpse into the future, Available at Kearney; Kotak, J., Elovici, Y., Iot device identification using deep learning, arXiv preprint ; Rezazadeh, J., Sandrasegaran, K., Kong, X., A location-based smart shopping system with iot technology (2018) 2018 IEEE 4th World Forum on Internet of Things (WF-IoT), pp. 748-753; Lashkari, B., Rezazadeh, J., Farahbakhsh, R., Sandrasegaran, K., Crowdsourcing and sensing for indoor localization in iot: A review (2019) IEEE Sens. J., 19 (7), pp. 2408-2434; Minerva, R., Biru, A., Rotondi, D., Towards a definition of the internet of things (iot) (2015) IEEE Internet Initiative, 1 (1), pp. 1-86; Marjani, M., Nasaruddin, F., Gani, A., Karim, A., Hashem, I.A.T., Siddiqa, A., Yaqoob, I., Big iot data analytics: architecture, opportunities, and open research challenges (2017) IEEE Access, 5, pp. 5247-5261; Rezazadeh, J., Moradi, M., Sandrasegaran, K., Farahbakhsh, R., Transmission power adjustment scheme for mobile beacon-assisted sensor localization (2018) IEEE Trans. Ind. Inf.; Rezazadeh, J., Subramanian, R., Sandrasegaran, K., Kong, X., Moradi, M., Khodamoradi, F., Novel ibeacon placement for indoor positioning in iot (2018) IEEE Sens. J., 18 (24), pp. 10240-10247; Chen, S., Xu, H., Liu, D., Hu, B., Wang, H., A vision of iot: Applications, challenges, and opportunities with china perspective (2014) IEEE Internet Things J., 1 (4), pp. 349-359; Gubbi, J., Buyya, R., Marusic, S., Palaniswami, M., Internet of things (iot): A vision, architectural elements, and future directions (2013) Future Gener. Comput. Syst., 29 (7), pp. 1645-1660; Da Xu, L., He, W., Li, S., Internet of things in industries: A survey (2014) IEEE Trans. Ind. Inform., 10 (4), pp. 2233-2243; Baker, S.B., Xiang, W., Atkinson, I., Internet of things for smart healthcare: Technologies, challenges, and opportunities (2017) IEEE Access, 5, pp. 26521-26544; Cappuccio, F.P., Cooper, D., D'Elia, L., Strazzullo, P., Miller, M.A., Sleep duration predicts cardiovascular outcomes: a systematic review and meta-analysis of prospective studies (2011) Eur. Heart J., 32 (12), pp. 1484-1492; Vidal, M.C., Murphy, S.M., Quantitative measure of fitness in tri-trophic interactions and its influence on diet breadth of insect herbivores (2018) Ecology, 99 (12), pp. 2681-2691; Fullagar, H.H., Skorski, S., Duffield, R., Hammes, D., Coutts, A.J., Meyer, T., Sleep and athletic performance: the effects of sleep loss on exercise performance, and physiological and cognitive responses to exercise (2015) Sports Med., 45 (2), pp. 161-186; Hänsel, K., Wilde, N., Haddadi, H., Alomainy, A., Challenges with current wearable technology in monitoring health data and providing positive behavioural support (2015), pp. 158-161. , Proceedings of the 5th EAI International Conference on Wireless Mobile Communication and Healthcare; Yang, R., Shin, E., Newman, M.W., Ackerman, M.S., When fitness trackers don't'fit' end-user difficulties in the assessment of personal tracking device accuracy (2015), pp. 623-634. , Proceedings of the 2015 ACM International Joint Conference on Pervasive and Ubiquitous Computing; Luhanga, E.T., Hippocrate, A.A.E., Suwa, H., Arakawa, Y., Yasumoto, K., Identifying and evaluating user requirements for smartphone group fitness applications (2018) IEEE Access, 6, pp. 3256-3269; Wyss, T., Boesch, M., Roos, L., Tschopp, C., Frei, K.M., Annen, H., La Marca, R., Aerobic fitness level affects cardiovascular and salivary alpha amylase responses to acute psychosocial stress (2016) Sports Med.-Open, 2 (1), pp. 1-11; Lee, H., Kwon, J., Survey and analysis of information sharing in social IoT (2015) 2015 8th IEEE International Conference on Disaster Recovery and Business Continuity (DRBC), pp. 179-184; Laput, G., Zhang, Y., Harrison, C., Synthetic sensors: Towards general-purpose sensing (2017) Proceedings of the 2017 CHI Conference on Human Factors in Computing Systems, pp. 3986-3999. , Association for Computing Machinery; Visvikis, D., Le Rest, C.C., Jaouen, V., Hatt, M., Artificial intelligence, machine (deep) learning and radio (geno) mics: definitions and nuclear medicine imaging applications (2019) Eur. J. Nucl. Med. Mol. Imaging, pp. 1-8; Russell, S.J., Norvig, P., Artificial Intelligence: A Modern Approach (2016), Pearson Education Limited Malaysia; Ning, C., Design and research of motion video image analysis system in sports training (2019) Multimedia Tools Appl., pp. 1-19; Fister, I., Rauter, S., Yang, X.-S., Ljubič, K., Fister, I., Jr., Planning the sports training sessions with the bat algorithm (2015) Neurocomputing, 149, pp. 993-1002; de Moraes Lopes, M.H.B., Ferreira, D.D., Ferreira, A.C.B.H., da Silva, G.R., Caetano, A.S., Braz, V.N., Use of artificial intelligence in precision nutrition and fitness (2020) Artificial Intelligence in Precision Health, pp. 465-496. , Elsevier; Dong, Y., Scisco, J., Wilson, M., Muth, E., Hoover, A., Detecting periods of eating during free-living by tracking wrist motion (2013) IEEE J. Biomed. Health Inform., 18 (4), pp. 1253-1260; Lee, J.-M., Byun, W., Keill, A., Dinkel, D., Seo, Y., Comparison of wearable trackers’ ability to estimate sleep (2018) Int. J. Environ. Res. Public Health, 15 (6), p. 1265; Lee, C., Movement detection and analysis of resistance exercises for smart fitness platform (2017) 2017 Ninth International Conference on Ubiquitous and Future Networks (ICUFN), pp. 410-415; Pérez, J.G., Payá, A.S., Fernández, D.R., Sánchez, S.H., Alonso, O.M., Ubiquitous low-cost sports training system for athletes (2012), pp. 105-112. , Proceedings of the 6th Euro American Conference on Telematics and Information Systems; Shin, G., Jarrahi, M.H., Fei, Y., Karami, A., Gafinowitz, N., Byun, A., Lu, X., Wearable activity trackers, accuracy, adoption, acceptance and health impact: a systematic literature review (2019) J. Biomed. Inform.; Bender, C.G., Hoffstot, J.C., Combs, B.T., Hooshangi, S., Cappos, J., Measuring the fitness of fitness trackers (2017) 2017 IEEE Sensors Applications Symposium (SAS), pp. 1-6; Tedesco, S., Sica, M., Garbay, T., Barton, J., O'Flynn, B., A comprehensive comparison of commercial wrist-worn trackers in a young cohort in a lab-environment (2018) 2018 IEEE International Conference on Pervasive Computing and Communications Workshops (PerCom Workshops), pp. 415-420. , IEEE; Novatchkov, H., Baca, A., Artificial intelligence in sports on the example of weight training (2013) J. Sports Sci. Med., 12 (1), p. 27; Crema, C., Depari, A., Flammini, A., Sisinni, E., Haslwanter, T., Salzmann, S., Characterization of a wearable system for automatic supervision of fitness exercises (2019) Measurement, 147; Kranz, M., MöLler, A., Hammerla, N., Diewald, S., PlöTz, T., Olivier, P., Roalter, L., The mobile fitness coach: Towards individualized skill assessment using personalized mobile devices (2013) Pervasive Mob. Comput., 9 (2), pp. 203-215; Schmidt, B., Benchea, S., Eichin, R., Meurisch, C., Fitness tracker or digital personal coach: how to personalize training (2015) Adjunct Proceedings of the 2015 ACM International Joint Conference on Pervasive and Ubiquitous Computing and Proceedings of the 2015 ACM International Symposium on Wearable Computers, pp. 1063-1067; Castagna, C., Impellizzeri, F., Cecchini, E., Rampinini, E., Alvarez, J.C.B., Effects of intermittent-endurance fitness on match performance in young male soccer players (2009) J. Strength Cond. Res., 23 (7), pp. 1954-1959; Raschner, C., Platzer, H.-P., Patterson, C., Werner, I., Huber, R., Hildebrandt, C., The relationship between acl injuries and physical fitness in young competitive ski racers: a 10-year longitudinal study (2012) Br. J. Sports Med., 46 (15), pp. 1065-1071; Neumayr, G., Hoertnagl, H., Pfister, R., Koller, A., Eibl, G., Raas, E., Physical and physiological factors associated with success in professional alpine skiing (2003) Int. J. Sports Med., 24 (8), pp. 571-575; Vanrenterghem, J., Nedergaard, N.J., Robinson, M.A., Drust, B., Training load monitoring in team sports: a novel framework separating physiological and biomechanical load-adaptation pathways (2017) Sports Med., 47 (11), pp. 2135-2142; Carazo-Vargas, P., Moncada-Jiménez, J., Reducing training volume during tapering improves performance in taekwondo athletes (2018) J. Phys. Educ. Sport, 18 (4), pp. 2221-2229; Brink, M.S., Nederhof, E., Visscher, C., Schmikli, S.L., Lemmink, K.A., Monitoring load, recovery, and performance in young elite soccer players (2010) J. Strength Cond. Res., 24 (3), pp. 597-603; Sanders, D., Abt, G., Hesselink, M.K., Myers, T., Akubat, I., Methods of monitoring training load and their relationships to changes in fitness and performance in competitive road cyclists (2017) Int. J. Sports Physiol. Perform., 12 (5), pp. 668-675; Postma, D., Van Delden, R., Walinga, W., Koekoek, J., van Beijnum, B.-J., Salim, F.A., Van Hilvoorde, I., Reidsma, D., Towards smart sports exercises: First designs (2019) Extended Abstracts of the Annual Symposium on Computer-Human Interaction in Play Companion Extended Abstracts, pp. 619-630; Buchheit, M., Simpson, M., Al Haddad, H., Bourdon, P., Mendez-Villanueva, A., Monitoring changes in physical performance with heart rate measures in young soccer players (2012) Eur. J. Appl. Physiol., 112 (2), pp. 711-723; Chen, H., Building a basketball shooting model based on neural networks and a genetic algorithm (2013) World Trans. Eng. Technol. Educ., 11 (3), pp. 310-315; Novatchkov, H., Baca, A., Fuzzy logic in sports: a review and an illustrative case study in the field of strength training, Int. J. Comput. Appl. Technol. 71 (6); Hausberger, P., Fernbach, A., Kastner, W., Imu-based smart fitness devices for weight training (2016) IECON 2016-42nd Annual Conference of the IEEE Industrial Electronics Society, pp. 5182-5189; Rezazadeh, J., Moradi, M., Ismail, A.S., Message-efficient localization in mobile wireless sensor networks, J. Commun. Comput. 9 (3); Dhar, V., What is the role of artificial intelligence in sports? (2017) Big Data 5:3, 5, pp. 173-174; Postolache, O., Remote sensing technologies for physiotherapy assessment (2017) 2017 10th International Symposium on Advanced Topics in Electrical Engineering (ATEE), pp. 305-312; Fister, I., Jr., Hrovat, G., Rauter, S., Fister, I., Am i overtraining? a novel data mining approach for avoiding overtraining (2014) Computer Science Research Conference, p. 1; Jürgen, P., Arnold, B., Application of neural networks to analyze performance in sports , p. 342. , Proceedings of the 8th Annual Congress of the European College of Sport Science, ECSS, Salzburg; Hsiao, K.-L., Chen, C.-C., What drives smartwatch purchase intention? perspectives from hardware, software, design, and value (2018) Telemat. Inform., 35 (1), pp. 103-113; Amrawy F, E., Nounou, M.I., Are currently available wearable devices for activity tracking and heart rate monitoring accurate, precise, and medically beneficial? (2015) Healthc. Inform. Res., pp. 315-320; Chauhan, J., Seneviratne, S., Kaafar, M.A., Mahanti, A., Seneviratne, A., Characterization of early smartwatch apps (2016) 2016 IEEE International Conference on Pervasive Computing and Communication Workshops (PerCom Workshops), pp. 1-6; Choudhary, G., Jain, A., Internet of things: A survey on architecture, technologies, protocols and challenges (2016) 2016 International Conference on Recent Advances and Innovations in Engineering (ICRAIE), pp. 1-8. , IEEE; Kraijak, S., Tuwanut, P., A survey on iot architectures, protocols, applications, security, privacy, real-world implementation and future trends (2015) 11th International Conference on Wireless Communications, Networking and Mobile Computing (WiCOM 2015), pp. 1-6. , IET; Yang, Z., Yue, Y., Yang, Y., Peng, Y., Wang, X., Liu, W., Study and application on the architecture and key technologies for iot (2011) 2011 International Conference on Multimedia Technology, pp. 747-751. , IEEE; Wu, M., Lu, T.-J., Ling, F.-Y., Sun, J., Du, H.-Y., Research on the architecture of internet of things (2010) 2010 3rd International Conference on Advanced Computer Theory and Engineering (ICACTE), Vol. 5, pp. V5-484. , IEEE; Zanella, A., Mason, F., Pluchino, P., Cisotto, G., Orso, V., Gamberini, L., Internet of things for elderly and fragile people (2020), pp. 179-184. , arXiv preprint; Elloumi, O., Desbenoit, J.-P., Wetterwald, P., Karagiannis, G., Heiles, J., Murdock, P., Carugi, M., Ucendo, C.R., High Level Architecture (hla): Release 3.0: Aioti wg03-lot Standardisation (2017), (Ph.D. thesis) Dépt. Réseaux et Service Multimédia Mobiles (Institut Mines-Télécom-Télécom); Crawford, K., Lingel, J., Karppi, T., Our metrics, ourselves: A hundred years of self-tracking from the weight scale to the wrist wearable device (2015) Eur. J. Cult. Stud., 18 (4-5), pp. 479-496; Bajpai, A., Jilla, V., Tiwari, V.N., Venkatesan, S.M., Narayanan, R., Quantifiable fitness tracking using wearable devices (2015) 2015 37th Annual International Conference of the IEEE Engineering in Medicine and Biology Society (EMBC), pp. 1633-1637. , IEEE; Farhadian, F., Kashani, M.M.R., Rezazadeh, J., Farahbakhsh, R., Sandrasegaran, K., An efficient iot cloud energy consumption based on genetic algorithm, Digital Commun. Netw; Sahraei, S.H., Kashani, M.M.R., Rezazadeh, J., Farahbakhsh, R., Efficient job scheduling in cloud computing based on genetic algorithm, Int. J. Commun. Netw. Distrib. Syst. 22 (4); Bulling, A., Ward, J.A., Gellersen, H., Troster, G., Eye movement analysis for activity recognition using electrooculography (2010) IEEE Trans. Pattern Anal. Mach. Intell., 33 (4), pp. 741-753; Abowd, D., Dey, A.K., Orr, R., Brotherton, J., Context-awareness in wearable and ubiquitous computing (1998) Virtual Real., 3 (3), pp. 200-211; Fern, A., Natarajan, S., Judah, K., Tadepalli, P., A decision-theoretic model of assistance (2014) J. Artificial Intelligence Res., 50, pp. 71-104; Jain, A., A smart gym framework: Theoretical approach (2015) 2015 IEEE International Symposium on Nanoelectronic and Information Systems, pp. 191-196; Xi, X., Keogh, E., Shelton, C., Wei, L., Ratanamahatana, C.A., Fast time series classification using numerosity reduction (2006) Proceedings of the 23rd International Conference on Machine Learning, pp. 1033-1040. , Association for Computing Machinery; Chang, K.-H., Chen, M.Y., Canny, J., Tracking free-weight exercises (2007) International Conference on Ubiquitous Computing, pp. 19-37. , Springer; Nanopoulos, A., Alcock, R., Manolopoulos, Y., Feature-based classification of time-series data (2001) Int. J. Comput. Res., 10 (3), pp. 49-61; Culén, A.L., Finken, S., Bratteteig, T., Design and interaction in a smart gym: cognitive and bodily mastering (2013) International Conference on Human Factors in Computing and Informatics, pp. 609-616; Yong, B., Xu, Z., Wang, X., Cheng, L., Li, X., Wu, X., Zhou, Q., Iot-based intelligent fitness system (2018) J. Parallel Distrib. Comput., pp. 14-21; Jalal, A., Nadeem, A., Bobasu, S., Human body parts estimation and detection for physical sports movements (2019) 2019 2nd International Conference on Communication, Computing and Digital Systems (C-CODE), pp. 104-109. , IEEE; Anh, D.N., Detection of lesion region in skin images by moment of patch (2016) 2016 IEEE RIVF International Conference on Computing &amp; Communication Technologies, Research, Innovation, and Vision for the Future (RIVF), pp. 217-222; Meamarbashi, A., Siahkouhian, M., Designing smart treadmill for athletic endurance training (2017) J. Adv. Sport Technol., 1 (2), pp. 30-32; Lee, H.-N., Lim, S.-H., Kim, J.-H., Umons: Ubiquitous monitoring system in smart space (2009) IEEE Trans. Consum. Electron., 55 (3), pp. 1056-1064; Xie, J., Wen, D., Liang, L., Jia, Y., Gao, L., Lei, J., Evaluating the validity of current mainstream wearable devices in fitness tracking under various physical activities: comparative study (2018) JMIR mHealth uHealth, 6 (4); Fritz, T., Huang, E.M., Murphy, G.C., Zimmermann, T., Persuasive technology in the real world: a study of long-term use of activity sensing devices for fitness (2014), pp. 487-496. , Proceedings of the SIGCHI Conference on Human Factors in Computing Systems; Buttussi, F., Chittaro, L., Mopet: A context-aware and user-adaptive wearable system for fitness training (2008) Artif. Intell. Med., 42 (2), pp. 153-163; Marinescu, G., Ticala, L.D., Dulceata, V., Bidiugan, S.N., Effort analysis in real time during a football game–junior ii using gpsports device (2016) Ovidius Univ. Ann., Ser. Phys. Educ. Sport/Sci., Mov. Health, 16 (2 SI), pp. 548-555; Blanch, P., Gabbett, T.J., Has the athlete trained enough to return to play safely? the acute: chronic workload ratio permits clinicians to quantify a player's risk of subsequent injury (2016) Br. J. Sports Med., 50 (8), pp. 471-475; Eskofier, B.M., Lee, S.I., Baron, M., Simon, A., Martindale, C.F., Gaßner, H., Klucken, J., An overview of smart shoes in the internet of health things: gait and mobility assessment in health promotion and disease monitoring (2017) Appl. Sci., 7 (10), p. 986; Chinimilli, P.T., Redkar, S., Zhang, W., Human activity recognition using inertial measurement units and smart shoes (2017) 2017 American Control Conference (ACC), pp. 1462-1467; Nguyen, N.D., Bui, D.T., Truong, P.H., Jeong, G.-M., Classification of five ambulatory activities regarding stair and incline walking using smart shoes (2018) IEEE Sens. J., 18 (13), pp. 5422-5428; Akpa, E.A., Fujiwara, M., Arakawa, Y., Suwa, H., Yasumoto, K., Gift: glove for indoor fitness tracking system (2018) 2018 IEEE International Conference on Pervasive Computing and Communications Workshops (PerCom Workshops), pp. 52-57; Ermes, M., Pärkkä, J., Mäntyjärvi, J., Korhonen, I., Detection of daily activities and sports with wearable sensors in controlled and uncontrolled conditions (2008) IEEE Trans. Inf. Technol. Biomed., 12 (1), pp. 20-26; Heinz, E.A., Kunze, K.S., Gruber, M., Bannach, D., Lukowicz, P., Using wearable sensors for real-time recognition tasks in games of martial arts-an initial experiment (2006) 2006 IEEE Symposium on Computational Intelligence and Games, pp. 98-102; Barris, S., Button, C., A review of vision-based motion analysis in sport (2008) Sports Med., pp. 1025-1043; Avci, A., Bosch, S., Marin-Perianu, M., Marin-Perianu, R., Havinga, P., Activity recognition using inertial sensing for healthcare, wellbeing and sports applications: A survey (2010) 23th International Conference on Architecture of Computing Systems, Vol. 2010, pp. 1-10; Kim, J., Kim, M., Kim, D., Park, J., Huh, W., An event detection algorithm in ecg with 60hz interference and baseline wandering (2009), pp. 713-716. , Proceedings of the 2nd International Conference on Interaction Sciences: Information Technology, Culture and Human; Zhang, J., Cao, Y., Qiao, M., Ai, L., Sun, K., Mi, Q., Zang, S., Wang, Q., Human motion monitoring in sports using wearable graphene-coated fiber sensors (2018) Sensors Actuators A, 274, pp. 132-140; Lee, Y.-D., Chung, W.-Y., Wireless sensor network based wearable smart shirt for ubiquitous health and activity monitoring (2009) Sensors Actuators B, 140 (2), pp. 390-395; Manjarres, J., Narvaez, P., Gasser, K., Percybrooks, W., Pardo, M., Physical workload tracking using human activity recognition with wearable devices (2020) Sensors, 20 (1), p. 39; Belgiu, M., Drăguţ, L., Random forest in remote sensing: A review of applications and future directions (2016) ISPRS J. Photogramm. Remote Sens., 114, pp. 24-31; Deng, Z., Zhu, X., Cheng, D., Zong, M., Zhang, S., Efficient knn classification algorithm for big data (2016) Neurocomputing, 195, pp. 143-148; Bian, S., Rey, V.F., Hevesi, P., Lukowicz, P., Passive capacitive based approach for full body gym workout recognition and counting (2019) 2019 IEEE International Conference on Pervasive Computing and Communications (PerCom), pp. 1-10. , IEEE; Li, I., Dey, A.K., Forlizzi, J., Understanding my data, myself: supporting self-reflection with ubicomp technologies (2011), pp. 405-414. , Proceedings of the 13th international conference on Ubiquitous computing; Fan, C., Forlizzi, J., Dey, A.K., A spark of activity: exploring informative art as visualization for physical activity (2012), pp. 81-84. , Proceedings of the 2012 ACM Conference on Ubiquitous Computing; Chen, Y., Pu, P., Healthytogether: Exploring social incentives for mobile fitness applications (2014), pp. 25-34. , Proceedings of the Second International Symposium of Chinese CHI; Ali-Hasan, N., Gavales, D., Peterson, A., Raw, M., Fitster: social fitness information visualizer (2006) CHI’06 Extended Abstracts on Human Factors in Computing Systems, pp. 1795-1800; Lin, J.J., Mamykina, L., Lindtner, S., Delajoux, G., Strub, H.B., Fishnsteps: Encouraging physical activity with an interactive computer game (2006) International Conference on Ubiquitous Computing, pp. 261-278. , Springer; Wylie, J., Fitness gamification: concepts, characteristics, and applications, Print, Elon University; Cohen, S., Mermelstein, R., Kamarck, T., Hoberman, H.M., Measuring the functional components of social support (1985) Social Support: Theory, Research and Applications, pp. 73-94. , Springer; Molina, M.D., Sundar, S.S., Can mobile apps motivate fitness tracking? a study of technological affordances and workout behaviors (2020) Health Commun., 35 (1), pp. 65-74; England, A., https://www.techworld.com/download/hobbies-home-entertainment/bodyspace-social-fitness-app-3331176/, Bodyspace—social fitness app; Kang, T.-C., Wen, C.-H., Guo, S.-W., Chang, W.-Y., Chang, C.-L., The implementation of an iot-based exercise improvement system (2019) J. Supercomput., pp. 1-15; Clarke, A., Steele, R., How personal fitness data can be re-used by smart cities (2011) 2011 Seventh International Conference on Intelligent Sensors, Sensor Networks and Information Processing, pp. 395-400; Fereidooni, H., Frassetto, T., Miettinen, M., Sadeghi, A.-R., Conti, M., Fitness trackers: fit for health but unfit for security and privacy (2017) 2017 IEEE/ACM International Conference on Connected Health: Applications, Systems and Engineering Technologies (CHASE), pp. 19-24; Mehmood, N.Q., Culmone, R., An ant+ protocol based health care system (2015) 2015 IEEE 29th International Conference on Advanced Information Networking and Applications Workshops, pp. 193-198. , IEEE; Kelly, S., Frankel, S., Using hmac-sha-256, hmac-sha-384, and hmac-sha-512 with ipsec: Tech. rep., RFC 4868 (2007); Thaker, T., Esp8266 based implementation of wireless sensor network with linux based web-server (2016) 2016 Symposium on Colossal Data Analysis and Networking (CDAN), pp. 1-5. , IEEE; Postolache, O., Girão, P.S., Pereira, J.M., Postolache, G., Wearable system for gait assessment during physical rehabilitation process (2015) 2015 9th International Symposium on Advanced Topics in Electrical Engineering (ATEE), pp. 321-326. , IEEE; Atzori, L., Iera, A., Morabito, G., Siot: Giving a social structure to the internet of things (2011) IEEE Commun. Lett., 15 (11), pp. 1193-1195; Afzal, B., Umair, M., Shah, G.A., Ahmed, E., Enabling iot platforms for social iot applications: vision, feature mapping, and challenges (2019) Future Gener. Comput. Syst., 92, pp. 718-731; Atzori, L., Iera, A., Morabito, G., Nitti, M., The social internet of things (siot)–when social networks meet the internet of things: Concept, architecture and network characterization (2012) Comput. Netw., 56 (16), pp. 3594-3608; Nitti, M., Girau, R., Atzori, L., Trustworthiness management in the social internet of things (2013) IEEE Trans. Knowl. Data Eng., 26 (5), pp. 1253-1266; Saleem, Y., Crespi, N., Rehmani, M.H., Copeland, R., Hussein, D., Bertin, E., Exploitation of social iot for recommendation services (2016) 2016 IEEE 3rd World Forum on Internet of Things (WF-IoT), pp. 359-364; Roopa, M., Pattar, S., Buyya, R., Venugopal, K.R., Iyengar, S., Patnaik, L., Social internet of things (siot): Foundations, thrust areas, systematic review and future directions, Comput. Commun; Kanoje, S., Girase, S., Mukhopadhyay, D., User profiling trends, techniques and applications, arXiv preprint ; Lee, S., Wi, S., Seo, E., Jung, J., Chung, T., Profiot: Abnormal behavior profiling (abp) of iot devices based on a machine learning approach (2017) 2017 27th International Telecommunication Networks and Applications Conference (ITNAC), pp. 1-6; Schiaffino, S., Amandi, A., Intelligent user profiling (2009) Artificial Intelligence an International Perspective, pp. 193-216; Logesh, R., Subramaniyaswamy, V., Vijayakumar, V., Li, X., Efficient user profiling based intelligent travel recommender system for individual and group of users (2019) Mob. Netw. Appl., 24 (3), pp. 1018-1033; Bezdek, J.C., Ehrlich, R., Full, W., Fcm: The fuzzy c-means clustering algorithm (1984) Comput. Geosci., 10 (2-3), pp. 191-203; Schiaffino, S.N., Amandi, A., User profiling with case-based reasoning and bayesian networks (2000) IBERAMIA-SBIA 2000 Open Discussion Track, pp. 12-21; Sebastiani, P., Ramoni, M., Crea, A., Profiling your customers using bayesian networks (2000) ACM SIGKDD Explor. Newsl., 1 (2), pp. 91-96; Abraham, T., de Vel, O., Investigative profiling with computer forensic log data and association rules (2002) 2002 IEEE International Conference on Data Mining, 2002. Proceedings, pp. 11-18. , IEEE; Al-Shamri, M.Y.H., User profiling approaches for demographic recommender systems (2016) Knowl.-Based Syst., 100, pp. 175-187; Liu, J., Wang, X., Liu, X., Yang, F., Analysis and design of personalized recommendation system for university physical education (2010) 2010 International Conference on Networking and Digital Society, pp. 472-475; Fister, I., Fister, D., Ljubic, K., Zhuang, Y., Fong, S., Towards automatic food prediction during endurance sport competitions (2014) 2014 International Conference on Soft Computing and Machine Intelligence, pp. 6-10; Galán-Mercant, A., Ortiz, A., Herrera-Viedma, E., Tomas, M.T., Fernandes, B., Moral-Munoz, J.A., Assessing physical activity and functional fitness level using convolutional neural networks (2019) Knowl.-Based Syst., 185; Smyth, B., Using machine learning to build a better fitness app to help runners to run a faster marathon; Depari, A., Ferrari, P., Flammini, A., Rinaldi, S., Sisinni, E., Lightweight machine learning-based approach for supervision of fitness workout (2019) 2019 IEEE Sensors Applications Symposium (SAS), pp. 1-6. , IEEE; Fister Jr, I., Vrbančič, G., Brezočnik, L., Podgorelec, V., Fister, I., Sportydatagen: An online generator of endurance sports activity collections (2018) Central European Conference on Information and Intelligent Systems, pp. 171-178; Trenchard, H., Ratamero, E., Richardson, A., Perc, M., A deceleration model for bicycle peloton dynamics and group sorting (2015) Appl. Math. Comput., 251, pp. 24-34; Vainamo, K., Nissila, S., Makikalio, T., Tulppo, M., Roning, J., Artificial neural networks for aerobic fitness approximation (1996), 4, pp. 1939-1944. , Proceedings of International Conference on Neural Networks (ICNN’96); Nardi, P., Human activity recognition–deep learning techniques for upper body exercise classification system (2014), 97, p. 106. , Proceedings of the 22nd ACM International conference on Multimedia; Xu, B., Prediction of sports performance based on genetic algorithm and artificial neural network (2012) Int. J. Digit. Content Technol. Appl., 6 (22), p. 141; Kankanhalli, A., Charalabidis, Y., Mellouli, S., Iot and ai for smart government: A research agenda (2019) Gov. Inf. Q., 36 (2), pp. 304-309; Russell, S., Norvig, P., Artificial Intelligence: A Modern Approach (2009), Prentice Hall Press; Eiben, A.E., Smith, J.E., Introduction to Evolutionary Computing, Vol. 53 (2003), Springer; Blum, C., Merkle, D., (2008) Swarm Intelligence Swarm Intelligence in Optimization, pp. 43-85. , Blum C. Merkle D; Fister, I., Fister, I., Fister, D., Computational Intelligence in Sports (2019), Springer; Agrawal, R., Srikant, R., (1994), 1215, pp. 487-499. , Fast algorithms for mining association rules, in: Proc. 20th Int. Conf. Very Large Data Bases, VLDB; Zaki, M.J., Scalable algorithms for association mining (2000) IEEE Trans. Knowl. Data Eng., 12 (3), pp. 372-390; Han, J., Pei, J., Yin, Y., Mining frequent patterns without candidate generation (2000) ACM Sigmod Rec., 29 (2), pp. 1-12; (2019), pp. 1668-1674. , I. Fister Jr, A. Galvez, E. Osaba, J.D. Ser, A. Iglesias, I. Fister, Discovering dependencies among mined association rules with population-based metaheuristics, in: Proceedings of the Genetic and Evolutionary Computation Conference Companion; Fister, I., Fister Jr, I., Fister, D., Batminer for identifying the characteristics of athletes in training (2019) Computational Intelligence in Sports, pp. 201-221. , Springer; Bengio, Y., Learning deep architectures for ai (2009) Found. Trends® Mach. Learn., 2 (1), pp. 1-127; Talabis, M.R.M., McPherson, R., Miyamoto, I., Martin, J.L., Kaye, D., Chapter 1 - analytics defined (2015) Information Security Analytics, pp. 1-12; Ghahramani, Z., learning, U., Unsupervised learning (2003) Summer School on Machine Learning, pp. 72-112. , Springer; Safavian, S.R., Landgrebe, D., A survey of decision tree classifier methodology (1991) IEEE Trans. Syst. Man Cybern., 21 (3), pp. 660-674; Bach, M.P., Cosic, D., Data mining usage in health care management: literature survey and decision tree application (2008) Med. Glas., 5 (1), pp. 57-64; Montgomery, D.C., Peck, E.A., Vining, G.G., Introduction to Linear Regression Analysis, Vol. 821 (2012), John Wiley &amp; Sons; Goodhill, G.J., Willshaw, D., Application of the elastic net algorithm to the formation of ocular dominance stripes (1990) Network: Comput. Neural Syst., 1 (1), pp. 41-59; Wold, S., Esbensen, K., Geladi, P., Principal component analysis (1987) Chemom. Intell. Lab. Syst., 2 (1-3), pp. 37-52; Martínez, A.M., Kak, A.C., Pca versus lda (2001) IEEE Trans. Pattern Anal. Mach. Intell., 23 (2), pp. 228-233; Murdoch, W.J., Singh, C., Kumbier, K., Abbasi-Asl, R., Yu, B., Interpretable machine learning: definitions, methods, and applications, arXiv preprint ; Fister Jr, I., Ljubič, K., Suganthan, P.N., Perc, M., Fister, I., Computational intelligence in sports: challenges and opportunities within a new research domain (2015) Appl. Math. Comput., 262, pp. 178-186; Novatchkov, H., Baca, A., Machine learning methods for the automatic evaluation of exercises on sensor-equipped weight training machines (2012) Procedia Eng., 34, pp. 562-567; Iztok, F.J., Iztok, F., Generating the training plans based on existing sports activities using swarm intelligence (2017) Nat.-Inspired Comput. Optim.: Theory Appl., pp. 79-94; Ahmad, S.Z.R.S., Yusoff, Y., Zain, A.M., Samsudin, R., Ghazali, N.E., Ai for heart rate measurements for sport performance: A review (2019) IOP Conf. Ser.: Mater. Sci. Eng., 551 (1); Trenchard, H., Richardson, A., Ratamero, E., Perc, M., Collective behavior and the identification of phases in bicycle pelotons (2014) Physica A, 405, pp. 92-103; Yang, X.-S., A new metaheuristic bat-inspired algorithm (2010) Nature Inspired Cooperative Strategies for Optimization (NICSO 2010), pp. 65-74; Kuutti, S., Bowden, R., Jin, Y., Barber, P., Fallah, S., A survey of deep learning applications to autonomous vehicle control, IEEE Trans. Intell. Transp. Syst; Hoey, J., Poupart, P., von Bertoldi, A., Craig, T., Boutilier, C., Mihailidis, A., Automated handwashing assistance for persons with dementia using video and a partially observable markov decision process (2010) Comput. Vis. Image Understand., 114 (5), pp. 503-519; Mohammadi, M., Al-Fuqaha, A., Sorour, S., Guizani, M., Deep learning for iot big data and streaming analytics: A survey (2018) IEEE Commun. Surv. Tutor., 20 (4), pp. 2923-2960; Shrestha, A., Mahmood, A., Review of deep learning algorithms and architectures (2019) IEEE Access, 7, pp. 53040-53065; Zahner, D.A., Micheli-Tzanakou, E., Artificial neural networks: definitions, methods, applications (1995) The Biomedical Engineering Handbook, pp. 2699-2715. , CRC Press; Lu, C.-H., Wang, W.-C., Tai, C.-C., Chen, T.-C., Design of a heart rate controller for treadmill exercise using a recurrent fuzzy neural network (2016) Comput. Methods Programs Biomed., 128, pp. 27-39; Lin, C.-H., Chiu, D.-Y., Wu, Y.-H., Chen, A.L., Mining frequent itemsets from data streams with a time-sensitive sliding window (2005) Proceedings of the 2005 SIAM International Conference o</t>
  </si>
  <si>
    <t>13891286</t>
  </si>
  <si>
    <t>CNETD</t>
  </si>
  <si>
    <t>Comput. Networks</t>
  </si>
  <si>
    <t>2-s2.0-85100667151</t>
  </si>
  <si>
    <t>Application of internet of things and artificial intelligence for smart fitness: a survey</t>
  </si>
  <si>
    <t>Chiao V.</t>
  </si>
  <si>
    <t>35363633900;</t>
  </si>
  <si>
    <t>Fairness, accountability and transparency: Notes on algorithmic decision-making in criminal justice</t>
  </si>
  <si>
    <t>International Journal of Law in Context</t>
  </si>
  <si>
    <t>126</t>
  </si>
  <si>
    <t>139</t>
  </si>
  <si>
    <t>10.1017/S1744552319000077</t>
  </si>
  <si>
    <t>https://www.scopus.com/inward/record.uri?eid=2-s2.0-85067433717&amp;doi=10.1017%2fS1744552319000077&amp;partnerID=40&amp;md5=a5f9eb06f70bab5aff4a44b92b8ec955</t>
  </si>
  <si>
    <t>Faculty of Law, University of Toronto, Canada</t>
  </si>
  <si>
    <t>Chiao, V., Faculty of Law, University of Toronto, Canada</t>
  </si>
  <si>
    <t>Over the last few years, legal scholars, policy-makers, activists and others have generated a vast and rapidly expanding literature concerning the ethical ramifications of using artificial intelligence, machine learning, big data and predictive software in criminal justice contexts. These concerns can be clustered under the headings of fairness, accountability and transparency. First, can we trust technology to be fair, especially given that the data on which the technology is based are biased in various ways? Second, whom can we blame if the technology goes wrong, as it inevitably will on occasion? Finally, does it matter if we do not know how an algorithm works or, relatedly, cannot understand how it reached its decision? I argue that, while these are serious concerns, they are not irresolvable. More importantly, the very same concerns of fairness, accountability and transparency apply, with even greater urgency, to existing modes of decision-making in criminal justice. The question, hence, is comparative: can algorithmic modes of decision-making improve upon the status quo in criminal justice? There is unlikely to be a categorical answer to this question, although there are some reasons for cautious optimism. Copyright © 2019 Cambridge University Press.</t>
  </si>
  <si>
    <t>accountability; algorithms; artificial intelligence; big data; criminal justice; fairness; transparency</t>
  </si>
  <si>
    <t>Berdejó, C., Yuchtman, N., Crime, punishment and politics: An analysis of political cycles in criminal sentencing (2013) Review of Economics and Statistics, 95, pp. 741-756; Berk, R., Hyatt, J., Machine learning forecasts of risk to inform sentencing decisions (2015) Federal Sentencing Reporter, 27, p. 223; Berk, R., Fairness in criminal justice risk assessments: The state of the art (2018) Sociological Methods and Research, , https://doi.org/10.1177/0049124118782533, July. (accessed 8 March 2019); Chiao, V., (2018) Criminal Law in the Age of the Administrative State, , Oxford: Oxford University Press; Chiao, V., Predicting proportionality: The case for algorithmic sentencing (2018) Criminal Justice Ethics, 37, pp. 238-261; Chouldechova, A., Fair prediction with disparate impact: A study of bias in recidivism prediction instruments (2017) Big Data, 5. , https://doi.org/10.1089/big.2016.0047, (accessed 19 February 2019); Danziger, S., Extraneous factors in judicial decisions (2011) Proceedings of the National Academy of Sciences of the United States of America, 108, pp. 6889-6892; Duff, A., (2007) Answering for Crime, , Oxford: Oxford University Press; Duff, A., (2018) The Realm of Criminal Law, , Oxford: Oxford University Press; Englich, B., Heuristic strategies and persistent biases in sentencing decisions (2009) Social Psychology of Punishment of Crime, pp. 295-314. , Oswald ME, Bieneck S and Hupfeld-Heinemann J (eds), Hoboken: Wiley-Blackwell; Goodman-Delahunty, J., Sporer, S.L., Unconscious influences in sentencing decisions: A research review of psychological sources of disparity (2010) Australian Journal of Forensic Sciences, 42, pp. 19-36; Grove, W., Meehl, P., Comparative efficiency of informal (subjective, impressionistic) and formal (mechanical, algorithmic) prediction procedures: The clinical-statistical controversy (1996) Psychology, Public Policy, and Law, 2, pp. 293-323; Hannah-Moffat, K., Actuarial sentencing: An 'unsettled' proposition (2012) Justice Quarterly, 30, pp. 1-27; Harcourt, B., (2006) Against Prediction: Profiling, Policing, and Punishing in An Actuarial Age, , Chicago: University of Chicago Press; Heidensohn, F., Silvestri, M., Gender and crime (2012) The Oxford Handbook of Criminology, , In Maguire M, Morgan R and Reiner R (eds), Oxford: Oxford University Press; Huq, A., Racial equity in algorithmic criminal justice (2019) Duke Law Journal, 68. , forthcoming; Kleinberg, J., Human decisions and machine predictions (2018) Quarterly Journal of Economics, 133, pp. 237-293; Kohler-Hausmann, I., (2018) Misdemeanorland: Criminal Courts and Social Control in An Age of Broken Windows Policing, , Princeton: Princeton University Press; Mitchell, O., Caudy, M.S., Race differences in drug offending and drug distribution arrests (2017) Crime &amp; Delinquency, 63, pp. 91-112; Natapoff, A., Misdemeanors (2012) Southern California Law Review, 85, pp. 101-163; Nellis, A., (2016) The Color of Justice: Racial and Ethnic Disparity in State Prisons, , http://www.sentencingproject.org/wp-content/uploads/2016/06/The-Color-of-Justice-Racial-and-Ethnic-Disparity-in-State-Prisons.pdf, The Sentencing Project, Washington, DC. (accessed 19 February 2019); Owusu-Bempah, A., Wortley, S., Race, crime, and criminal justice in Canada (2014) Oxford Handbook of Ethnicity, Crime, and Immigration Online, , In Bucerius S and Tonry M (eds), Oxford: Oxford University Press; Silvestri, M., Crowther-Dowey, C., (2008) Key Approaches to Criminology: Gender &amp; Crime, , Los Angeles: SAGE Publications; Starr, S.B., Evidence-based sentencing and the scientific rationalization of discrimination (2014) Stanford Law Review, 66, pp. 803-872; (2014) Results from the 2013 National Survey on Drug Use and Health: Summary of National Findings, , NSDUH Series H-48, HHS Publication No. (SMA) 14-4863. Rockville, MD: Substance Abuse and Mental Health Services Administration; Yang, C., Free at last? Judicial discretion and racial disparities in federal sentencing (2015) Journal of Legal Studies, 44, pp. 75-111</t>
  </si>
  <si>
    <t>Cambridge University Press</t>
  </si>
  <si>
    <t>17445523</t>
  </si>
  <si>
    <t>Int. J. Law Context</t>
  </si>
  <si>
    <t>2-s2.0-85067433717</t>
  </si>
  <si>
    <t>Fairness, accountability and transparency: notes on algorithmic decision-making in criminal justice</t>
  </si>
  <si>
    <t>Antoniou E., Bozios P., Christou V., Tzimourta K.D., Kalafatakis K., Tsipouras M.G., Giannakeas N., Tzallas A.T.</t>
  </si>
  <si>
    <t>57222528380;57222530939;39860959200;57197857448;26433485100;6506315682;16174719000;8907554500;</t>
  </si>
  <si>
    <t>EEG-based eye movement recognition using the brain–computer interface and random forests</t>
  </si>
  <si>
    <t>21</t>
  </si>
  <si>
    <t>2339</t>
  </si>
  <si>
    <t>10.3390/s21072339</t>
  </si>
  <si>
    <t>https://www.scopus.com/inward/record.uri?eid=2-s2.0-85103017199&amp;doi=10.3390%2fs21072339&amp;partnerID=40&amp;md5=4e9997dac077977791f1ac12fc1558d3</t>
  </si>
  <si>
    <t>Department of Informatics and Telecommunications, University of Ioannina, Arta, GR47100, Greece; Q Base R&amp;D, Science &amp; Technology Park of Epirus, University of Ioannina Campus, Ioannina, GR45110, Greece; Department of Electrical and Computer Engineering, University of Western Macedonia, Kozani, GR50100, Greece</t>
  </si>
  <si>
    <t>Antoniou, E., Department of Informatics and Telecommunications, University of Ioannina, Arta, GR47100, Greece; Bozios, P., Department of Informatics and Telecommunications, University of Ioannina, Arta, GR47100, Greece; Christou, V., Department of Informatics and Telecommunications, University of Ioannina, Arta, GR47100, Greece, Q Base R&amp;D, Science &amp; Technology Park of Epirus, University of Ioannina Campus, Ioannina, GR45110, Greece; Tzimourta, K.D., Department of Informatics and Telecommunications, University of Ioannina, Arta, GR47100, Greece, Department of Electrical and Computer Engineering, University of Western Macedonia, Kozani, GR50100, Greece; Kalafatakis, K., Department of Informatics and Telecommunications, University of Ioannina, Arta, GR47100, Greece; Tsipouras, M.G., Department of Electrical and Computer Engineering, University of Western Macedonia, Kozani, GR50100, Greece; Giannakeas, N., Department of Informatics and Telecommunications, University of Ioannina, Arta, GR47100, Greece; Tzallas, A.T., Department of Informatics and Telecommunications, University of Ioannina, Arta, GR47100, Greece</t>
  </si>
  <si>
    <t>Discrimination of eye movements and visual states is a flourishing field of research and there is an urgent need for non-manual EEG-based wheelchair control and navigation systems. This paper presents a novel system that utilizes a brain–computer interface (BCI) to capture elec-troencephalographic (EEG) signals from human subjects while eye movement and subsequently classify them into six categories by applying a random forests (RF) classification algorithm. RF is an ensemble learning method that constructs a series of decision trees where each tree gives a class prediction, and the class with the highest number of class predictions becomes the model’s prediction. The categories of the proposed random forests brain–computer interface (RF-BCI) are defined according to the position of the subject’s eyes: open, closed, left, right, up, and down. The purpose of RF-BCI is to be utilized as an EEG-based control system for driving an electromechanical wheelchair (rehabilitation device). The proposed approach has been tested using a dataset containing 219 records taken from 10 different patients. The BCI implemented the EPOC Flex head cap system, which includes 32 saline felt sensors for capturing the subjects’ EEG signals. Each sensor caught four different brain waves (delta, theta, alpha, and beta) per second. Then, these signals were split in 4-second windows resulting in 512 samples per record and the band energy was extracted for each EEG rhythm. The proposed system was compared with naïve Bayes, Bayes Network, k-nearest neighbors (K-NN), multilayer perceptron (MLP), support vector machine (SVM), J48-C4.5 decision tree, and Bagging classification algorithms. The experimental results showed that the RF algorithm outperformed compared to the other approaches and high levels of accuracy (85.39%) for a 6-class classification are obtained. This method exploits high spatial information acquired from the Emotiv EPOC Flex wearable EEG recording device and examines successfully the potential of this device to be used for BCI wheelchair technology. © 2021 by the authors. Licensee MDPI, Basel, Switzerland.</t>
  </si>
  <si>
    <t>Brain–computer interface; EEG; Electroencephalogram; Electrooculogram; EPOC Flex; Eye movement; Eye tracking; Random forests</t>
  </si>
  <si>
    <t>Bayesian networks; Biomedical signal processing; Decision trees; Electromechanical devices; Eye movements; Forecasting; Learning systems; Man machine systems; Motion estimation; Multilayer neural networks; Navigation systems; Nearest neighbor search; Predictive analytics; Random forests; Support vector machines; Wearable technology; Wheelchairs; C4.5 decision trees; Classification algorithm; K-nearest neighbors; Movement recognition; Multi layer perceptron; Rehabilitation devices; Spatial informations; Wheelchair control; Brain computer interface; algorithm; Bayes theorem; brain computer interface; electroencephalography; eye movement; human; movement (physiology); signal processing; Algorithms; Bayes Theorem; Brain-Computer Interfaces; Electroencephalography; Eye Movements; Humans; Movement; Signal Processing, Computer-Assisted</t>
  </si>
  <si>
    <t>Huang, Q., He, S., Wang, Q., Gu, Z., Peng, N., Li, K., Zhang, Y., Li, Y., An EOG-Based Human–Machine Interface for Wheelchair Control (2018) IEEE Trans. Biomed. Eng, 65, pp. 2023-2032. , [CrossRef] [PubMed]; Simmons, Z., Bremer, B.A., Robbins, R.A., Walsh, S.M., Fischer, S., Quality of life in ALS depends on factors other than strength and physical function (2000) Neurology, 55, pp. 388-392. , [CrossRef] [PubMed]; Vaughan, T.M., Guest editorial brain-computer interface technology: A review of the second international meeting (2003) IEEE Trans. Neural Syst. Rehabil. Eng, 11, pp. 94-109. , [CrossRef] [PubMed]; Iturrate, I., Antelis, J., Mínguez, J., Synchronous EEG brain-actuated wheelchair with automated navigation (2009) Proceedings of the 2009 IEEE International Conference on Robotics and Automation, pp. 2318-2325. , Kobe, Japan, 12–17 May IEEE: New York, NY, USA, 2009; Huang, D., Qian, K., Fei, D.-Y., Jia, W., Chen, X., Bai, O., Electroencephalography (EEG)-Based Brain–Computer Interface (BCI): A 2-D Virtual Wheelchair Control Based on Event-Related Desynchronization/Synchronization and State Control (2012) IEEE Trans. Neural Syst. Rehabil. Eng, 20, pp. 379-388. , [CrossRef] [PubMed]; Craig, D., Nguyen, H., Adaptive EEG Thought Pattern Classifier for Advanced Wheelchair Control (2007) Proceedings of the 2007 29th Annual International Conference of the IEEE Engineering in Medicine and Biology Society, 2007, pp. 2544-2547. , Lyon, France, 22–26 August IEEE: New York, NY, USA, 2007; Mirza, I.A., Tripathy, A., Chopra, S., D’Sa, M., Rajagopalan, K., D’Souza, A., Sharma, N., Mind-controlled wheelchair using an EEG headset and arduino microcontroller (2015) Proceedings of the 2015 International Conference on Technologies for Sustainable Development (ICTSD), pp. 1-5. , Mumbai, India, 4–6 February IEEE: New York, NY, USA, 2015; Zgallai, W., Brown, J.T., Ibrahim, A., Mahmood, F., Mohammad, K., Khalfan, M., Mohammed, M., Hamood, N., Deep Learning AI Application to an EEG driven BCI Smart Wheelchair (2019) Proceedings of the 2019 Advances in Science and Engineering Technology International Conferences (ASET), pp. 1-5. , Dubai, United Arab Emirates, 26 March–10 April IEEE: New York, NY, USA, 2019; Paul, D., Mukherjee, M., Automation of wheelchair using brain computer interface (BCI) technique (2018) Proceedings of the National Conference on Frontiers in Modern Physics, 2072, p. 020004. , Kolkata, India, 16–17 August AIP Publishing: College Park, MD, USA, 2019; Zhang, X., Pan, J., Shen, J., Din, Z.U., Li, J., Lu, D., Wu, M., Hu, B., Fusing of Electroencephalogram and Eye Movement with Group Sparse Canonical Correlation Analysis for Anxiety Detection (2020) IEEE Trans. Affect. Comput, 1. , [CrossRef]; Cheng, J., Chen, M., Li, C., Liu, Y., Song, R., Liu, A., Chen, X., Emotion Recognition From Multi-Channel EEG via Deep Forest (2021) IEEE J. Biomed. Health Inform, 25, pp. 453-464. , [CrossRef] [PubMed]; Xu, W., Chen, N., Han, X., Sun, J., Research on wheelchair robot control system based on EOG (2018) Proceedings of the Advances in Materials, Machinery, Electronics II: Proceedings of the 2nd International Conference on Advances in Materials, Machinery, Electronics (AMME 2018), 1955, p. 040151. , Xi’an, China, 20–21 January AIP Publishing: College Park, MD, USA, 2018; Chowdhury, M.R., Mollah, N., Raihan, M., Ahmed, A.S., Halim, A., Hossain, S., Designing a Cost Effective Prototype of an Automated Wheelchair Based on EOG (Electrooculography) (2018) Proceedings of the 2018 21st International Conference of Computer and Information Technology (ICCIT), pp. 1-4. , Dhaka, Bangladesh, 21–23 December IEEE: New York, NY, USA, 2018; Jambhulkar, A., Wandhare, S., Baraskar, D., Barahate, K., Wireless and portable EOG based interface for controlling wheelchair (2016) Int. J. Sci. Eng. Technol. Res, 5, pp. 189-191; Mishra, S., Lee, Y., Lee, D.S., Yeo, W.-H., Fractal-Structured, Wearable Soft Sensors for Control of a Robotic Wheelchair via Electrooculograms (2017) Proceedings of the 2017 IEEE 67th Electronic Components and Technology Conference (ECTC), pp. 212-217. , Orlando, FL, USA, 30 May–2 June IEEE: New York, NY, USA, 2017; Jafar, F., Fatima, S.F., Mushtaq, H.R., Khan, S., Rasheed, A., Sadaf, M., Eye Controlled Wheelchair Using Transfer Learning (2019) Proceedings of the 2019 International Symposium on Recent Advances in Electrical Engineering (RAEE), 4, pp. 1-5. , Islamabad, Pakistan, 28–29 August IEEE: New York, NY, USA, 2019; Barea, R., Boquete, L., Mazo, M., López, E., Wheelchair Guidance Strategies Using EOG (2002) J. Intell. Robot. Syst, 34, pp. 279-299. , [CrossRef]; Bardhan, J., Suma, P., Jyothirmayi, M., Motorized wheelchair control using electrooculogram and head gear (2016) Proceedings of the 2016 International Conference on Inventive Computation Technologies (ICICT), 3, pp. 1-5. , Coimbatore, India, 26–27 August IEEE: New York, NY, USA, 2016; Bharali, S., Chandra, S., Dash, P., Chavan, B., A Simplified Approach to Assist Severely Disabled Patients to Make a Self-Governing Movement Utilizing EEG and EOG Technique (2018) Proceedings of the 2018 Second International Conference on Electronics, Communication and Aerospace Technology (ICECA), pp. 216-220. , Coimbatore, India, 29–31 March IEEE: New York, NY, USA, 2018; Maron, M.E., Automatic Indexing: An Experimental Inquiry (1961) J. ACM, 8, pp. 404-417. , [CrossRef]; Theofilis, G.N., (2013) Weka Classifiers Summary, , https://www.academia.edu/5167325/Weka_Classifiers_Summary, Athens University of Economics and Bussiness Intracom-Telecom, Athens. (accessed on 5 March 2020); Fix, E., Hodges, J., (1951) discriminatory Analysis, Nonparametric Discrimination, Consistency Properties, , Technical Report 4, Project Number 21-49-004; United States Air Force: Randolph Field, TA, USA; Gardner, M.W., Dorling, S.R., Artificial neural networks (the multilayer perceptron)—A review of applications in the atmospheric sciences (1998) Atmos. Environ, 32, pp. 2627-2636. , [CrossRef]; Zahir, N., Mahdi, H., Snow depth estimation using time series passive microwave imagery via genetically support vector regression (case study urmia lake basin) (2015) ISPRS Int. Arch. Photogramm. Remote Sens. Spat. Inf. Sci, XL-1/W5, pp. 555-558. , [CrossRef]; Quinlan, J.R., (2014) C4. 5: Programs for Machine Learning, , Elsevier: Amsterdam, The Netherlands; Breiman, L., Bagging predictors (1996) Mach. Learn, 24, pp. 123-140. , [CrossRef]; EPOC Flex. 2020, , https://emotiv.gitbook.io/epoc-flex-user-manual/, EMOTIV. (accessed on 5 June 2020); Tzimourta, K.D., Afrantou, T., Ioannidis, P., Karatzikou, M., Tzallas, A.T., Giannakeas, N., Astrakas, L.G., Grigoriadis, N., Analysis of electroencephalographic signals complexity regarding Alzheimer’s Disease (2019) Comput. Electr. Eng, 76, pp. 198-212. , [CrossRef]; Breiman, L., Random forests (2001) Mach. Learn, 45, pp. 5-32. , [CrossRef]; Zhang, C., Ma, Y., (2012) Ensemble Machine Learning: Methods and Applications, , Springer: Berlin/Heidelberg, Germany; Hastie, T., Tibshirani, R., Friedman, J., (2009) The Elements of Statistical Learning: Data Mining, Inference, and Prediction, , Springer: Berlin/Heidelberg, Germany; Izenman, A.J., Modern Multivariate Statistical Techniques (2008) Dyn. Disasters, 10, p. 978. , [CrossRef]; Segal, M.R., Xiao, Y., Multivariate random forests (2011) Wiley Interdiscip. Rev. Data Min. Knowl. Discov, 1, pp. 80-87. , [CrossRef]; Swee, S.K., Kiang, K.D.T., You, L.Z., EEG Controlled Wheelchair (2016) MATEC Web Conf, 51, p. 02011; Taher, B.F., Amor, N.B., Jallouli, M., EEG control of an electric wheelchair for disabled persons (2013) Proceedings of the 2013 International Conference on Individual and Collective Behaviors in Robotics (ICBR), , Sousse, Tunisia, 15–17 December IEEE: New York, NY, USA, 2013; Tanaka, K., Matsunaga, K., Wang, H., Electroencephalogram-based control of an electric wheelchair (2005) IEEE Trans. Robot, 21, pp. 762-766. , [CrossRef]; Aziz, F., Arof, H., Mokhtar, N., Mubin, M., HMM based automated wheelchair navigation using EOG traces in EEG (2014) J. Neural Eng, 11, p. 056018. , [CrossRef] [PubMed]; Al-Qaysi, Z., Zaidan, B., Zaidan, A., Suzani, M., A review of disability EEG based wheelchair control system: Coherent taxonomy, open challenges and recommendations (2018) Comput. Methods Programs Biomed, 164, pp. 221-237. , [CrossRef] [PubMed]</t>
  </si>
  <si>
    <t>2-s2.0-85103017199</t>
  </si>
  <si>
    <t>Eeg-based eye movement recognition using the brain–computer interface and random forests</t>
  </si>
  <si>
    <t>Luo C., Gil I., Fernández-García R.</t>
  </si>
  <si>
    <t>57204285958;8590988800;9638278900;</t>
  </si>
  <si>
    <t>Wearable textile UHF-RFID sensors: A systematic review</t>
  </si>
  <si>
    <t>Materials</t>
  </si>
  <si>
    <t>3292</t>
  </si>
  <si>
    <t>10.3390/ma13153292</t>
  </si>
  <si>
    <t>https://www.scopus.com/inward/record.uri?eid=2-s2.0-85089727073&amp;doi=10.3390%2fma13153292&amp;partnerID=40&amp;md5=ea31d557476174f0ef4aba0df305e54d</t>
  </si>
  <si>
    <t>Department of Electronic Engineering, Universitat Politecnica de Catalunya, Barcelona, 08222, Spain</t>
  </si>
  <si>
    <t>Luo, C., Department of Electronic Engineering, Universitat Politecnica de Catalunya, Barcelona, 08222, Spain; Gil, I., Department of Electronic Engineering, Universitat Politecnica de Catalunya, Barcelona, 08222, Spain; Fernández-García, R., Department of Electronic Engineering, Universitat Politecnica de Catalunya, Barcelona, 08222, Spain</t>
  </si>
  <si>
    <t>Textile radio-frequency identification operating in ultra-high frequency (UHF-RFID) sensors based on different scenarios are becoming attractive with the forthcoming internet of things (IoT) era and aging society. Compared with conventional UHF-RFID sensors, textile UHF-RFID sensors offer the common textile features, light weight, washability and comfort. Due to the short time and low level of development, researches on the integration of textile UHF-RFID techniques and textile sensing techniques are not flourishing. This paper is motivated by this situation to identify the current research status. In this paper, we provide a systematic review of the fundamentals of textile UHF-RFID sensors techniques, materials, the brief history and the state-of-the-art of the scenario-based development through detailed summary and analysis on the achievements from the starting year of 2004 to the present time. Moreover, according to the analysis, we give a proposal of the future prospects in several aspects, including the new materials and manufacturing processes, machine learning technology, scenario-based applications and unavoidable reliability. © 2020 by the authors.</t>
  </si>
  <si>
    <t>Radio frequency identification (RFID); Scenario-based; Textile; UHF-RFID sensors; Ultra-high frequency (UHF)</t>
  </si>
  <si>
    <t>Engineering education; Internet of things; Radio frequency identification (RFID); Reliability analysis; Textiles; Current research status; Internet of Things (IOT); Machine learning technology; Manufacturing process; Scenario based development; Sensing techniques; Systematic Review; Ultra-high frequency; Wearable sensors</t>
  </si>
  <si>
    <t>Gil, I., Fernández-García, R., Tornero, J.A., Embroidery manufacturing techniques for textile dipole antenna applied to wireless body area network (2019) Text. Res. J., 89, pp. 1573-1581; Wang, L., Inheritance and Innovation of Embroidery in Modern Design (2019) In Proceedings of the 3rd International Conference on Art Studies: Science, pp. 232-234. , Experience, Education, Moscow, Russia, 4-5 October; Catrysse, M., Puers, R., Hertleer, C., Towards the integration of textile sensors in a wireless monitoring suit (2004) Sens. Actuator A Phys., 114, pp. 302-311; Vieroth, R., Kallmayer, C., Aschenbrenner, R., A new package for textile integrated RFID tags (2009) In Proceedings of the 2009 11th Electronics Packaging Technology Conference, pp. 240-243. , Singapore, 9-11 December; Merilampi, S., Björninen, T., Sydänheimo, L., Passive Uhf Rfid Strain Sensor Tag for Detecting Limb Movement (2012) Int. J. Smart Sens. Intell. Syst., 5, pp. 315-328; Merilampi, S., He, H., Sydänheimo, L., The possibilities of passive UHF RFID textile tags as comfortable wearable sweat rate sensors (2016) In Proceedings of the 2016 Progress in Electromagnetic Research Symposium (PIERS), pp. 3984-3987. , Shanghai, China, 8-11 August; Patron, D., On the Use of Knitted Antennas and Inductively Coupled RFID Tags for Wearable Applications (2016) IEEE Trans. Biomed. Circuits. Syst., 10, pp. 1047-1057; Mongan, W.M., Rasheed, I., Ved, K., On the Use of Radio Frequency Identification for Continuous Biomedical Monitoring (2017) In Proceedings of the 2017 IEEE/ACM Second International Conference on Internet-of-Things Design and Implementation (IoTDI), pp. 197-202. , Pittsburgh, PA, USA, 18-21 April; Chesser, M., Jayatilaka, A., Visvanathan, R., Super Low Resolution RF Powered Accelerometers for Alerting on Hospitalized Patient Bed Exits (2019) In Proceedings of the IEEE International Conference on Pervasive Computing and Communications, pp. 1-10. , Kyoto, Japan, 11-15 March; Ennasar, M.A., El Mrabet, O., Mohamed, K., Design and Characterization of a Broadband Flexible Polyimide RFID Tag Sensor for NaCl and Sugar Detection (2019) Prog. Electromagn. Res., 94, pp. 273-283; Merilampi, S., Ruuskanen, P., Björninen, T., Printed passive UHF RFID tags as wearable strain sensors (2010) In Proceedings of the 2010 3rd International Symposium on Applied Sciences in Biomedical and Communication Technologies (ISABEL 2010), pp. 1-5. , Rome, Italy, 7-10 November; Akbari, M., Virkki, J., Sydänheimo, L., Toward Graphene-Based Passive UHF RFID Textile Tags: A Reliability Study (2016) IEEE Trans. Device Mater. Reliab., 16, pp. 429-431; Rocha, G.S., Silva, M.K.L., Cesarino, I., Reduced Graphene Oxide-Based Impedimetric Immunosensor for Detection of Enterotoxin A in Milk Samples (2020) Materials., 13, p. 1751; Björninen, T., Virkki, J., Sydänheimo, L., Manufacturing of antennas for passive UHF RFID tags by direct write dispensing of copper and silver inks on textiles (2015) In Proceedings of the 2015 International Conference on Electromagnetics in Advanced Applications (ICEAA), pp. 589-592. , Turin, Italy, 7-11 September; Lugoda, P., Costa, J.C., Oliveira, C., Garcia-Garcia, L.A., Wickramasinghe, S.D., Pouryazdan, A., Roggen, D., Münzenrieder, N., Flexible Temperature Sensor Integration into E-Textiles Using Different Industrial Yarn Fabrication Processes (2020) Sensors., 20, p. 73; Gong, Z., Xiang, Z., Ouyang, X., Zhang, J., Lau, N., Zhou, J., Chan, C.C., Wearable Fiber Optic Technology Based on Smart Textile: A Review (2019) Materials., 12, p. 3311; Paret, D., Standards for RFID at UHF and SHF (2009) In RFID at Ultra and Super High Frequencies Theory and Application, pp. 369-505. , Wiley: Hoboken, NJ, USA; Gaspari, F., Simone, Q., Nanostructured Materials for RFID Sensors (2019) In Nanomaterials Design for Sensing Applications, pp. 93-128. , Elsevier: Amsterdam, The Netherlands; Sazonov, E., (2014) Wearable Sensors: Fundamentals, Implementation and Applications, , Elsevier: Amsterdam, The Netherlands; Marian, V., Allard, B., Vollaire, C., Strategy for microwave energy harvesting from ambient field or a feeding source (2012) IEEE Trans. Power Electron., 27, pp. 4481-4491; Fuschini, F., Piersanti, C., Paolazzi, F., Analytical approach to the backscattering from UHF RFID transponder (2008) IEEE Antenn. Wirel. Pr., 7, pp. 33-35; Loo, C.H., Elmahgoub, K., Yang, F., Chip impedance matching for UHF RFID tag antenna design (2008) Prog. Electromagn. Res., 81, pp. 359-370; Kim, Y., Lee, K., Kim, Y., Chung, Y.C., Wearable UHF RFID tag antenna design using flexible electro-thread and textile (2007) In Proceedings of the 2007 IEEE Antennas and Propagation Society International Symposium, pp. 5487-5490. , Honolulu, HI, USA, 9-15 June; Fu, Y.Y., Chan, Y.L., Yang, M.H., Experimental study on the washing durability of electro-textile UHF RFID tags (2014) IEEE Antenn. Wirel. Pr., 14, pp. 466-469; Björninen, T., Virkki, J., Sydänheimo, L., Ukkonen, L., Impact of recurrent stretching on the performance of electro-textile UHF RFID tags (2014) In Proceedings of the 5th Electronics System-integration Technology Conference (ESTC), pp. 251-255. , Helsinki, Finland, 16-18 September; Björninen, T., Virkki, J., Sydänheimo, L., Impact of recurrent washing on the performance of electro-textile UHF RFID tags (2014) In Proceedings of the 2014 IEEE RFID Technology and Applications Conference (RFID-TA), pp. 251-255. , Tampere, Finland, 8-9 September; Virkki, J., Björninen, T., Kellomäki, T., Reliability of washable wearable screen printed UHF RFID tags (2014) Microelectron. Reliab., 54, pp. 840-846; Laschuk, N.O., Ebralidze, I.I., Quaranta, S., Kerr, S.T., Egan, J.G., Gillis, S., Gaspari, F., Zenkina, O.V., Rational design of a material for rapid colorimetric Fe2+ detection (2016) Mater. Des., 107, pp. 18-25; Laschuk, N.O., Obua, A., Ebralidze, I.I., Fruehwald, H.M., Poisson, J., Egan, J.G., Gaspari, F., Zenkina, O.V., Spacer Conjugation and Surface Support Effects in Monolayer Electrochromic Materials (2019) ACS Appl. Electron. Mater., 8, pp. 1705-1717; Quaranta, S., Giorcelli, M., Savi, P., Graphene and MWCNT Printed Films: Preparation and RF Electrical Properties Study (2019) J. Nanomater., 2019, pp. 1-9; Ujiie, H., (2006) Digital Printing of Textiles, , Woodhead Publishing: Sawston, UK; Cie, C., (2015) Ink Jet Textile Printing, , Elsevier: Amsterdam, The Netherlands; Balanis, C.A., (2016) Antenna Theory: Analysis and Design, , John Wiley and Sons: Hoboken, NJ, USA; Gravas, I.P., Zaharis, Z.D., Lazaridis, P.I., Yioultsis, T.V., Kantartzis, N.V., Antonopoulos, C.S., Chochliouros, I.P., Xenos, T.D., Optimal Design of Aperiodic Reconfigurable Antenna Array Suitable for Broadcasting Applications (2020) Electronics., 9, p. 818; Korošak, Ž., Suhadolnik, N., Pleteršek, A., The implementation of a low power environmental monitoring and soil moisture measurement system based on UHF RFID (2019) Sensors., 19, p. 5527; Strangfeld, C., Johann, S., Bartholmai, M., Smart RFID Sensors Embedded in Building Structures for Early Damage Detection and Long-Term Monitoring (2019) Sensors., 19, p. 5514; Rossi, M., Liberati, R.M., Frasca, M., Richardson, J., Experimental Implementation of a Low-Cost, Fully-Analog Self-Jamming Canceller for UHF RFID Devices (2020) Electronics., 9, p. 786; Zradziński, P., Karpowicz, J., Gryz, K., Ramos, V., An Evaluation of Electromagnetic Exposure While Using Ultra-High Frequency Radiofrequency Identification (UHF RFID) Guns (2020) Sensors., 20, p. 202; El Khamlichi, M., Alvarez Melcon, A., El Mrabet, O., Ennasar, M.A., Hinojosa, J., Flexible UHF RFID Tag for Blood Tubes Monitoring (2019) Sensors., 19, p. 4903; Wagih, M., Wei, Y., Komolafe, A., Torah, R., Beeby, S., Reliable UHF Long-Range Textile-Integrated RFID Tag Based on a Compact Flexible Antenna Filament (2020) Sensors., 20, p. 3435; Islam, M.T., Alam, T., Yahya, I., Cho, M., Flexible radio-frequency identification (RFID) tag antenna for sensor applications (2018) Sensors., 18, p. 4212; Chen, X., Li, B., Qiao, Y., Lu, Z., Preparing polypyrrole-coated stretchable textile via low-temperature interfacial polymerization for highly sensitive strain sensor (2019) Micromachines., 10, p. 788; Abbas, B., Khamas, S.K., Ismail, A., Sali, A., Full Embroidery Designed Electro-Textile Wearable Tag Antenna for WBAN Application (2019) Sensors., 19, p. 2470; Yang, T., Xiong, X., Petru, M., Tan, X., Kaneko, H., Militkỳ, J., Sakuma, A., Theoretical and Experimental Studies on Thermal Properties of Polyester Nonwoven Fibrous Material (2020) Materials., 13, p. 2882; Luo, C., Fang, W., Shen, Y., Qiu, H., Shao, W., Hong, Z., Wang, L., En, Y., Collocated and simultaneous measurements of RF current and voltage on a trace in a noncontact manner (2019) IEEE Trans. Microw. Theory. Tech., 67, pp. 2406-2415; Liu, Q., Li, H., Yu, Y.F., Zhao, W.S., Zhang, S., A Novel Finger-Controlled Passive RFID Tag Design for Human-Machine Interaction (2019) Sensors., 19, p. 5125; Hu, J., Yu, J., Li, Y., Liao, X., Yan, X., Li, L., Nano Carbon Black-Based High Performance Wearable Pressure Sensors (2020) Nanomaterials., 10, p. 664; Hu, Q., Memon, H., Qiu, Y., Liu, W., Wei, Y., A Comprehensive Study on the Mechanical Properties of Different 3D Woven Carbon Fiber-Epoxy Composites (2020) Materials., 13, p. 2765; Cho, H.S., Yang, J.H., Lee, J.H., Lee, J.H., Evaluation of Joint Motion Sensing Efficiency According to the Implementation Method of SWCNT-Coated Fabric Motion Sensor (2020) Sensors., 20, p. 284; Ojstršek, A., Virant, N., Fox, D., Krishnan, L., Cobley, A., The Efficacy of Polymer Coatings for the Protection of Electroless Copper Plated Polyester Fabric (2020) Polymers., 12, p. 1277; Gaubert, V., Gidik, H., Koncar, V., Boxer Underwear Incorporating Textile Moisture Sensor to Prevent Nocturnal Enuresis (2020) Sensor., 20, p. 3546; García, P.A., Khoshnam, M., Menon, C., Wearable Device to Monitor Back Movements Using an Inductive Textile Sensor (2020) Sensors., 20, p. 905; Roberson, D.A., Wicker, R.B., Murr, L.E., Church, K., MacDonald, E., Microstructural and process characterization of conductive traces printed from Ag particulate inks (2011) Materials, 4, pp. 963-979; Ma, Z., Jiang, Y., High-density 3D printable chipless RFID tag with structure of passive slot rings (2019) Sensors., 19, p. 2535; Liu, S., Li, Y., Xing, S., Liu, L., Zou, G., Zhang, P., Structure inheritance in nanoparticle ink direct-writing processes and crack-free nano-copper interconnects printed by a single-run approach (2019) Materials., 12, p. 1559; Nayak, R., Chatterjee, K.N., Khurana, G.K., Khandual, A., RFID: Tagging the new ERA (2007) Man-Made Text. India, 50, pp. 174-177; Choi, J., Kim, Y., Lee, L., Chung, Y.C., Various wearable embroidery RFID tag antenna using electro-thread (2008) In Proceedings of the 2008 IEEE Antennas and Propagation Society International Symposium, pp. 1-4. , San Diego, CA, USA, 5-11 July; Kim, G., Design of a UHF RFID fiber tag antenna with electric-thread using a sewing machine (2008) In Proceedings of the Asia-Pacific Microwave Conference (APMC), pp. 1-4. , Macau, China, 16-20 December; Manzari, S., Occhiuzzi, C., Marrocco, G., Feasibility of Body-Centric Systems Using Passive Textile RFID Tags (2012) IEEE Antennas Propagat. Mag., 54, pp. 49-62; Ukkonen, L., Sydänheimo, L., Rahmat-Samii, Y., Sewed textile RFID tag and sensor antennas for on-body use (2012) In Proceedings of the 2012 6th European Conference on Antennas and Propagation (EUCAP), pp. 3450-3454. , Prague, Czech Republic, 26-30 March; Koski, K., Lohan, E.S., Sydänheimo, L., Electro-textile UHF RFID patch antennas for positioning and localization applications (2014) In Proceedings of the 2014 IEEE RFID Technology and Applications Conference (RFID-TA), pp. 246-250. , Tampere, Finland, 8-9 September; Shao, S., Kiourti, A., Burkholder, R., Broadband and flexible textile RFID tags for tires (1507) In Proceedings of the 2014 IEEE Antennas and Propagation Society International Symposium (APSURSI), Memphis, TN, USA, 6-11 July 2014; pp.; Long, F.Y., Implementation and wireless readout of passive UHF RFID strain sensor tags based on electro-textile antennas (2015) In Proceedings of the 2015 9th European Conference on Antennas and Propagation (EuCAP), pp. 1-5. , Lisbon, Portugal, 13-17 April; Shuaib, D., Ukkonen, L., Virkki, J., The possibilities of embroidered passive UHF RFID textile tags as wearable moisture sensors (2017) In Proceedings of the 2017 IEEE 5th International Conference on Serious Games and Applications for Health (SeGAH), pp. 1-5. , Perth, WA, USA, 2-4 April; Chen, X., He, H., Ukkonen, L., Embroidered UHF RFID Moisture Sensor Tag on Dishcloth Substrate (2018) In Proceedings of the 2018 IEEE International Symposium on Antennas and Propagation USNC/URSI National Radio Science Meeting, pp. 2009-2010. , Boston, MA, USA, 8-13 July; Yu, M., Shang, X., Wang, M., Deformation Sensitivity Study of Embroidered UHF RFID Antennas (2019) In Proceedings of the 2019 IEEE International Conference on RFID Technology and Applications (RFID-TA), pp. 322-326. , Pisa, Italy, 25-27 September; Zhang, L., Wang, Z., Volakis, J.L., Textile antennas and sensors for body-worn applications (2012) IEEE Antennas Wirel. Propag. Lett., 11, pp. 1690-1693; Hasani, M., Vena, A., Sydänheimo, L., Implementation of a dual-interrogation-mode embroidered RFID-enabled strain sensor (2013) IEEE Antennas Wirel. Propag. Lett., 12, pp. 1272-1275; He, H., Chen, X., Ukkonen, L., Clothing-Integrated Passive RFID Strain Sensor Platform for Body Movement-Based Controlling (2019) In Proceedings of the 2019 IEEE International Conference on RFID Technology and Applications (RFID-TA), pp. 236-239. , Pisa, Italy, 25-27 September; Chen, X., He, H., Khan, Z., Textile-Based Batteryless Moisture Sensor (2019) IEEE Antennas Wirel. Propag. Lett., 19, pp. 198-202; Moraru, A., Ursachi, C., Helerea, E., A New Washable UHF RFID Tag: Design, Fabrication, and Assessment (2020) Sensors., 20, p. 3451; Guibert, M., Massicart, A., Chen, X., Washing reliability of painted, embroidered, and electro-textile wearable RFID tags (2017) In Proceedings of the 2017 Progress in Electromagnetics Research Symposium-Fall (PIERS-FALL), pp. 828-831. , Singapore, 19-22 November; Hardy, D.A., Rahemtulla, Z., Satharasinghe, A., Shahidi, A., Oliveira, C., Anastasopoulos, I., Nashed, M.N., Torah, R., Wash Testing of Electronic Yarn (2020) Materials., 13, p. 1228; Gaubert, V., Gidik, H., Bodart, N., Koncar, V., Investigating the Impact of Washing Cycles on Silver-Plated Textile Electrodes: A Complete Study (2020) Sensors., 20, p. 1739; Simorangkir, R.B.V.B., Le, D., Björninen, T., Washing Durability of PDMS-Conductive Fabric Composite: Realizing Washable UHF RFID Tags (2019) IEEE Antennas Wirel. Propag. Lett., 18, pp. 2572-2576; Kazmi, A., Rizwan, M., Sydänheimo, L., A reliability study of coating materials for brush-painted washable textile RFID tags (2016) In Proceedings of the 2016 6th Electronic System-Integration Technology Conference (ESTC), pp. 1-4. , Grenoble, France, 13-15 September; Kazmi, A., Virkki, J., Björninen, T., Performance of silver-based textile UHF passive RFID tags after recurrent washing (2016) In Proceedings of the 2016 IEEE International Symposium on Antennas and Propagation (APSURSI), pp. 939-940. , Fajardo, Puerto Rico, 26 June-1 July; Sharma, P., Kan, E.C., Sleep scoring with a UHF RFID tag by near field coherent sensing (2018) In Proceedings of the 2018 IEEE/MTT-S International Microwave Symposium-IMS, pp. 1419-1422. , Philadelphia, PA, USA, 10-15 June; Chen, X., Liu, A., Wei, Z., Experimental study on strain reliability of embroidered passive UHF RFID textile tag antennas and interconnections (2017) J. Eng. Technol., 2017; Bai, Q., Swaisaenyakorn, S., Lee, H.-J., Ford, K.L., Batchelor, J.C., Langley, R.J., Investigation of a Switchable Textile Communication System on the Human Body (2014) Electronics, 3, pp. 491-503; Van Baelen, D., Lemey, S., Verhaevert, J., Rogier, H., A Novel Manufacturing Process for Compact, Low-Weight and Flexible Ultra-Wideband Cavity Backed Textile Antennas (2018) Materials., 11, p. 67; Cheng, S., Wang, S., Guan, W., Xu, H., Li, P., 3DLRA: An RFID 3D Indoor Localization Method Based on Deep Learning (2020) Sensors., 20, p. 2731; Puruncajas, B., Vidal, Y., Tutivén, C., Vibration-Response-Only Structural Health Monitoring for Offshore Wind Turbine Jacket Foundations via Convolutional Neural Networks (2020) Sensors., 20, p. 3429; Vu, C.C., Kim, J., Highly Sensitive E-Textile Strain Sensors Enhanced by Geometrical Treatment for Human Monitoring (2020) Sensors., 20, p. 2383; Liu, C., Liao, X., Shao, W., Liu, F., Ding, B., Ren, G., Chu, Y., He, J., Hot-melt Adhesive Bonding of Polyurethane/Fluorinated Polyurethane/Alkylsilane-Functionalized Graphene Nanofibrous Fabrics with Enhanced Waterproofness, Breathability, and Mechanical Properties (2020) Polymers., 12, p. 836</t>
  </si>
  <si>
    <t>19961944</t>
  </si>
  <si>
    <t>Mater.</t>
  </si>
  <si>
    <t>2-s2.0-85089727073</t>
  </si>
  <si>
    <t>Wearable textile uhf-rfid sensors: a systematic review</t>
  </si>
  <si>
    <t>Bourne C.</t>
  </si>
  <si>
    <t>55177906200;</t>
  </si>
  <si>
    <t>AI cheerleaders: Public relations, neoliberalism and artificial intelligence</t>
  </si>
  <si>
    <t>Public Relations Inquiry</t>
  </si>
  <si>
    <t>125</t>
  </si>
  <si>
    <t>10.1177/2046147X19835250</t>
  </si>
  <si>
    <t>https://www.scopus.com/inward/record.uri?eid=2-s2.0-85067607663&amp;doi=10.1177%2f2046147X19835250&amp;partnerID=40&amp;md5=db5d4c8f7c0c9ed500f1499ce999fc14</t>
  </si>
  <si>
    <t>Goldsmiths, University of London, United Kingdom</t>
  </si>
  <si>
    <t>Bourne, C., Goldsmiths, University of London, United Kingdom</t>
  </si>
  <si>
    <t>Public relations’ (PR) professional habitus is defined by a relentless focus on optimism and futurity. This professional habitus renders PR indispensable to the corporate world after crisis, when new, potentially controversial, growth strategies must be sold-in to stakeholders. This article argues that PR’s professional habitus is heavily influenced by neoliberalism, an ideology which ‘confidently identifies itself with the future’. The discussion is timely, as 21st-century neoliberal capitalism becomes redefined by artificial intelligence (AI). The article combines PR theory, communications theory and political economy to consider the changing shape of neoliberal capitalism, as AI becomes naturalised as ‘common sense’ and a ‘public good’. The article explores how PR supports AI discourses, including promoting AI in national competitiveness and promoting ‘friendly’ AI to consumers, while promoting Internet inequalities. The article concludes that the PR profession’s myopia regarding the implications of promoting AI and neoliberalism is shaped by poor levels of diversity in the PR profession. © The Author(s) 2019.</t>
  </si>
  <si>
    <t>Artificial intelligence; discourse; ethics; neoliberalism; public relations; voice</t>
  </si>
  <si>
    <t>(2017) Artificial Intelligence: Is South Africa Ready?, , London; Johannesburg, Australia, Accenture; Gordon Institute of Business Science, University of Pretoria; Arendt, H., (1998) The Human Condition, , Chicago, IL; London, The University of Chicago Press, 1958, (, [,]; Argenti, P.A., Forman, J., (2002) The Power of Corporate Communication: Crafting the Voice and Image of Your Business, , New York, McGraw-Hill Education; Bourne, C., (2017) Trust, Power and Public Relations in Financial Markets, , Abingdon, Routledge; Bourne, C., How PR-bots are changing the face of banking (2018) The Conversation, , https://theconversation.com/how-pr-robots-are-changing-the-face-of-banking-89518, 10, January; Brown, W., American nightmare: Neoliberalism, neoconservatism, and de-democratization (2006) Political Theory, 34 (6), pp. 690-714; Canavan, G., Capital as artificial intelligence (2015) Journal of American Studies, 49 (4), pp. 685-709; Collister, S., Algorithmic public relations: Materiality, technology and power in a post-hegemonic world (2016) The Routledge Handbook of Critical Public Relations, pp. 360-371. , L’Etang J., McKie D., Snow N., (eds), Abingdon, Routledge, In:, (eds; Cossins, D., Discriminating algorithms: 5 times AI showed prejudice (2018) New Scientist, , https://www.newscientist.com/article/2166207-discriminating-algorithms-5-times-ai-showed-prejudice/, 12, April; Couldry, N., (2010) Why Voice Matters: Culture and Politics after Neoliberalism, , London, Sage; Couldry, N., Powell, A., Big data from the bottom up (2014) Big Data &amp; Society, , 1, July, 2014, Epub ahead of print; Cronin, A., (2018) Public Relations Capitalism, , Basingstoke, Palgrave Pivot; Davies, W., (2014) The Limits of Neoliberalism: Authority, Sovereignty and the Logic of Competition, , Rev. edition, London, Sage; Davis, A., (2002) Public Relations Democracy, , Manchester, Manchester University Press; Davis, M., How far can AI assist in account management (2018) CIPR Influence, , https://influenceonline.co.uk/2018/07/12/how-far-can-ai-assist-in-account-management/, 12, July; Daymon, C., Demetrious, K., (2014) Gender and Public Relations: Critical Perspectives on Voice, Image and Identity, , Abingdon, Routledge, (eds; Diakopoulos, N., The bots beat: How not to get punked by automation (2018) Columbia Journalism Review, , https://www.cjr.org/tow_center/bots-manipulate-trends.php, 3, April; Dignum, V., What we talk about when we talk about Artificial Intelligence (2018) Medium, , https://medium.com/@virginiadignum/what-we-talk-about-when-we-talk-about-artificial-intelligence-13423a294160, 23, July; Dinan, D., Miller, W., (2007) Thinker, Faker, Spinner, Spy: Corporate PR and the Assault on Democracy, , London, Pluto Press; Donath, J., The robot dog fetches for whom? (2019) A Networked Self and Human Augmentics, Artificial Intelligence, Sentience, pp. 10-24. , Papacharissi Z., (ed), London, Routledge, In:, (ed; Edwards, L., (2015) Power, Diversity and Public Relations, , Abingdon, Routledge; Edwards, L., (2018) Understanding Public Relations, , London, Sage; Eubanks, V., (2017) Automating Inequality, , New York, St Martins Press; Farokhmanesh, M., Let this Game of Thrones chatbot refresh your memory on what everyone’s up to – And who’s alive (2017) The Verge, , https://www.theverge.com/2017/7/3/15914692/game-of-thrones-chatbot-season-six-storyline-facts-memory, 3, July; Finlay, A., (2018) State of the Newsroom 2017: Fakers &amp; Makers, , Johannesburg, South Africa, University of the Witwatersrand; Gregory, A., Professor of PR voices concerns over robots and AI taking over PR (2018) University of Huddersfield News, , https://www.hud.ac.uk/news/2018/april/professorofprvoicesconcernsoverrobotsandaitakingoverpr/; Grunig, L.A., Grunig, J.E., Dozier, D.M., (2002) Excellent public relations and effective organizations, , Abingdon, Routledge; Guzman, A.L., Beyond extraordinary: Theorising artificial intelligence and the self in daily life (2019) A Networked Self and Human Augmentics, Artificial Intelligence, Sentience, pp. 83-96. , Papacharissi Z., (ed), New York, Routledge, In:, (ed; Hari, G., As communicators, we have a responsibility to talk about AI in a positive way (2018) PR Week, , https://www.prweek.com/article/1519621/as-communicators-responsibility-talk-ai-positive-way, 27, November; Heath, R.L., Onward into more fog: Thoughts on public relations’ research directions (2006) Journal of Public Relations Research, 18 (2), pp. 93-114; Holtzhausen, D.R., (2014) Public Relations as Activism: Postmodern Approaches to Theory &amp; Practice, , New York, Routledge; AI in the UK: Ready, willing and able? House of Lords Select Committee on Artificial Intelligence Report of Session 2017–19, HL Report 10 (2018) UK Parliament, , https://publications.parliament.uk/pa/ld201719/ldselect/ldai/100/100.pdf; Kavada, A., Creating the collective: Social media, the Occupy movement and its constitution as a collective actor (2015) Information, Communication &amp; Society, 18 (8), pp. 872-886; Kember, S., (2002) Cyberfeminism and Artificial Life, , New York, Routledge; Logan, N., Corporate voice and ideology: An alternative approach to understanding public relations history (2014) Public Relations Review, 40, pp. 661-668; Logan, N., Corporate personhood and the corporate responsibility to race (2018) Journal of Business Ethics, 154, pp. 977-988; McStay, A., (2018) Emotional AI: The Rise of Empathic Media, , London, Sage; Mark, G.A., The personification of the business corporation in American Law (1987) The University of Chicago Law Review, 54, pp. 1441-1483; (2018) London: The AI Growth Capital of Europe, , London: Greater London Authority,CognitionX; Miller, D., Dinan, W., (2008) A Century of Spin, , London, Pluto Press; Mirowski, P., Nik-Khah, E., (2017) The Knowledge We Have Lost in Information, , New York, Oxford University Press; Moore, S., (2018) Public Relations and Individuality: Fate, Technology and Autonomy, , Abingdon, Routledge; Motion, J., Leitch, S., On Foucault: A toolbox for public relations (2009) Public Relations and Social Theory: Key Figures and Concepts, pp. 83-101. , Ihlen O., van Ruler B., Fredriksson M., (eds), New York, Routledge, In:, (eds; Motion, J., Heath, R.L., Leitch, S., (2016) Social Media and Public Relations: Fake Friends and Powerful Publics, , Abingdon, Routledge; Neff, G., Nagy, P., Talking to bots: Symbiotic agency and the case of Tay (2016) International Journal of Communication, 10, pp. 4915-4931; Noble, S.U., (2018) Algorithms of Oppression: How Search Engines Reinforce Racism, , New York, New York University Press; Peet, A., Wilde, T., Artificial intelligence: The investment of 2017 and beyond (2017) Financier Worldwide, , https://www.financierworldwide.com/artificial-intelligence-the-investment-of-2017-and-beyond/#.WtHynNPwaSM, February; Pieczka, M., ‘Chemistry’ and the public relations industry: An exploration of the concept of jurisdiction and issues arising (2006) Public Relations: Critical Debates and Contemporary Practice, pp. 303-331. , Pieczka M., L’Etang J., (eds), Mahwah, NJ, Lawrence Erlbaum Associations, In:, (eds; Pieczka, M., Discursive technology (2013) The Encyclopaedia of Public Relations, p. 269. , Heath R.L., (ed), 2nd edition, Thousand Oaks, CA, Sage, In:, (ed.), :, p; Pitcher, G., Financial PR is no scapegoat (2008) Profile, p. 69. , December/January, p; Poerksen, U., (1995) Plastic Words: The Tyranny of a Modular Language, , Mason J., Cayley D., (eds), Philadelphia, PA, Pennsylvania University Press, (trans; Pueyo, S., Growth, degrowth, and the challenge of artificial superintelligence (2017) Journal of Cleaner Production, 197 (2), pp. 1731-1736; Purdy, M., Daugherty, P., (2016) Why Artificial Intelligence Is the Future of Growth, , London, Accenture; Roper, R., Symmetrical communication: Excellent public relations or a strategy for hegemony? (2005) Journal of Public Relations Research, 17 (1), pp. 69-86; Scott, B., If you talk to bots, You’re talking to their bosses (2016) How We Get to Next, , https://howwegettonext.com/if-you-talk-to-bots-youre-talking-to-their-bosses-cd8e390c242f, 26, May; Slee, D., Robot comms: What public sector comms people need to know about artificial intelligence (2018) CIPR Influence, , https://influenceonline.co.uk/2018/07/02/robot-comms-what-public-sector-comms-people-need-to-know-about-artificial-intelligence/, 2, July; Sloane, M., Making artificial intelligence socially just: Why the current focus on ethics is not enough (2018) LSE Blogs, , http://blogs.lse.ac.uk/politicsandpolicy/artificial-intelligence-and-society-ethics/, 6, July; Spanier, G., AI is ‘terrifying prospect’ for next generation of marketers, Just Eat marketing boss warns (2017) Campaign Live, , https://www.campaignlive.co.uk/article/ai-terrifying-prospect-next-generation-marketers-just-eat-marketing-boss-warns/1451739?bulletin=campaign_brands_bulletin, 1, December; Steger, M.B., Roy, R.K., (2010) Neoliberalism: A Very Short Introduction, , Oxford, Oxford University Press; Sudhaman, A., Global PR industry growth slows to 5% as networks struggle (2018) The Holmes Report, , https://www.holmesreport.com/long-reads/article/global-pr-industry-growth-slows-to-5-as-networks-struggle, 26, April; Surma, A., Demetrious, K., Plastic words, public relations and the neoliberal transformations of twentieth century discourse (2018) Ethical Space: The International Journal of Communication Ethics, 15 (1-2), pp. 92-107; Tan, E., Former Omnicom exec: ‘A CMO armed with AI can go toe-to-toe with anyone in the board room’ (2018) Campaign, , https://www.campaignlive.co.uk/article/former-omnicom-exec-a-cmo-armed-ai-go-toe-to-toe-anyone-board-room/1484729, 12, June; Tindall, N.T.J., Waters, R.D., (2013) Coming Out of the Closet: Exploring LGBT Issues in Strategic Communication with Theory and Research, , New York, Peter Lang Publishing, (eds; (2018) AI Sector Deal: Policy Paper, , https://www.gov.uk/government/publications/artificial-intelligence-sector-deal/ai-sector-deal, Department for Business, Energy &amp; Industrial Strategy and Department for Digital, Culture, Media &amp; Sport; Valin, J., (2018) Humans still needed: An analysis of skills and tools in public relations, , Chartered Institute of Public Relations, London, May, CIPR Discussion Paper; Verčič, D., Grunig, J., The origins of public relations theory in Economics and Strategic management (2000) Perspectives on Public Relations Research, pp. 9-49. , Moss D., Verčič D., Warnaby G., (eds), New York, Routledge, In:, (eds; Waymer, D., Democracy and government public relations (2013) Public Relations Review, 39, pp. 320-331; Weiner, M., Kochhar, S., (2016) Irreversible: The Public Relations Big Data Revolution, , Gainesville, FL, Institute for Public Relations; Wilson, H.J., Daugherty, P.R., Bianzino, N.M., When AI becomes the new face of your brand (2017) Harvard Business Review, , https://hbr.org/2017/06/when-ai-becomes-the-new-face-of-your-brand, 27, June</t>
  </si>
  <si>
    <t>SAGE Publications Inc.</t>
  </si>
  <si>
    <t>2046147X</t>
  </si>
  <si>
    <t>Public Relations Inq.</t>
  </si>
  <si>
    <t>2-s2.0-85067607663</t>
  </si>
  <si>
    <t>Ai cheerleaders: public relations, neoliberalism and artificial intelligence</t>
  </si>
  <si>
    <t>Schoenberg P.L.A., Speckens A.E.M.</t>
  </si>
  <si>
    <t>12244298900;6701741825;</t>
  </si>
  <si>
    <t>Multi-dimensional modulations of α and γ cortical dynamics following mindfulness-based cognitive therapy in Major Depressive Disorder</t>
  </si>
  <si>
    <t>Cognitive Neurodynamics</t>
  </si>
  <si>
    <t>29</t>
  </si>
  <si>
    <t>10.1007/s11571-014-9308-y</t>
  </si>
  <si>
    <t>https://www.scopus.com/inward/record.uri?eid=2-s2.0-85027940440&amp;doi=10.1007%2fs11571-014-9308-y&amp;partnerID=40&amp;md5=968ffe86de3cfe9feda851a1824bddf6</t>
  </si>
  <si>
    <t>Intelligent Systems, Radboud University Nijmegen, Postbus 9010, Nijmegen, 6500GL, Netherlands; Department of Cognitive Neuroscience, Radboud University Medical Centre, Nijmegen, Netherlands; Department of Psychiatry, Radboud University Medical Centre, Nijmegen, Netherlands; Netherlands Institute for Advanced Study, Wassenaar, Netherlands</t>
  </si>
  <si>
    <t>Schoenberg, P.L.A., Intelligent Systems, Radboud University Nijmegen, Postbus 9010, Nijmegen, 6500GL, Netherlands, Department of Cognitive Neuroscience, Radboud University Medical Centre, Nijmegen, Netherlands, Department of Psychiatry, Radboud University Medical Centre, Nijmegen, Netherlands, Netherlands Institute for Advanced Study, Wassenaar, Netherlands; Speckens, A.E.M., Department of Psychiatry, Radboud University Medical Centre, Nijmegen, Netherlands</t>
  </si>
  <si>
    <t>To illuminate candidate neural working mechanisms of Mindfulness-Based Cognitive Therapy (MBCT) in the treatment of recurrent depressive disorder, parallel to the potential interplays between modulations in electro-cortical dynamics and depressive symptom severity and self-compassionate experience. Linear and nonlinear α and γ EEG oscillatory dynamics were examined concomitant to an affective Go/NoGo paradigm, pre-to-post MBCT or natural wait-list, in 51 recurrent depressive patients. Specific EEG variables investigated were; (1) induced event-related (de-) synchronisation (ERD/ERS), (2) evoked power, and (3) inter-/intra-hemispheric coherence. Secondary clinical measures included depressive severity and experiences of self-compassion. MBCT significantly downregulated α and γ power, reflecting increased cortical excitability. Enhanced α-desynchronisation/ERD was observed for negative material opposed to attenuated α-ERD towards positively valenced stimuli, suggesting activation of neural networks usually hypoactive in depression, related to positive emotion regulation. MBCT-related increase in left-intra-hemispheric α-coherence of the fronto-parietal circuit aligned with these synchronisation dynamics. Ameliorated depressive severity and increased self-compassionate experience pre-to-post MBCT correlated with α-ERD change. The multi-dimensional neural mechanisms of MBCT pertain to task-specific linear and non-linear neural synchronisation and connectivity network dynamics. We propose MBCT-related modulations in differing cortical oscillatory bands have discrete excitatory (enacting positive emotionality) and inhibitory (disengaging from negative material) effects, where mediation in the α and γ bands relates to the former. © 2014, Springer Science+Business Media Dordrecht.</t>
  </si>
  <si>
    <t>EEG power; ERD/ERS; Major Depressive Disorder (MDD); Mindfulness-Based Cognitive Therapy (MBCT); Oscillatory EEG; α-Band coherence; γ-Band</t>
  </si>
  <si>
    <t>adult; Article; clinical article; cognitive therapy; disease severity; dynamics; electro cortical dynamics; electroencephalogram; emotionality; evoked response; excitability; female; human; major depression; male; mindfulness; mindfulness based cognitive therapy; oscillation</t>
  </si>
  <si>
    <t>Aftanas, L.I., Golocheikine, S.A., Human anterior and frontal midline theta and lower alpha reflect emotionally positive state and internalized attention: high-resolution EEG investigation of meditation (2001) Neurosci Lett, 310, pp. 57-60. , COI: 1:CAS:528:DC%2BD3MXmt1Klsb0%3D, PID: 1152415; Allen, J.J.B., Urry, H.L., Hitt, S.K., Coan, J.A., The stability of resting frontal electroencephalographic asymmetry in depression (2004) Psychophysiology, 41, pp. 269-280. , PID: 1503299; Arnold, J.F., Fitzgerald, D.A., Fernández, G., Rijpkema, M., Rinck, M., Eling, P.A., Becker, E.S., Tendolkar, I., Rose or black-coloured glasses? Altered neural processing of positive events during memory formation is a trait marker of depression (2011) J Affect Disord, 131, pp. 214-223; Baer, R.A., Smith, G.T., Lykins, E., Button, D., Krietemeyer, J., Sauer, S., Walsh, E., Williams, M.G., Construct validity of the Five Facet Mindfulness Questionnaire in meditating and nonmeditating samples (2008) Assessment, 15, pp. 329-342. , PID: 1831059; Bajulaiye, R., Alexopoulos, G.S., Pseudodementia in geriatric depression (1994) Functional psychiatric disorders of the elderly, , Chiu E, Ames D, (eds), Cambridge University Press, Cambridge; Barnhofer, T., Chittka, T., Nightingale, H., Visser, C., Crane, C., State effects of two forms of meditation on prefrontal EEG asymmetry in previously depressed individuals (2010) Mindfulness., 1, pp. 21-27. , PID: 2112502; Bauer, L.O., Hesselbrock, V.M., Lateral asymmetries in the frontal brain: effects of depression and a family history of alcoholism in female adolescents (2002) Alcohol Clin Exp Res, 26, pp. 1662-1668; Benedek, M., Bergner, S., Könen, T., Fink, A., Neubauer, A.C., EEG alpha synchronization is related to top-down processing in convergent and divergent thinking (2011) Neuropsychologia, 49, pp. 3505-3511. , PID: 2192552; Bostanov, V., Keune, P.M., Kotchoubey, B., Hautzinger, M., Event-related brain potentials reflect increased concentration ability after mindfulness-based cognitive therapy for depression: a randomized clinical trial (2012) Psychiatry Res, 199, pp. 174-180. , PID: 2277117; Bruder, G.E., Bansai, R., Tenke, C.E., Liu, J., Hao, X., Warner, V., Paterson, B.S., Weissman, M.M., Relationship of resting EEG with anatomical MRI measures in individuals at high and low risk for depression (2012) Hum Brain Mapp, 33, pp. 1325-1333. , PID: 2150031; Cahn, B.R., Delorme, A., Polich, J., Occipital gamma activation during vipassana meditation (2010) Cogn Process, 11, pp. 39-56; Cantero, J.L., Atienza, M., Salas, R.M., Gómez, C.M., Alpha EEG coherence in different brain states: an electrophysiological index of the arousal level in human subjects (1999) Neurosci Lett, 271, pp. 167-170. , COI: 1:CAS:528:DyaK1MXlt1Shurw%3D, PID: 1050769; Carvalho, A., Moraes, H., Silveira, H., Ribeiro, P., Piedade, R.A.M., Deslandes, A.C., Laks, J., Versiani, M., EEG frontal asymmetry in the depressed and remitted elderly: is it related to the trait or to the state of depression? (2011) J Affect Disord, 129, pp. 143-148; Coan, J.A., Allen, J.J.B., Frontal EEG asymmetry as a moderator and mediator of emotion (2004) Biol Psychol, 67, pp. 7-49. , PID: 1513052; De Raedt, R., Baert, S., Demeyer, I., Goeleven, E., Raes, A., Visser, A., Wysmans, M., Speckens, A., Changes in attentional processing of emotional information following mindfulness-based cognitive therapy in people with a history of depression: towards an open attention for all emotional experiences (2012) Cogn Ther Res, 36, pp. 612-620; Dehaene, S., Changeux, J.-P., Naccache, L., The global neuronal workspace model of conscious access: from neuronal architectures to clinical applications (2011) Characterizing consciousness: from cognition to the clinic? Research perspectives in neurosciences, pp. 55-84. , Dehaene S, Christen Y, (eds), Springer, Berlin; Dillbeck, M.C., Bronson, E.C., Short-term longitudinal effects of the transcendental meditation technique on EEG power and coherence (1981) Int J Neurosci, 14, pp. 147-151; Evans, S., Ferrando, S., Findler, M., Stowell, C., Smart, C., Haglin, D., Mindfulness-based cognitive therapy for generalized anxiety disorder (2008) J Anxiety Disord, 22, pp. 716-721; Feldman, C., Kuyken, W., Compassion in the landscape of suffering (2011) Contemp Buddh, 12, pp. 143-155; Foland-Ross, L.C., Hamilton, P.J., Joorman, J., Berman, M.G., Jonides, J., Gotlib, I.H., The neural basis of difficulties disengaging from negative irrelevant material in major depression (2013) Psychol Sci, 24, pp. 334-344. , PID: 2333444; Fries, P., Neuronal gamma-band synchronization as a fundamental process in cortical computation (2009) Ann Rev Neurosci, 32, pp. 209-224. , COI: 1:CAS:528:DC%2BD1MXpsV2nurc%3D, PID: 1940072; Galynker, I.I., Cai, J., Ongseng, F., Finestone, H., Dutta, E., Serseni, D., Hypofrontality and negative symptoms in major depressive disorder (1998) J Nucl Med, 39, pp. 608-612. , COI: 1:STN:280:DyaK1c3gsVahsQ%3D%3D, PID: 954466; Garland, E., Gaylord, S., Park, J., The role of mindfulness in positive reappraisal (2009) Explore, 5, pp. 37-44. , PID: 1911426; Geschwind, N., Peeters, F., Drukker, M., van Os, J., Wichers, M., Mindfulness training increases momentary positive emotions and reward experience in adults vulnerable to depression: a randomised controlled trial (2011) J Consult Clin Psychol, 79, pp. 618-628; Gotlib, I.H., Ranganath, C., Rosenfeld, J.P., Frontal EEG alpha asymmetry, depression, and cognitive functioning (1998) Cogn Emot, 12, pp. 449-478; Graimann, B., Pfurtscheller, G., Quantification and visualisation of event-related changes in oscillatory brain activity in the time-frequency domain (2006) Event-related dynamics of brain oscillations, pp. 79-97. , Neuper C, Klimesch W, (eds), 159, Elsevier, Amsterdam; Grant, J.A., Duerden, E.G., Courtemanche, J., Cherkasova, M., Duncan, G.H., Rainville, P., Cortical thickness, mental absorption and meditative practise: possible implications for disorders of attention (2013) Biol Psychol, 92, pp. 275-281. , PID: 2304690; Hamilton, H.P., Furman, D.J., Chang, C., Thomason, M.E., Dennis, E., Gotlib, I.H., Default-mode and task-positive network activity in major depressive disorder: implications for adaptive and maladaptive rumination (2011) Biol Psychiatry, 70, pp. 327-333. , PID: 2145936; Hermans, D., De Houwer, J., Affective and subjective familiarity ratings of 740 Dutch words (1994) Psychol Belg, 34, pp. 115-139; Jaworska, N., Blier, P., Fusee, W., Knott, V., Alpha power, alpha asymmetry and anterior cingulate cortex activity in depressed males and females (2012) J Psychiatr Res, 46, pp. 1483-1491. , PID: 2293946; Kalcher, J., Pfurtscheller, G., Discrimination between phase-locked and non-phase-locked event-related EEG activity (1995) Electroenceph Clin Neurophysiol, 94, pp. 381-384. , COI: 1:STN:280:DyaK2M3pt1ykuw%3D%3D, PID: 777452; Kang, J.-H., Ahn, H.M., Jeong, J.W., Hwang, I., Kim, H.T., Kim, S.H., Kim, S.-P., The modulation of parietal gamma oscillations in the human electroencephalogram with cognitive reappraisal (2012) NeuroReport, 23, pp. 995-999. , PID: 2307611; Kemp, A.H., Griffiths, K., Felmingham, K.L., Shankman, S.A., Drinkenburg, W., Arns, M., Clark, C.R., Bryant, R.A., Disorder specificity despite comorbidity: resting EEG alpha asymmetry in major depressive disorder and post-traumatic stress disorder (2010) Biol Psychol, 85, pp. 350-354. , COI: 1:STN:280:DC%2BC3cfjt1CktA%3D%3D, PID: 2070865; Kenny, M., Williams, J.M.G., Treatment resistant depressed patients show a good response to mindfulness-based cognitive therapy (2007) Beh Res Ther, 45, pp. 617-625; Kerr, C.E., Jones, S.R., Wan, Q., Pritchett, D.L., Wasserman, R.H., Wexler, A., Villanueva, J.J., Moore, C.I., Effects of mindfulness meditation training on anticipatory alpha modulation in primary somatosensory cortex (2011) Brain Res Bull, 85, pp. 96-103; Kerr, C., Sacchet, M.D., Lazar, S.W., Moore, C.I., Jones, S.R., Mindfulness starts with the body: somatosensory attention and top-down modulations of cortical alpha rhythms in mindfulness meditation (2013) Front Hum Neurosci, p. 7; Keune, P.M., Bostanov, V., Hautzinger, M., Kotchoubey, B., Mindfulness-based cognitive therapy (MBCT), cognitive style, and the temporal dynamics of frontal EEG alpha asymmetry in recurrently depressed patients (2011) Biol Psychol, 88, pp. 243-252. , PID: 2188475; Keune, P.M., Bostanov, V., Kotchoubey, B., Hautzinger, M., Mindfulness versus rumination and behavioural inhibition: a perspective from research on frontal brain asymmetry (2012) Pers Individ Diff, 53, pp. 323-328; Kim, Y.W., Lee, S.-H., Choi, T.K., Suh, S.Y., Kim, B., Kim, C.M., Cho, S.J., Yook, K.-H., Effectiveness of mindfulness-based cognitive therapy as an adjuvant to pharmacotherapy in patients with panic disorder or generalized anxiety disorder (2009) Depress Anxiety, 26, pp. 601-606. , PID: 1924298; King, A.P., Erickson, T.M., Giardino, N.D., Favorite, T., Rauch, S.A.M., Robinson, E., Madhur, K., Liberzon, I., A pilot study of group mindfulness-based cognitive therapy (MBCT) for combat veterans with posttraumatic stress disorder (PTSD) (2013) Depress Anxiety, 30, pp. 638-645. , PID: 2359609; Klimesch, W., Sauseng, P., Hanslmayr, S., EEG alpha oscillations: the inhibition-timing hypothesis (2007) Brain Res Rev, 53, pp. 63-88. , PID: 1688719; Kuyken, W., Watkins, E., Holden, E., White, K., Taylor, R.S., Byford, S., Evans, A., Dalgleish, T., How does mindfulness-based cognitive therapy work? (2010) Behav Res Ther, 48, pp. 1105-1112. , PID: 2081010; Lee, T.-W., Wu, Y.-T., Yu, Y.W.-Y., Chen, M.-C., Chen, T.-J., The implication of functional connectivity strength in predicting treatment response in major depressive disorder: a resting EEG study (2011) Psychiatry Res Neuroimaging, 194, pp. 372-377; Lehmann, D., Faber, P.L., Achermann, P., Jeanmonod, D., Gianotti, L.R.R., Pizzagalli, D., Brain sources of EEG gamma frequency during volitionally meditation-induced, altered states of consciousness, and experience of the self (2001) Psychiatry Res Neuroimaging, 108, pp. 111-121. , COI: 1:STN:280:DC%2BD3MnptlGntg%3D%3; Lutz, A., Greischar, L.L., Rawlings, N.B., Ricard, M., Davidson, R.J., Long-term meditators self-induce high-amplitude gamma synchrony during mental practise (2004) PNAS, 101, pp. 16369-16373. , COI: 1:CAS:528:DC%2BD2cXhtVWks7fN, PID: 1553419; Lutz, A., Slagter, H.A., Dunne, J.D., Davidson, R.J., Attention regulation and monitoring in meditation (2008) Trends Cogn Sci, 12, pp. 163-169. , PID: 1832932; Malinowski, P., Neural mechanisms of attentional control in mindfulness meditation (2013) Front Neurosci, 7, p. 8; Ma, S.H., Teasdale, J.D., Mindfulness-based cognitive therapy for depression: replication and exploration of differential relapse prevention effects (2004) J Consult Clin Psychol, 72, pp. 31-40; Müller, M.M., Oscillatory cortical activities in the gamma band in the human EEG induced by visual stimuli—representation of the stimulus? (2000) Acta Neurobiol Exp, 60, pp. 49-65; Neff, K.D., Development and validation of a scale to measure self-compassion (2003) Self Identity, 2, pp. 223-250; Nolen-Hoeksema, S., Morrow, J., A prospective study of depression and posttraumatic stress symptoms after a natural disaster: the 1989 Loma Prieta earthquake (1991) J Pers Soc Psychol, 61, pp. 115-121. , COI: 1:STN:280:DyaK3Mzms1Gnuw%3D%3D, PID: 189058; Northoff, G., Psychopathology and pathophysiology of the self in depression—neuropsychiatric hypothesis (2007) J Affect Disord, 104, pp. 1-14. , PID: 1737931; Ohta, H., Yamagata, B., Tomioka, H., Takahashi, T., Yano, M., Nakagome, K., Mimura, M., Hypofrontality in panic disorder and major depressive disorder assessed by multi-channel near-infrared spectroscopy (2008) Depress Anxiety, 25, pp. 1053-1059. , PID: 1883357; Orme-Johnson, D.W., Haynes, C.T., EEG phase coherence, pure consciousness, creativity, and Tm-Sidhi experiences (1981) Int J Neurosci, 13, pp. 211-217; Palva, S., Palva, J.M., New vistas for α-frequency band oscillations (2007) Trends Neurosci, 30, pp. 150-158. , COI: 1:CAS:528:DC%2BD2sXjslSgs7k%3D, PID: 1730725; Pfurtscheller, G., Andrew, C., Event-related changes of band power and coherence: methodology and interpretation (1999) J Clin Neurophysiol, 16, pp. 512-519. , COI: 1:STN:280:DC%2BD3c%2FmslSjsA%3D%3D, PID: 1060001; Pfurtscheller, G., Stancák, A., Jr., Neuper, C., Event-related synchronization (ERS) in the alpha band—an electrophysiological correlate of cortical idling: a review (1996) Int J Psychophysiol, 24, pp. 39-46. , COI: 1:STN:280:DyaK2s7jtlSktw%3D%3D, PID: 897843; Reid, S.A., Duke, L.M., Allen, J.J.B., Resting frontal electroencephalographic asymmetry in depression: inconsistencies suggest the need to identify mediating factors (1998) Psychophysiology, 35, pp. 389-404. , COI: 1:STN:280:DyaK1czgslShsQ%3D%3D, PID: 964305; Ricardo-Garcell, J., González-Olvera, J.J., Miranda, E., Harmony, T., Reyes, E., Almeida, L., Galán, L., Aubert, E., EEG sources in a group of patients with major depressive disorders (2009) Int J Psychophysiol, 71, pp. 70-74; Rihs, T.A., Michel, C.M., Thut, G., Mechanisms of selective inhibition in visual spatial attention are indexed by alpha-band EEG synchronization (2007) Eur J Neurosci, 25, pp. 603-610. , PID: 1728420; Rogers, M.A., Bradshaw, J.L., Pantelis, C., Phillips, J.G., Frontostriatal deficits in unipolar major depression (1998) Brain Res Bull, 47, pp. 297-310. , COI: 1:STN:280:DyaK1M7gtFyqtw%3D%3D, PID: 988678; Rush, A.J., Gullion, C.M., Basco, M.R., Jarrett, R.B., Trivedi, M.H., The Inventory of Depressive Symptomatology (IDS): psychometric properties (1996) Psychol Med, 26, pp. 477-486. , COI: 1:STN:280:DyaK28zhtVGntA%3D%3D, PID: 873320; Sachse, S., Keville, S., Feigenbaum, J., A feasibility study for mindfulness-based cognitive therapy for individuals with borderline personality disorder (2010) Psychol Psychother: Ther Res Prac, 84, pp. 184-200; Sadaghiani, S., Scheeringa, R., Lehongre, K., Morillon, B., Giraud, A.-L., D’Esposito, M., Kleinschmidt, A., Alpha-band phase synchrony is related to activity in the fronto-parietal adaptive control network (2012) J Neurosci, 32, pp. 14305-14310. , COI: 1:CAS:528:DC%2BC38XhsFGlsb3L, PID: 2305550; Sauseng, P., Klimesch, W., Schabus, M., Doppelmayr, M., Fronto-parietal EEG coherence in theta and upper alpha reflect central executive functions of working memory (2005) Int J Psychophysiol, 57, pp. 97-103. , PID: 1596752; Schoenberg, P.L.A., Speckens, A.E.M., (2014) Modulation of induced frontocentral theta, , Fm-θ) event-related (de-) synchronisation dynamics following mindfulness-based cognitive therapy in major depressive disorder, Cogn Neurodyn; Segal, Z.V., Williams, J.M.G., Teasdale, J.D., (2012) Mindfulness-based cognitive therapy for depression, , The Guildford Press, New York; Segrave, R.A., Cooper, N.R., Thompson, R.H., Croft, R.J., Sheppard, D.M., Fitzgerald, P.B., Individualised alpha activity and frontal asymmetry in major depression (2011) Clin EEG Neurosci, 42, pp. 45-52. , COI: 1:STN:280:DC%2BC3M7otlKhug%3D%3D, PID: 2130944; Sheehan, D.V., Lecrubier, Y., Sheehan, K.H., Amorim, P., Janavs, J., Weiller, E., Hergueta, T., Dunbar, G.C., The Mini-International Neuropsychitric Interview (M.I.N.I.): the development and validation of a structured diagnostic psychiatric interview for DSM-IV and ICD-10 (1998) J Clin Psychiatry, 59, pp. 22-33. , PID: 988153; Siegle, G.J., Condray, R., Thase, M.E., Keshavan, M., Steinhauer, S.R., Sustained gamma-band EEG following negative words in depression and schizophrenia (2010) Int J Psychophysiol, 75, pp. 107-118. , PID: 2000526; Sierra, M., Berrios, G., The Cambridge depersonalisation scale: a new instrument for the measurement of depersonalisation (2000) Psychiatry Res, 93, pp. 153-164; Spielberger, C.D., Gorsuch, R.L., Lushene, R., Vagg, P.R., Jacobs, G.A., (1983) Manual for the State-Trait Anxiety Inventory, , Consulting Psychologists Press, Palo Alto; Stewart, J.L., Bismark, A.W., Towers, D.N., Coan, J.A., Allen, J.J.B., Resting frontal EEG asymmetry as an endophenotype for depression risk; sex-specific patterns of frontal brain asymmetry (2010) J Abnorm Psychol, 119, pp. 502-512. , PID: 2067783; Strelets, V.B., Garakh, Z.V., Novototskii-Vlasov, V.Y., Comparative study of the gamma rhythm in normal conditions, during examination stress, and in patients with first depressive episode (2007) Neurosci Behav Physiol, 37, pp. 387-394. , COI: 1:STN:280:DC%2BD2s3kvVGlsQ%3D%3D, PID: 1745753; Suhhova, A., Bachmann, M., Aadamsoo, K., Võhma, Ü., Lass, J., Hinrikus, H., EEG coherence as a measure of depressive disorder (2009) IFMBE Proceed, 22, pp. 353-355; Teasdale, J.D., Segal, Z.W., Williams, J.M.G., Ridgeway, V.A., Souslby, J.M., Lau, M.A., Prevention of relapse/recurrence in major depression by mindfulness-based cognitive therapy (2000) J Consult Clin Psychol, 68, pp. 615-623; Travis, F., Shear, J., Focused attention, open monitoring and automatic self-transcending: categories to organize meditations from Vedic, Buddhist and Chinese traditions (2010) Conscious Cogn, 19, pp. 1110-1118. , PID: 2016750; Travis, F., Hagga, D., Hagelin, J., Arenander, A., Tanner, M., Schneider, R., Self-referential awareness: coherence, power, and eloreta patterns during eyes-closed rest, transcendental meditation, and TM-sidhi practise (2010) J Cogn Process, 11, pp. 21-30; van Aalderen, J.R., Donders, A.R.T., Giommi, F., Spinhoven, P., Barendregt, H.P., Speckens, A.E.M., The efficacy of mindfulness-based cognitive therapy in recurrent depressed patients with and without a current depressive episode: a randomized controlled trial (2012) Psychol Med, 42, pp. 989-1001; van der Helden, J., van Schie, H.T., Rombouts, C., Observational learning of new movement sequences is reflected in fronto-parietal coherence (2010) PLoS One, 5, p. e14482. , PID: 2121781; Wang, L., Liu, X., Guise, K.G., Knight, R.T., Ghajar, J., Fan, J., Effective connectivity of the fronto-parietal network during attentional control (2010) J Cogn Neurosci, 22, pp. 543-553. , PID: 1930199; Watters, A.J., Williams, L.M., Negative biases and risk for depression; integrating self-report and emotion test markers (2011) Depress Anxiety, 28, pp. 703-718. , PID: 2179674; Zylowska, L., Ackerman, D.L., Yang, M.H., Futrell, J.L., Horton, N.I., Hale, T.S., Pataki, C., Smalley, S.L., Mindfulness meditation training in adults and adolescents with ADHD: a feasibility study (2008) J Atten Disord, 11, pp. 737-746</t>
  </si>
  <si>
    <t>18714080</t>
  </si>
  <si>
    <t>Cogn. Neurodynamics</t>
  </si>
  <si>
    <t>2-s2.0-85027940440</t>
  </si>
  <si>
    <t>Multi-dimensional modulations of α and γ cortical dynamics following mindfulness-based cognitive therapy in major depressive disorder</t>
  </si>
  <si>
    <t>Strauß S.</t>
  </si>
  <si>
    <t>39161935300;</t>
  </si>
  <si>
    <t>From big data to deep learning: A leap towards strong ai or ‘intelligentia obscura’?</t>
  </si>
  <si>
    <t>16</t>
  </si>
  <si>
    <t>10.3390/bdcc2030016</t>
  </si>
  <si>
    <t>https://www.scopus.com/inward/record.uri?eid=2-s2.0-85063987512&amp;doi=10.3390%2fbdcc2030016&amp;partnerID=40&amp;md5=f722525bf9e45462884b2a0ef0379b6b</t>
  </si>
  <si>
    <t>Institute of Technology Assessment (ITA), Austrian Academy of Sciences, Vienna, 1030, Austria</t>
  </si>
  <si>
    <t>Strauß, S., Institute of Technology Assessment (ITA), Austrian Academy of Sciences, Vienna, 1030, Austria</t>
  </si>
  <si>
    <t>Astonishing progress is being made in the field of artificial intelligence (AI) and particularly in machine learning (ML). Novel approaches of deep learning are promising to even boost the idea of AI equipped with capabilities of self-improvement. But what are the wider societal implications of this development and to what extent are classical AI concepts still relevant? This paper discusses these issues including an overview on basic concepts and notions of AI in relation to big data. Particular focus lies on the roles, societal consequences and risks of machine and deep learning. The paper argues that the growing relevance of AI in society bears serious risks of deep automation bias reinforced by insufficient machine learning quality, lacking algorithmic accountability and mutual risks of misinterpretation up to incrementally aggravating conflicts in decision-making between humans and machines. To reduce these risks and avoid the emergence of an intelligentia obscura requires overcoming ideological myths of AI and revitalising a culture of responsible, ethical technology development and usage. This includes the need for a broader discussion about the risks of increasing automation and useful governance approaches to stimulate AI development with respect to individual and societal well-being. © 2018 by the author. Licensee MDPI, Basel, Switzerland.</t>
  </si>
  <si>
    <t>Algorithmic accountability; Artificial intelligence; Automation; Autonomy; Bias; Deep learning; ELIZA effect; Technology assessment; Turing test</t>
  </si>
  <si>
    <t>Boyd, D., Crawford, K., Critical Questions for Big Data: Provocations for a Cultural, Technological, and Scholarly Phenomenon (2012) Inf. Commun. Soc, 15, pp. 662-679. , [CrossRef]; Mayer-Schönberger, V., Cukier, K., (2013) Big Data: A Revolution That Will Transform How We Live, Work and Think, , Houghton Mifflin Harcourt: New York, NY, USA; Strauß, S., Datafication and the seductive power of uncertainty—A critical exploration of big data enthusiasm (2015) Information, 6, pp. 836-847. , [CrossRef]; Buchanan, B.G., A (Very) Brief History of Artificial Intelligence (2005) AI Mag, 26, pp. 53-60; Morton, E., The Mechanical Chess Player That Unsettled the World (2015) Slate Magazine, , www.slate.com/blogs/atlas_obscura/2015/08/20/the_turk_an_supposed_chess_playing_robot_was_a_hoax_that_started_an_early.html, 20 August (accessed on 29 May 2018); Brey, P., Hubert Dreyfus: Humans Versus Machine (2001) American Philosophy of Technology: The Empirical Turn, pp. 37-63. , Achterhuis, H., Ed.; Indiana University Press: Bloomington USA, ISBN 978-0-253-21449-2; McCarthy, J., Minsky, M., Rochester, N., Shannon, C., (1955) A Proposal for the Dartmouth Summer Research Project on Artificial Intelligence, , http://www-formal.stanford.edu/jmc/history/dartmouth/dartmouth.html, (accessed on 29 May 2018); McCarthy, J., (2007) Basic Questions, What Is Artificial Intelligence?, , http://www-formal.stanford.edu/jmc/whatisai/, Stanford University: Stanford, CA, USA, (accessed on 28 June 2016); Barr, A., Feigenbaum, E., (1981) The Handbook of Artificial Intelligence, 1. , HeurisTech Press: Stanford, CA, USA; (2016) Aeon Magazine, , https://aeon.co/essays/your-brain-does-not-process-information-and-it-is-not-a-computer, Epstein the Empty Brain. 18 May (accessed on 29 May 2018); (2004) The Scientific Conquest of Death: Essays on Infinite Lifespans, , Immortality Institute. LibrosEnRed: Buenos Aires, Argentina; Weizenbaum, J., (1976) Computer Power and Human Reason: From Judgement to Calculation, , W. H. Freeman: San Francisco, CA, USA; McDermott, D., Artificial Intelligence meets natural stupidity (1981) Mind Design. Philosophy, Psychology, Artificial Intelligence, , Haugheland, J., Ed.; MIT Press: Cambridge, MA, USA; London, UK; Dreyfus, H.L., (1992) What Computers Still Can’t Do: A Critique of Artificial Reason, , MIT Press: Cambridge, MA, USA; Berman, B.J., Artificial Intelligence and the Ideology of Capitalist Reconstruction (1992) AI Soc, 6, pp. 103-114. , [CrossRef]; https://www.ibm.com/watson/, IBM Watson. (accessed on 29 May 2018); Watson Foundations—The Big Data &amp; Analytics Platform for the Cognitive Era, , https://www.ibm.com/big-data/au/en/big-data-and-analytics/watson-foundations.html, (accessed on 29 May 2018); Vincent, J., (2017) The Verge, , https://www.theverge.com/2017/10/18/16495548/deepmind-ai-go-alphago-zero-self-taught, DeepMind’s Go-Playing AI Doesn’t Need Human Help to Beat Us Anymore, 18 October (accessed on 29 May 2018); Boellstorff, T., Making big data, in theory (2013) First Monday, 18. , [CrossRef]; Strauß, S., Big Data—Within the tides of securitization (2018) The Politics of Big Data—Big Data, Big Brother?, pp. 46-67. , Saetnan, A.R., Schneider, I., Green, N., Eds.; Oxon: Routledge, UK; Fernández, A., del Río, S., López, V., Bawakid, A., del Jesus, M., Benítez, J.M., Herrera, F., Big Data with Cloud Computing: An insight on the computing environment, MapReduce, and programming frameworks (2014) WIREs Data Min. Knowl. Discov, 4, pp. 380-409. , [CrossRef]; Mitchell, T.M., The Discipline of Machine Learning, , http://www.cs.cmu.edu/~tom/pubs/MachineLearningTR.pdf, (accessed on 29 May 2018); Domingos, P., A Few Useful Things to Know about Machine Learning (2012) Commun. ACM, 55, pp. 78-87. , [CrossRef]; LeCun, Y., Benigo, Y., Hinton, G., Deep Learning (2015) Nature, 521, pp. 436-444. , [CrossRef] [PubMed]; Goodfellow, I., Bengio, Y., Courville, A., (2016) Deep Learning (Adaptive Computation and Machine Learning), , http://www.deeplearningbook.org/, MIT Press: Cambridge, MA, USA, ISBN 978-0262035613. (accessed on 29 May 2018); (2017) Google’s AlphaGo Defeats Chinese Go Master in Win for A.I. New York Times, , https://www.nytimes.com/2017/05/23/business/google-deepmind-alphago-go-champion-defeat.html, 23 May (accessed on 29 May 2018); Nielsen, M.A., Chapter 5: Why are deep neural networks hard to train (2015) Neural Networks and Deep Learning, , http://neuralnetworksanddeeplearning.com/chap5.html, Determination Press: New York, NY, USA, (accessed on 9 July 2018); Szegedy, C., Liu, W., Jia, Y., Sermanet, P., Reed, S., Anguelov, D., Erhan, D., Rabinovich, A., Going Deeper with Convolutions (2015) CVPR, , https://www.cv-foundation.org/openaccess/content_cvpr_2015/papers/Szegedy_Going_Deeper_With_2015_CVPR_paper.pdf, (accessed on 29 May 2018); Cat Poster composed by Wikipedia User Alvesgaspar, , https://en.wikipedia.org/wiki/File:Cat_poster_1.jpg, (accessed on 17 July 2018); De Spiegeleire, S., Maas, M., Sweijs, T., (2017) Research Report, The Hague Centre for Strategic Studies, , https://hcss.nl/sites/default/files/files/reports/Artificial%20Intelligence%20and%20the%20Future%20of%20Defense.pdf, Artificial Intelligence and the Future of Defense–Strategic Implications for Small and Medium-Sized Force Providers, (accessed on 29 May 2018); Minsky, M., (1968) Semantic Information Processing, , MIT Press: Cambridge, MA, USA; Rosenblatt, F., The perceptron: A probabilistic model for information storage and organization in the brain (1958) Psychol. Rev, 65, pp. 386-408. , [CrossRef] [PubMed]; Self-Driving Tesla Was Involved in Fatal Crash (2016), https://www.nytimes.com/2016/07/01/business/self-driving-tesla-fatal-crash-investigation.html, U.S. Says. New York Times, 30 June (accessed on 29 May 2018); Tesla Says Crashed Vehicle Had Been on Autopilot Before Fatal Accident (2018) New York Times, , https://www.nytimes.com/2018/03/31/business/tesla-crash-autopilot.html, 31 March (accessed on 29 May 2018); (2018) The Guardian, , https://www.theguardian.com/technology/2018/mar/22/video-released-of-uber-self-driving-crash-that-killed-woman-in-arizona, Video Released of Uber Self-Driving Crash That Killed Woman in Arizona. 22 March (accessed on 29 May 2018); Marcus, G., (2018) Deep Learning: A critical appraisal, , https://arxiv.org/abs/1801.00631, arXiv (accessed on 29 May 2018); Freud, S., Band 1: Elemente der Psychoanalyse. Band 2: Anwendungen der Psychoanalyse (2006) Sigmund Freud: Werkausgabe in Zwei Bänden, , Freud, A., Grubrich-Simitis, I., Eds.; Fischer Verlag: Frankfurt, Germany; Turing, A., Computing Machinery and Intelligence (1950) Mind, LIX, pp. 433-466. , [CrossRef]; Weizenbaum, J., ELIZA—A Computer Program For the Study of Natural Language Communication between Man and Machine (1966) Commun. ACM, 9, pp. 36-45. , [CrossRef]; Hofstadter, D.R., (1996) Fluid Concepts and Creative Analogies: Computer Models of the Fundamental Mechanisms of Thought, , Basic Books: New York, NY, USA; Trappl, R., Petta, P., Payr, S., (2002) Emotions in Humans and Artifacts, , MIT Press: Cambridge, MA, USA; (2014) Turing Test Success Marks Milestone in Computing History, , http://www.reading.ac.uk/news-and-events/releases/PR583836.aspx, University of Reading Press Release. 8 June (accessed on 29 May 2018); Sample, I., Hern, A., Scientists Dispute Whether Computer ‘Eugene Goostman’ Passed Turing Test (2014) The Guardian, , http://www.theguardian.com/technology/2014/jun/09/scientists-disagree-over-whether-turing-test-has-been-passed, 9 June (accessed on 29 May 2018); Eugene the Turing Test-Beating ‘Human Computer’–in ‘His’ Own Words (2014), https://www.theguardian.com/technology/2014/jun/09/eugene-person-human-computer-robot-chat-turing-test, The Guardian, (accessed on 29 May 2018); Aron, J., (2011) New Scientist, , https://www.newscientist.com/article/dn20865-software-tricks-people-into-thinking-it-is-human/, Software Tricks People into Thinking It Is Human, 6 September (accessed on 29 May 2018); Hunt, E. Tay, Microsoft’s AI Chatbot, Gets a Crash Course in Racism from Twitter (2016) The Guardian, , https://www.theguardian.com/technology/2016/mar/24/tay-microsofts-ai-chatbot-gets-a-crash-course-in-racism-from-twitter, 24 March (accessed on 29 May 2018); Deeply Sorry’ for Racist and Sexist Tweets by AI Chatbot (2016) The Guardian, , https://www.theguardian.com/technology/2016/mar/26/microsoft-deeply-sorry-for-offensive-tweets-by-ai-chatbot, Microsoft 26 March (accessed on 29 May 2018); (2016) Gartner Group, , https://www.gartner.com/smarterwithgartner/the-art-of-conversational-commerce/, The Art of Conversational Commerce. 25 July (accessed on 29 May 2018); Carroll, R., Goodbye Privacy, Hello ‘Alexa’: Amazon Echo, the Home Robot Who Hears It All (2015) The Guardian, , https://www.theguardian.com/technology/2015/nov/21/amazon-echo-alexa-home-robot-privacy-cloud, 21 November (accessed on 29 May 2018); Morley, K., Amazon Echo Rogue Payment Warning after TV Show Causes ‘Alexa’ to Order Dolls Houses (2017), http://www.telegraph.co.uk/news/2017/01/08/amazon-echo-rogue-payment-warning-tv-show-causes-alexa-order/, The Telegraph, 8 January (accessed on 29 May 2018); Sauer, G., (2017) A Murder Case Tests Alexa’s Devotion to Your Privacy, , https://www.wired.com/2017/02/murder-case-tests-alexas-devotion-privacy/, Wired, 28 February (accessed on 29 May 2018); Bessi, A., Ferrara, E., Social bots disturb the 2016 US presidential election online discussion (2016) First Monday, 21. , [CrossRef]; Christian, J., (2018) Experts Fear Face Swapping Tech Could Start an International Showdown. The Outline, , https://theoutline.com/post/3179/deepfake-videos-are-freaking-experts-out, 1 February (accessed on 29 May 2018); Dzindolet, M.T., Peterson, S.A., Pomranky, R.A., Pierce, L.G., Beck, H.P., The role of trust in automation reliance (2003) Int. J. Hum.-Comput. Stud, 58, pp. 697-718. , [CrossRef]; Mosier, K.L., Skitka, L.J., Heers, S., Burdick, M., Automation bias: Decision making and performance in high-tech cockpits (1997) Int. J. Aviat. Psychol, 8, pp. 47-63. , https://www.ncbi.nlm.nih.gov/pubmed/11540946, (accessed on 29 May 2018). [CrossRef] [PubMed]; Goddard, K., Roudsari, A., Wyatt, J.C., Automation bias: A systematic review of frequency, effect mediators, and mitigators (2012) J. Am. Med. Inform. Assoc, 19, pp. 121-127. , [CrossRef] [PubMed]; Lieberman, H., Usable AI requires Commonsense knowledge (2008) Proceedings of the Workshop on Usable Artificial Intelligence, ACM Conference on Computers and Human Interaction (CHI-08), , Florence, Italy, 5–10 April; Nothdurft, F., Behnke, G., Bercher, P., Biundo, S., Minker, W., The Interplay of User-Centered Dialog Systems and AI Planning Proceedings of the SIGDIAL 2015 Conference, pp. 344-353. , Prague, Czech Republic, 2–4 September 2015; Noessel, C., Designing Agentive Technology: AI That Works for People (2017) UX Magazine, , https://uxmag.com/articles/designing-agentive-technology, (accessed on 14 June 2018); Helms, K., Brown, B., Sahlgren, M., Lampinen, A., Design Methods to Investigate User Experiences of Artificial Intelligence Proceedings of the AAAI 2018 Spring Symposium on Designing the User Experience of Artificial Intelligence, pp. 394-398. , Stanford, CA, USA, 26–28 March 2018; Buchanan, R., Wicked Problems in Design Thinking (1992) Des. Issues, 8, pp. 5-21. , [CrossRef]; https://www.google.com/recaptcha/intro/index.html, Google reCAPTCHA. (accessed on 29 May 2018); Annany, M., Crawford, K., Seeing without knowing: Limitations of the transparency ideal and its application to algorithmic accountability (2016) New Media Soc, , [CrossRef]; O’Neil, C., (2016) Weapons of Math Destruction: How Big Data Increases Inequality and Threatens Democracy, , Crown: New York, NY, USA; (2017) Algorithmic Accountablity–Applying the Concept to Different Country Contexts, , https://webfoundation.org/docs/2017/07/Algorithms_Report_WF.pdf, WWWF—World Wide Web Foundation: (accessed on 29 May 2018); Caplan, R., Donovan, J., Hanson, L., Matthews, J., Algorithmic Accountability: A Primer (2018), https://datasociety.net/wp-content/uploads/2018/04/Data_Society_Algorithmic_Accountability_Primer_FINAL-4.pdf, Research Report, Data &amp; Society (accessed on 29 May 2018); Knight, W., The Dark Secret at the Heart of AI (2017) MIT Technology Review, , https://www.technologyreview.com/s/604087/the-dark-secret-at-the-heart-of-ai/, (accessed on 29 May 2018); Kant, I., (1997) Grundlegung zur Metaphysik der Sitten, , Weischedel, W., Ed.; Werkausgabe Band VIII, First Published 1785; Suhrkamp Taschenbuch Wissenschaft: Berlin, Germany; Kirchner, L., (2015) When Discrimination Is Baked into Algorithms. The Atlantic, , https://www.theatlantic.com/business/archive/2015/09/discrimination-algorithms-disparate-impact/403969/, 6 September (accessed on 29 May 2018); Johnson, I., McMahon, C., Schöning, J., Hecht, B., The Effect of Population and “Structural” Biases on Social Media-based Algorithms—A Case Study in Geolocation Inference Across the Urban-Rural Spectrum Proceedings of the 2017 CHI Conference on Human Factors in Computing Systems, pp. 1167-1178. , Denver, CO, USA, 6–11 May 2017; Crawford, K., Artificial Intelligence’s White Guy Problem (2016) New York Times, , www.nytimes.com/2016/06/26/opinion/sunday/artificial-intelligences-white-guy-problem.html, 20 June (accessed on 29 May 2018); Chander, A., The Racist Algorithm? (2016), https://papers.ssrn.com/sol3/papers.cfm?abstract_id=2795203, Legal Studies Research Paper No. 498. (accessed on 29 May 2018); Lambrecht, A., Tucker, C.E., Algorithmic Bias? An Empirical Study into Apparent Gender-Based Discrimination in the Display of STEM Career Ads (2018) SSRN Electron. J, , [CrossRef]; Kleinman, Z., Artificial Intelligence: How to Avoid Racist Algorithms (2017) BBC Online, , http://www.bbc.com/news/technology-39533308, 14 April (accessed on 29 May 2018); Townley, C., Morrison, E., Yeung, K., Big Data and Personalised Price Discrimination in EU Competition Law, , https://dx.doi.org/10.2139/ssrn.3048688, (accessed on 29 May 2018); Ddiscussion About Ethical Issues of a Russian Facial Recognition Company on the Twitter Account of Morten Rand-Hendriksen, , https://twitter.com/mor10/status/995344394428473345, (accessed on 29 May 2018); (2017) The Interpreter, , http://www.interpretermag.com/new-russian-facial-recognition-tech-may-fight-crime-but-its-already-misused-against-opposition/, New Russian Facial Recognition Tech May Fight Crime but Its Already Misused against Opposition, October (accessed on 29 May 2018); Burgess, M., Facial Recognition Tech Used by UK Police Is Making a Ton of Mistakes (2018), https://www.wired.co.uk/article/face-recognition-police-uk-south-wales-met-notting-hill-carnival, Wired, 4 May (accessed on 29 May 2018); (2015) The Telegraph, , http://www.telegraph.co.uk/technology/news/11342200/Top-scientists-call-for-caution-over-artificial-intelligence.html, Top Scientists Call for Caution over Artificial Intelligence. January (accessed on 29 May 2018); Johnson, D., Computer entities but not moral agents (2006) Ethics Inform. Technol, 8, pp. 195-204. , [CrossRef]; Gunkel, D.J., (2012) The Machine Question–Critical Perspectives on AI, Robots, and Ethics, , MIT Press: Cambridge, MA, USA; London, UK; Background on Lethal Autonomous Weapons Systems in the CCW, , https://www.unog.ch/80256EE600585943/(httpPages)/8FA3C2562A60FF81C1257CE600393DF6?OpenDocument, United Nations. (accessed on 29 May 2018)</t>
  </si>
  <si>
    <t>2-s2.0-85063987512</t>
  </si>
  <si>
    <t>From big data to deep learning: a leap towards strong ai or ‘intelligentia obscura’?</t>
  </si>
  <si>
    <t>Allem J.-P., Ramanujam J., Lerman K., Chu K.-H., Cruz T.B., Unger J.B.</t>
  </si>
  <si>
    <t>54976260600;57222343694;6603963324;26031290500;7005361892;7203019549;</t>
  </si>
  <si>
    <t>Identifying sentiment of hookah-related posts on twitter</t>
  </si>
  <si>
    <t>JMIR Public Health and Surveillance</t>
  </si>
  <si>
    <t>e74</t>
  </si>
  <si>
    <t>10.2196/publichealth.8133</t>
  </si>
  <si>
    <t>https://www.scopus.com/inward/record.uri?eid=2-s2.0-85049016142&amp;doi=10.2196%2fpublichealth.8133&amp;partnerID=40&amp;md5=72988f30266635945ac7a3048f8584c5</t>
  </si>
  <si>
    <t>Keck School of Medicine, USC, Los Angeles, CA, United States; University of Southern California, Los Angeles, CA, United States; University of Pittsburgh, Pittsburgh, PA, United States</t>
  </si>
  <si>
    <t>Allem, J.-P., Keck School of Medicine, USC, Los Angeles, CA, United States; Ramanujam, J., Keck School of Medicine, USC, Los Angeles, CA, United States; Lerman, K., University of Southern California, Los Angeles, CA, United States; Chu, K.-H., University of Pittsburgh, Pittsburgh, PA, United States; Cruz, T.B., Keck School of Medicine, USC, Los Angeles, CA, United States; Unger, J.B., Keck School of Medicine, USC, Los Angeles, CA, United States</t>
  </si>
  <si>
    <t>Background: The increasing popularity of hookah (or waterpipe) use in the United States and elsewhere has consequences for public health because it has similar health risks to that of combustible cigarettes. While hookah use rapidly increases in popularity, social media data (Twitter, Instagram) can be used to capture and describe the social and environmental contexts in which individuals use, perceive, discuss, and are marketed this tobacco product. These data may allow people to organically report on their sentiment toward tobacco products like hookah unprimed by a researcher, without instrument bias, and at low costs. Objective: This study describes the sentiment of hookah-related posts on Twitter and describes the importance of debiasing Twitter data when attempting to understand attitudes. Methods: Hookah-related posts on Twitter (N=986,320) were collected from March 24, 2015, to December 2, 2016. Machine learning models were used to describe sentiment on 20 different emotions and to debias the data so that Twitter posts reflected sentiment of legitimate human users and not of social bots or marketing-oriented accounts that would possibly provide overly positive or overly negative sentiment of hookah. Results: From the analytical sample, 352,116 tweets (59.50%) were classified as positive while 177,537 (30.00%) were classified as negative, and 62,139 (10.50%) neutral. Among all positive tweets, 218,312 (62.00%) were classified as highly positive emotions (eg, active, alert, excited, elated, happy, and pleasant), while 133,804 (38.00%) positive tweets were classified as passive positive emotions (eg, contented, serene, calm, relaxed, and subdued). Among all negative tweets, 95,870 (54.00%) were classified as subdued negative emotions (eg, sad, unhappy, depressed, and bored) while the remaining 81,667 (46.00%) negative tweets were classified as highly negative emotions (eg, tense, nervous, stressed, upset, and unpleasant). Sentiment changed drastically when comparing a corpus of tweets with social bots to one without. For example, the probability of any one tweet reflecting joy was 61.30% from the debiased (or bot free) corpus of tweets. In contrast, the probability of any one tweet reflecting joy was 16.40% from the biased corpus. Conclusions: Social media data provide researchers the ability to understand public sentiment and attitudes by listening to what people are saying in their own words. Tobacco control programmers in charge of risk communication may consider targeting individuals posting positive messages about hookah on Twitter or designing messages that amplify the negative sentiments. Posts on Twitter communicating positive sentiment toward hookah could add to the normalization of hookah use and is an area of future research. Findings from this study demonstrated the importance of debiasing data when attempting to understand attitudes from Twitter data. © Jon-Patrick Allem, Jagannathan Ramanujam, Kristina Lerman, Kar-Hai Chu, Tess Boley Cruz, Jennifer B Unger.</t>
  </si>
  <si>
    <t>Big data; Bots; Hookah; Sentiment; Social media; Twitter; Waterpipe</t>
  </si>
  <si>
    <t>Salloum, RG, Asfar, T, Maziak, W., Toward a Regulatory Framework for the Waterpipe (2016) Am J Public Health, 106 (10), pp. 1773-1777. , [doi] [Medline: 27552262]; Maziak, W., The global epidemic of waterpipe smoking (2011) Addict Behav, 36 (1-2), pp. 1-5. , [FREE Full text] [doi] [Medline: 20888700]; El-Zaatari, ZM, Chami, HA, Zaatari, GS., Health effects associated with waterpipe smoking (2015) Tob Control, 24, pp. i31-i43. , Suppl 1: [FREE Full text] [doi] [Medline: 25661414]; Heinz, AJ, Giedgowd, GE, Crane, NA, Veilleux, JC, Conrad, M, Braun, AR, A comprehensive examination of hookah smoking in college students: use patterns and contexts, social norms and attitudes, harm perception, psychological correlates and co-occurring substance use (2013) Addict Behav, 38 (11), pp. 2751-2760. , [doi] [Medline: 23934006]; Primack, BA, Hopkins, M, Hallett, C, Carroll, MV, Zeller, M, Dachille, K, US health policy related to hookah tobacco smoking (2012) Am J Public Health, 102 (9), pp. e47-e51. , [FREE Full text] [doi] [Medline: 22827447]; Eysenbach, G., Infodemiology and infoveillance tracking online health information and cyberbehavior for public health (2011) Am J Prev Med, 40 (5), pp. S154-S158. , (Suppl 2): [doi] [Medline: 21521589]; Ayers, JW, Althouse, BM, Dredze, M., Could behavioral medicine lead the web data revolution? (2014) JAMA, 311 (14), pp. 1399-1400. , [doi] [Medline: 24577162]; Allem, J, Chu, K, Cruz, TB, Unger, JB., Waterpipe Promotion and Use on Instagram: #Hookah (2017) Nicotine Tob Res, 19 (10), pp. 1248-1252. , [doi] [Medline: 28077449]; Krauss, MJ, Sowles, SJ, Moreno, M, Zewdie, K, Grucza, RA, Bierut, LJ, Hookah-Related Twitter Chatter: A Content Analysis (2015) Prev Chronic Dis, 12, p. E121. , [FREE Full text] [doi] [Medline: 26226068]; Grant, A, O'Mahoney, H., Portrayal of waterpipe (shisha, hookah, nargile) smoking on Twitter: a qualitative exploration (2016) Public Health, 140, pp. 128-135. , [doi] [Medline: 27520707]; Myslín, M, Zhu, S, Chapman, W, Conway, M., Using twitter to examine smoking behavior and perceptions of emerging tobacco products (2013) J Med Internet Res, 15 (8), p. e174. , [FREE Full text] [doi] [Medline: 23989137]; Davis, CA, Varol, O, Ferrara, E, Flammini, A, Menczer, F., Botornot: A system to evaluate social bots (2016) 2016 Presented at: Proceedings of the 25th International Conference Companion on World Wide Web, pp. 273-274. , Montreal Canada; Ferrara, E, Varol, O, Davis, C, Menczer, F, Flammini, A., The rise of social bots (2016) Commun ACM, 59 (7), pp. 96-104. , [doi]; Allem, J, Ferrara, E., The Importance of Debiasing Social Media Data to Better Understand E-Cigarette-Related Attitudes and Behaviors (2016) J Med Internet Res, 18 (8), p. e219. , [FREE Full text] [doi] [Medline: 27507563]; Primack, B, Carroll, M, Shensa, A, Davis, W, Levine, M., Sex differences in hookah-related images posted on tumblr: a content analysis (2016) J Health Commun, 21 (3), pp. 366-375; Chu, Z, Gianvecchio, S, Wang, H, Jajodia, S., Detecting Automation of Twitter Accounts: Are You a Human, Bot, or Cyborg? (2012) IEEE Transactions on Dependable and Secure Computing, 9 (6), pp. 811-824. , [doi] [Medline: 27295638]; Hutto, C, Gilbert, E., VADER: A Parsimonious Rule-based Model for Sentiment Analysis of Social Media Text (2014) 2015 Presented at: Proceedings of the Eighth International AAAI Conference on Weblogs and Social Media, ICWSM, , Ann Arbor, MI A; Mohammad, S, Kiritchenko, S, Sobhani, P, Zhu, X, Cherry, C., Detecting Stance in Tweets using Support Vector Machines (2016) 2016 Presented at: Proceedings of SemEval-2016, , June 16-17, San Diego, California; Gou, L, Zhou, M, Yang, H., KnowMeShareMe: understanding automatically discovered personality traits from social mediauser sharing preferences 2014 Apr 06 Presented at: InProceedings of the 32nd annual ACM conference on Human factors in computing systems, pp. 955-964. , ACM; 2014 Apr 26; Toronto, Ontario, Canada; Mohammad, S., Emotional tweets (2012) First Joint Conference on Lexical and Computational Semantics (SEM), pp. 246-255. , 2012 Presented at: June 7, Montreal, Canada; Porter, M., An algorithm for suffix stripping (1980) Program, 14 (3), pp. 130-137; Manning, CD, Surdeanu, M, Bauer, J, Finkel, J, Bethard, SJ, McClosky, D., The Stanford CoreNLP Natural Language Processing Toolkit (2014) 2014 Presented at: Proceedings of the 52nd Annual Meeting of the Association for Computational Linguistics, pp. 55-60. , June 22, Baltimore, Maryland; Russell, J., A circumplex model of affect (1980) J Pers Soc Psychol, 39, pp. 1161-1178; Bradley, M, Lang, P., (1999) NIMH Center for the Study of Emotion and Attention. Affective norms for English words (ANEW): Instruction manual and affective ratings, , Technical report C-1, the center for research in psychophysiology, University of Florida; Pechmann, C, Pan, L, Delucchi, K, Lakon, CM, Prochaska, JJ., Development of a Twitter-based intervention for smoking cessation that encourages high-quality social media interactions via automessages (2015) J Med Internet Res, 17 (2), p. e50. , [FREE Full text] [doi] [Medline: 25707037]; Pechmann, C, Delucchi, K, Lakon, C, Prochaska, JJ., Randomised controlled trial evaluation of Tweet2Quit: a social network quit-smoking intervention (2017) Tob Control, 26 (2), pp. 188-194. , [Medline: 26928205]; Allem, JP, Escobedo, P, Chu, K, Soto, DW, Cruz, TB, Unger, JB., Campaigns and counter campaigns: reactions on Twitter to e-cigarette education (2017) Tob Control, 26 (2), pp. 226-229. , [doi] [Medline: 26956467]; Naslund, JA, Kim, SJ, Aschbrenner, KA, McCulloch, LJ, Brunette, MF, Dallery, J, Systematic review of social media interventions for smoking cessation (2017) Addict Behav, 73, pp. 81-93. , [doi] [Medline: 28499259]</t>
  </si>
  <si>
    <t>23692960</t>
  </si>
  <si>
    <t>JMIR Publ. Heal. Surveil.</t>
  </si>
  <si>
    <t>2-s2.0-85049016142</t>
  </si>
  <si>
    <t>Xu X., Liu W., Pang W.</t>
  </si>
  <si>
    <t>57196742410;57195360407;55292857200;</t>
  </si>
  <si>
    <t>Are emotionally intelligent people more creative? A meta-analysis of the emotional intelligence-creativity link</t>
  </si>
  <si>
    <t>Sustainability (Switzerland)</t>
  </si>
  <si>
    <t>6123</t>
  </si>
  <si>
    <t>10.3390/su11216123</t>
  </si>
  <si>
    <t>https://www.scopus.com/inward/record.uri?eid=2-s2.0-85074810723&amp;doi=10.3390%2fsu11216123&amp;partnerID=40&amp;md5=f3349f91fa1b0edcc73a7694e595a5f7</t>
  </si>
  <si>
    <t>School of Psychology and Cognitive Science, East China Normal University, Shanghai, 200062, China; Institute of General Education, Shanghai Academy of Educational Sciences, Shanghai, 200032, China</t>
  </si>
  <si>
    <t>Xu, X., School of Psychology and Cognitive Science, East China Normal University, Shanghai, 200062, China; Liu, W., Institute of General Education, Shanghai Academy of Educational Sciences, Shanghai, 200032, China; Pang, W., School of Psychology and Cognitive Science, East China Normal University, Shanghai, 200062, China</t>
  </si>
  <si>
    <t>Although emotional intelligence (EI) is positively associated with beneficial outcomes such as higher job performance and better psychological well-being, its relationship with creativity is uncertain. To assess an overall correlation between EI and creativity, in the present study a meta-analysis of 96 correlations obtained from 75 studies with a total sample size of 18,130 was conducted. The results uncovered a statistically significant moderate correlation (r = 0.32, 95% CI, 0.26-0.38, p &lt; 0.01) between these two constructs. Moderation analyses revealed that the link was modulated by the type of EI/creativity measure and sample characteristics, such as gender, employment status, and culture. Specifically, the linkwas strongerwhen EI and creativityweremeasured using subjective reports (EI: trait EI; creativity: creative behavior and creative personality) compared to objective tests (EI: ability EI; creativity: divergent thinking test, remote associate test, and creative product). In addition, the link was stronger in males compared to females, in employees compared to students, and in East Asian samples compared toWestern European and American samples. Theoretical implications and future directions are discussed in detail. © 2019 by the authors.</t>
  </si>
  <si>
    <t>Creativity; Emotional intelligence; Meta-analysis; Moderators; Sustainability</t>
  </si>
  <si>
    <t>artificial intelligence; correlation; meta-analysis; performance assessment; sustainability; uncertainty analysis</t>
  </si>
  <si>
    <t>Runco, M.A., Commentary: Divergent thinking is not synonymous with creativity (2008) Psychol. Aesthet. Creat. Arts, 2, pp. 93-96; Runco, M.A., Acar, S., Divergent thinking as an indicator of creative potential (2012) Creat. Res. J, 24, pp. 66-75; Sternberg, R.J., Lubart, T.I., The Concept of Creativity: Prospects and Paradigms (1999) Handbook of Creativity, pp. 3-15. , Sternberg, R.J., Ed.; Cambridge University Press: Cambridge, UK; Lozano, R., Creativity and organizational learning as means to foster sustainability (2014) Sustain. Dev, 22, pp. 205-216; Batey, M., Furnham, A., Saffiulina, X., Intelligence, general knowledge and personality as predictors of creativity (2010) Learn. Individ. Differ, 20, pp. 532-535; Silvia, P.J., Intelligence and creativity are pretty similar after all (2015) Educ. Psychol. Rev, 27, pp. 599-606; Conner, T.S., Silvia, P.J., Creative days: A daily diary study of emotion, personality, and everyday creativity (2015) Psychol. Aesthet. Creat. Arts, 9, pp. 463-470; Hornberg, J., Reiter-Palmon, R., Creativity and the Big Five Personality Traits: Is the Elationship Dependent on the Creativity Measure? (2017) the Cambridge Handbook of Creativity and Personality Research, pp. 275-293. , Feist, G.J., Reiter-Palmon, R., Kaufman, J.C., Eds.; Cambridge University Press: New York, NY, USA; Cole, D.G., Sugioka, H.L., Yamagata-Lynch, L.C., Supportive classroom environments for creativity in higher education (1999) J. Creat. Behav, 33, pp. 277-293; Richardson, C., Mishra, P., Learning environments that support student creativity: Developing the SCALE (2018) Think. Ski. Creat, 27, pp. 45-54; Ivcevic, Z., Brackett, M.A., Predicting creativity: Interactive effects of openness to experience and emotion regulation ability (2015) Psychol. Aesthet. Creat. Arts, 9, pp. 480-487; Jafri, M.H., Moderating role of job autonomy and supervisor support in trait emotional intelligence and employee creativity (2018) Vision, 22, pp. 253-263; Parke, M.R., Seo, M.G., Sherf, E.N., Regulating and facilitating: The role of emotional intelligence in maintaining and using positive affect for creativity (2015) J. Appl. Psychol, 100, pp. 917-934; Tu, C., Guo, J., Hatcher, R.C., Kaufman, J.C., The relationship between emotional intelligence and domain-specific and domain general creativity (2018) J. Creat. Behav; Salovey, P., Mayer, J.D., Emotional intelligence (1990) Imagin. Cogn. Pers, 9, pp. 185-211; Schutte, N.S., Malouff, J.M., Thorsteinsson, E.B., Bhullar, N., Rooke, S.E., A meta-analytic investigation of the relationship between emotional intelligence and health (2007) Pers. Individ. Differ, 42, pp. 921-933; Romanelli, F., Cain, J., Smith, K.M., Emotional intelligence as a predictor of academic and/or professional success (2006) Am. J. Pharm. Educ, 70, p. 69; Palmer, B., Walls, M., Burgess, Z., Stough, C., Emotional intelligence and effective leadership (2001) Leadersh. Organ. Dev. J, 22, pp. 5-10; Law, K.S., Wong, C., Huang, G.H., Li, X., The effects of emotional intelligence on job performance and life satisfaction for the research and development scientists in China (2008) Asia Pac. J. Manag, 25, pp. 51-69; Mayer, J.D., Roberts, R.D., Barsade, S.G., Human abilities: Emotional intelligence (2008) Annu. Rev. Psychol, 5, pp. 507-536; Ivcevic, Z., Brackett, M.A., Mayer, J.D., Emotional intelligence and emotional creativity (2007) J. Pers, 75, pp. 199-236; Zenasni, F., Lubart, T.I., Perception of emotion, alexithymia and creative potential (2009) Pers. Individ. Differ, 46, pp. 353-358; Guastello, S.J., Guastello, D.D., Hanson, C.A., Creativity,mooddisorders, andemotional intelligence (2004) J Creat. Behav, 38, pp. 260-281; Mishra, S., Creative thinking of high school students in relation to their emotional intelligence (2015) J. Psychol, 2, pp. 197-204; Pavlova, E.M., Kornilova, T.V., Creativity and tolerance for uncertainty predict the engagement of emotional intelligence in personal decision making (2013) Psychol. Russ. State Art, 6, pp. 34-46; Sanchez-Ruiz, M.J., Hernandez-Torrano, D., Perez-Gonzalez, J., Batey, M., Petrides, K., The relationship between trait emotional intelligence and creativity across subject domains (2011) Motiv. Emot, 35, pp. 461-473; Neubauer, A.C., Pribil, A., Wallner, A., Hofer, G., The self-other knowledge asymmetry in cognitive intelligence, emotional intelligence, and creativity (2018) Heliyon, 4; Lee, K., Scandura, T., Kim, Y., Joshi, K., Lee, J., Examining leader-member exchange as a moderator of the relationship between emotional intelligence and creativity of software developers (2012) Eng. Manag. Res, 1, pp. 15-28; Furnham, A., The relationship between cognitive ability, emotional intelligence and creativity (2016) Psychology, 7, pp. 193-197; Lea, R.G., Qualter, P., Davis, S.K., Pérez-González, J.C., Bangee, M., Trait emotional intelligence and attentional bias for positive emotion: An eye tracking study (2018) Pers. Individ. Differ, 128, pp. 88-93; Baas, M., De Dreu, C.K.W., Nijstad, B.A., A meta-analysis of 25 years of mood-creativity research: Hedonic tone, activation, or regulatory focus? (2008) Psychol. Bull, 134, pp. 779-806; Hennessey, B.A., Amabile, T., Creativity (2010) Annu. Rev. Psychol, 61, pp. 569-598; Amabile, T.M., Barsade, S.G., Mueller, J.S., Staw, B.M., Affect and creativity at work (2005) ADM Sci. Q, 50, pp. 367-403; Fredrickson, B.L., What good are positive emotions? (1998) Rev. Gen. Psychol, 2, pp. 300-319; George, J.M., Zhou, J., Understanding when bad moods foster creativity and good ones don't: The role of context and clarity of feelings (2002) J. Appl. Psychol, 87, pp. 687-697; Zhou, J., George, J.M., Awakening employee creativity: The role of leader emotional intelligence (2003) Leadersh. Q, 14, pp. 545-568; Chan, D.W., Self-perceived creativity, family hardiness, and emotional intelligence of Chinese gifted students in Hong Kong (2005) J. Adv. Acad, 16, pp. 47-56; Lassk, F.G., Shepherd, C.D., Exploring the relationship Between Emotional Intelligence and salesperson creativity (2013) J. Pers. Sell. Sales Manag, 33, pp. 25-38; Tsai, C.T., Lee, Y.J., Emotional intelligence and employee creativity in travel agencies (2014) Curr. Issues Tour, 17, pp. 862-871; Toyama, H., Mauno, S., Associations of trait emotional intelligence with social support, work engagement, and creativity in Japanese eldercare nurses (2017) Jpn. Psychol. Res, 59, pp. 14-25; Barchard, K.A., Brackett, M.A., Mestre, J.M., Taking stock and moving forward: 25 years of emotional intelligence research (2016) Emot. Rev, 8, p. 289; O'Connor, P.J., Hill, A., Kaya, M., Martin, B., The Measurement of Emotional Intelligence: A Critical Review of the Literature and Recommendations for Researchers and Practitioners (2019) Front. Psychol, 10, p. 1116; Mayer, J.D., Salovey, P., Caruso, D.R., (2002) The Mayer-Salovey-Caruso Emotional Intelligence Test (MSCEIT): User's Manual, , Multi-Health Systems: Toronto, ON, Canada; Baron-Cohen, S., Wheelwright, S., Hill, J., Raste, Y., Plumb, I., The 'reading the mind in the eyes' test revised version: A study with normal adults, and adults with Asperger syndrome or high-functioning autism (2001) J. Child Psychol. Psyc, 42, pp. 241-251; Bar-On, R., (1997) The Emotional Quotient Inventory (EQ-i): A Test of Emotional Intelligence, , Multi-Health Systems: Toronto, ON, Canada; Schutte, N.S., Malouff, J.M., Hall, L.E., Haggerty, D.J., Cooper, J.T., Golden, C.J., Dornheim, L., Development and validation of a measure of emotional intelligence (1998) Pers. Individ. Differ, 25, pp. 167-177; Wong, C.S., Law, K., The effects of leader and follower emotional intelligence on performance and attitude (2002) Leadersh. Q, 13, pp. 243-274; Petrides, K.V., Mikolajczak, M., Mavroveli, S., Sanchez-Ruiz, M.J., Furnham, A., Pérez-González, J.C., Developments in trait emotional intelligence research (2016) Emot. Rev, 8, pp. 335-341; Pérez, J.C., Petrides, K.V., Furnham, A., Measuring Trait Emotional Intelligence (2005) Emotional Intelligence: An International Handbook, pp. 181-201. , Schulze, R., Roberts, R.D., Eds.; Hogrefe &amp; Huber: Cambridge, MA, USA; Carmeli, A., McKay, A.S., Kaufman, J.C., Emotional intelligence and creativity: The mediating role of generosity and vigor (2014) J. Creat. Behav, 48, pp. 290-309; Batey, M., The measurement of creativity: From definitional consensus to the introduction of a new heuristic framework (2012) Creat. Res. J, 24, pp. 55-65; Kaufman, J.C., Beghetto, R.A., Beyond big and little: The four c model of creativity (2009) Rev. Gen. Psychol, 13, pp. 1-12; Karwowski, M., Beghetto, R.A., (2018) Creative behavior as agentic action, , Psychol. Aesthet. Creat. Arts; Zhou, J., George, J.M., When job dissatisfaction leads to creativity: Encouraging the expression of voice (2001) Acad. Manag. J, 44, pp. 682-696; Kaufman, J.C., Counting the muses: Development of the Kaufman domains of creativity scale (K-DOCS) (2012) Psychol. Aesthet. Creat. Arts, 6, pp. 298-308; Carson, S., Peterson, J.B., Higgins, D.M., Reliability, validity, and factor structure of the creative achievement questionnaire (2005) Creat. Res. J, 17, pp. 37-50; Gough, H.G., A creative personality scale for the Adjective Check List (1979) J. Pers. Soc. Psychol, 37, pp. 1398-1405; Williams, F.E., (1980) Creativity Assessment Packet (CAP): Manual, , DOK: Buffalo, NY, USA; Guilford, J.P., (1967) The Nature of Human Intelligence, , McGraw-Hill: New York, NY, USA; Torrance, E.P., (1974) The Torrance Tests of Creative Thinking-Norms-Technical Manual Research Edition-Verbal Tests, Forms A and B-Figural Tests, Forms A and B, , Personnel Press: Princeton, NJ, USA; Mednick, S.A., The associative basis of the creative process (1962) Psychol. Rev, 3, pp. 220-232; Kornilov, S.A., Grigorenko, E.L., An assessment battery for analytical, creative, and practical abilities (2010) Psychol. J, 31, pp. 90-103; The rainbow project: Enhancing the SAT through assessments of analytical, practical, and creative skills (2006) Intelligence, 34, pp. 321-350; Silva, D., Coelho, A., The impact of emotional intelligence on creativity, the mediating role of worker attitudes and the moderating effects of individual success (2018) J. Manag. Organ, 25, pp. 284-302; Bhattacharjee, S., Rahman, M.S., Assessing the relationship among emotional intelligence, creativity and empowering leadership: An empirical study (2016) J Bus, 37, pp. 198-215; Aritzeta, A., Emotional Intelligence and Innovation: An Exploratory Study in Organizational Settings (2011) Behavior and Organizational Change, pp. 183-201. , Ayestaran, S., Goenaga, J.B., Eds.; Center for Basque Studies: Reno, NV, USA; Barczak, G., Lassk, F., Mulki, J., Antecedents of team creativity: An examination of team emotional intelligence, team trust and collaborative culture (2010) Creat. Innov. Manag, 19, pp. 332-345; Bartlett, S., (2015) The Relationship between Emotional Intelligence,Work Engagement, Creativity and Demographic Variables, , Master's Thesis, University of South Africa, Pretoria, South Africa; Czernecka, K., Szymura, B., Alexithymia-imagination-creativity (2008) Pers. Individ. Differ, 45, pp. 445-450; Darvishmotevali, M., Altinay, L., De Vita, G., Emotional intelligence and creative performance: Looking through the lens of environmental uncertainty and cultural intelligence (2018) Int. J. Hosp. Manag, 73, pp. 44-54; Dewaele, J.M., The relationship between trait emotional intelligence and experienced ESL/EFL teachers' love of English, attitudes towards their students and institution, self-reported classroom practices, enjoyment and creativity (2018) Chin. J. Appl. Linguist, 41, pp. 468-487; Dincer, H., Gencer, G., Orhan, N., Sahinbas, K., The significance of emotional intelligence on the innovative work behavior of managers as strategic decision-makers (2011) Procedia Soc. Behav. Sci, 24, pp. 909-919; Dincer, H., Orhan, N., Relationship between emotional intelligence and innovative work behaviors in Turkish banking sector (2012) Int. J. Financ. Bank. Stud, 1, pp. 21-28; Duman, B., Gocen, G., Yakar, A., The examination of relationships between emotional intelligence levels and creativity levels of pre-service teachers in the teaching-learning process and environments (2014) J. Educ. Instr, 42, pp. 45-74; Ebrahimi, M.R., Heydarnejad, T., Najjari, H., The interplay among emotions, creativity and emotional intelligence: A case of Iranian ELF teachers (2018) Int. J. Engl. Lang. Transl. Stud, 6, pp. 90-98; Fuchs, G.L., Kumar, V.K., Porter, J., Emotional creativity, alexithymia, and styles of creativity (2007) Creat. Res. J, 19, pp. 233-245; Geher, G., Betancourt, K., Jewell, O., The link between emotional intelligence and creativity (2017) Imagin. Cogn. Pers, 37, pp. 5-22; Gheydar, Z., Amiri, B.M., The Relationship among EFL Learners' Creativity, Emotional Intelligence, and Self-Efficacy (2014) Linguistics, Culture and Identity in Foreign Language Education, pp. 183-201. , Akbarov, A., Ed.; International Burch University: Sarajevo, Herzegovina; Goh, K., Lim, K.Y., Perceived creativity: The role of emotional intelligence and knowledge sharing behavior (2014) J. Inf. Knowl. Manag, 13; Gozukara, E., Beyond the expected activities: The role of impulsivity between emotional intelligence and employee creativity (2016) Int. Bus. Res, 9, pp. 143-153; Grad, G., Kocevar, U., Krvina, K., Pureber, P., Aleksic, D., Sparking student creativity: Examining the relationship between knowledge sharing, emotional intelligence, intrinsic motivation, self-efficacy, and creativity (2016) Dyn. Relatsh. Manag. J, 5, pp. 19-30; Gupta, R., Bajaj, B., Positive affect as mediator between emotional intelligence and creativity: An empirical study from India (2017) Int. J. Emerg. Ment. Health Hum. Resil, 19, pp. 1-7; He, L., Mao, Y., Sun, J., Zhuang, K., Zhu, X., Qiu, J., Chen, X., Examining brain structures associated with emotional intelligence and the mediated effect on trait creativity in young adults (2018) Front. Psychol, 9, p. 925; Hoffman, J., Russ, S., Pretend play, creativity, and emotion regulation in Children (2012) Psychol. Aesthet. Creat. Arts, 6, pp. 175-184; Hou, X., Li, W., Yuan, Q., Frontline disruptive leadership and new generation employees' innovative behaviour in China: The moderating role of emotional intelligence (2018) Asia Pac. Bus. Rev, 24, pp. 459-471; Jafri, M.H., Dem, C., Choden, S., Emotional intelligence and employee creativity: Moderating role of proactive personality and organizational climate (2016) Bus. Perspect. Res, 4, pp. 54-66; Jahanian, R., The relationship between students' creativity and emotional intelligence in technical and vocational colleges (2012) Middle East J. Sci. Res, 11, pp. 1286-1293; Kamalian, A., Yaghoubi, N., Poori, M., Emotional intelligence and corporate entrepreneurship: An empirical study (2011) J. Basic Appl. Sci. Res, 1, pp. 471-478; Khalid, S., Zubair, A., Emotional intelligence self-efficacy, and creativity among employees of advertising agencies (2014) Pak. J. Psychol. Res, 29, pp. 203-221; Mall-Amiri, B., Fekrazad, A.A., The Relationship among Iranian EFL learners' creativity, emotional intelligence, and language learning strategies (2015) J. Theory Pract. Lang. Stud, 5, pp. 1863-1873; Naseem, K., Job stress and employee creativity: Themediating role of emotional intelligence (2017) Int. J.Manag. Excell, 9, pp. 1050-1058; Ngah, R., Ismail, W., Tajuddin, A., Emrie, H., Emotional intelligence and entrepreneurial intention: Impact of creativity (2012) Proc. ASEAN Entrep. Conf, 200, pp. 200-204; Ngah, R., Salleh, Z., Emotional intelligence and entrepreneurs' innovativeness towards entrepreneurial success: A preliminary study (2015) Am. J. Econ, 5, pp. 285-290; Nguyen, N.N., Takahashi, Y., Nham, T., Challenge stressors and creativity: Moderating effect of emotional intelligence (2018) Acad. Manag. Proc, 1; Noorafshan, L., Jowkar, B., The effect of emotional intelligence and its components on creativity (2013) Procedia Soc. Behav. Sci, 84, pp. 791-795; Nori, R., Signore, S., Bonifacci, P., Creativity style and achievements: An investigation on the role of emotional competence, individual differences, and psychometric intelligence (2018) Front. Psychol, 9, p. 1826; Olatoye, R.A., Akintunde, S.O., Yakasai, M.I., Emotional intelligence, creativity and academic achievement of business administration students (2010) Electron. J. Res. Educ. Psychol, 8, pp. 763-786; Osuigwe, N.E., Ezeani, C., Anyaoku, E.N., Emotional intelligence of library leaders and innovative library services in south east Nigeria (2013) Inf. Knowl. Manag, 3, pp. 42-51; Othman, A.K., Emotional intelligence and employees' innovator role: The moderating effect of service types (2011) Asian Soc. Sci, 7, pp. 151-160; Ramy, A.M., Beydokhty, A.A.A., Jamshidy, L., Correlation between emotional intelligence and creativity factors (2014) Int. Res. J. Manag. Sci, 2, pp. 301-304; Sahin, F., General intelligence, emotional intelligence and academic knowledge as predictors of creativity domains: A study of gifted students (2016) Cogent Educ, 3; Sahin, F., Ozer, E., Deniz, M.E., The predictive level of emotional intelligence for the domain-specific creativity: A study on gifted students (2016) Educ. Sci, 41, pp. 181-197; Sakkijha, J.M., Hamdan, R.H., Al-Nabulsi, T.M., Alzougool, B., The impact of emotional intelligence on employees' creativity in the innovation companies in Jordan (2015) Ubiquitous Comput. Commun. J, 9, pp. 1472-1473; Sanchez-Ruiz, M.J., Pérez-González, J.C., Romo, M., Matthews, G., Divergent thinking and stress dimensions (2015) Think. Ski. Creat, 17, pp. 102-116; Semerci, A.B., Ozer, L., Recovery behaviors in education: The role of innovativeness and emotional intelligence (2018) J. Psychol. Educ. Res, 26, pp. 69-89; Shojaei, M.R., Siuki, M.E., A study of relationship between emotional intelligence and innovative work behavior of managers (2014) Manag. Sci, 4, pp. 1449-1454; Sordia, N., Martskvishvilil, K., Neubauer, A., From creative potential to creative achievements: Do emotional traits foster creativity? (2019) Swiss J. Psychol, 78, pp. 115-123; Suliman, A.M., Al-Shaikh, F.N., Emotional intelligence at work: Links to conflict and innovation (2007) Empl. Relat, 29, pp. 208-220; Tajpour, M., Moradi, F., Jalali, S.E., Studying the influence of emotional intelligence on the organizational innovation (2018) Int. J. Hum. Cap. Urban Manag, 3, pp. 45-52; Takeuchi, H., Tomita, H., Taki, Y., Kikuchi, Y., Ono, C., Yu, Z., The associations among the dopamine D2 receptor Taq1, emotional intelligence, creative potential measured by divergent thinking, and motivational state and these associations' sex differences (2015) Front. Psychol, 6, p. 912; Tripathi, M., A study on the relationship between emotional intelligence and creativity of the undergraduate students in Kolkata (2019) J. Psychosoc. Res, 14, pp. 73-80; Tsakalerou, M., Emotional intelligence competencies as antecedents of innovation (2016) Electron. J. Knowl. Manag, 14, pp. 207-219; Ulutas, I., Macun, B., Emotional Intelligence and Innovativeness of Preschool Teacher Candidates (2017) Educational Research and Practice, pp. 303-312. , Koleva, I., Duman, G., Eds.; St. Kliment Ohridski University Press: Sofia, Bulgaria; Wolfradt, U., Felfe, J., Koster, T., Self-Perceived emotional intelligence and creative personality (2002) Imagin. Cogn. Pers, 21, pp. 293-309; Yildirim, F., Trout, I.Y., Hartzell, S., How are entrepreneurial intentions affected by emotional intelligence and creativity (2019) Period. Polytech. Soc. Manag. Sci, 27, pp. 59-65; Zampetakis, L.A., Kafetsios, K., Bouranta, N., Dewett, T., Moustakis, V.S., On the relationship between emotional intelligence and entrepreneurial attitudes and intentions (2008) Int. J. Entrep. Behav. R, 15, pp. 595-618; Zhang, S., Chen, Y., Sun, H., Emotional intelligence, conflict management styles, and innovation performance (2015) Int. J. Confl. Manag, 26, pp. 450-478; Borenstein, M., Hedges, L.V., Higgins, J.P., Rothstein, H.R., (2009) Introduction to Meta-Analysis, , Wiley: Hoboken, NJ, USA; Hedges, L.V., Tipton, E., Johnson, M.C., Robust variance estimation in meta-regression with dependent effect size estimates (2010) Res. Synth. Methods, 1, pp. 39-65; Tanner-Smith, E.E., Tipton, E., Robust variance estimation with dependent effect sizes: Practical considerations including a software tutorial in Stata and SPSS (2014) Res. Synth. Methods, 5, pp. 13-30; Fisher, Z., Tipton, E., Robumeta: An R-package for Robust Variance Estimation in Meta-Analysis, , http://arxiv.org/abs/1503.02220, (accessed on 2 April 2019); Pustejovsky, J.E., clubSandwich: Cluster-Robust (Sandwich) Variance Estimators with Small-Sample Corrections, , https://cran.r-project.org/web/packages/clubSandwich/index.html, (accessed on 2 April 2019); Viechtbauer, W., Accounting for heterogeneity via random-effects models and moderator analyses in meta-analysis (2007) J. Psychol, 215, pp. 104-121; Volker, M.A., Reporting effect size estimates in school psychology research (2006) Psychol. Sch, 43, pp. 653-672; Li, X., Dusseldorp, E., Meulman, J.J., Meta-CART: A tool to identify interactions between moderators in meta-analysis (2017) Br. J. Math. Stat. Psychol, 70, pp. 118-136; http://CRAN.R-project.org/package=MAd, (accessed on 2 April 2019); Orwin, R.G., A fail-safe N for effect size in meta-analysis (1983) J. Educ. Stat, 8, pp. 157-159; Duval, S., Tweedie, R., Trim and fill: Asimple funnel-plot-based method of testing and adjusting for publication bias in meta-analysis (2000) Biometrics, 56, pp. 455-463; Viechtbauer, W., Conducting meta-analyses in R with the metafor package (2010) J. Stat. Softw, 36, pp. 1-48; Hyde, J.S., Linn, M.C., Gender similarities in mathematics and science (2006) Science, 314, pp. 599-600; Watson, D., Clark, L.A., Tellegen, A., Development and validation of brief measures of positive and negative affect: The PANAS scales (1988) J. Pers. Soc. Psychol, 54, pp. 1063-1070; Mayer, J.D., Salovey, P., What Is Emotional Intelligence? (1997) Emotional Development and Emotional Intelligence, pp. 3-31. , Salovey, P., Sluyter, D.J., Eds.; Basic Books: New York, NY, USA; Martins, A., Ramalho, N., Marin, E., A comprehensive meta-analysis of the relationship between emotional intelligence and health (2010) Pers. Individ. Differ, 49, pp. 554-564; Podsakoff, P.M., MacKenzie, S.C., Podsakoff, N.P., Lee, J., Common method biases in behavioral research: A critical review of the literature and recommended remedies (2003) J. Appl. Psychol, 88, pp. 879-903; Brody, N., What cognitive intelligence is and what emotional intelligence is not (2004) Psychol. Inq, 15, pp. 234-238; Fiori, M., Antonietti, J.P., Mikolajczak, M., Luminet, O., Hansenne, M., Rossier, J., What is the ability emotional intelligence test (MSCEIT) good for? An evaluation using item response theory (2014) PLoS ONE, 9; Maul, A., The validity of the Mayer-Salovey-Caruso Emotional Intelligence Test (MSCEIT) as a measure of emotional intelligence (2012) Emot. Rev, 4, pp. 394-402; Kidwell, B., Hardesty, D., Childers, T., Consumer emotional intelligence: Conceptualization, measurement, and the prediction of consumer decision making (2008) J. Consum. Res, 35, pp. 154-167; Beaty, R.E., Nusbaum, E.C., Silvia, P.J., Does insight problem solving predict real-world creativity? (2014) Psychol. Aesthet. Creat. Arts, 8, pp. 287-292; Cabello, R., Sorrel, M.A., Fernandez-Pinto, I., Extremera, N., Fernandez-Berrocal, P., Age and gender differences in ability emotional intelligence in adults: A cross-sectional study (2016) Dev. Psychol, 52, pp. 1486-1492; McNulty, J.P., Mackay, S.J., Lewis, S.J., Lane, S., White, P., An international study of emotional intelligence in first year radiography students: The relationship to age, gender and culture (2016) Radiography, 22, pp. 171-176; Mikolajczak, M., Luminet, O., Leroy, C., Roy, E., Psychometric properties of the trait emotional intelligence questionnaire: Factor structure, reliability, construct, and incremental validity in a French-speaking population (2007) J. Pers. Assess, 88, pp. 338-353; Tsaousis, I., Kazi, S., Factorial invariance and latent mean differences of scores on trait emotional intelligence across gender and age (2013) Pers. Individ. Differ, 54, pp. 169-173; Shi, J., Wang, L., Validation of emotional intelligence scale in Chinese university students (2007) Pers. Individ. Differ, 43, pp. 377-387; Joseph, D.L., Newman, D.A., Emotional intelligence: An integrative meta-analysis and cascading model (2010) J. Appl. Psychol, 95, pp. 54-78; Albas, C., Albas, D., Emotion Work and Emotion Rules: The Case of Exams (1988) Qual. Sociol, 11, pp. 259-274; Zhang, H., A meta-analysis of the relationship between individual emotional intelligence and workplace performance (2011) Acta Psychol. Sin, 43, pp. 188-202; Hofstede, G.H., (2001) Culture's Consequences: Comparing Values, Behaviors, Institutions and Organizations across Nations, , 2nd ed Sage: Thousand Oaks, CA, USA; Kim, H., Markus, H.R., Deviance or uniqueness, harmony or conformity: A cultural analysis (1999) J. Pers. Soc. Psychol, 77, pp. 785-800; Markus, H.R., Kitayama, S., Culture and the self: Implications for cognition, emotion, andmotivation (1991) Psychol Rev, 98, pp. 224-253</t>
  </si>
  <si>
    <t>20711050</t>
  </si>
  <si>
    <t>Sustainability</t>
  </si>
  <si>
    <t>2-s2.0-85074810723</t>
  </si>
  <si>
    <t>Are emotionally intelligent people more creative? a meta-analysis of the emotional intelligence-creativity link</t>
  </si>
  <si>
    <t>Mystakidis S., Berki E., Valtanen J.</t>
  </si>
  <si>
    <t>55547222700;6508137903;25961119500;</t>
  </si>
  <si>
    <t>The Patras blended strategy model for deep and meaningful learning in quality life-long distance education</t>
  </si>
  <si>
    <t>Electronic Journal of e-Learning</t>
  </si>
  <si>
    <t>66</t>
  </si>
  <si>
    <t>78</t>
  </si>
  <si>
    <t>10.34190/JEL.17.2.01</t>
  </si>
  <si>
    <t>https://www.scopus.com/inward/record.uri?eid=2-s2.0-85069690159&amp;doi=10.34190%2fJEL.17.2.01&amp;partnerID=40&amp;md5=493dcf1de2fed4f9efa33dc6c4d7e60f</t>
  </si>
  <si>
    <t>University of Patras, Greece; University of Jyväskylä, Finland; Tampere University, Finland</t>
  </si>
  <si>
    <t>Mystakidis, S., University of Patras, Greece, University of Jyväskylä, Finland; Berki, E., University of Jyväskylä, Finland; Valtanen, J., Tampere University, Finland</t>
  </si>
  <si>
    <t>Life‑long learning is currently being embraced as a central process that could disrupt traditional educational paths. Apparently, the (ideal) type of learning often promoted is deep and meaningful learning, though it is not always required to be so. Deep learning goes beyond superficial knowledge assimilation of unlinked facts; it aims at developing deep disciplinary understanding, transformative knowledge, personal meaning, emotional intelligence, critical thinking, creativity and metacognitive skills. Meaningful learning occurs when learning is active, constructive, intentional, authentic, and cooperative. Technology enhanced teaching and learning methods should prove their potential to transform life‑long learning provision and facilitate the achievement of deep and meaningful learning. In the context of distance education in life‑long learning, one important challenge is the design of versatile quality assurance strategies for e‑training. Based on the experiences in distance lifelong learning programmes in the University of Patras’ Educational Center for Life‑Long Learning (KEDIVIM) the authors present how the principles and attributes of deep and meaningful learning can be combined with project management in practice and be incorporated in an e‑Learning quality strategy. We present i) the methods used to assess the quality of the e‑Learning programmes, ii) key findings of the evaluation process and iii) first research evaluation results on the quality of learning. This research study on learning process quality was conducted by using an online questionnaire, which aimed at estimating the level of participants’ satisfaction while using interactive learning methods such as collaborative learning. Some results of the evaluation indicate that the e‑Learning quality strategy led to e‑Learning programmes that used active learning methods to achieve high learners’ satisfaction towards deep and meaningful learning. © 2019, Academic Publishing Ltd. All rights reserved.</t>
  </si>
  <si>
    <t>Deep and meaningful learning; Distance education; E-Learning; Life-long learning; Technology enhanced learning</t>
  </si>
  <si>
    <t>Anderson, T., Dron, J., Three generations of distance education pedagogy (2011) International Review of Research in Open and Distance Learning, 12, pp. 80-97; Ausubel, D.P., In Defense of Verbal Learning (1961) Educational Theory; Bangert, A., The influence of social presence and teaching presence on the quality of online critical inquiry (2008) Journal of Computing in Higher Education. Springer US, 20 (1), pp. 34-61; Barrett, A.M., The Concept of Quality in Education: A Review of The ‘International’ Literature on The Concept of Quality in Education (2006) Ed Qual Working Paper; Batsila, A., (2018) Communication and Collaborative Learning in Quality Assurance of Online Initial and Continuing Vocational Education and Training: European Policy and the learners’ Perspective, , Hellenic Open University; Berki, E., Georgiadou, E., Holcombe, M., Requirements engineering and process modelling in software quality management - Towards a generic process metamodel (2004) Software Quality Journal, 12, pp. 265-283; Brinthaupt, T., Fisher, L., What the best online teachers should do (2011) Teaching, 7 (4), pp. 515-524. , http://jolt.merlot.org/vol7no4/brinthaupt_1211.htm; (2016) Outcomes of the Seminar ‘learning Providers and the Quality of Learning Delivery, , http://www.cedefop.europa.eu/en/news-and-press/news/outcomes-seminar-learning-providers-and-quality-learning-delivery, Accessed: 29 April 2018; Cohen, L., Manion, L., Morrison, K., (2007) Research Methods in Education; Covington, M.V., Mueller, K.J., Intrinsic Versus Extrinsic Motivation: An Approach/Avoidance Reformulation, Educational Psychology Review (2001) Kluwer Academic Publishers, 13 (2), pp. 157-176; Van Damme, D., Internationalization and quality assurance: Towards worldwide accreditation? (2000) European Journal for Education Law &amp; Policy, 4 (1), p. 1; Entwistle, N., Peterson, J., Elizabeth, R., Promoting deep learning through teaching and assessment: Conceptual frameworks and educational contexts (2000) Teaching and Learning Research Programme Annual Conference; (2018) Digital Education Action Plan, , https://ec.europa.eu/education/sites/education/files/digital-education-action-plan.pdf, (Accessed: 28 April 2018); MEANS collection: Evaluating socio-economic programmes (1999) Office for Official Publications of the European Communities (EC Structural Funds, , https://books.google.gr/books?id=ahuptAEACAAJ; (2010) A Digital Agenda for Europe, Communication; (2016) New Skills Agenda for Europe, , http://eur-lex.europa.eu/legal-content/EN/TXT/?uri=CELEX:52016DC0381, Accessed: 28 April 2018; (2016) Strategic Framework - Education &amp; Training 2020 - European Commission, , http://ec.europa.eu/education/policy/strategic-framework_en, Accessed: 29 April 2018; Garrison, D.R., Cleveland-Lnnes, M., Facilitating Cognitive Presence in Online Learning: Interaction Is Not Enough (2005) American Journal of Distance Education. Lawrence Erlbaum Associates, Inc, 19 (3), pp. 133-148; Gleason, N.W., (2018) Higher Education in the Era of the Fourth Industrial Revolution; Hacker, D.J., Niederhauser, D.S., Promoting deep and durable learning in the online classroom (2000) New Directions for Teaching and Learning, 84, pp. 53-63; Harvey, L., A critical analysis of quality culture (2009) International Network for Quality Assurance Agencies in Higher Education (INQAAHE) Conference, New Approaches to Quality Assurance in the Changing World of Higher Education, , Abu Dhabi, United Arab Emirates; Hay, D., Using concept maps to measure deep, surface and non-learning outcomes (2007) Studies in Higher Education, 32, pp. 39-57; Hernàndez-Ros, J., (2012) Mainstreaming Elearning in Education and Training is Key/Digital Single Market, , https://ec.europa.eu/digital-single-market/en/blog/mainstreaming-elearning-education-and-training-key, (Accessed: 28 April 2018); Howland, J.L., Jonassen, D.H., Marra, R.M., (2012) Meaningful Learning with Technology, , https://books.google.gr/books?id=EoXPtgAACAAJ, Pearson. Available at; (2015), ISO 9001:2015; Jonassen, D., Constructivism and computer-mediated communication in distance education (1995) American Journal of Distance Education. Taylor &amp; Francis Group, 9 (2), pp. 7-26; Jonassen, D.H., (2003) Learning to Solve Problems with Technology: A Constructivist Perspective, , https://books.google.gr/books?id=yWzuAAAAMAAJ, Merrill. Available at; Jordan, K., Massive open online course completion rates revisited: Assessment, length and attrition (2015) The International Review of Research in Open and Distributed Learning, 16 (3). , http://www.irrodl.org/index.php/irrodl/article/view/2112/3340, (2015). Available at; Koehler, M.J., Mishra, P., What is Technological Pedagogical Content Knowledge (TPACK)? (2009) Contemporary Issues in Technology and Teacher Education, 9 (1), pp. 60-70; Lambropoulos, N., Immersive Worlds for Learning eXperience+: Engaging users in the zone of proximal flow in Second Life (2012) Paphos, Cyprus, , http://www.projects.eadtu.eu/images/stories/conference/2012/proceedings_06-ll-2012.pdf, 27 - 28 September, EADTU Conference. Available at; Loftus, G.R., Evaluating Forgetting Curves (1985) Journal of Experimental Psychology: Learning, Memory, and Cognition; Marton, F., Säljö, R., On Qualitative Differences in Learning — II Outcome as a Function of the Learner’s Conception of the Task (1976) British Journal of Educational Psychology, 46, pp. 115-127. , (1947); Marton, F., Säljö, R., Approaches to Learning (1997) The Experience of Learning, pp. 39-58; Means, B., (2010) Evaluation of Evidence-Based Practices in Online Learning: A Meta-Analysis and Review of Online Learning Studies; Mimirinis, M., Bhattacharya, M., Design of Virtual Learning Environments for Deep Learning (2007) Journal of Interactive Learning Research, 18 (1), pp. 55-64; Morin, D., Thomas, J.D.E., Raafat, G.S., Deep Learning and Virtual Environment (2012) International Journal of Psychological and Behavioral Sciences, 6 (11); Morrison, G.R., Ross, S.M., Kemp, J.E., (2006) Designing Effective Instruction, Educational Technology Research &amp; Development; Mystakidis, S., Towards a Blended Strategy for Quality Distance Education Life-Long Learning Courses - The Patras Model (2018) Proceedings of the 17Th European Conference on E-Learning, ECEL 2018, , Athens, Greece; Mystakidis, S., Berki, E., The Case of Literacy Motivation: Playful 3D Immersive Learning Environments and Problem-Focused Education for Blended Digital Storytelling (2018) International Journal of Web-Based Learning and Teaching Technologies, 13 (1). , https://www.igi-global.com/viewtitlesample.aspx?id=192085; Mystakidis, S., Berki, E., Valtanen, J., Designing and Implementing a big Open Online Course by using a 3d Virtual Immersive Environment - lessons learned (2017) EDULEARN17. Barcelona, pp. 8070-8079. , 3-5 July 2017; (2014) Press Release: Online Learning Survey Report 2014 - OLC, , https://onlinelearningconsortium.org/press-release-online-learning-survey-report-2014, (Accessed: 29 April 2018); Ossiannilsson, E., (2015) Quality Models in Online and Open Education around the Globe: State of the Art and Recommendations, , http://elib.tcd.ie/login?url=http://search.ebscohost.com/login.aspx?direct=true&amp;db=eric&amp;AN=ED557055&amp;site=eds-live; Peters, M.A., Technological unemployment: Educating for the fourth industrial revolution (2017) Educational Philosophy and Theory. Routledge, 49 (1), pp. 1-6; A guide to the project management body of knowledge (PMBOK® guide) (2008) Project Management Journal; Rossi, P.H., Lipsey, M.W., Freeman, H.E., (2004) Evaluation: A Systematic Approach, , SAGE Publications Ltd; Rothes, A., Lemos, M.S., Gonçalves, T., Motivational Profiles of Adult Learners (2017) Adult Education Quarterly, 67 (1), pp. 3-29. , SAGE PublicationsSage CA: Los Angeles, CA; Rourke, L., Kanuka, H., Learning in Communities of Inquiry: A Review of the Literature (2009) Journal of Distance Education, , http://dx.doi.Org/10.1027/0227-5910.17.4.188; Schneller, C., Holmberg, C., Distance Education in European Higher Education-The Offer. Report 1 (of 3) of the IDEAL (Impact of Distance Education on Adult Learning) Project (2014) UNESCO Institute for Lifelong Learning, , https://eric.ed.gov/?q=Distance+education+in+European+higher+education&amp;id=ED560484, UNESCO Institute for Lifelong Learning. Feldbrunnenstrasse 58, 20148 Hamburg, Germany. Tel: +49-40-4480410; Fax: +49-40- 4107723; e-mail: Ull-pub@unesco.org; Web site: Http://uil.unesco.org, (Accessed: 29 April 2018); Schwab, K., The Fourth Industrial Revolution (2016) World Economic Forum, , https://books.google.gr/books?id=mQQwjwEACAAJ, Available at; Schwalbe, K., Information Technology Project Management (2015) Cengage Learning, , https://books.google.gr/books?id=mPeoBAAAQBAJ, Available at; Siemens, G., Gasevic, D., Dawson, S., (2015) Preparing for the Digital University: A Review of the History and Current State of Distance, Blended, and Online Learning, , http://linkresearchlab.org/PreparingDigitalUniversity.pdf, Athabasca, Canada: Athabasca University. Available at; Steils, N., Implementing the liquid curriculum: The impact of virtual world learning on higher education (2015) Technology, Pedagogy and Education. Routledge, 24 (2), pp. 155-170; Stufflebeam, D.L., Madaus, G.F., Kellaghan, T., Evaluation Models: Viewpoints on Educational and Human Services Evaluation (2006) Springer Netherlands (Evaluation in Education and Human Services, , https://books.google.gr/books?id=5EAyBwAAQBAJ; Tyler-Smith, K., Early attrition among first time eLearners: A review of factors that contribute to drop-out, withdrawal and non-completion rates of adult learners undertaking eLearning programmes (2006) Journal of Online Learning and Teaching, 2 (2), pp. 73-85; Valtanen, J., Manifold Thinking And Distributed Problem-Based Learning: Is There Potential For ICT Support? (2008) e-Learning’08, pp. 145-152; Valtanen, J., Open and Informal Learning in Problem-Focused Higher Education Through Life-Based Design (2013) The 8Th International Conference Proceedings New Horizons in Industry, Business and Education. Chania, pp. 15-21. , in Papadourakis, G. (ed.); Vlachopoulos, D., Assuring Quality in E-Learning Course Design: The Roadmap (2016) International Review of Research in Open and Distributed Learning, 17 (6), pp. 183-205; Wenger, E., Communities of Practice: Learning, Meaning, and Identity (1998) Systems Thinker, 9, pp. 2-3; Woo, Y., Reeves, T.C., Meaningful interaction in web-based learning: A social constructivist interpretation (2007) The Internet and Higher Education. JAI, 10 (1), pp. 15-25; Yoon, S., In search of meaningful online learning experiences (2003) New Directions for Adult and Continuing Education, (100), pp. 19-30. , John Wiley &amp; Sons, Ltd, 2003; Zainuddin, Z., Students’ learning performance and perceived motivation in gamified flipped-class instruction (2018) Computers and Education, 126, pp. 75-88</t>
  </si>
  <si>
    <t>Academic Publishing Ltd</t>
  </si>
  <si>
    <t>14794403</t>
  </si>
  <si>
    <t>Electron. J. e-Learning</t>
  </si>
  <si>
    <t>2-s2.0-85069690159</t>
  </si>
  <si>
    <t>The patras blended strategy model for deep and meaningful learning in quality life-long distance education</t>
  </si>
  <si>
    <t>Qi J., Fu X., Zhu G.</t>
  </si>
  <si>
    <t>13408299900;36614138900;57198905266;</t>
  </si>
  <si>
    <t>Subjective well-being measurement based on Chinese grassroots blog text sentiment analysis</t>
  </si>
  <si>
    <t>Information and Management</t>
  </si>
  <si>
    <t>52</t>
  </si>
  <si>
    <t>859</t>
  </si>
  <si>
    <t>869</t>
  </si>
  <si>
    <t>10.1016/j.im.2015.06.002</t>
  </si>
  <si>
    <t>https://www.scopus.com/inward/record.uri?eid=2-s2.0-84942296610&amp;doi=10.1016%2fj.im.2015.06.002&amp;partnerID=40&amp;md5=230008c3848b71eaa7488feed10c66f6</t>
  </si>
  <si>
    <t>School of Economic and Management, Beijing University of Posts and Telecommunications, No. 10 Xitucheng Road, Beijing, Haidian District, 10086, China; School of Software, Beijing University of Posts and Telecommunications, No. 10 Xitucheng Road, Beijing, Haidian District, 10086, China</t>
  </si>
  <si>
    <t>Qi, J., School of Economic and Management, Beijing University of Posts and Telecommunications, No. 10 Xitucheng Road, Beijing, Haidian District, 10086, China; Fu, X., School of Software, Beijing University of Posts and Telecommunications, No. 10 Xitucheng Road, Beijing, Haidian District, 10086, China; Zhu, G., School of Economic and Management, Beijing University of Posts and Telecommunications, No. 10 Xitucheng Road, Beijing, Haidian District, 10086, China</t>
  </si>
  <si>
    <t>In this study, we propose a new method to measure the subjective well-being (SWB) of Chinese people. Based upon the classic framework in psychology, our model constructs a system of multiple weighted emotions in positive and negative affect by applying a text-sentiment analysis. To study SWB in the Chinese context, we also establish and supplement our model with a new lexicon, Ren-CECps-SWB 2.0. Tests on the data of 7 years of grassroots blogs on Sina.com demonstrate the validity of our model. Employing the same data, we find interesting patterns of the SWB of Chinese people on weekly and monthly bases. © 2015 Published by Elsevier B.V.</t>
  </si>
  <si>
    <t>Chinese text; Sentiment analysis; Social media; Subjective well-being; Text mining</t>
  </si>
  <si>
    <t>Internet; Natural language processing systems; Social networking (online); Chinese text; Sentiment analysis; Social media; Text mining; Well being; Data mining</t>
  </si>
  <si>
    <t>Abrahams, A.S., Jiao, J., Wang, G.A., Fan, W., Vehicle defect discovery from social media (2012) Decis. Support Syst., 54 (1), pp. 87-97; Abrahams, A.S., Jiao, J., Fan, W., Wang, G.A., Zhang, Z., What is buzzing in the blizzard of buzz: Automotive component isolation in social media postings (2013) Decis. Support Syst., 55 (4), pp. 871-882; Bollen, J., Gonçalves, B., Ruan, G., Happiness is assortative in online social networks (2011) Artif. Life, 17 (3), pp. 237-251; Brülde, B., (2007) Happiness and Suffering: Concept, Method, Explanation, , Lyckaochlidande: begrepp, metod, förklaring Studentlitteratur Lund; Dalkey, N., Helmer, O., An experimental application of the Delphi method to the use of experts (1963) Manag. Sci., 9 (3), pp. 458-467; Diener, E., Subjective well-being (1984) Psychol. Bull., 95, pp. 542-575; Diener, E., Subjective well-being: The science of happiness and a proposal for a national index (2000) Am. Psychol., 55 (1), p. 34; Diener, E., Assessing Well-being: The Collected Works (2009) Social Indicators Research Series, 39. , Springer The Netherlands; Diener, E.D., Emmons, R.A., Larsen, R.J., The satisfaction with life scale (1985) J. Pers. Assess., 49 (1), pp. 71-75; Dodds, P.S., Danforth, C.M., Measuring the happiness of large-scale written expression: Songs, blogs, and presidents (2010) J. Happiness Stud., 11 (4), pp. 441-456; Dodds, P.S., Harris, K.D., Kloumann, I.M., Temporal patterns of happiness and information in a global social network: Hedonometrics and Twitter (2011) PLoS ONE, 6 (12), p. e26752; (2010) Continuing Our Study of Happiness, , http://www.facebook.com/notes/facebook-data-team/continuing-our-study-of-happiness/375901788858; (2011) Gross National Happiness, , http://apps.facebook.com/gnh_index/; Fan, W., Gordon, M.D., Unveiling the power of social media analytics (2014) Commun. ACM, , https://www.researchgate.net/publication/259148570_Unveiling_the_Power_of_Social_Media_Analytics, forthcoming, Preprint available at; Killworth, P.D., Bernard, H.R., Informant accuracy in social network data (1976) Hum. Organ., 35 (3), pp. 269-286; Martinelli, C., Parker, S.W., Deception and misreporting in a social program (2009) J. Eur. Econ. Assoc., 7 (4), pp. 886-908; McGillivray, M., (2007) Human Well-being: Concept and Measurement, , Palgrave Macmillan; Pavot, W., Diener, E., Review of the satisfaction with life scale (1993) Psychol. Assess., 5 (2), p. 164; Qiu, L., Zheng, X., Wang, Y.F., Revision of the positive affect and negative affect scale (2008) Chin. J. Appl. Psychol., 14 (3), pp. 249-254; Quan, C., Ren, F., Automatic annotation of word emotion in sentences based on Ren-CECps (2010) Proceedings of LREC; Schmukle, S.C., Egloff, B., Burns, L.R., The relationship between positive and negative affect in the positive and negative affect schedule (2002) J. Res. Pers., 36 (5), pp. 463-475; Wang, G.A., Jiao, J., Abrahams, A.S., Fan, W., Zhang, Z., ExpertRank: A topic-aware expert finding algorithm for online knowledge communities (2013) Decis. Support Syst., 54 (3), pp. 1442-1451; Wang, N., Kosinski, M., Stillwell, D.J., Can well-being be measured using Facebook status updates? Validation of Facebook's Gross National Happiness Index (2014) Soc. Indic. Res., 115 (1), pp. 483-491; Watson, D., Clark, L.A., Tellegen, A., Development and validation of brief measures of positive and negative affect: The PANAS scales (1988) J. Pers. Soc. Psychol., 54 (6), p. 1063; Zeng, D., Chen, H., Lusch, R., Li, S.-H., Social media analytics and intelligence (2010) IEEE Intell. Syst., 25, pp. 13-16</t>
  </si>
  <si>
    <t>03787206</t>
  </si>
  <si>
    <t>IMAND</t>
  </si>
  <si>
    <t>Inf Manage</t>
  </si>
  <si>
    <t>2-s2.0-84942296610</t>
  </si>
  <si>
    <t>Subjective well-being measurement based on chinese grassroots blog text sentiment analysis</t>
  </si>
  <si>
    <t>Vajawat B., Varshney P., Banerjee D.</t>
  </si>
  <si>
    <t>57215411768;57210430856;57191832268;</t>
  </si>
  <si>
    <t>Digital Gaming Interventions in Psychiatry: Evidence, Applications and Challenges</t>
  </si>
  <si>
    <t>Psychiatry Research</t>
  </si>
  <si>
    <t>295</t>
  </si>
  <si>
    <t>113585</t>
  </si>
  <si>
    <t>10.1016/j.psychres.2020.113585</t>
  </si>
  <si>
    <t>https://www.scopus.com/inward/record.uri?eid=2-s2.0-85097734134&amp;doi=10.1016%2fj.psychres.2020.113585&amp;partnerID=40&amp;md5=339417dd2b6a0e29552c31860f46e127</t>
  </si>
  <si>
    <t>Department of Psychiatry, National Institute of Mental Health and Neurosciences (NIMHANS), Bengaluru, India</t>
  </si>
  <si>
    <t>Vajawat, B., Department of Psychiatry, National Institute of Mental Health and Neurosciences (NIMHANS), Bengaluru, India; Varshney, P., Department of Psychiatry, National Institute of Mental Health and Neurosciences (NIMHANS), Bengaluru, India; Banerjee, D., Department of Psychiatry, National Institute of Mental Health and Neurosciences (NIMHANS), Bengaluru, India</t>
  </si>
  <si>
    <t>Human evolution has regularly intersected with technology. Digitalization of various services has brought a paradigm shift in consumerism. Treading this path, mental health practice has gradually moved to Digital Mental Health Interventions (DMHI), to improve service access and delivery. Applied games are one such innovation that has gained recent popularity in psychiatry. Based on the principles of gamification, they target psychosocial and cognitive domains, according to the deficits in various psychiatric disorders. They have been used to deliver cognitive behaviour therapy, cognitive training and rehabilitation, behavioural modification, social motivation, attention enhancement, and biofeedback. Research shows their utility in ADHD, autistic spectrum disorders, eating disorders, post-traumatic stress, impulse control disorders, depression, schizophrenia, dementia, and even healthy aging. Virtual reality and artificial intelligence have been used in conjunction with gaming interventions to improvise their scope. Even though these interventions hold promise in engagement, ease of use, reduction of stigma, and bridging the mental-health gap, there are pragmatic challenges, especially in developing countries. These include network quality, infrastructure, feasibility, socio-cultural adaptability, and potential for abuse. Keeping this in the background, this review summarizes the scope, promise, and evidence of digital gaming in psychiatric practice, and highlights the potential caveats in their implementation. © 2020</t>
  </si>
  <si>
    <t>digital games; Gamification; gaming interventions; mental health; psychiatry; review</t>
  </si>
  <si>
    <t>addiction; anxiety disorder; attention deficit disorder; autism; clinical practice; cognitive behavioral therapy; dementia; depression; eating disorder; health care access; health care availability; human; impulse control disorder; mental health; mild cognitive impairment; population structure; posttraumatic stress disorder; practice guideline; priority journal; psychiatry; psychological well-being; psychotherapy; Review; schizophrenia; social psychology; video game; web-based intervention; artificial intelligence; attention; mental disease; motivation; procedures; psychiatry; virtual reality; Artificial Intelligence; Attention; Humans; Mental Disorders; Mental Health; Motivation; Psychiatry; Video Games; Virtual Reality</t>
  </si>
  <si>
    <t>https://www.statista.com/statistics/1034507/apac-share-of-broadband-speeds-by-country/, •APAC: share of broadband speeds by country 2018 | Statista [WWW Document], n.d. URL (accessed 8.24.20); (2020), https://www.statista.com/statistics/255146/number-of-internet-users-in-india/, •Total internet users in India | Statista [WWW Document], n.d. URL (accessed 8.24.20); (2020), https://www.statista.com/statistics/590800/internet-usage-reach-usa/, •U.S. internet user reach 2025 | Statista [WWW Document], n.d. URL (accessed 8.24.20); https://www.theesa.com/esa-research/2019-essential-facts-about-the-computer-and-video-game-industry/, 2019 Essential Facts About the Computer and Video Game Industry - Entertainment Software Association [WWW Document], n.d. URL (accessed 8.14.20); Aboujaoude, E., Telemental health: why the revolution has not arrived (2018) World Psychiatry, 17, pp. 277-278; Aboujaoude, E., Salame, W., Naim, L., Telemental health: A status update (2015) World Psychiatry, 14, pp. 223-230; Serious Games. New York: Viking, 1970, 176 pp., $5.95, L.C. 79-83234 (1970) Am. Behav. Sci., 14, p. 129; Al-Thaqib, A., Al-Sultan, F., Al-Zahrani, A., Al-Kahtani, F., Al-Regaiey, K., Iqbal, M., Bashir, S., Brain Training Games Enhance Cognitive Function in Healthy Subjects (2018) Med. Sci. Monit. Basic Res., 24, pp. 63-69; Amado, I., Brénugat-Herné, L., Orriols, E., Desombre, C., Dos Santos, M., Prost, Z., Krebs, M.O., Piolino, P., A serious game to improve cognitive functions in schizophrenia: A pilot study (2016) Front. Psychiatry, 7, p. 64; Amon, K.L., Campbell, A., Can children with AD/HD learn relaxation and breathing techniques through biofeedback video games? (2008) Australian Journal of Educational &amp; Developmental Psychology; Bakker, D., Kazantzis, N., Rickwood, D., Rickard, N., Mental Health Smartphone Apps: Review and Evidence-Based Recommendations for Future Developments (2016) JMIR Ment. Heal., 3, p. e7; Bottiroli, S., Tassorelli, C., Lamonica, M., Zucchella, C., Cavallini, E., Bernini, S., Sinforiani, E., Sandrini, G., Smart Aging Platform for Evaluating Cognitive Functions in Aging: A Comparison with the MoCA in a Normal Population (2017) Front. Aging Neurosci., 9, p. 379; Bowers, C., Procci, K., Joyce, R., Serious games for therapy: A training perspective (2011) J Cyber Ther Rehabil, 4, pp. 447-453. , https://www.google.com/search?q=Bowers+C%2C+Procci+K%2C+Joyce+R%2C+et+al.+Serious+games+for+therapy%3A+A+training+perspective.+J+Cyber+Ther+Rehabil+2011%3B+4%3A447–453&amp;oq=Bowers+C%2C+Procci+K%2C+Joyce+R%2C+et+al.+Serious+games+for+therapy%3A+A+training+perspective.+J+Cyber+Ther+Rehabil+2011%3B+4%3A447–453&amp;aqs=chrome.69i57.372j0j7&amp;sourceid=chrome&amp;ie=UTF-8, Google Search [WWW Document]n.d. URL (accessed 8.20.20; Brezinka, V., Computer games supporting cognitive behaviour therapy in children (2014) Clin. Child Psychol. Psychiatry, 19, pp. 100-110; Bul, K.C.M., Kato, P.M., Van Der Oord, S., Danckaerts, M., Vreeke, L.J., Willems, A., Van Oers, H.J.J., Maras, A., Behavioral outcome effects of serious gaming as an adjunct to treatment for children with attention-deficit/hyperactivity disorder: A randomized controlled trial (2016) J. Med. Internet Res., 18; Burns, J.M., Davenport, T.A., Durkin, L.A., Luscombe, G.M., Hickie, I.B., The internet as a setting for mental health service utilisation by young people (2010) Med. J. Aust., 192, p. S22-; Byun, S., Park, C., Serious game for cognitive testing of elderly (2011), pp. 354-357. , Communications in Computer and Information Science. 10.1007/978-3-642-22098-2_71; Cheng, V.W.S., Davenport, T., Johnson, D., Vella, K., Hickie, I.B., Gamification in apps and technologies for improving mental health and well-being: systematic review (2019) JMIR mental health, 6 (6), p. e13717. , p; Christie, G.I., Shepherd, M., Merry, S.N., Hopkins, S., Knightly, S., Stasiak, K., Gamifying CBT to deliver emotional health treatment to young people on smartphones (2019) Internet Interv, 18; (2020), https://www.pewresearch.org/internet/fact-sheet/internet-broadband/, Demographics of Internet and Home Broadband Usage in the United States | Pew Research Center [WWW Document], n.d. URL (accessed 8.19.20); https://www.pewresearch.org/internet/fact-sheet/mobile/, Demographics of Mobile Device Ownership and Adoption in the United States | Pew Research Center [WWW Document], n.d. URL (accessed 8.18.20); Deterding, S., Dixon, D., Khaled, R., Nacke, L., From game design elements to gamefulness: Defining “gamification,” (2011) Proceedings of the 15th International Academic MindTrek Conference: Envisioning Future Media Environments, MindTrek 2011, pp. 9-15. , ACM Press, New York New York, USA; Dickinson, K., Place, M., A Randomised Control Trial of the Impact of a Computer-Based Activity Programme upon the Fitness of Children with Autism (2014) Autism Res. Treat., 2014, pp. 1-9; Dillon, A., Kelly, M., Robertson, I.H., Robertson, D.A., Smartphone Applications Utilizing Biofeedback Can Aid Stress Reduction (2016) Front. Psychol., 7, p. 832; Donker, T., Petrie, K., Proudfoot, J., Clarke, J., Birch, M.R., Christensen, H., Smartphones for smarter delivery of mental health programs: A systematic review (2013) J. Med. Internet Res.; https://www.fda.gov/news-events/press-announcements/fda-permits-marketing-first-game-based-digital-therapeutic-improve-attention-function-children-adhd, FDA Permits Marketing of First Game-Based Digital Therapeutic to Improve Attention Function in Children with ADHD | FDA [WWW Document], n.d. URL (accessed 8.14.20); Fernández-Aranda, F., Jiménez-Murcia, S., Santamaría, J.J., Gunnard, K., Soto, A., Kalapanidas, E., Bults, R.G.A., Penelo, E., Video games as a complementary therapy tool in mental disorders: PlayMancer, a European multicentre study (2012) J. Ment. Heal., 21, pp. 364-374; Fleming, T.M., Bavin, L., Stasiak, K., Hermansson-webb, E., Fleming, T.M., (2017), Serious Games and Gamification for Mental Health: Current Status and Promising Directions 7. 10.3389/fpsyt.2016.00215; Fridenson-Hayo, S., Berggren, S., Lassalle, A., Tal, S., Pigat, D., Meir-Goren, N., O'Reilly, H., Golan, O., ‘Emotiplay’: a serious game for learning about emotions in children with autism: results of a cross-cultural evaluation (2017) Eur. Child Adolesc. Psychiatry, 26, pp. 979-992; Garg, K., Kumar, C.N., Chandra, P.S., Number of psychiatrists in India: Baby steps forward, but a long way to go (2019) Indian J. Psychiatry; Gururaj, G., Varghese, M., Benegal, V., Rao, G.N., Pathak, K., Singh, L.K., Mehta, R.Y., Kokane, A., http://indianmhs.nimhans.ac.in/Docs/Report2.pdf, Lenin Singh RK, Chavan BS, Sharma P, Ramasubramanian C, Dalal PK, Saha PK, Deuri SP, Giri AK, Kavishvar AB, Sinha VK, Thavody J, Chatterji R, Akoijam [WWW Document], n.d. URL (accessed 8.24.20); Hamari, J., Tuunanen, J., Player Types: A Meta-synthesis (2014) Trans. Digit. Games Res. Assoc., 1; Han, D.H., Sim, M.E., Kim, J.I., Arenella, L.S., Lyoo, I.K., Renshaw, P.F., The effect of internet video game play on clinical and extrapyramidal symptoms in patients with schizophrenia (2008) Schizophr. Res., 103, pp. 338-340; Huotari, K., Hamari, J., Defining gamification - A service marketing perspective (2012) Proceedings of the 16th International Academic MindTrek Conference 2012: “Envisioning Future Media Environments”, MindTrek 2012, pp. 17-22. , ACM Press, New York New York, USA; https://www.statista.com/topics/2157/internet-usage-in-india/, Internet usage in India - statistics &amp; facts | Statista [WWW Document], n.d. URL (accessed 8.24.20); Jung, A., Li, Y., Wong, S., Li, G.S., Lee, C., Min, K.S., Jung, Y., Lee, K.M., (2018), Title Games for a better life: effects of playing wii games on the well-being of seniors in a long-term care facility; Kato, P.M., (2010), Video Games in Health Care: Closing the Gap. 10.1037/a0019441; Kato, P.M., Cole, S.W., Bradlyn, A.S., Pollock, B.H., A video game improves behavioral outcomes in adolescents and young adults with cancer: A randomized trial (2008) Pediatrics, 122; Kaufman, D.D., Sauvé, L., (2020), n.d. Playful Aging: Digital Games for Older Adults A white paper by the AGE-WELL 4.2 project February; Kessler, H., Holmes, E.A., Blackwell, S.E., Schmidt, A.C., Schweer, J.M., Bücker, A., Herpertz, S., Kehyayan, A., Reducing Intrusive Memories of Trauma Using a Visuospatial Interference Intervention with Inpatients with Posttraumatic Stress Disorder (PTSD) (2018) J. Consult. Clin. Psychol., 86, pp. 1076-1090; Khanna, M.S., Kendall, P.C., Computer-assisted cognitive behavioral therapy for child anxiety: Results of a randomized clinical trial (2010) J. Consult. Clin. Psychol., 78, pp. 737-745; https://www.iamai.in/KnowledgeCentre, Knowledge Centre - IAMAI [WWW Document], n.d. URL (accessed 8.24.20); Knox, M., Lentini, J., Cummings, T.S., McGrady, A., Whearty, K., Sancrant, L., Game-based biofeedback for paediatric anxiety and depression (2011) Ment. Health Fam. Med., 8, pp. 195-203; Kola, L., Global mental health and COVID-19 (2020) The Lancet Psychiatry; Kollins, S.H., DeLoss, D.J., Cañadas, E., Lutz, J., Findling, R.L., Keefe, R.S.E., Epstein, J.N., Faraone, S.V., A novel digital intervention for actively reducing severity of paediatric ADHD (STARS-ADHD): a randomised controlled trial (2020) Lancet Digit. Heal., 2, pp. e168-e178; Leutwyler, H., Hubbard, E., Cooper, B.A., Dowling, G., Impact of a Pilot Videogame-Based Physical Activity Program on Walking Speed in Adults with Schizophrenia (2018) Community Ment. Health J., 54, pp. 735-739; Li, Q., Wieching, R., Wulf, V., Unbehaun, D., Vaziri, D., Aal, K., Video-game based Exergames for People with Dementia and their Caregivers, in: Proceedings of the International ACM SIGGROUP Conference on Supporting Group Work (2018) Association for Computing Machinery, pp. 401-405. , New York, NY, USA; Marsac, M.L., Kohser, K.L., Winston, F.K., Kenardy, J., March, S., Kassam-Adams, N., Using a web-based game to prevent posttraumatic stress in children following medical events: Design of a randomized controlled trial (2013) Eur. J. Psychotraumatol., 4, pp. 1-10; Mclaughlin, P.M., Curtis, A.F., Branscombe-Caird, L.M., Comrie, J.K., Murtha, S.J.E., The feasibility and potential impact of brain training games on cognitive and emotional functioning in middle-aged adults (2018) Games Health J, 7, pp. 67-74; Merry, S.N., Stasiak, K., Shepherd, M., Frampton, C., Fleming, T., Lucassen, M.F.G., The effectiveness of SPARX, a computerised self help intervention for adolescents seeking help for depression: Randomised controlled non-inferiority trial (2012) BMJ, p. 344; Mukherjee, P., (2013), https://www.businessstandard.com/article/technology/mythology-based-tales-find-favour-withgamers-109071600025_1.html, January 20 [accessed on October 9th, 2020]; Ning, H., Member, S., (2020), A Review on Serious Games for Dementia Care in Ageing Societies 8. 10.1109/JTEHM.2020.2998055; Nouchi, R., Taki, Y., Takeuchi, H., Hashizume, H., Akitsuki, Y., Shigemune, Y., Sekiguchi, A., Kawashima, R., Brain Training Game Improves Executive Functions and Processing Speed in the Elderly: A Randomized Controlled Trial (2012) PLoS One, 7, p. e29676; Patel, V., Maj, M., Flisher, A.J., De Silva, M.J., Koschorke, M., Prince, M., Tempier, R., Richardson, G., Reducing the treatment gap for mental disorders: A WPA survey (2010) World Psychiatry, 9, pp. 169-176; Podina, I.R., Fodor, L.A., Cosmoiu, A., Boian, R., An evidence-based gamified mHealth intervention for overweight young adults with maladaptive eating habits: Study protocol for a randomized controlled trial (2017) Trials, p. 18; Schoneveld, E.A., Malmberg, M., Lichtwarck-Aschoff, A., Verheijen, G.P., Engels, R.C.M.E., Granic, I., A neurofeedback video game (MindLight) to prevent anxiety in children: A randomized controlled trial (2016) Comput. Human Behav., 63, pp. 321-333; Shah, A., Kraemer, K.R., Won, C.R., Black, S., Hasenbein, W., Developing digital intervention games for mental disorders: A review (2018) Games Health J.; Shandley, K., Austin, D., Klein, B., Kyrios, M., An evaluation of “Reach Out Central”: An online gaming program for supporting the mental health of young people (2010) Health Educ. Res., 25, pp. 563-574; Shimizu, N., Umemura, T., Matsunaga, M., Hirai, T., An interactive sports video game as an intervention for rehabilitation of community-living patients with schizophrenia: A controlled, single-blind, crossover study (2017) PLoS One, 12; https://www.gamify.com/gamification-blog/the-history-of-gamification, The History of Gamification - Journey from 1896 to the 21st Century [WWW Document], n.d. URL (accessed 11.2.20); Toma, E., JOURNAL OF COMPARATIVE RESEARCH IN ANTHROPOLOGY AND SOCIOLOGY Powerful elderly characters in video games: Flemeth of Dragon Age (2015) Journal of Comparative Research in Anthropology and Sociology; Travers, B.G., Mason, A.H., Mrotek, L.A., Ellertson, A., Dean, D.C., Engel, C., Gomez, A., McLaughlin, K., Biofeedback-Based, Videogame Balance Training in Autism (2018) J. Autism Dev. Disord., 48, pp. 163-175; Verduin, M.L., LaRowe, S.D., Myrick, H., Cannon-Bowers, J., Bowers, C., Computer simulation games as an adjunct for treatment in male veterans with alcohol use disorder (2013) J. Subst. Abuse Treat., 44, pp. 316-322; Wan, V., Cheng, S., Davenport, T., Hons, B.A., Johnson, D., Vella, K., Hickie, I.B., (2019), Gamification in Apps and Technologies for Improving Mental Health and Well-Being: Systematic Review Corresponding Author: 6, 1–15. 10.2196/13717; Weerdmeester, J., Cima, M., Granic, I., Hashemian, Y., Gotsis, M., A Feasibility Study on the Effectiveness of a Full-Body Videogame Intervention for Decreasing Attention Deficit Hyperactivity Disorder Symptoms (2016) Games Health J, 5, pp. 258-269; (2018), WHO | WHO's Mental Health Atlas 2017 highlights global shortage of health workers trained in mental health WHO; Zelinski, E.M., Reyes, R., Cognitive benefits of computer games for older adults (2009) Gerontechnology, 8, pp. 220-235; Zielhorst, T., Van Den Brule, D., Visch, V., Melles, M., Van Tienhoven, S., Sinkbaek, H., Schrieken, B., Lange, A., Using a digital game for training desirable behavior in cognitive-behavioral therapy of burnout syndrome: A controlled study (2015) Cyberpsychology, Behav. Soc. Netw., 18, pp. 101-111</t>
  </si>
  <si>
    <t>Elsevier Ireland Ltd</t>
  </si>
  <si>
    <t>01651781</t>
  </si>
  <si>
    <t>PSRSD</t>
  </si>
  <si>
    <t>Psychiatry Res.</t>
  </si>
  <si>
    <t>2-s2.0-85097734134</t>
  </si>
  <si>
    <t>Digital gaming interventions in psychiatry: evidence, applications and challenges</t>
  </si>
  <si>
    <t>Huang Y., Porter A.L., Cunningham S.W., Robinson D.K.R., Liu J., Zhu D.</t>
  </si>
  <si>
    <t>56959839200;55418378000;7201937112;14044153700;56021118700;13103924000;</t>
  </si>
  <si>
    <t>A technology delivery system for characterizing the supply side of technology emergence: Illustrated for Big Data &amp; Analytics</t>
  </si>
  <si>
    <t>Technological Forecasting and Social Change</t>
  </si>
  <si>
    <t>130</t>
  </si>
  <si>
    <t>176</t>
  </si>
  <si>
    <t>10.1016/j.techfore.2017.09.012</t>
  </si>
  <si>
    <t>https://www.scopus.com/inward/record.uri?eid=2-s2.0-85029666542&amp;doi=10.1016%2fj.techfore.2017.09.012&amp;partnerID=40&amp;md5=121bb01085302c0b6b5828d78d8087d0</t>
  </si>
  <si>
    <t>School of Management and Economics, Beijing Institute of Technology, Beijing, 100081, China; School of Public Policy, Georgia Institute of Technology, Atlanta, GA  30332, United States; Search Technology, Inc., Norcross, GA  30092, United States; Faculty of Technology, Policy and Management, Delft University of Technology, Jaffalaan 5, Delft, BX  2628, Netherlands; Laboratoire Interdisciplinaire Sciences Innovations Sociétés (UMR-LISIS), CNRS-IFRIS, Université de Paris-Est, Paris, France; National Science Library, Chinese Academy of Sciences, Beijing, 100190, China</t>
  </si>
  <si>
    <t>Huang, Y., School of Management and Economics, Beijing Institute of Technology, Beijing, 100081, China; Porter, A.L., School of Public Policy, Georgia Institute of Technology, Atlanta, GA  30332, United States, Search Technology, Inc., Norcross, GA  30092, United States; Cunningham, S.W., Faculty of Technology, Policy and Management, Delft University of Technology, Jaffalaan 5, Delft, BX  2628, Netherlands; Robinson, D.K.R., Laboratoire Interdisciplinaire Sciences Innovations Sociétés (UMR-LISIS), CNRS-IFRIS, Université de Paris-Est, Paris, France; Liu, J., National Science Library, Chinese Academy of Sciences, Beijing, 100190, China; Zhu, D., School of Management and Economics, Beijing Institute of Technology, Beijing, 100081, China</t>
  </si>
  <si>
    <t>While there is a general recognition that breakthrough innovation is non-linear and requires an alignment between producers (supply) and users (demand), there is still a need for strategic intelligence about the emerging supply chains of new technological innovations. This technology delivery system (TDS) is an updated form of the TDS model and provides a promising chain-link approach to the supply side of innovation. Building on early research into supply-side TDS studies, we present a systematic approach to building a TDS model that includes four phases: (1) identifying the macroeconomic and policy environment, including market competition, financial investment, and industrial policy; (2) specifying the key public and private institutions; (3) addressing the core technical complements and their owners, then tracing their interactions through information linkages and technology transfers; and (4) depicting the market prospects and evaluating the potential profound influences on technological change and social developments. Our TDS methodology is illustrated using the field of Big Data &amp; Analytics (“BDA”). © 2017</t>
  </si>
  <si>
    <t>Big Data; Emerging technology; Impact assessment; Tech mining; Technology assessment; Technology delivery system</t>
  </si>
  <si>
    <t>Commerce; Competition; Data mining; Industrial research; Innovation; Investments; Supply chains; Technology transfer; Delivery systems; Emerging technologies; Impact assessments; Tech minings; Technology assessments; Big data; data set; innovation; macroeconomics; model; supply chain management; technological change; technological development; technology transfer</t>
  </si>
  <si>
    <t>Autio, E., Kenney, M., Mustar, P., Siegel, D., Wright, M., Entrepreneurial innovation: the importance of context (2014) Res. Policy, 43, pp. 1097-1108; Bengt-Ake, L., National Systems of Innovation: Toward a Theory of Innovation and Interactive Learning (1992), Pinter Publisher London; Blondel, V.D., Guillaume, J.L., Lambiotte, R., Lefebvre, E., Fast unfolding of community hierarchies in large networks (2008) J. Stat. Mech: Theory Exp., 2008, pp. 1-6; Branscomb, L.M., Federal support of commercially relevant R&amp;D (1973) Am. Sci., 61, pp. 144-151; Bryson, J.M., What to do when stakeholders matter (2004) Public Manag. Rev., 6, pp. 21-53; Bryson, J.M., Crosby, B.C., Bryson, J.K., Understanding strategic planning and the formulation and implementation of strategic plans as a way of knowing: the contributions of actor-network theory (2009) Int. Public Manag. J., 12, pp. 172-207; Callon, M., Techno-economic networks and irreversibility (1990) Sociol. Rev., 38, pp. 132-161; Callon, M., Laredo, P., Rabeharisoa, V., Gonard, T., Leray, T., The management and evaluation of technological programs and the dynamics of techno-economic networks: the case of the AFME (1992) Res. Policy, 21, pp. 215-236; Cooke, P., Uranga, M.G., Etxebarria, G., Regional systems of innovation: an evolutionary perspective (1998) Environ. Plan. A, 30, pp. 1563-1584; Cunningham, S.W., Kwakkel, J., Innovation forecasting: a case study of the management of engineering and technology literature (2011) Technol. Forecast. Soc. Chang., 78, pp. 346-357; Etzkowitz, H., Leydesdorff, L., The dynamics of innovation: from National Systems and “Mode 2” to a triple helix of university–industry–government relations (2000) Res. Policy, 29, pp. 109-123; Executive Office of the President, (2014) Big data: seizing opportunities, preserving values, , T.W. House (Washington, D.C.); Ezra, A.A., Technology utilization: incentives and solar energy (1975) Science, 187, pp. 707-713; Freeman, E.R., Strategic Management: A Stakeholder Approach (1984), Cambridge University Press Cambridge, MA; Giget, M., Technology, innovation and strategy: recent developments (1997) Int. J. Technol. Manag., 14, pp. 613-634; Green, K., Hull, R., McMeekin, A., Walsh, V., The construction of the techno-economic: networks vs. paradigms (1999) Res. Policy, 28, pp. 777-792; Guo, Y., Xu, C., Huang, L., Porter, A., Empirically informing a technology delivery system model for an emerging technology: illustrated for dye-sensitized solar cells (2012) R D Manag., 42, pp. 133-149; Guo, Y., Ma, T., Porter, A.L., Huang, L., Text mining of information resources to inform forecasting innovation pathways (2012) Tech. Anal. Strat. Manag., 24, pp. 843-861; Hekkert, M.P., Negro, S.O., Functions of innovation systems as a framework to understand sustainable technological change: empirical evidence for earlier claims (2009) Technol. Forecast. Soc. Chang., 76, pp. 584-594; Hekkert, M.P., Suurs, R.A.A., Negro, S.O., Kuhlmann, S., Smits, R.E.H.M., Functions of innovation systems: a new approach for analysing technological change (2007) Technol. Forecast. Soc. Chang., 74, pp. 413-432; Huang, Y., Schuehle, J., Porter, A.L., Youtie, J., A systematic method to create search strategies for emerging technologies based on the Web of Science: illustrated for ‘Big Data’ (2015) Scientometrics, 105, pp. 2005-2022; Huang, Y., Zhang, Y., Youtie, J., Porter, A.L., Wang, X., How does national scientific funding support emerging interdisciplinary research: a comparison study of Big Data research in the US and China (2016) PLoS One, 11; Johnson, A., (2001) Functions in innovation system approaches, Nelson and Winter Conference, Aalborg, Denmark, pp. 12-15; Kappel, T.A., Perspectives on roadmaps: how organizations talk about the future (2001) J. Prod. Innov. Manag., 18, pp. 39-50; Kemp, R., Schot, J., Hoogma, R., Regime shifts to sustainability through processes of niche formation: the approach of strategic niche management (1998) Tech. Anal. Strat. Manag., 10, pp. 175-198; Kitschelt, H.P., Political opportunity structures and political protest: anti-nuclear movements in four democracies (1986) Br. J. Polit. Sci., 16, pp. 57-85; Latour, B., Reassembling the Social: An Introduction to Actor-network-theory (2005), Oxford university press New York; Liu, J., Guo, Y., Porter, A.L., Huang, Y., A systematic method for technology assessment: illustrated for ‘Big Data’ (2016) 2016 Portland International Center for Management of Engineering and Technology (PICMET 2016), Honolulu, Hawaii, USA, pp. 2762-2769; Lok, C., Science funding: science for the masses (2010) Nature, 465, pp. 416-418; Malerba, F., Sectoral systems of innovation and production (2002) Res. Policy, 31, pp. 247-264; Mazzucato, M., Robinson, D.K.R., Co-creating and directing innovation ecosystems? NASAs changing approach to public-private partnerships in low-earth orbit (2017) Technol. Forecast. Soc. Chang., , (in press); Mitroff, I., Stakeholders of the Organizational Mind (1983), Jossey-Bass San Francisco, CA; Nelson, R.R., Rosenberg, N., Technical innovation and national systems (1993) National Innovation Systems: A Comparative Analysis, pp. 3-22. , R.R. Nelson Oxford University Press Oxford; Phaal, R., Farrukh, C.J.P., Probert, D.R., Technology roadmapping—a planning framework for evolution and revolution (2004) Technol. Forecast. Soc. Chang., 71, pp. 5-26; Porter, A.L., Cunningham, S.W., Tech Mining: Exploiting New Technologies for Competitive Advantage (2004), John Wiley &amp; Sons; Porter, A.L., Rossini, F.A., Eshelman-Bell, J., Jenkins, D.D., Cancelleri, D.J., Industrial robots — a strategic forecast using the technological delivery system approach (1985) IEEE Trans. Syst. Man Cybern., SMC-15, pp. 521-527; Porter, A., Kongthon, A., Lu, J.-C., Research profiling: improving the literature review (2002) Scientometrics, 53, pp. 351-370; Porter, A.L., Cunningham, S.W., Sanz, A., Advancing the forecasting innovation pathways approach: hybrid and electric vehicles case (2015) Int. J. Technol. Manag., 69, pp. 275-300; Raven, R., Schot, J., Berkhout, F., Space and scale in socio-technical transitions (2012) Environ. Innov. Soc. Trans., 4, pp. 63-78; Rittel, H.W.J., Webber, M.M., Dilemmas in a general theory of planning (1973) Policy. Sci., 4, pp. 155-169; Robinson, D.K.R., Propp, T., Multi-path mapping for alignment strategies in emerging science and technologies (2008) Technol. Forecast. Soc. Chang., 75, pp. 517-538; Robinson, D.K.R., Huang, L., Guo, Y., Porter, A.L., Forecasting innovation pathways (FIP) for new and emerging science and technologies (2013) Technol. Forecast. Soc. Chang., 80, pp. 267-285; Rogers, E.M., Diffusion of Innovations (2010), Simon and Schuster; Roper, A.T., Cunningham, S.W., Porter, A.L., Mason, T.W., Rossini, F.A., Banks, J., Technology forecasting (2011) Forecasting and Management of Technology, pp. 15-39. , John Wiley &amp; Sons, Inc. Hoboken, New Jersey; Rosenhead, J., Mingers, J., Rational Analysis for a Problematic World Revisited: Problem Structuring Methods for Complexity, Uncertainty, and Conflict (2001), John Wiley &amp; Sons Hoboken, NJ; Sabatier, P.A., An advocacy coalition framework of policy change and the role of policy-oriented learning therein (1988) Policy. Sci., 21, pp. 129-168; Saxenian, A., Regional networks and the resurgence of Silicon Valley (1990) Calif. Manag. Rev., 33, pp. 89-112; Walker, W.E., Policy analysis: a systematic approach to supporting policymaking in the public sector (2000) J. Multi-Criteria Decis. Anal., 9, pp. 11-27; Walker, W.E., Rahman, S.A., Cave, J., Adaptive policies, policy analysis, and policy-making (2001) Eur. J. Oper. Res., 128, pp. 282-289; Walsh, S.T., Roadmapping a disruptive technology: a case study: the emerging microsystems and top-down nanosystems industry (2004) Technol. Forecast. Soc. Chang., 71, pp. 161-185; Wang, C.-H., Lu, I.-Y., Chen, C.-B., Evaluating firm technological innovation capability under uncertainty (2008) Technovation, 28, pp. 349-363; Wenk, E., Jr., Priorities for research applicable to national needs (1973) Committee on Public Engineering Policy, , National Academy of Engineering Washington, D.C; Wenk, E., Jr., Kuehn, T.J., Interinstitutional networks in technological delivery systems (1977) Science and Technology Policy: Perspectives and Developments, pp. 153-175. , J. Haberer Lexington Books Lexington, Massachusetts; Zhang, Y., Porter, A.L., Hu, Z., Guo, Y., Newman, N.C., “Term clumping” for technical intelligence: a case study on dye-sensitized solar cells (2014) Technol. Forecast. Soc. Chang., 85, pp. 26-39; Zhang, Y., Zhang, G., Chen, H., Porter, A.L., Zhu, D., Lu, J., Topic analysis and forecasting for science, technology and innovation: methodology with a case study focusing on big data research (2016) Technol. Forecast. Soc. Chang., 105, pp. 179-191; Zhu, J., Local growth coalition: the context and implications of China's gradualist urban land reforms (1999) Int. J. Urban Reg. Res., 23, pp. 534-548</t>
  </si>
  <si>
    <t>00401625</t>
  </si>
  <si>
    <t>Technol. Forecast. Soc. Change</t>
  </si>
  <si>
    <t>2-s2.0-85029666542</t>
  </si>
  <si>
    <t>A technology delivery system for characterizing the supply side of technology emergence: illustrated for big data &amp; analytics</t>
  </si>
  <si>
    <t>Van Der Wal C.N., Kowalczyk W.</t>
  </si>
  <si>
    <t>35485934500;55760640500;</t>
  </si>
  <si>
    <t>Detecting changing emotions in human speech by machine and humans</t>
  </si>
  <si>
    <t>Applied Intelligence</t>
  </si>
  <si>
    <t>39</t>
  </si>
  <si>
    <t>675</t>
  </si>
  <si>
    <t>691</t>
  </si>
  <si>
    <t>10.1007/s10489-013-0449-1</t>
  </si>
  <si>
    <t>https://www.scopus.com/inward/record.uri?eid=2-s2.0-84888325327&amp;doi=10.1007%2fs10489-013-0449-1&amp;partnerID=40&amp;md5=9971e95e8e9839c54ca4149a2878459d</t>
  </si>
  <si>
    <t>Department of Artificial Intelligence, VU University Amsterdam, De Boelelaan 1081, 1081 HV Amsterdam, Netherlands; Leiden Institute of Advanced Computer Science, Leiden University, Niels Bohrweg 1, 2333 CA Leiden, Netherlands</t>
  </si>
  <si>
    <t>Van Der Wal, C.N., Department of Artificial Intelligence, VU University Amsterdam, De Boelelaan 1081, 1081 HV Amsterdam, Netherlands; Kowalczyk, W., Leiden Institute of Advanced Computer Science, Leiden University, Niels Bohrweg 1, 2333 CA Leiden, Netherlands</t>
  </si>
  <si>
    <t>The goals of this research were: (1) to develop a system that will automatically measure changes in the emotional state of a speaker by analyzing his/her voice, (2) to validate this system with a controlled experiment and (3) to visualize the results to the speaker in 2-d space. Natural (non-acted) human speech of 77 (Dutch) speakers was collected and manually divided into meaningful speech units. Three recordings per speaker were collected, in which he/she was in a positive, neutral and negative state. For each recording, the speakers rated 16 emotional states on a 10-point Likert Scale. The Random Forest algorithm was applied to 207 speech features that were extracted from recordings to qualify (classification) and quantify (regression) the changes in speaker's emotional state. Results showed that predicting the direction of change of emotions and predicting the change of intensity, measured by Mean Squared Error, can be done better than the baseline (the most frequent class label and the mean value of change, respectively). Moreover, it turned out that changes in negative emotions are more predictable than changes in positive emotions. A controlled experiment investigated the difference in human and machine performance on judging the emotional states in one's own voice and that of another. Results showed that humans performed worse than the algorithm in the detection and regression problems. Humans, just like the machine algorithm, were better in detecting changing negative emotions rather than positive ones. Finally, results of applying the Principal Component Analysis (PCA) to our data provided a validation of dimensional emotion theories and they suggest that PCA is a promising technique for visualizing user's emotional state in the envisioned application. © 2013 Springer Science+Business Media New York.</t>
  </si>
  <si>
    <t>Affective computing; Emotion recognition; Random forests; Speech features; Vocal expression</t>
  </si>
  <si>
    <t>Affective Computing; Emotion recognition; Random forests; Speech features; Vocal expression; Algorithms; Decision trees; Experiments; Principal component analysis; Speech; Audio recordings</t>
  </si>
  <si>
    <t>Batliner, A., Steidle, S., Schuller, B., Seppi, D., Vogt, T., Wagner, J., Vidrascu, L., Amir, N., Whodunnit - Searching for the most important speech feature types signalling emotion-related user states in speech (2010) Comput Speech Lang, , 10.1016/j.csl.2009.12.003; Breiman, L., Random forests (2001) Mach Learn, 45, pp. 5-32. , 10.1023/A:1010933404324; Breazeal, C., Brooks, R., Robot emotion: A functional perspective (2005) Who Needs Emotions?, , J-M Fellous M.A. Arbib (eds) Oxford University Press New York; Castellano, G., Kessous, G., Caridakis, G., Emotion recognition through multiple modalities: Face, body gesture, speech (2008) Affect and Emotion in Human-computer Interaction, pp. 92-103. , C. Peter R. Beale (eds) Lecture notes in computer science 4868 Springer Berlin 10.1007/978-3-540-85099-1-8; Duda, R.O., Hart, P., Stork, D., (2000) Pattern Classification, , 2 Wiley New York; Ekman, P., An argument for basic emotions (1992) Cogn Emot, 6, pp. 169-200. , 10.1080/02699939208411068; Fredrickson, B.L., Mancuso, R., Branigan, C., Tugade, M., The undoing effect of positive emotions (2000) Motiv Emot, 24, pp. 237-258. , 10.1023/A:1010796329158; Frijda, N.H., (2007) The Laws of Emotion, , Lawrence Erlbaum Associates Publishers Hillsdale; (2002) Geneva Appraisal Questionnaire, , http://www.affective-sciences.org/system/files/page/2636/GAQ_English.PDF, GAQ; Hastie, T., Tibshirani, R., Friedman, J., (2008) The Elements of Statistical Learning, , 2 Springer New York; Kurematsu, M., Amanuma, S., Hakura, J., Fujita, H., An extraction of emotion in human speech using cluster analysis and a regression tree (2008) Proceedings of the 10th WSEAS International Conference on Applied Computer Science, pp. 346-350. , H. Fujita J. Sasaki (eds) World Scientific and Engineering Academy and Society (WSEAS) Stevens Point; Laukka, P., Neiberg, D., Forsell, M., Karlsson, I., Elenius, K., Expression of affect in spontaneous speech: Acoustic correlates and automatic detection of irritation and resignation (2011) Comput Speech Lang, 25, pp. 84-104. , 10.1016/j.csl.2010.03.004; Li, X., Tao, J., Johnson, M., Soltis, J., Savage, A., Leong, K., Newman, J., Stress and emotion classification using jitter and shimmer features (2007) IEEE International Conference on Acoustics, Speech and Signal Processing (ICASSP 2007), pp. 1081-1084; Van Der Maaten Ljp, Postma, E., Van Der Herik, H., (2009) Dimensionality Reduction: A Comparative Review. Tilburg University Technical Report, TiCC-TR 2009-005; McIntyre, G., Göcke, R., Towards affective sensing (2007) Proc of the 12th International Conference on Human-computer Interaction: Intelligent Multimodal Interaction Environments, Part III (HCI'07), pp. 411-420. , J.A. Jacko (eds) Lecture notes in computer science 4552 Springer Berlin 10.1007/978-3-540-73110-8-44; Russel, J.A., A circumplex model of affect (1980) J Pers Soc Psychol, 39, pp. 1161-1178. , 10.1037/h0077714; Schölkopf, B., Smola, A.J., (2001) Learning with Kernels. Support Vector Machines, Regularization, Optimization, and beyond, , MIT Press Cambridge; Tawari, A., Trivedi, M., Speech based emotion classification framework for driver assistance system (2010) Intelligent Vehicles Symposium (IV), pp. 174-178. , 21-24 June 2010 IEEE Press New York 10.1109/IVS.2010.5547956; Vogt, T., André, E., Wagner, J., Automatic recognition of emotions from speech: A review of the literature and recommendations for practical realisation (2007) Proc of the 12th International Conference on Human-computer Interaction: Intelligent Multimodal Interaction Environments, Part III (HCI'07), pp. 75-91. , J.A. Jacko (eds) Lecture notes in computer science 4552 Springer Berlin; Yik, M., Russel, J., Steiger, J., A 12-point circumplex structure of core affect (2011) Emotion, 11 (4), pp. 705-731. , 10.1037/a0023980; Zhang, C., Wu, J., Xiao, X., Wang, Z., Pronunciation variation modeling for Mandarin with accent (2006) Proceedings of ICSLP'06, pp. 709-712. , Pittsburgh, USA</t>
  </si>
  <si>
    <t>0924669X</t>
  </si>
  <si>
    <t>APITE</t>
  </si>
  <si>
    <t>Appl Intell</t>
  </si>
  <si>
    <t>2-s2.0-84888325327</t>
  </si>
  <si>
    <t>Raab C.D.</t>
  </si>
  <si>
    <t>7006075342;</t>
  </si>
  <si>
    <t>Information privacy, impact assessment, and the place of ethics ⁎</t>
  </si>
  <si>
    <t>Computer Law and Security Review</t>
  </si>
  <si>
    <t>37</t>
  </si>
  <si>
    <t>105404</t>
  </si>
  <si>
    <t>10.1016/j.clsr.2020.105404</t>
  </si>
  <si>
    <t>https://www.scopus.com/inward/record.uri?eid=2-s2.0-85081235651&amp;doi=10.1016%2fj.clsr.2020.105404&amp;partnerID=40&amp;md5=c31a9e525bb298a5bc4ded4c29641745</t>
  </si>
  <si>
    <t>University of Edinburgh, UK, and The Alan Turing Institute</t>
  </si>
  <si>
    <t>Raab, C.D., University of Edinburgh, UK, and The Alan Turing Institute</t>
  </si>
  <si>
    <t>There is now a flourishing but confusing debate about the ethics of artificial intelligence and other advanced technologies that use data extensively and intensively. There is a rush to define principles and frameworks for these activities, including the research that underlies innovations. This article illustrates and explores some of the perspectives, proposals, inventories and other materials that comprise these efforts. It begins with a look at the current interest in research ethics, and then highlights and comments on examples of the ethical frameworks, principles, and other schemes that have recently appeared. It then considers impact assessment of various kinds, especially regarding data-driven technologies, in which ethical and social issues or values are to the fore. It ends by touching on some issues that relate to attempts to devise ways of dealing with the adverse effects of advanced technologies and systems, including governance and the making of ethics-based judgments. © 2020</t>
  </si>
  <si>
    <t>Artificial intelligence (AI); Data ethics; Data protection and privacy impact assessment; Ethical and algorithmic impact assessment; Ethical principles; GDPR; Human rights; Information governance; New technologies</t>
  </si>
  <si>
    <t>Artificial intelligence; Social aspects; Ethical principles; GDPR; Human rights; Impact assessments; Information governance; Ethical aspects</t>
  </si>
  <si>
    <t>6, P., Bellamy, C., Raab, C., Information sharing dilemmas in public services: using frameworks from risk management (2010) Policy Politics, 38 (3), pp. 465-481; AI ethics global inventory (2019), https://algorithmwatch.org/en/project/ai-ethics-guidelines-global-inventory/, available at: [Accessed 25 October 2019]; Algorithmic impact assessments: toward accountable automation in public agencies (2018), https://medium.com/@AINowInstitute/algorithmic-impact-assessments-toward-accountable-automation-in-public-agencies-bd9856e6fdde, available at: [Accessed 25 October 2019]; Code of ethics (2018), https://www.asanet.org/sites/default/files/asa_code_of_ethics-june2018.pdf, available at [Accessed 26 October 2019]; Anabo, F., Elexpuru-Albizuri, I., Villardon-Gallego, L., Revisiting the Belmont report's ethical principles in internet-mediated research: perspectives from disciplinary associations in the social sciences (2019) Ethics Inf Technol, 21, pp. 137-149; 248 rev.01, 4.Guidelines On Data Protection Impact Assessment (DPIA) and determining whether processing is “likely to result in a high risk” for the purposes of Regulation 2016/679 (2017), https://www.google.co.uk/search?source=hp&amp;ei=wlq0XcvtFIW4gwe03YmgDg&amp;q=article+29+working+party+248+rev.01%2C+4+October+2017&amp;oq=article+29+working+party+248+rev.01%2C+4+October+2017&amp;gs_l=psy-ab.3.0l10.2552.12815.14662…0.0.0.1068.6478.10j5j5j1j1j7-3……0….1j2.gws-wiz…….0i131j0i131i10j0i10.hXcAkQaeV8c&amp;ved=0ahUKEwjL1v_uk7rlAhUF3OAKHbRuAuQQ4dUDCAs&amp;uact=5, available at: [Accessed 26 October 19]; Ethical decision-making and internet research: recommendations from the AoIR Ethics Working Committee (Version 2.0) (2012), https://aoir.org/reports/ethics2.pdf, available at: [Accessed 25 October 19]; Beauchamp, T., Childress, J., Principles of biomedical ethics (2001), 5th ed. Oxford University Press New York; Bennett, C., In defence of privacy: the concept and the regime (2011) Surveill Soc, 8 (4), pp. 485-496; Bennett, C., Raab, C., The governance of privacy policy instruments in global perspective (2006), The MIT Press Cambridge MA; Bennett, C., Raab, C., Revisiting the governance of privacy: contemporary policy instruments in global perspective (2018) Regula. Gov, , [Accessed 20 February 20]; Code of human research ethics (2014), https://www.bps.org.uk/sites/bps.org.uk/files/Policy/Policy%20-%20Files/BPS%20Code%20of%20Human%20Research%20Ethics.pdf, available at: [Accessed 26 October 19]; Ethics guidelines and collated resources for digital research – statement of ethical practice annexe (2017), https://www.britsoc.co.uk/media/24309/bsa_statement_of_ethical_practice_annexe.pdf, available at: [Accessed 25 October 19]; (2016), https://shop.bsigroup.com/ProductDetail?pid=000000000030320089, British Standards Institution Robots and robotic devices: guide to the ethical design and application of robots and robotic systems (BS 8611: 2016), avaialble at: [Accessed 20 February 20]; Burdge, R., Vanclay, F., Social impact assessment: a contribution to the state of the art series (1996) Impact Assess, 14 (1), pp. 59-86; Burdge, R., Why is social impact assessment the orphan of the assessment process? (2002) Impact Assess Project Apprais, 20 (1), pp. 3-9; Butterworth, M., The ICO and artificial intelligence: the role of fairness in the GDPR framework (2018) Comput Law Secur Rev, 34, pp. 257-268; Bynum, T., Computer and information ethics. Stanford Encyclopedia of Philosophy (2015), https://plato.stanford.edu/entries/ethics-computer/, available at: [Accessed 25 October 2019]; Clarke, R., Privacy impact assessments (2003), http://www.rogerclarke.com/DV/PIA.html, available at: [Accessed 21 October 2019]; Clarke, R., Ethical analysis and information technology (2018), http://www.rogerclarke.com/EC/GAIE.html, available at: [Accessed 26 October 2019]; Clarke, R., (2017) The distinction between a PIA and a Data Protection Imact Assessment (DPIA) under the EU GDPR, , http://www.rogerclarke.com/DV/PIAvsDPIA.html, [Accessed 21 October 2019]; Clarke, R., Principles and business processes for responsible ai (2019) Comput Law Secur Rev, 35 (4), pp. 410-422; Clarke, R., The OECD's AI guidelines of 22 May 2019: evaluation against a consolidated set of 50 principles (2019), http://www.rogerclarke.com/EC/AI-OECD-Eval.html, available at: [Accessed 26 October 2019]; Clarke, R., Responsible AI technologies, artefacts, systems and applications the 50 principles (2019), http://www.rogerclarke.com/EC/PRAI-50Ppdf, available at: [Accessed 26 October 2019]; How can humans keep the upper hand?The ethical matters raised by algorithms and artificial intelligence (2017), https://www.cnil.fr/sites/default/files/atoms/files/cnil_rapport_ai_gb_web.pdf, available at: [Accessed 25 October 2019]; Human rights and impact assessment – guidance and toolbox (2016), https://www.humanrights.dk/sites/humanrights.dk/files/media/dokumenter/business/hria_toolbox/hria_guidance_and_toolbox_final_may22016.pdf_223795_1_1.pdf, available at: [Accessed 25 October 2019]; Dencik, L., Hintz, A., Redden, J., Warne, H., Data Scoring as governance: investigating uses of citizen scoring in public services – project report (2018), https://datajustice.files.wordpress.com/2018/12/data-scores-as-governance-project-report2.pdf, available at: [Accessed 25 October 2019]; Draft ethics guidelines for trustworthy AI (2018); Ethics guidelines for trustworthy AI (2019); Policy and investment recommendations for trustworthy AI (2019); (2018), https://edps.europa.eu/sites/edp/files/publication/18-01-25_eag_report_en.pdf, EDPS, Towards a Digital Ethics, Ethics Advisory Group Report available at: [Accessed 20 February 20]; A governance framework for algorithmic accountability and transparency (2019), http://www.europarl.europa.eu/RegData/etudes/STUD/2019/624262/EPRS_STU(2019)624262_EN.pdf, available at: [Accessed 25 October 2019]; Ethical Decision-Making and Internet research: Recommendations from the Aoir Ethics Working Committee (2002), https://aoir.org/reports/ethics.pdf, available at: [Accessed 25 October 2019]; Esteves, A.M., Franks, D., Vanclay, F., Social impact assessment: the state of the art (2012) Impact Assess Project Apprais, 30 (1), pp. 34-42; Ethics and data protection (2018), https://ec.europa.eu/research/participants/data/ref/h2020/grants_manual/hi/ethics/h2020_hi_ethics-data-protection_en.pdf, available at: [Accessed 26 October 2019]; Froomkin, A.M., Regulating mass surveillance as privacy pollution: learning from environmental impact statements (2015) Univ Ill Law Rev, 2015, pp. 1713-1790; Hagendorff, T., The ethics of AI Ethics: an evaluation of guidelines (2019), available at: [Accessed 25 October 2019]; Hildebrandt, M., Smart technologies and the end(s) of law (2015), Edward Elgar Cheltenham; AI in the UK: ready, Willing and able? HL Paper 100, Select Committee On Artificial Intelligence, Report of Session 2017-19 (2018), https://publications.parliament.uk/pa/ld201719/ldselect/ldai/100/100.pdf, available at: [Accessed 25 October 2019]; House of Lords, Surveillance: Citizens and the State, Select Committee on the Constitution, 2nd Report of Session 2008-09, Volume I: Report, HL Paper 18-I; Artificial intelligence, ethics and enhanced data stewardship (2017), http://informationaccountability.org/wp-content/uploads/Artificial-Intelligence-Ethics-and-Enhanced-Data-Stewardship.pdf, available at: [Accessed 25 October 2019]; Unified ethical frame for big data analysis: IAF big data ethics initiative, Part A (2015), http://informationaccountability.org/wp-content/uploads/IAF-Unified-Ethical-Frame.pdf, available at: [Accessed 25 October 2019]; ICO (UK Information Commissioner's Office) (n.d.) Data Protection Impact Assessments (DPIAs); International principles for social impact assessment (2003), https://www.iaia.org/pdf/Sections/SIA/IAIA%20SIA%20International%20Principles.pdf, available at: [Accessed 26 October 2019]; Jasanoff, S., (2005), Designs on nature: science and democracy in Europe and the United States. Princeton NJ: Princeton University Press; Kooiman, J., (1993) Modern governance: new government-society interactions, , SAGE Publications London; Loader, I., Walker, N., Civilizing security (2007), Cambridge University Press Cambridge; Mantelero, A., AI and big data: a blueprint for a human rights, social and ethical impact assessment (2018) Comput Law Secur Rev, 34 (4), pp. 754-772; Mantelero, A., Personal data for decisional purposes in the age of analytics: from an individual to a collective dimension of data protection (2016) Comput Law Secur Rev, 32 (2), pp. 238-255. , (2019 2018? 2016; Code of Conduct (2014), https://www.mrs.org.uk/pdf/mrs%20code%20of%20conduct%202014.pdf, available at: accessed 26/10/19; Marx, G.T., Ethics for the new surveillance (1998) Inf Soc, 14 (3), pp. 171-185; Moor, J., What is computer ethics? (1985) Metaphilosophy, 16 (4), pp. 266-275; Murakami Wood, D., Ball, K., Lyon, D., Norris, C., Raab, C., https://ico.org.uk/media/about-the-ico/documents/1042390/surveillance-society-full-report-2006.pdf, A report on the surveillance society, Wilmslow: Office of the Information Commissioner; available at; [Accessed 25 October 2019]; Mulgan, G., AI ethics and the limits of code(S) (2019), https://www.nesta.org.uk/blog/ai-ethics-and-limits-codes/, available at: [Accessed 25 October 2019]; 10 principles for public sector use of algorithmic decision making (2018), https://www.nesta.org.uk/blog/10-principles-for-public-sector-use-of-algorithmic-decision-making/, available at: [Accessed 26 October 2019]; Ethical principles and guidelines for the protection of human subjects of research (The Belmont Report) (1979), https://www.hhs.gov/ohrp/regulations-and-policy/belmont-report/read-the-belmont-report/index.html, available at: [Accessed 26 October 2019]; OECD principles on artificial intelligence (2019), https://www.oecd.org/going-digital/ai/principles/, available at: [Accessed 26 October 2019]; Raab, C., Researching the regulation of surveillance (2006) Proceedings of the conference on new surveillance – a critical analysis of research and methods in surveillance studies, Centre for Technology and Society, Technical University Berlin, 30 November-1 December 2006; Raab, C., Information privacy: ethics and accountability (2017) Ethik in Den Kulturen – Kulturen in Der Ethik: Eine Festschrift Für Regina Ammicht Quinn, pp. 335-347. , C Brand J Heesen B Kröber U Müller T Potthast Narr Francke Attempto Tübingen; Raab, C., Privacy, social values and the public interest (2012) ‘Politik und die Regulierung von Information’ [‘Politics and the Regulation of Information’], Politische Vierteljahresschrift, Sonderheft 46, pp. 129-151. , A. Busch J. Hofmann Nomos Verlagsgesellschaft Baden-Baden; Raab, C., Bennett, C., The distribution of privacy risks: who needs protection? (1998) Inf Soc, 14 (4), pp. 263-274; Raab, C., Wright, D., Surveillance: extending the limits of privacy impact assessment (2012) Privacy impact assessment, pp. 363-383. , D Wright P De Hert Springer Dordrecht; Regan, P., (1995) Legislating Privacy: Technology, Social Values, and Public Policy, , University of North Carolina Press Chapel Hill, NC; Reisman, D., Schultz, J., Crawford, K., Whittaker, M., Algorithmic impact assessments: a practical framework for public agency accountability (2018), https://ainowinstitute.org/aiareport2018.pdf, available at: [Accessed 25 October 2019]; Salcito, K., Utzinger, J., Weiss, M., Münch, A., Singer, B., Krieger, G., Assessing human rights impacts in corporate development projects (2013) Environ Impact Assess Rev, 42, pp. 39-50; Selbst, A., Disparate impact in big data policing (2018) Georgia Law Rev, 52, pp. 109-195; Silvast, A., Williams, R., Hyysalo, S., Rommetveit, K., Raab, C., Who ‘Uses’ smart grids? The evolving nature of user representations in layered infrastructures (2018) Sustainability, 10 (10); Sjoberg, G., (1967) Ethics, politics, and social research, , Routledge &amp; Kegan Paul London; Slootweg, R., Vanclay, F., van Schoten, M., Function evaluation as a framework for the integration of social and environmental impact assessment (2001) Impact Assess Project Apprais, 19 (1), pp. 19-28; Ethical Guidelines (2003), https://the-sra.org.uk/common/Uploaded%20files/ethical%20guidelines%202003.pdf, available at: [Accessed 26 October 2019]; Stewart, B., Privacy impact assessments (1996) Priv Law Policy Report, 3 (4), pp. 61-64; Stewart, B., PIAs – an early warning system (1996) Priv Law Policy Report, 3 (7), pp. 134-138; Sunstein, C., Laws of Fear: Beyond the Precautionary Principle (2005), Cambridge University Press Cambridge; The Town and Country Planning (Environmental Impact Assessment) Regulations 2017 Screening Matrix (2017), https://assets.publishing.service.gov.uk/government/uploads/system/uploads/attachment_data/file/643241/TCPA_EIA_Screening_Matrix_2017_Regs.pdf, available at: [Accessed 26 October 2019]; van der Sloot, B., Privacy As Virtue (2017), Intersentia Cambridge; Vogel, D., The Politics of Precaution: Regulating Health, Safety, and Environmental Risks in Europe and the United States (2012), Princeton University Press Princeton NJ; Waters, N., Privacy impact assessment – traps for the unwary (2001) Privacy Law Policy Rep, 7 (9), pp. 176-177; Wiener, N., The Human Use of Human Beings: Cybernetics and Society (1954), 2nd edition Revised Doubleday Anchor New York NY; Wright, D., A framework for the ethical impact assessment of information technology (2011) Ethics Inf Technol, 13, pp. 199-226; Wright, D., De Hert, P., (2012) Privacy Impact Assessment, , Springer Dordrecht; Wright, D., Friedewald, M., Integrating privacy and ethical impact assessments (2013) Sci Public Policy, 40 (6), pp. 755-766; Wright, D., Raab, C., Constructing a surveillance impact assessment (2012) Comput Law Secur Rev, 28 (6), pp. 613-626; Wright, D., Raab, C., Privacy principles, risks and harms. international review of law (2014) Comput Technol, 28 (3), pp. 277-298; Wright, D., Rodrigues, R., Raab, C., Jones, R., Székely, I., Ball, K., Questioning surveillance (2015) Comput Law Secur Rev, 31 (2), pp. 280-292</t>
  </si>
  <si>
    <t>02673649</t>
  </si>
  <si>
    <t>CLSRE</t>
  </si>
  <si>
    <t>Comput Law Secur. Rev.</t>
  </si>
  <si>
    <t>2-s2.0-85081235651</t>
  </si>
  <si>
    <t>Goldin P., Ziv M., Jazaieri H., Gross J.J.</t>
  </si>
  <si>
    <t>6508038067;55224674700;55224590300;7402751884;</t>
  </si>
  <si>
    <t>Randomized controlled trial of mindfulness-based stress reduction versus aerobic exercise: Effects on the self-referential brain network in social anxiety disorder</t>
  </si>
  <si>
    <t>NOVEMBER 2012</t>
  </si>
  <si>
    <t>https://www.scopus.com/inward/record.uri?eid=2-s2.0-84933672911&amp;partnerID=40&amp;md5=da11e95205f9561694454d1d3a904047</t>
  </si>
  <si>
    <t>Department of Psychology, Stanford University, Stanford, CA, United States</t>
  </si>
  <si>
    <t>Goldin, P., Department of Psychology, Stanford University, Stanford, CA, United States; Ziv, M., Department of Psychology, Stanford University, Stanford, CA, United States; Jazaieri, H., Department of Psychology, Stanford University, Stanford, CA, United States; Gross, J.J., Department of Psychology, Stanford University, Stanford, CA, United States</t>
  </si>
  <si>
    <t>Background: Social anxiety disorder (SAD) is characterized by distorted self-views. The goal of this study was to examine whether mindfulness-based stress reduction (MBSR) alters behavioral and brain measures of negative and positive self-views. Methods: Fifty- six adult patients with generalized SAD were randomly assigned to MBSR or a comparison aerobic exercise (AE) program. A self-referential encoding task was administered at baseline and post-intervention to examine changes in behavioral and neural responses in the self-referential brain network during functional magnetic resonance imaging. Patients were cued to decide whether positive and negative social trait adjectives were self-descriptive or in upper case font. Results: Behaviorally, compared to AE, MBSR produced greater decreases in negative self-views, and equivalent increases in positive self-views. Neurally, during negative self versus case, compared to AE, MBSR led to increased brain responses in the posterior cingulate cortex (PCC). There were no differential changes for positive self versus case. Secondary analyses showed that changes in endorsement of negative and positive self-views were associated with decreased social anxiety symptom severity for MBSR, but not AE. Additionally, MBSR-related increases in dorsomedial pre- frontal cortex (DMPFC) activity during negative self-view versus case were associated with decreased social anxiety related disability and increased mindfulness. Analysis of neural temporal dynamics revealed MBSR-related changes in the timing of neural responses in the DMPFC and PCC for negative self-view versus case. Conclusion: These findings suggest that MBSR attenuates maladaptive habitual self-views by facilitating automatic (i.e., uninstructed) recruitment of cognitive and attention regulation neural networks. This highlights potentially important links between self-referential and cognitive-attention regulation systems and suggests that MBSR may enhance more adaptive social self-referential processes in patients with SAD. ©2012Goldin,Ziv,Jazaieri and Gross.</t>
  </si>
  <si>
    <t>Brain; Exercise; fMRI; Meditation; Mindfulness; Self; Self-view; Social anxiety</t>
  </si>
  <si>
    <t>adult; aerobic exercise; article; attention; behavior change; brain function; cognition; comparative effectiveness; controlled study; disease severity; dorsomedial prefrontal cortex; female; functional magnetic resonance imaging; human; major clinical study; male; mindfulness based stress reduction; posterior cingulate; prefrontal cortex; psychotherapy; randomized controlled trial; social behavior; social phobia</t>
  </si>
  <si>
    <t>(1994) Diagnostic and Statistical Manual of Mental Disorders, , Washington, American Psychiatric Association, DC: American Psychiatric Association; Baer, R.A., Mindfulness training as a clinical intervention: A conceptual and empirical review (2003) Clin. Psychol, 10, pp. 125-143; Baer, R.A., Smith, G.T., Allen, K.B., Assessment of mindfulness by self-report: The Kentucky inventory of mindfulness skills Assessment, 11, pp. 191-206; Blair, K.S., Geraci, M., Otero, M., Majestic, C., Odenheimer, S., Jacobs, M., Atypical modulation of medial prefrontal cortex to self- referential comments in generalized social phobia (2011) Psychiatry Res, 193, pp. 38-45; Bradley, M.M., Lang, P.J., (1999) Affective Norms for English Words (ANEW) Technical Manual AndAffective Ratings, , Gainsville, FL: Center for Research in Psychophysiology, University of Florida; Broocks, A., Bandelow, B., Pekrun, G., George, A., Meyer, T., Bartmann, U., Comparison of aerobic exercise, clomipramine, and placebo in the treatment of panic disorder (1998) Am. J. Psychiatry, 155, pp. 603-609; Campbell, D.W., Sareen, J., Paulus, M.P., Goldin, P.R., Stein, M.B., Reiss, J.P., Time- varying amygdala response to emotional faces in generalized social phobia (2007) Biol. Psychiatry, 62, pp. 455-463; Cavanna, A.E., Trimble, M.R., The precuneus: A review of its functional anatomy and behavioural correlates Brain, 129, pp. 564-583; Chiesa, A., Serretti, A., Mindfulness-based stress reduction for stress management in healthy people: A review and meta-analysis (2009) J. Altern. Complement. Med, 15, pp. 593-6000; Clark, D.M., Wells, A., (1995) A Cognitive Model of Social Phobia, , NewYork, NY: Guilford Press; Cohen, M.S., Parametric analysis of fMRI data using linear systems methods (1997) Neuroimage, 6, pp. 93-103; Cox, R.W., AFNI: Software for analysis and visualization of functional magnetic resonance neuroimages (1996) Comput. Biomed. Res, 29, pp. 162-173; Crino, M.D., Svoboda, M., Rubenfeld, S., White, M.C., Data on the Marlowe-Crowne and Edwards social desirability scales (1983) Psychol. Rep, 53, pp. 963-968; Crowne, D., Marlowe, D., A new scale of social desirability independent of psychopathology (1960) J. Consult. Psychol, 24, pp. 349-354; de Greck, M., Rotte, M., Paus, R., Moritz, D., Thiemann, R., Proesch, U., Is our self based on reward? Self-relatedness recruits neural activity in the reward system (2008) Neuroimage, 39, pp. 2066-2075; Derry, P.A., Kuiper, N.A., Schematic processing and self-reference in clinical depression (1981) J.Abnorm. Psychol, 90, pp. 286-297; Di Nardo, P.A., Brown, T.A., Barlow, D.H., (1994) Anxiety Disorders Interview Schedule For DSM-IV: Life- TimeVersion (ADIS-IV-L), , SanAnto- nio, TX: Psychological Corporation; Dratcu, L., Physical exercise: An adjunctive treatment for panic disorder? (2001) Eur. Psychiatry, 16, pp. 372-374; Efron, B., Forcing a sequential experiment to be balanced (1971) Bio- Metrika, 58, p. 403; Fan, J., McCandliss, B.D., Fossella, J., Flombaum, J.I., Posner, M.I., The activation of attentional networks Neuroimage, 26, p. 471; Farb, N.A.S., Segal, Z.V., Mayberg, H., Bean, J., McKeon, D., Fatima, Z., Attending to the present: Mindfulness meditation reveals distinct neural modes of selfreference (2007) Soc. Cogn. Affect. Neurosci, 2, pp. 313-322; Forman, S.D., Cohen, J.D., Fitzgerald, M., Eddy, W.F., Mintun, M.A., Noll, D.C., Improved assessment of significant activation in functional magnetic resonance imaging (fMRI): Use of a cluster- sizethreshold (1995) Magn. Reson. Med, 33, pp. 636-647; Fossati, P., Hevenor, S.J., Graham, S.J., Grady, C., Keightley, M.L., Craik, F., In search of the emotional self: An FMRI study using positive and negative emotional words (2003) Am. J. Psychiatry, 160, pp. 1938-1945; Fresco, D.M., Coles, M.E., Heimberg, R., Liebowitz, M.R., Hami, S., Stein, M.B., The Liebowitz Social Anxiety Scale: A comparison of the psychometric properties of self-report and clinician- administered formats (2001) Psychol. Med, 31, pp. 1025-1035; Fresco, D.M., Moore, M.T., van Dulmen, M.H.M., Segal, Z.V., Ma, S., Teasdale, J.D., Initial psychometric properties of the experiences questionnaire: Validation of a self-report measure of decentering (2007) Behav. Ther, 38, pp. 234-246; Garland, E., Gaylord, S., Park, J., The role of mindfulness in positive reappraisal (2009) Explore (NY), 5, pp. 37-44; Goldin, P., Ramel, W., Gross, J.J., Mindfulness meditation training and self referential processing in social anxiety disorder: Behavioral and neural effects (2009) J. Cogn. Psychother, 23, pp. 242-257; Goldin, P.R., Manber-Ball, T., Werner, K., Heimberg, R., Gross, J.J., Neural mechanisms of cognitive reappraisal of negative self-beliefs in social anxiety disorder (2009) Biol. Psychiatry, 66, pp. 1091-1099; Goldin, P., Ziv, M., Jazaieri, H., Hahn, K., Gross, J., MBSR vs aerobic exercise in social anxiety: FMRI of emotion regulation of negative self-beliefs (2012) Soc. Cogn. Affect. Neu- Rosci, , PMID: 22586252., [Epub ahead of print]; Goldin, P.R., Gross, J.J., Effects of mindfulness-based stress reduction (MBSR) on emotion regulation in social anxiety disorder (2010) Emotion, 10, pp. 83-91; Hambrick, J.P., Turk, C.L., Heimberg, R.G., Schneier, F.R., Liebowitz, M.R., Psychometric properties of disability measures among patients with social anxiety disorder (2004) J. Anxiety Disord, 18, p. 825; Herring, M.P., Jacob, M.L., Suveg, C., Dishman, R.K., O'Connor, P.J., Feasibility of exercise training for the short-term treatment of generalized anxiety disorder: A randomized controlled trial (2012) Psychother. Psychosom, 81, pp. 21-28; Hölzel, B.K., Lazar, S.W., Gard, T., Schuman-Olivier, Z., Vago, D.R., Ott, U., How does mindfulness meditation work? Proposing mechanisms of action from a conceptual and neural perspective (2011) Perspect. Psychol. Sci, 6, pp. 537-559; Jazaieri, H., Goldin, P.R., Werner, K., Ziv, M., Gross, J.J., A randomized trial of MBSR versus aerobic exercise for social anxiety disorder (2012) J. Clin. Psychol, 68, pp. 715-731; Johnson, S.C., Baxter, L.C., Wilder, L.S., Pipe, J.G., Heiserman, J.E., Prigatano, G.P., Neural correlates of self-reflection (2002) Brain, 125, pp. 1808-1814; Kabat-Zinn, J., (1990) Full Catastrophe Living: Using the Wisdom of Your Body and Mind to Face Stress, Pain, AndIllness, , NewYork, NY: Dell Publishing; Kelley, W.M., Macrae C., L., Wyland, C.L., Caglar, S., Inati, S., Heatherton, T.F., Finding the self? An event-related fMRI study (2002) J. Cogn. Neurosci, 14, pp. 785-794; Kjaer, T.W., Nowak, M., Lou, H.C., Reflective self-awareness and conscious states: PET evidence for a common midline parietofrontal core (2002) Neuroimage, 17, pp. 1080-1086; Koszycki, D., Benger, M., Shlik, J., Bradwejn, J., Randomized trial of a meditation-based stress reduction program and cognitive behavior therapy in generalized social anxiety disorder (2007) Behav. Res. Ther, 45, pp. 2518-2526; Lang, P.J., Behavioral treatment and bio-behavioral assessment: Computer applications (1980) Technology In Mental Health Care Delivery, pp. 119-137. , eds J. B. Sidowski, J. H. Johnson, and T. A. Williams, Norwood: Ablex Publishing; Lemogne, C., Delaveau, P., Freton, M., Guionnet, S., Fossati, P., Medial prefrontal cortex and the self in major depression (2012) J. Affect. Disord, 136, pp. e1-e11; Liebowitz, M.R., Social phobia (1987) Mod. Probl. Pharmacopsychiatry, 22, pp. 141-173; Margulies, D.S., Vincent, J.L., Kelly, C., Lohmann, G., Uddin, L.Q., Biswal, B.B., Precuneus shares intrinsic functional architecture in humans and monkeys (2009) Proc. Natl. Acad. Sci. U.S.A, 106, pp. 20069-20074; Martin, S.D., Martin, E., Rai, S.S., Richardson, M.A., Royall, R., Brain blood flow changes in depressed patients treated with interpersonal psychotherapy or ven- lafaxine hydrochloride: Preliminary findings (2001) Arch. Gen. Psychiatry, 58, pp. 641-648; McEntee, D.J., Halgin, R.P., Cognitivegrouptherapyandaerobic exercise in the treatment of anxiety (1999) J. CollegeStud. Psychother, 13, pp. 39-58; Merom, D., Phongsavan, P., Wagner, R., Chey, T., Marnane, C., Steel, Z., Promoting walking as an adjunct intervention to group cognitive behavioral therapy for anxiety disorders: A pilot group randomized trial (2007) J. Anxiety Disord, 22, pp. 959-968; Moscovitch, D.A., What is the core fear in social phobia? A new model to facilitate individualized case conceptualization and treatment (2009) Cogn. Behav. Pract, 16, pp. 123-134; Northoff, G., Bermpohl, F., Cortical midline structures and the self (2004) Trends Cogn. Sci. (Regul. Ed.), 8, pp. 102-107; Northoff, G., Heinzel, A., de Greck, M., Bermpohl, F., Dobrowolny, H., Panksepp, J., Self-referential processing in our brain-A metaanalysis of imaging studies on the self (2006) Neuroimage, 31, pp. 440-457; Northoff, G., Qin, P., Feinberg, T.E., Brain imaging of the self - conceptual, anatomical and methodological issues (2011) Conscious. Cogn, 20, pp. 52-63; Northoff, G., Schneider, F., Rotte, M., Matthiae, C., Tempelmann, C., Wiebking, C., Differential parametric modulation of selfrelatedness and emotions in different brain regions (2009) Hum. Brain Mapp, 30, pp. 369-382; Ochsner, K.N., Gross, J.J., The cognitive control of emotion (2005) Trends Cogn. Sci. (Regul. Ed.), 9, pp. 242-249; Penedo, F.J., Dahn, J.R., Exercise and well-being: A review of mental and physical health benefits associated with physical activity (2005) Curr. Opin. Psychiatry, 18, pp. 189-193; Petruzzello, S.J., Landers, A.C., Hatfield, B.D., Kubitz, K.A., Salazar, W., A meta-analysis on the anxiety-reducing effect of acute and chronic exercise: Outcomes and mechanisms (1991) Sports Med, 11, pp. 143-182; Pfeifer, J.H., Peake, S.J., Selfdevelopment: Integrating cognitive, socioemotional, and neuroimaging perspectives (2012) Dev. Cogn. Neurosci, 2, pp. 55-69; Phan K.L.Taylor, S.F., Welsh, R.C., Ho, S.H., Britton, J.C., Liberzon, I., Neural correlates of individual ratings of emotional salience: A trial-related fMRI study (2004) Neuroimage, pp. 768-780; Ramel, W., Goldin, P.R., Carmona, P.E., McQuaid, J.R., The effects of mindfulness meditation on cognitive processes and affect in patients with past depression (2004) Cog- Nit. Ther. Res, 28, p. 433; Rytwinski, N.K., Fresco, D.M., Heimberg, R.G., Coles, M.E., Liebowitz, M.R., Cissell, S., Screening for social anxiety disorder with the self-report version of the Liebowitz Social Anxiety Scale (2009) Depress. Anxiety, 26, pp. 34-38; Samson, A.C., Meisenzahl, E., Scheuerecker, J., Rose, E., Schoepf, V., Wiesmann, M., Brain activation predicts treatment improvement in patients with major depressive disorder (2011) J. Psychiatr. Res, 45, pp. 1214-1222; Schmitz, T.W., Johnson, S.C., Relevance to self: A brief review and framework of neural systems underlying appraisal Neurosci. Biobehav. Rev, 31, pp. 585-596; Schneider, M., Debbané, M., Lagioia, A., Salomon, R., D'Argembeau, A., Eliez, S., Comparing the neural bases of self-referential processing in typically developing and 22q11.2 adolescents (2012) Dev. Cogn. Neurosci, 2, pp. 277-289; Segal, Z.V., Williams, J.M.G., Teasdale, J.D., (2002) Mindfulness Based Cognitive Therapy For Depression: A New Approach to PreventingRelapse, , New York: Guildford Press; Sheehan, D.V., (1983) TheAnxietyDis- Ease, , New York: Scribner; Spurr, J.M., Stopa, L., Selffocused attention in social phobia and social anxiety (2002) Clin. Psychol. Rev, pp. 947-975; Steptoe, A., Edwards, S., Moses, J., Mathews, A., The effects of exercise training on mood and perceived coping ability in anxious adults from the general population (1989) J. Psychosom. Res, 33, pp. 537-547; Stich, F.A., A meta-analysis of physical exercise as a treatment for symptoms of anxiety adults from the general population (1998) Psychosom. Res, 33, pp. 537-547; Ströhle, A., Physical activity, exercise, depression and anxiety disorders (2009) J. Neural Transm, 116, pp. 777-784; Talairach, J., Tournoux, P., (1988) Co-Planar Stereotaxic Atlas of the Human Brain, , NewYork: Thieme; van der Meer, L., Costafreda, S., Aleman, A., David, A.S., Self-reflection and the brain: A theoretical review and meta-analysis of neuroimaging studies with implications for schizophrenia (2010) Neurosci. Biobehav. Rev, 34, pp. 935-946; Vollestad, J., Nielsen, M.B., Nielsen, G.H., Mindfulness- and acceptance-based interventions for anxiety disorders: A systematic review and meta-analysis (2012) Br. J. Clin. Psychol, 51, pp. 239-260</t>
  </si>
  <si>
    <t>Frontiers Media S. A.</t>
  </si>
  <si>
    <t>2-s2.0-84933672911</t>
  </si>
  <si>
    <t>Randomized controlled trial of mindfulness-based stress reduction versus aerobic exercise: effects on the self-referential brain network in social anxiety disorder</t>
  </si>
  <si>
    <t>Elahi H., Castiglione A., Wang G., Geman O.</t>
  </si>
  <si>
    <t>57199509000;16027997000;57223145800;53863372800;</t>
  </si>
  <si>
    <t>A human-centered artificial intelligence approach for privacy protection of elderly App users in smart cities</t>
  </si>
  <si>
    <t>444</t>
  </si>
  <si>
    <t>202</t>
  </si>
  <si>
    <t>10.1016/j.neucom.2020.06.149</t>
  </si>
  <si>
    <t>https://www.scopus.com/inward/record.uri?eid=2-s2.0-85100537069&amp;doi=10.1016%2fj.neucom.2020.06.149&amp;partnerID=40&amp;md5=c244b1508de254239e9575f738ae80ee</t>
  </si>
  <si>
    <t>School of Computer Science and Cyberengineering, Guangzhou University, Guangzhou, 510006, China; Department of Science and Technology, University of Naples Parthenope, Isola C4, Naples, 80143, Italy; Health and Human Development Department, Stefan cel Mare University, Suceava, 720229, Romania</t>
  </si>
  <si>
    <t>Elahi, H., School of Computer Science and Cyberengineering, Guangzhou University, Guangzhou, 510006, China; Castiglione, A., Department of Science and Technology, University of Naples Parthenope, Isola C4, Naples, 80143, Italy; Wang, G., School of Computer Science and Cyberengineering, Guangzhou University, Guangzhou, 510006, China; Geman, O., Health and Human Development Department, Stefan cel Mare University, Suceava, 720229, Romania</t>
  </si>
  <si>
    <t>Artificial Intelligence and Machine Learning based Ambient Assisted Living systems play an important role in smart cities by improving the quality of life of the elderly population. Many Ambient Assisted Living systems are coupled with Android Apps for command-and-control purposes. Consequently, the privacy and security of Ambient Assisted Living systems depend on the privacy and security of the corresponding Android Apps, which follow a privacy self-management model. Unfortunately, the privacy self-management model ignores the decision-making abilities of the elderly and increases their cognitive loads, which put their privacy protection and wellbeing at stake. In this paper, we follow a Human-Centered Artificial Intelligence inspired approach for addressing these issues. This approach uses privacy as a shared responsibility model instead of the privacy self-management model. We have proposed two algorithms, the participatory privacy protection algorithm-I, and participatory privacy protection algorithm-II, for determining optimal privacy settings of an Ambient Assisted Living App and handling its runtime Permission requests, respectively. We demonstrated the working of these algorithms using a case study. We have also compared the proposed approach with state-of-the-art privacy management schemes for Android Apps. The proposed algorithms can improve the privacy protection of Ambient Assisted Living App users in smart cities and relieve them through cognitive offloading. © 2021 Elsevier B.V.</t>
  </si>
  <si>
    <t>Ambient assisted living; Cognitive offloading; Human-centered AI; Privacy as a shared responsibility; Smart city; Soft sets</t>
  </si>
  <si>
    <t>Ambient intelligence; Android (operating system); Artificial intelligence; Biological systems; Command and control systems; Decision making; Mobile security; Privacy by design; Smart city; Ambient assisted living; Command and control; Elderly populations; Privacy and security; Privacy management; Privacy protection; Self-management model; Shared responsibility; Assisted living; aged; algorithm; article; artificial intelligence; assisted living facility; city; controlled study; decision making; female; human; human experiment; male; privacy; responsibility; self care; wellbeing</t>
  </si>
  <si>
    <t>UNDESA, World population prospects 2019: Highlights, Tech. Rep. ST/ESA/SER.A/423, United Nations, Department of Economic and Social Affairs, Population Division (Jun 2019); Esch, J., A survey on ambient intelligence in healthcare (2013) Proc. IEEE, 101 (12), pp. 2467-2469; Giacalone, D., Wendin, K., Kremer, S., Frøst, M.B., Bredie, W.L., Olsson, V., Otto, M.H., Risvik, E., Health and quality of life in an aging population – food and beyond (2016) Food Qual. Prefer., 47, pp. 166-170; Miller, A.A.K., Smart-home technologies to assist older people to live well at home (2013) J. Aging Sci., 1 (1), pp. 1-9; Dobbins, C., Rawassizadeh, R., Momeni, E., Detecting physical activity within lifelogs towards preventing obesity and aiding ambient assisted living (2017) Neurocomputing, 230, pp. 110-132; Betti, D., Rossi, L., Stara, V., Tecchio, E., Zanella, G., Zancanaro, M., Assisted coaching for older people: Initial considerations (2019) Lecture Notes in Electrical Engineering, pp. 341-352. , Springer International Publishing; van Heek, J.O., Schomakers, E.-M., Ziefle, M., Bare necessities? how the need for care modulates the acceptance of ambient assisted living technologies (2019) Int. J. Med. Informatics, 127, pp. 147-156; Zhou, X., Li, K., Xiao, G., Zhou, Y., Li, K., Top k favorite probabilistic products queries (2016) IEEE Trans. Knowl. Data Eng., 28 (10), pp. 2808-2821; Caire, P., Moawad, A., Efthymiou, V., Bikakis, A., Le Traon, Y., Privacy Challenges in Ambient Intelligence Systems (2016) J. Ambient Intelligence Smart Environ., 8 (6), pp. 619-644; Thorstensen, E., Privacy and future consent in smart homes as assisted living technologies (2018), pp. 415-433. , Human Aspects of IT for the Aged Population. Applications in Health, Assistance, and Entertainment, Springer International Publishing; Hao, J., Bouzouane, A., Gaboury, S., Recognizing multi-resident activities in non-intrusive sensor-based smart homes by formal concept analysis (2018) Neurocomputing, 318, pp. 75-89; Sangaiah, A.K., Medhane, D.V., Han, T., Hossain, M.S., Muhammad, G., Enforcing position-based confidentiality with machine learning paradigm through mobile edge computing in real-time industrial informatics (2019) IEEE Trans. Industr. Inf., 15 (7), pp. 4189-4196; Ong, D.P., Pedro, E.J.L.S., Valenzuela, M.E.M., Tiglao, N.M.C., BrainSmart: Ambient assisted living system smartphone app prototype for parkinson's disease patients (2018), pp. 1-6. , 2018 IEEE Global Humanitarian Technology Conference (GHTC), IEEE; Pienaar, J.P., Fisher, R.M., Hancke, G.P., Smartphone: The key to your connected smart home (2015) 2015 IEEE 13th International Conference on Industrial Informatics (INDIN), pp. 999-1004. , IEEE; Murabet, A.E., Abtoy, A., Touhafi, A., Tahiri, A., Ambient assisted living system's models and architectures: A survey of the state of the art (2020) J. King Saud University – Computer Inform. Sci., 32 (1), pp. 1-10; Sami, A., Jenny, W., George, B., Rachelle, B., Privacy and the internet of things (iot) monitoring solutions for older adults: A review (2018) Studies in Health Technology and Informatics 252 (Connecting the System to Enhance the Practitioner and Consumer Experience in Healthcare), pp. 8-14; Zhang, S., Wang, G., Bhuiyan, M.Z.A., Liu, Q., A dual privacy preserving scheme in continuous location-based services (2018) IEEE Internet Things J., 5 (5), pp. 4191-4200; Costello, M.C., Bloesch, E.K., Are older adults less embodied? a review of age effects through the lens of embodied cognition (2017) Front. Psychol., 8, pp. 1-18; Frey, R., Mata, R., Hertwig, R., The role of cognitive abilities in decisions from experience: Age differences emerge as a function of choice set size (2015) Cognition, 142, pp. 60-80; Solove, D.J., Privacy Self-Management and the Consent Dilemma, 126 (2013) Harvard Law Review, 1880, pp. 1880-1903; Elahi, H., Wang, G., Peng, T., Chen, J., AI and its risks in android smartphones: A case of google smart assistant (2019) Communications in Computer and Information Science, pp. 341-355. , Springer Singapore; Vecchiato, D., Vieira, M., Martins, E., The perils of android security configuration (2016) Computer, 49 (6), pp. 15-21; Elahi, H., Wang, G., Chen, J., Pleasure or pain? an evaluation of the costs and utilities of bloatware applications in android smartphones (2020) J. Network Computer Appl., 157; López, G., Marín, G., Calderón, M., Characterizing ubiquitous systems privacy issues by gender and age (2015) Lecture Notes in Computer Science, pp. 247-258. , Springer International Publishing; Castiglione, A., De Prisco, R., De Santis, A., Do You Trust Your Phone? (2009) E-Commerce and Web Technologies, pp. 50-61. , T. Di Noia F. Buccafurri Springer Berlin Heidelberg, Berlin, Heidelberg; Sweller, J., Ayres, P., Kalyuga, S., Intrinsic and extraneous cognitive load (2011) Cognitive Load Theory, pp. 57-69. , Springer New York; Lin, J., Sadeh, N., Amini, S., Lindqvist, J., Hong, J.I., Zhang, J., Expectation and purpose (2012), pp. 501-510. , Proceedings of the 2012 ACM Conference on Ubiquitous Computing - UbiComp ’12, ACM Press; Nakamura, T., Kiyomoto, S., Tesfay, W.B., Serna, J., Easing the burden of setting privacy preferences: A machine learning approach (2017) Communications in Computer and Information Science, pp. 44-63. , Springer International Publishing; Dogruel, L., Joeckel, S., Vitak, J., The valuation of privacy premium features for smartphone apps: The influence of defaults and expert recommendations (2017) Comput. Hum. Behav., 77, pp. 230-239; Watson, J., Lipford, H.R., Besmer, A., Mapping user preference to privacy default settings (2015) ACM Trans. Computer-Human Interaction, 22 (6), pp. 1-20; Alqarni, A., Sampalli, S., Privacy-enhancing of user's behaviour toward privacy settings in social networking sites (2016), pp. 2758-2765. , Proceedings of the 2016 CHI Conference Extended Abstracts on Human Factors in Computing Systems - CHI EA ’16, ACM Press; Torre, I., Sanchez, O.R., Koceva, F., Adorni, G., Supporting users to take informed decisions on privacy settings of personal devices (2017) Pers. Ubiquit. Comput., 22 (2), pp. 345-364; Hossain, A.A., Zhang, W., Privacy and security concern of online social networks from user perspective (2015), pp. 246-253. , ICISSP 2015 - International Conference on Information Systems Security and Privacy, Proceedings, IEEE, Angers, France; Riedl, M.O., Human-centered artificial intelligence and machine learning (2019) Human Behavior Emerging Technol., 1 (1), pp. 33-36; Maji, P., Roy, A., Biswas, R., An application of soft sets in a decision making problem (2002) Computers Math. Appl., 44 (8-9), pp. 1077-1083; Wang, T.-C., Lee, H.-D., Developing a fuzzy TOPSIS approach based on subjective weights and objective weights (2009) Expert Syst. Appl., 36 (5), pp. 8980-8985; Hayat, K., Ali, M.I., Karaaslan, F., Cao, B.-Y., Shah, M.H., Design concept evaluation using soft sets based on acceptable and satisfactory levels: an integrated TOPSIS and shannon entropy (2019) Soft. Comput., 2020 (24), pp. 2229-2263; Molodtsov, D., Soft set theory—first results (1999) Computers Math. Appl., 37 (4-5), pp. 19-31; Azvine, B., Wobcke, W., Human-centred intelligent systems and soft computing (1998) BT Technol. J, 16 (3), pp. 125-133; (2014), https://tinyurl.com/t3mrrcm, ALRC, Serious Invasions of Privacy in the Digital Era, Tech. Rep. 3 September, Australian Law Reform Commission, Sydney NSW 2001; Roy, A., Maji, P., A fuzzy soft set theoretic approach to decision making problems (2007) J. Comput. Appl. Math., 203 (2), pp. 412-418; Maji, P., Biswas, R., Roy, A., Soft set theory (2003) Computers Math. Appl., 45 (4-5), pp. 555-562; Khameneh, A.Z., Kılıçman, A., Multi-attribute decision-making based on soft set theory: A systematic review (2018) Soft. Comput., 23 (16), pp. 6899-6920; Yao, Y., Relational interpretations of neighborhood operators and rough set approximation operators (1998) Inf. Sci., 111 (1-4), pp. 239-259; Lin, T., Granular computing on binary relations II: rough set representations and belief functions (1998) Rough Sets Knowl. Discovery, 1, pp. 121-140; Dwivedi, G., Srivastava, R.K., Srivastava, S.K., A generalised fuzzy TOPSIS with improved closeness coefficient (2018) Expert Syst. Appl., 96, pp. 185-195; Elahi, H., Wang, G., A participatory privacy protection framework for smart-phone application default settings (2019) Communications in Computer and Information Science, pp. 168-182. , Springer Singapore; Risko, E.F., Gilbert, S.J., Cognitive offloading (2016) Trends Cognitive Sci., 20 (9), pp. 676-688; Amershi, S., Cakmak, M., Knox, W.B., Kulesza, T., Power to the people: The role of humans in interactive machine learning (2014) AI Magazine, 35 (4), pp. 105-120; Chesta, C., Corcella, L., Kroll, S., Manca, M., Nuss, J., Paternò, F., Santoro, C., Enabling personalisation of remote elderly assistant applications (2017), pp. 1-9. , Proceedings of the 12th Biannual Conference on Italian SIGCHI Chapter - CHItaly ’17, ACM Press; Pascalev, M., Privacy exchanges: restoring consent in privacy self-management (2016) Ethics Inf. Technol., 19 (1), pp. 39-48; Billis, A.S., Papageorgiou, E.I., Frantzidis, C.A., Tsatali, M.S., Tsolaki, A.C., Bamidis, P.D., A decision-support framework for promoting independent living and ageing well (2015) IEEE J. Biomed. Health Inform., 19 (1), pp. 199-209; Chen, Y., Li, K., Yang, W., Xiao, G., Xie, X., Li, T., Performance-aware model for sparse matrix-matrix multiplication on the sunway taihulight supercomputer (2019) IEEE Trans. Parallel Distrib. Syst., 30 (4), pp. 923-938; Ma, X., Liu, Q., Zhan, J., A survey of decision making methods based on certain hybrid soft set models (2016) Artif. Intell. Rev., 47 (4), pp. 507-530; Zave, P., Jackson, M., Gunter, E., Gunter, C., A reference model for requirements and specifications (2000) IEEE Softw., 17 (3), pp. 37-43; Mobasheri, M.H., King, D., Johnston, M., Gautama, S., Purkayastha, S., Darzi, A., The ownership and clinical use of smartphones by doctors and nurses in the UK: a multicentre survey study (2015) BMJ Innovations, 1 (4), pp. 174-181; Liu, Y., Liu, X., Tan, Z., Shi, J., Fuzzy Soft Set Multi-Attribute Decision Making Method Based on TOPSIS with Improved Entropy Weight (2018), 147, pp. 321-332. , J. Wu (Eds.), Proceedings of the 2018 International Conference on Network, Communication, Computer Engineering (NCCE 2018), Atlantis Press, Chongqing; Elahi, H., Wang, G., Xie, D., Assessing privacy behaviors of smartphone users in the context of data over-collection problem: An exploratory study (2017), pp. 1-8. , 2017 IEEE SmartWorld, Ubiquitous Intelligence &amp; Computing, Advanced &amp; Trusted Computed, Scalable Computing &amp; Communications, Cloud &amp; Big Data Computing, Internet of People and Smart City Innovation (SmartWorld/SCALCOM/UIC/ATC/CBDCom/IOP/SCI), IEEE; Hassan, M., Malik, A., Fofi, D., Karasfi, B., Meriaudeau, F., Towards health monitoring using remote heart rate measurement using digital camera: A feasibility study (2020) Measurement, 149; Elahi, H., Wang, G., Li, X., Smartphone bloatware: An overlooked privacy problem (2017) Security, Privacy, and Anonymity in Computation, Communication, and Storage, pp. 169-185. , Springer International Publishing; Alepis, E., Patsakis, C., Trapped by the UI: The android case (2017), pp. 334-354. , Research in Attacks, Intrusions, and Defenses, Springer International Publishing; Vecchiato, D., Vieira, M., Martins, E., A security configuration assessment for android devices (2015), pp. 2299-2304. , Proceedings of the 30th Annual ACM Symposium on Applied Computing - SAC ’15, ACM Press; Parker, F., Ophoff, J., Belle, J.-P.V., Karia, R., Security awareness and adoption of security controls by smartphone users (2015) 2015 Second International Conference on Information Security and Cyber Forensics (InfoSec), pp. 99-104. , IEEE; Chen, C., Li, K., Ouyang, A., Tang, Z., Li, K., Gpu-accelerated parallel hierarchical extreme learning machine on flink for big data (2017) IEEE Trans. Syst. Man Cybern. Syst., 47 (10), pp. 2740-2753; Xu, Y., Wang, G., Ren, J., Zhang, Y., An adaptive and configurable protection framework against android privilege escalation threats (2019) Future Generation Computer Systems, 92, pp. 210-224; Oguego, C.L., Augusto, J.C., Muñoz, A., Springett, M., A survey on managing users’ preferences in ambient intelligence (2017) Univ. Access Inf. Soc., 17 (1), pp. 97-114; Mitra, S., Hayashi, Y., Bioinformatics with soft computing (2006) IEEE Trans. Syst., Man Cybern., Part C (Appl. Reviews), 36 (5), pp. 616-635; Chen, C., Li, K., Ouyang, A., Li, K., Flinkcl: An opencl-based in-memory computing architecture on heterogeneous CPU-GPU clusters for big data (2018) IEEE Trans. Computers, 67 (12), pp. 1765-1779; Psychoula, I., Chen, L., Chen, F., Privacy modelling and management for assisted living within smart homes (2017), pp. 1-6. , 2017 IEEE 19th International Conference on e-Health Networking, Applications and Services (Healthcom), IEEE; Taylor, V.F., Martinovic, I., (2016), pp. 168-182. , SecuRank, in: Proceedings of the 6th Workshop on Security and Privacy in Smartphones and Mobile Devices - SPSM'16, ACM Press; Chen, C., Li, K., Ouyang, A., Zeng, Z., Li, K., Gflink: An in-memory computing architecture on heterogeneous CPU-GPU clusters for big data (2018) IEEE Trans. Parallel Distrib. Syst., 29 (6), pp. 1275-1288; Palmieri, F., Fiore, U., Castiglione, A., Automatic security assessment for next generation wireless mobile networks (2011) Mobile Inform. Syst., 7 (3), pp. 217-239; (2016), pp. 1-88. , The European Parliament and the Council of the European Union, Regulation (EU) 2016/679 (GDPR), Official Journal of the European Union L 119; Lahtiranta, J., Hyrynsalmi, S., Koskinen, J., The false prometheus (2017) ACM SIGCAS Computers and Society, 47 (3), pp. 86-97; Carneiro, J., Saraiva, P., Conceição, L., Santos, R., Marreiros, G., Novais, P., Predicting satisfaction: Perceived decision quality by decision-makers in web-based group decision support systems (2019) Neurocomputing, 338, pp. 399-417; Xu, Y., Gao, W., Zeng, Q., Wang, G., Ren, J., Zhang, Y., A feasible fuzzy-extended attribute-based access control technique (2018) Security and Communication Networks, 2018, pp. 1-11; Carullo, G., Castiglione, A., Cattaneo, G., Santis, A.D., Fiore, U., Palmieri, F., FeelTrust: Providing trustworthy communications in ubiquitous mobile environment (2013), 2013 IEEE 27th International Conference on Advanced Information Networking and Applications (AINA), IEEE; Chang, T.-R., Kaasinen, E., Kaipainen, K., Persuasive design in mobile applications for mental well-being: Multidisciplinary expert review (2013) Social Informatics and Telecommunications Engineering, pp. 154-162. , Springer Berlin Heidelberg; Pal, A., Harper, F.M., Konstan, J.A., Exploring question selection bias to identify experts and potential experts in community question answering (2012) ACM Trans. Inform. Syst., 30 (2), pp. 1-28; Dee, M., Hanson, V.L., A pool of representative users for accessibility research (2016) ACM Trans. Accessible Computing, 8 (1), pp. 1-31; Senarath, A.R., Arachchilage, N.A.G., Understanding user privacy expectations: A software developer's perspective (2018) Telematics Inform., 35 (7), pp. 1845-1862; Skouby, K.E., Kivimäki, A., Haukipuro, L., Lynggaard, P., Windekilde, I., Smart Cities and the Ageing Population (2014) Wireless World Research Forum, 12, pp. 1-12; Hofmann, B., Ethical challenges with welfare technology: A review of the literature (2012) Sci. Eng. Ethics, 19 (2), pp. 389-406; Zagler, W.L., Panek, P., Rauhala, M., Karshmer, A.I., Nehmer, J., Raffler, H., Ambient assisted living systems - the conflicts between technology, acceptance, ethics and privacy (2008), pp. 1-4. , G. Tröster (Eds.), Assisted Living Systems - Models, Architectures and Engineering Approaches, no. 07462 in Dagstuhl Seminar Proceedings, Schloss Dagstuhl - Leibniz-Zentrum fuer Informatik, Germany, Dagstuhl, Germany; Tschersich, M., Configuration behavior of restrictive default privacy settings on social network sites (2015) Data Privacy Management, Autonomous Spontaneous Security, and Security Assurance, pp. 77-94. , Springer International Publishing; Egelman, S., Peer, E., The myth of the average user (2015), pp. 16-28. , Proceedings of the New Security Paradigms Workshop on ZZZ - NSPW ’15, ACM Press; Gong, K., Xiao, Z., Zhang, X., The bijective soft set with its operations (2010) Computers Math. Appl., 60 (8), pp. 2270-2278; Tiwari, V., Jain, P.K., Tandon, P., Product design concept evaluation using rough sets and VIKOR method (2016) Adv. Eng. Inform., 30 (1), pp. 16-25; Tiwari, V., Jain, P.K., Tandon, P., An integrated shannon entropy and TOPSIS for product design concept evaluation based on bijective soft set (2017) J. Intell. Manuf., 30 (4), pp. 1645-1658</t>
  </si>
  <si>
    <t>2-s2.0-85100537069</t>
  </si>
  <si>
    <t>A human-centered artificial intelligence approach for privacy protection of elderly app users in smart cities</t>
  </si>
  <si>
    <t>Feng X., Wei Y., Pan X., Qiu L., Ma Y.</t>
  </si>
  <si>
    <t>57192591578;57215840604;57215847167;57215841717;57215842353;</t>
  </si>
  <si>
    <t>Academic emotion classification and recognition method for large-scale online learning environment—based on A-CNN and LSTM-ATT deep learning pipeline method</t>
  </si>
  <si>
    <t>1941</t>
  </si>
  <si>
    <t>10.3390/ijerph17061941</t>
  </si>
  <si>
    <t>https://www.scopus.com/inward/record.uri?eid=2-s2.0-85082085494&amp;doi=10.3390%2fijerph17061941&amp;partnerID=40&amp;md5=cca82e52b68b5553fa679d9600027299</t>
  </si>
  <si>
    <t>Shanghai Engineering Research Center of Digital Education Equipment, East China Normal University, Shanghai, 200062, China; Department of Educational Information Technology, East China Normal University, Shanghai, 200062, China; School of Mathematics and Statistics, Chaohu University, Hefei, 238000, China</t>
  </si>
  <si>
    <t>Feng, X., Shanghai Engineering Research Center of Digital Education Equipment, East China Normal University, Shanghai, 200062, China; Wei, Y., Department of Educational Information Technology, East China Normal University, Shanghai, 200062, China; Pan, X., Department of Educational Information Technology, East China Normal University, Shanghai, 200062, China; Qiu, L., Department of Educational Information Technology, East China Normal University, Shanghai, 200062, China; Ma, Y., School of Mathematics and Statistics, Chaohu University, Hefei, 238000, China</t>
  </si>
  <si>
    <t>Subjective well-being is a comprehensive psychological indicator for measuring quality of life. Studies have found that emotional measurement methods and measurement accuracy are important for well-being-related research. Academic emotion is an emotion description in the field of education. The subjective well-being of learners in an online learning environment can be studied by analyzing academic emotions. However, in a large-scale online learning environment, it is extremely challenging to classify learners’ academic emotions quickly and accurately for specific comment aspects. This study used literature analysis and data pre-analysis to build a dimensional classification system of academic emotion aspects for students’ comments in an online learning environment, as well as to develop an aspect-oriented academic emotion automatic recognition method, including an aspect-oriented convolutional neural network (A-CNN) and an academic emotion classification algorithm based on the long short-term memory with attention mechanism (LSTM-ATT) and the attention mechanism. The experiments showed that this model can provide quick and effective identification. The A-CNN model accuracy on the test set was 89%, and the LSTM-ATT model accuracy on the test set was 71%. This research provides a new method for the measurement of large-scale online academic emotions, as well as support for research related to students’ well-being in online learning environments. © 2020 by the authors. Licensee MDPI, Basel, Switzerland.</t>
  </si>
  <si>
    <t>Academic emotion; Academic emotion classification algorithm; Academic emotion classification method; Subjective well-being</t>
  </si>
  <si>
    <t>algorithm; artificial neural network; classification; Internet; learning; psychology; quality of life; student; article; attention; classification algorithm; controlled study; convolutional neural network; deep learning; human; human experiment; learning environment; pipeline; short term memory; wellbeing; education; emotion; Internet; quality of life; Attention; Deep Learning; Education, Distance; Emotions; Humans; Internet; Neural Networks, Computer; Quality of Life</t>
  </si>
  <si>
    <t>Diener, E., Chan, M.Y., Happy people live longer: Subjective well-being contributes to health and longevity (2011) Appl. Psychol. Health Well Being, 3, pp. 1-43; González-Navarro, P., Talavera-Escribano, E., Zurriaga-Lloréns, R., Llinares-Insa, L.I., Culture, Work, and Subjective Well-Being: The Role of LMX and Resilience in Spanish and Chinese Cultures (2019) Int. J. Environ. Res. Public Health, 16, p. 4945; Trends Shaping, O.E.C.D., (2018) Education Spotlight 14: Good Vibrations: Students’ Well-Being, pp. 1-12. , OECD: Paris, France; Gutiérrez, J.L.G., Jiménez, B.M., Hernández, E.G., Pcn, C., Personality and subjective well-being: Big five correlates and demographic variables (2005) Pers. Individ. Differ., 38, pp. 1561-1569; Yin, H., Huang, S., Wang, W., Work environment characteristics and teacher well-being: The mediation of emotion regulation strategies (2016) Int. J. Environ. Res. Public Health, 13, p. 907; Gross, J.J., John, O.P., Individual differences in two emotion regulation processes: Implications for affect, relationships, and well-being (2003) J. Pers. Soc. Psychol., 85, p. 348; Haga, S.M., Kraft, P., Corby, E.-K., Emotion regulation: Antecedents and well-being outcomes of cognitive reappraisal and expressive suppression in cross-cultural samples (2009) J. Happiness Stud., 10, pp. 271-291; Fredrickson, B.L., Cultivating positive emotions to optimize health and well-being (2000) Prev. Treat., 3. , 1a. [CrossRef; Govaerts, S., Grégoire, J., Development and Construct Validation of an Academic Emotions Scale (2008) Int. J. Test., 8, pp. 34-54; Chiang, W.-W., Liu, C.-J., Scale of Academic Emotion in Science Education: Development and Validation (2014) Int. J. Sci. Educ., 36, pp. 908-928; Moers, T., Krebs, F., Spanakis, G., SEMTec: Social Emotion Mining Techniques for Analysis and Prediction of Facebook Post Reactions (2017) Proceedings of the International Conference on Agents and Artificial Intelligence, pp. 361-382. , Porto, Portugal, 24–26 February; Xia, F., Zhang, Z., Study of Text Emotion Analysis based on Deep Learning Proceedings of the 2018 13Th IEEE Conference on Industrial Electronics and Applications (ICIEA), pp. 2716-2720. , Wuhan, China, 31 May–2 June 2018; Pekrun, R., Linnenbrink-Garcia, L., Academic emotions and student engagement (2012) Handbook of Research on Student Engagement, pp. 259-282. , Springer: Berlin/Heidelberg, Germany; Kim-Prieto, C., Diener, E., Tamir, M., Scollon, C., Diener, M., Integrating the diverse definitions of happiness: A time-sequential framework of subjective well-being (2005) J. Happiness Stud., 6, pp. 261-300; Diener, E., Subjective well-being (1984) Psychol. Bull, 95, p. 542; Bradburn, N.M., (1969) The Structure of Psychological Well-Being, , Alpine: Chicago, IL, USA; Cejudo, J., Losada, L., Feltrero, R., Promoting Social and Emotional Learning and Subjective Well-Being: Impact of the “Aislados” Intervention Program in Adolescents (2020) Int. J. Environ. Res. Public Health, 17, p. 609; Shiota, M.N., Silver linings and candles in the dark: Differences among positive coping strategies in predicting subjective well-being (2006) Emotion, 6, p. 335; Su, X., Liu, S., Zhang, S., Liu, L., To Be Happy: A Case Study of Entrepreneurial Motivation and Entrepreneurial Process from the Perspective of Positive Psychology (2020) Sustainability, 12, p. 584; Deci, E.L., Ryan, R.M., Hedonia, eudaimonia, and well-being: An introduction (2008) J. Happiness Stud., 9, pp. 1-11; Pekrun, R., Goetz, T., Titz, W., Perry, R.P., Academic emotions in students’ self-regulated learning and achievement: A program of qualitative and quantitative research (2002) Educ. Psychol., 37, pp. 91-105; Ketonen, E., Lonka, K., How are Situational Academic Emotions Related to Teacher Students’ General Learning Profiles (2013) Interaction in Educational Domains, pp. 103-114. , Tirri, K., Kuusisto, E., Eds.; Sense Publishers: Rotterdam, The Netherlands; Pekrun, R., Goetz, T., Daniels, L.M., Stupnisky, R.H., Perry, R.P., Boredom in achievement settings: Exploring control–value antecedents and performance outcomes of a neglected emotion (2010) J. Educ. Psychol., 102, pp. 531-549; Asikainen, H., The interplay between academic emotions, psychological flexibility and self-regulation as predictors of academic achievement (2016) J. Furth. High. Educ., 42, pp. 439-453; Leisterer, S., Jekauc, D., Students’ Emotional Experience in Physical Education—A Qualitative Study for New Theoretical Insights (2019) Sports, 7, p. 10; Carmona-Halty, M., Salanova, M., Llorens, S., Schaufeli, W.B., How Psychological Capital Mediates Between Study–Related Positive Emotions and Academic Performance (2019) J. Happiness Stud., 20, pp. 605-617; Pekrun, R., Lichtenfeld, S., Marsh, H.W., Murayama, K., Goetz, T., Achievement emotions and academic performance: Longitudinal models of reciprocal effects (2017) Child Dev, 88, pp. 1653-1670; Xiong, J., Qin, Y., Gao, M., Hai, M., Longitudinal study of a dual-factor model of mental health in Chinese youth (2017) Sch. Psychol. Int., 38, pp. 287-303; Pekrun, R., Goetz, T., Frenzel, A.C., Barchfeld, P., Perry, R.P., Measuring emotions in students’ learning and performance: The Achievement Emotions Questionnaire (AEQ) (2011) Contemp. Educ. Psychol., 36, pp. 36-48; Lichtenfeld, S., Pekrun, R., Stupnisky, R.H., Reiss, K., Murayama, K., Measuring students’ emotions in the early years: The achievement emotions questionnaire-elementary school (AEQ-ES) (2012) Learn. Individ. Differ., 22, pp. 190-201; Gloria, C.T., Steinhardt, M.A., Relationships among positive emotions, coping, resilience and mental health (2016) Stress Health, 32, pp. 145-156; Wang, D., Li, S., Hu, M., Dong, D., Tao, S., Negative academic emotion and psychological well-being in chinese rural-to-urban migrant adolescents: Examining the moderating role of cognitive reappraisal (2017) Front. Psychol., 8, p. 1312; Rodriguez, P., Ortigosa, A., Carro, R.M., Extracting Emotions from Texts in e-Learning Environments (2012) Proceedings of the 2012 Sixth International Conference on Complex, Intelligent, and Software Intensive Systems, pp. 887-892. , Palermo, Italy; Altrabsheh, N., Cocea, M., Fallahkhair, S., (2015) Predicting Students’ Emotions Using Machine Learning Techniques, pp. 537-540. , In Proceedings of the International Conference on Artificial Intelligence in Education, Madrid, Spain, 22–26 June; Pang, B., Lee, L., Vaithyanathan, S., Thumbs up: Sentiment Classification Using Machine Learning Techniques (2002) Proceedings of the ACL-02 Conference on Empirical Methods in Natural Language Processing, 10, pp. 79-86. , -, Stroudsburg, PA, USA, 7–12 July; Kim, Y., Convolutional Neural Networks for Sentence Classification (2014) Proceedings of the 2014 Conference on Empirical Methods in Natural Language Processing (EMNLP), pp. 1746-1751. , Doha, Qatar, 25–29 October; Shamsi, A., Nasir, S., Hajiani, M.A., Ejaz, A., Ali, S.A., Emotion Prediction using Machine Learning Techniques (2019) Int. J. Comput. Sci. Netw. Secur., 19, pp. 166-172; Vaswani, A., Shazeer, N., Parmar, N., Uszkoreit, J., Jones, L., Gomez, A.N., Kaiser, Ł., Polosukhin, I., Attention is All You Need (2017) Proceedings of the Advances in Neural Information Processing Systems, pp. 5998-6008. , Long Beach, CA, USA, 4–9 December; Feng, X., Qiu, L., Guo, X., Recognition Method for Academic Emotions of Students’ Feedback Texts Based on LSTM Model (2019) Open Educ. Res., 25, pp. 116-122; Patrick, B.C., Skinner, E.A., Connell, J.P., What motivates children’s behavior and emotion? Joint effects of perceived control and autonomy in the academic domain (1993) J. Pers. Soc. Psychol., 65, p. 781; Yao, K., Li, S.Z., Li, Y.H., Qiu, J.J.A., Study on MOOC Evaluation Model (2017) Fudan Educ. Forum, 15, pp. 65-71; Li, Q., Liu, N., Towards a MOOC Quality Assurance Framework (2015) Open Educ. Res., 21, pp. 66-73; Palloff, R.M., Pratt, K., Effective Course, Faculty, and Program Evaluation (2020) Proceedings of the Annual Conference on Distance Teaching &amp; Learning, pp. 4-6. , Madison, WI, USA, August; Vocational Training, Examination to Improve the Online Education Platform., , https://ke.qq.com/, Available online: (accessed on 19 January 2020); Chinese University MOOC_Online Learning Platform for National Quality Courses. Available online: https://www.icourse163.org/(accessed on 19 January 2020); Specifications for Evaluating Web-Based Courses (CELTS-22.1), , https://wenku.baidu.com/view/cac2db43336c1eb91a375db7.html, (accessed on 19 January 2020); Mohammad, S.M., Kiritchenko, S., Using hashtags to capture fine emotion categories from tweets (2015) Comput. Intell., 31, pp. 301-326; Tan, S., Wu, Q., A random walk algorithm for automatic construction of domain-oriented sentiment lexicon (2011) Expert Syst. Appl., 38, pp. 12094-12100; Liu, B., (2015) Sentiment Analysis: Mining Opinions, Sentiments, and Emotions, , Cambridge University Press: Cambridge, UK; Yih, W.-T., He, X., Meek, C., (2014) Semantic Parsing for Single-Relation Question Answering., pp. 643-648. , In Proceedings of the 52nd Annual Meeting of the Association for Computational Linguistics, Baltimore, MD, USA, 22–27 June; Google.Word2vec, , https://code.google.com/archive/p/word2vec/, accessed on 19 January 2020; Github-Fxsjy /Jieba: Jieba Chinese Word Segmentation, , https://github.com/fxsjy/jieba, Available online: (accessed on 19 January 2020); Duffy, M.C., Lajoie, S.P., Pekrun, R., Lachapelle, K., Emotions in medical education: Examining the validity of the Medical Emotion Scale (MES) across authentic medical learning environments (2018) Learn. Instr.; Datu, J.A.D., Everyday discrimination, negative emotions, and academic achievement in Filipino secondary school students: Cross-sectional and cross-lagged panel investigations (2018) J. Sch. Psychol., 68, pp. 195-205; Giossos, Y., Koutsouba, M., Lionarakis, A., Skavantzos, K., Reconsidering Moore’s transactional distance theory (2009) Eur. J. Open Distance E Learn., 2, pp. 1-6; Huang, C.-Q., Han, Z.-M., Li, M.-X., Jong, M.S.-Y., Tsai, C.-C., Investigating students’ interaction patterns and dynamic learning sentiments in online discussions (2019) Comput. Educ., 140</t>
  </si>
  <si>
    <t>2-s2.0-85082085494</t>
  </si>
  <si>
    <t>Academic emotion classification and recognition method for large-scale online learning environment—based on a-cnn and lstm-att deep learning pipeline method</t>
  </si>
  <si>
    <t>Freitas E.F., Martins F.F., Oliveira A., Segundo I.R., Torres H.</t>
  </si>
  <si>
    <t>35107078200;57214834759;57226340366;57201067276;57195685752;</t>
  </si>
  <si>
    <t>Traffic noise and pavement distresses: Modelling and assessment of input parameters influence through data mining techniques</t>
  </si>
  <si>
    <t>Applied Acoustics</t>
  </si>
  <si>
    <t>138</t>
  </si>
  <si>
    <t>147</t>
  </si>
  <si>
    <t>155</t>
  </si>
  <si>
    <t>10.1016/j.apacoust.2018.03.019</t>
  </si>
  <si>
    <t>https://www.scopus.com/inward/record.uri?eid=2-s2.0-85044986398&amp;doi=10.1016%2fj.apacoust.2018.03.019&amp;partnerID=40&amp;md5=9547ce533bd080ac0f067444ad9ab55b</t>
  </si>
  <si>
    <t>CTAC, School of Engineering, Department of Civil Engineering, University of Minho, Portugal; ISISE, School of Engineering, Department of Civil Engineering, University of Minho, Portugal</t>
  </si>
  <si>
    <t>Freitas, E.F., CTAC, School of Engineering, Department of Civil Engineering, University of Minho, Portugal; Martins, F.F., ISISE, School of Engineering, Department of Civil Engineering, University of Minho, Portugal; Oliveira, A., CTAC, School of Engineering, Department of Civil Engineering, University of Minho, Portugal; Segundo, I.R., CTAC, School of Engineering, Department of Civil Engineering, University of Minho, Portugal; Torres, H., CTAC, School of Engineering, Department of Civil Engineering, University of Minho, Portugal</t>
  </si>
  <si>
    <t>Traffic noise affects greatly health and well-being of people, consequently the knowledge and control of the factors affecting it is very important. In this study models to predict tyre-pavement noise acoustic and psychoacoustic indicators based on type of pavement, texture, pavement distresses and speed were developed and used to assess the importance of each factor. By applying data mining techniques, in particular artificial neural networks and support vector machines, models with good predictive capacity of both acoustic and psychoacoustic noise indicators were obtained, constituting a precious tool to reduce the tyre-pavement noise. Moreover, the proposed models allowed for the assessment of the influence of the input parameters controlling noise such as: type of pavement, texture, speed and pavement distresses for the first time. It was found that pavement distresses and, as expected, speed influence strongly tyre-pavement noise. In this way it is clearly shown that preventive maintenance of road pavements by authorities, which eliminates distresses, can have an important effect on tyre-road noise, promoting the well-being of the populations. © 2018 Elsevier Ltd</t>
  </si>
  <si>
    <t>Acoustic and psychoacoustic indicators; Artificial neural networks; Data mining; Pavement distresses; Support vector machines; Tyre-pavement noise</t>
  </si>
  <si>
    <t>Acoustics; Data mining; Neural networks; Noise pollution; Pavements; Preventive maintenance; Support vector machines; Tires; Input parameter; Noise indicators; Pavement distress; Pavement noise; Predictive capacity; Road pavements; Traffic noise; Tyre road noise; Acoustic noise</t>
  </si>
  <si>
    <t>Sygna, K., Aasvang, G.M., Aamodt, G., Oftedal, B., Krog, N.H., Road traffic noise, sleep and mental health (2014) Environmental Res, 2010 (131), pp. 17-24; Frei, P., Mohler, E., Röösli, M., Effect of nocturnal road traffic noise exposure and annoyance on objective and subjective sleep quality (2014) Int J Hyg Environ Health, 217 (2-3), pp. 188-195; Ohrström, E., Sleep disturbances caused by road traffic noise – studies in laboratory and field (2000) Noise Health, 2 (8), pp. 71-78; Sørensen, M., Andersen, Z.J., Nordsborg, R.B., Becker, T., Tjønneland, A., Overvad, K., Long-term exposure to road traffic noise and incidente diabetes: a cohort study (2013) Environ Health Perspect, 121, pp. 217-222; Yongbing, S., Martin, W.H., Noise induced hearing loss in China: a potentially costly public health issue (2013) J Otol, 8 (1), pp. 51-56; Babisch, W., Updated exposure-response relationship between road traffic noise and coronary heart diseases: a meta-analysis (2014) Noise Health, 16 (68), pp. 1-9; Recio, A., Linares, C., Banegas, J.R., Díaz, J., Road traffic noise effects on cardiovascular, respiratory, and metabolic health: an integrative model of biological mechanisms (2016) Environment Res, 146, pp. 359-370; Sandberg, U., Ejsmont, J., Tyre/Road noise reference Book, Informex SE – 59040 (2002), Kisa Sweden; Freitas, E., Mendonça, C., Santos, J.A., Murteira, C., Ferreira, J.P., (2012), 17, pp. 321-326. , Traffic noise abatement: how different pavements, vehicle speeds and traffic densities affect annoyance levels, Transportation research (Part D): Transport and environment;; Miller, J.S., Bellinger, W.Y., Distress identification manual for the long-term pavement performance program (No. FHWA-RD-03-031) 2003; Licitra, G., Cerchiai, M., Teti, L., Ascari, E., Fredianelli, L., Durability and variability of the acoustical performance of rubberized road surfaces (2015) Appl Acoust, 94, pp. 20-28; Gardziejczyk, W., The effect of time on acoustic durability of low noise pavements–The case studies in Poland (2016) Transport Res Part D: Transport Environment, 44, pp. 93-104; Fayyad, U., Piattetsky-Shapiro, G., Smyth, P., The KDD process for extracting useful knowledge from volumes of data (1996) Commun ACM, 39 (11), pp. 27-34; Steele, C., A critical review of some traffic noise prediction models (2001) Appl Acoust, 62, pp. 271-287; Quartieri, J., Mastorakis, N., Iannone, G., Guarnaccia, C., D'Ambrosio, S., Troisi, A., (2009), A review of traffic noise predictive models. The 5th WSEAS International Conference on Applied and Theoretical Mechanics. Puerto De La Cruz, Canary Islands;; Garg, N., Maji, S., A critical review of principal traffic noise models: strategies and implications (2014) Environ Impact Assess Rev, 46, pp. 68-81; Freitas, E., Tinoco, J., Soares, F., Costa, J., Cortez, P., Pereira, P., Modelling tyre-road noise with data mining techniques (2015) Archives Acoust, 40 (4), pp. 547-560; Cammarata, G., Cavalieri, S., Fichera, A., A neural network architecture for noise prediction (1995) Neural Net, 8 (6), pp. 963-973; Nedic, V., Despotovic, D., Cvetanovic, S., Despotovic, M., Babic, S., Comparison of classical statistical methods and artificial neural network in traffic noise prediction (2014) Environmental Impact Assess Rev, 49, pp. 24-30; Kumar, P., Nigam, S.P., Kumar, N., Vehicular traffic noise modeling using artificial neural network approach (2014) Transportation Res Part C, 40, pp. 111-122; Garg, N., Mangal, S.K., Saini, P.K., Dhiman, P., Maji, S., Comparison of ANN and analytical models in traffic noise modeling and predictions (2015) Acoust Aust, 43, pp. 179-189; Singh, D., Nigam, S.P., Agrawal, V.P., Kumar, M., Vehicular traffic noise prediction using soft computing approach (2016) J Environmental Manag, 183, pp. 59-66; Hamad, K., Khalil, M.A., Shanableh, A., Modeling roadway traffic noise in a hot climate using artificial neural networks (2017) Transportation Res Part D, 2017 (53), pp. 161-177; Bravo-Moncayo, L., Naranjo, J.L., García, I.P., Mosquera, R., Neural based contingent valuation of road traffic noise (2017) Transportation Res Part D, 50, pp. 26-39; Alonso, J., Lopez, J.M., Pavón, I., Recuero, M., Asensio, C., Arcas, G., On-board wet road surface identification using tyre/road noise and Support Vector Machines (2014) Appl Acoust, 76, pp. 407-415; Masino, J., Pinay, J., Reischl, M., Gauterin, F., Road surface prediction from acoustical measurements in the tire cavity using support vector machine (2017) Appl Acoust, 125, pp. 41-48; Zwicker, E., Fastl, H., Psychoacoustics: Facts and Models (1999), Springer New York; Cortez, P., (2010), pp. 572-83. , Data mining with neural networks and support vector machines using the R/rminer Tool. In: Perner P, editor. Advances in Data Mining. Proceedings of 10th Industrial Conference on Data Mining, lecture notes in artificial intelligence 6171. Berlin: Springer;; Haykin, S., Neural networks - a compreensive foundation (1999), 2nd ed. Prentice-Hall New Jersey; Cortes, C., Vapnik, V., Support vector networks (1995) Mach learning, 20 (3), pp. 273-297; Smola, A., Scholkopf, B., A tutorial on support vector regression (2004) Stat Comput, 14 (3), pp. 199-222; Tinoco, J., Correia, A.G., Cortez, P., Application of data mining techniques in the estimation of the uniaxial compressive strength of jet grouting columns over time (2011) Construction Buil Mater, 25, pp. 1257-1262; Cherkassy, V., Ma, Y., Practical selection of SVM parameters and noise estimation for SVM regression (2004) Neural Net, 17 (1), pp. 113-126; Kewley, R., Embrechts, M., Breneman, C., Data strip mining for the virtual design of pharmaceuticals with neural networks (2000) IEEE Trans Neural Net, 11 (3), pp. 668-679</t>
  </si>
  <si>
    <t>0003682X</t>
  </si>
  <si>
    <t>AACOB</t>
  </si>
  <si>
    <t>Appl Acoust</t>
  </si>
  <si>
    <t>2-s2.0-85044986398</t>
  </si>
  <si>
    <t>Traffic noise and pavement distresses: modelling and assessment of input parameters influence through data mining techniques</t>
  </si>
  <si>
    <t>Thuneberg H., Hotulainen R.</t>
  </si>
  <si>
    <t>15023647500;6506833735;</t>
  </si>
  <si>
    <t>Contributions of data mining for psycho-educational research: What self-organizing maps tell us about the well-being of gifted learners</t>
  </si>
  <si>
    <t>High Ability Studies</t>
  </si>
  <si>
    <t>100</t>
  </si>
  <si>
    <t>10.1080/13598130600947150</t>
  </si>
  <si>
    <t>https://www.scopus.com/inward/record.uri?eid=2-s2.0-33750106387&amp;doi=10.1080%2f13598130600947150&amp;partnerID=40&amp;md5=f649ccd02c6d6e6d7355c793f83bca4c</t>
  </si>
  <si>
    <t>Department of Applied Sciences of Education, Faculty of Behavioral Sciences, Teollisuuskatu 23, FI-00014 University of Helsinki, Finland</t>
  </si>
  <si>
    <t>Thuneberg, H., Department of Applied Sciences of Education, Faculty of Behavioral Sciences, Teollisuuskatu 23, FI-00014 University of Helsinki, Finland; Hotulainen, R.</t>
  </si>
  <si>
    <t>This article explores applications of the Self-Organizing Maps method (SOM) to psycho-educational data. The study examines the psychological well-being, self-regulatory and motivational styles of pupils at elementary and middle school (N 795). The presentation of the method appears in cases which are related to general education, special needs and giftedness. The aim of this article is to show that SOM provides a unique means with which to visualize, comprehend and interpret psycho-educational data. The SOM method is a convenient method used to identify and study exceptional subgroups and non-linear correlations, as well as to examine theoretical assumptions. The results showed that high academic achievement is related to anxiety, as well as to external and internal pressure, in some gifted subgroups. Such a result is obviously socially constructed and for this reason calls for further study. © 2006 European Council for High Ability.</t>
  </si>
  <si>
    <t>Gifted; Psychological well-being; Self-organizing maps</t>
  </si>
  <si>
    <t>Cronbach, L.J., Gleser, G.C., Nanda, H., Rajaratnam, N., (1972) The Dependability of Behavioral Measurements: Theory of Generalizability for Scores and Profiles, , New York, John Wiley; Deci, E., Hodges, R., Pierson, L., Tomassone, J., Motivationally relevant predictors of achievement and adjustment in learning disabled and emotionally handicapped students (1992) Journal of Learning Disabilities, 25 (1), pp. 457-471; Deci, E., Ryan, R., The 'what' and 'why' of goal pursuits: Human needs and the self-determination of behavior (2000) Psychological Inquiry, 11 (1), p. 227; Deci, E., Ryan, R., (2002) Handbook of Self-determination Research, , Rochester, NY, University of Rochester Press; Dweck, C.S., (1999) Self-theories: Their Role in Motivation, Personality, and Development, , Philadelphia, Taylor &amp; Francis; Grolnick, W., Ryan, R., Parent styles associated with children's self-regulation and competence in school (1989) Journal of Educational Psychology, 81 (1), pp. 143-154; Hautamäki, J., Nurkkala, T., (2004) Learning to Learn Assessment Data Represented in Self Organizing Maps, , http://www.dipoli.tkk.fi/europro/matkat/oeb2004/workshops. html(accessed5May2005), Conference presentation presented 1 December 2004 at the Online Educa Berlin. Available online at; Heller, K., Ziegler, A., Gender differences in mathematics and the sciences: Can attributional retraining improve the performance of gifted females? (1996) Gifted Child Quarterly, 40 (4), pp. 200-211; Hoge, R.D., Renzulli, J.S., Exploring the link between giftedness and self-concept (1993) Review of Educational Research, 63 (4), pp. 449-465; Honkela, T., (1997) Self-organizing Maps in Natural Language Processing, Espoo, , http://www.cis.hut.fi/~tho/thesis/index.html(accessed13October2005), Available online at; Hotulainen, R., Does the cream always rise to the top? (2003) Correlations between Pre-school Academic Giftedness and Perceptions of Self, Academic Performance and Career Goals, after Ten Years of Finnish Comprehensive Schooling, p. 84. , University of Joensuu, Publications in Education; Kaski, S., Data exploration using self-organizing maps (1997) Acta Polytechnica Scandinavica, Mathematics, Computing and Management in Engineering Series, p. 82. , Finnish Academy of Technology; Kohonen, T., (1988) Self-organization and Associative Memory, , New York, Springer-Verlag; Kohonen, T., (1997) Self-organizing Maps, , New York, Springer-Verlag; Lane, K., Wehby, J., Barton-Arwood, S., Students with and at risk for emotional and behavioral disorders: Meeting their social and academic needs (2005) Preventing School Failure, 49 (2), pp. 6-9; Ryan, R., Connell, J., Perceived locus of causality and internalization: Examining reasons for acting in two domains (1989) Journal of Personality and Social Psychology, 57 (1), pp. 749-761; Ryan, R., Deci, E., Self-determination theory and the facilitation of intrinsic motivation, social development, and well-being (2000) American Psychologist, 55 (1), pp. 68-78; Simonton, D.K., Significant samples: The psychological study of eminent individuals (1999) Psychological Methods, 4 (4), pp. 425-451; Thuneberg, H., (2005) Self-determination, Motivation and the Fulfillment of the Psychological Needs at School, , Conference paper presented 3 August at the ISEC2005, organized by University of Strathclyde, Scotland; Thuneberg, H., Academic self-regulation at school (2005) Integrating and Differentiating Paths of Learning and Education, pp. 76-89. , S. Havu-Nuutinen &amp; M. Heiskanen (Eds) (Faculty of Education, University of Joensuu. Joensuu, Finnish Educational Research Association); Thuneberg, H., Psychological well-being in kindergarten (2005) Special Pedagogy and Early Childhood, pp. 95-108. , E. Kontu &amp; E. Suhonen (Eds) (Helsinki, University Press); Trochim, W., (2005) The Research Methods Knowledge Base (2nd Edn), , http://trochim.human.cornell.edu/kb/index.htm(accessed16January2005), Available online at; Wade, B., Moore, M., (1993) Experiencing Special Education, , Buckingham/Philadelphia, Open University Press; Weiner, B., On sin versus sickness, a theory of perceived responsibility and social motivation (1993) American Psychologist, 48 (1), pp. 957-970</t>
  </si>
  <si>
    <t>13598139</t>
  </si>
  <si>
    <t>High Abil. Stud.</t>
  </si>
  <si>
    <t>2-s2.0-33750106387</t>
  </si>
  <si>
    <t>Contributions of data mining for psycho-educational research: what self-organizing maps tell us about the well-being of gifted learners</t>
  </si>
  <si>
    <t>Biswas M., Tania M.H., Shamim Kaiser M., Kabir R., Mahmud M., Kemal A.A.</t>
  </si>
  <si>
    <t>57188669162;57195074952;56446362000;55750474800;35173453700;57192694072;</t>
  </si>
  <si>
    <t>ACCU3RATE: A mobile health application rating scale based on user reviews</t>
  </si>
  <si>
    <t>12 December</t>
  </si>
  <si>
    <t>e0258050</t>
  </si>
  <si>
    <t>10.1371/journal.pone.0258050</t>
  </si>
  <si>
    <t>https://www.scopus.com/inward/record.uri?eid=2-s2.0-85122008521&amp;doi=10.1371%2fjournal.pone.0258050&amp;partnerID=40&amp;md5=a69195b8030a7990b5e397327bf03437</t>
  </si>
  <si>
    <t>Computer Science and Engineering, Bangladesh University of Business and Technology, Mirpur, Dhaka, Bangladesh; Department of Engineering Science, Institute of Biomedical Engineering, University of Oxford, Oxford, United Kingdom; Institute of Information Technology, Jahangirnagar University, Dhaka, Savar, Bangladesh; School of Allied Health, Faculty of Health, Education, Medicine and Social Care, Chelmsford, United Kingdom; Department of Computer Science, Nottingham TrentUniversity, Nottingham, United Kingdom; Management and Marketing at Essex Business School (EBS), University of Essex, Colchester, United Kingdom</t>
  </si>
  <si>
    <t>Biswas, M., Computer Science and Engineering, Bangladesh University of Business and Technology, Mirpur, Dhaka, Bangladesh; Tania, M.H., Department of Engineering Science, Institute of Biomedical Engineering, University of Oxford, Oxford, United Kingdom; Shamim Kaiser, M., Institute of Information Technology, Jahangirnagar University, Dhaka, Savar, Bangladesh; Kabir, R., School of Allied Health, Faculty of Health, Education, Medicine and Social Care, Chelmsford, United Kingdom; Mahmud, M., Department of Computer Science, Nottingham TrentUniversity, Nottingham, United Kingdom; Kemal, A.A., Management and Marketing at Essex Business School (EBS), University of Essex, Colchester, United Kingdom</t>
  </si>
  <si>
    <t>Background Over the last decade, mobile health applications (mHealth App) have evolved exponentially to assess and support our health and well-being. Objective This paper presents an Artificial Intelligence (AI)-enabled mHealth app rating tool, called ACCU3RATE, which takes multidimensional measures such as user star rating, user review and features declared by the developer to generate the rating of an app. However, currently, there is very little conceptual understanding on how user reviews affect app rating from a multi-dimensional perspective. This study applies AI-based text mining technique to develop more comprehensive understanding of user feedback based on several important factors, determining the mHealth app ratings. Method Based on the literature, six variables were identified that influence the mHealth app rating scale. These factors are user star rating, user text review, user interface (UI) design, functionality, security and privacy, and clinical approval. Natural Language Toolkit package is used for interpreting text and to identify the App users’ sentiment. Additional considerations were accessibility, protection and privacy, UI design for people living with physical disability. Moreover, the details of clinical approval, if exists, were taken from the developer’s statement. Finally, we fused all the inputs using fuzzy logic to calculate the new app rating score. Results and conclusions ACCU3RATE concentrates on heart related Apps found in the play store and App gallery. The findings indicate the efficacy of the proposed method as opposed to the current device scale. This study has implications for both App developers and consumers who are using mHealth Apps to monitor and track their health. The performance evaluation shows that the proposed mHealth scale has shown excellent reliability as well as internal consistency of the scale, and high inter-rater reliability index. It has also been noticed that the fuzzy based rating scale, as in ACCU3RATE, matches more closely to the rating performed by experts. © 2021 Biswas et al. This is an open access article distributed under the terms of the Creative Commons Attribution License, which permits unrestricted use, distribution, and reproduction in any medium, provided the original author and source are credited.</t>
  </si>
  <si>
    <t>Article; artificial intelligence; consumer; fuzzy logic; human; internal consistency; interrater reliability; physical disability; privacy; rating scale; security; wellbeing; mobile application; telemedicine; Artificial Intelligence; Humans; Mobile Applications; Telemedicine</t>
  </si>
  <si>
    <t>Mendiola, MF, Kalnicki, M, Lindenauer, S., Valuable features in mobile health apps for patients and consumers: content analysis of apps and user ratings (2015) JMIR mHealth and uHealth, 3 (2), p. e40. , https://doi.org/10.2196/mhealth.4283, PMID: 25972309; Lee, K, Kwon, H, Lee, B, Lee, G, Lee, JH, Park, YR, Effect of self-monitoring on long-term patient engagement with mobile health applications (2018) PloS one, 13 (7), p. e0201166. , https://doi.org/10.1371/journal.pone.0201166, PMID: 30048546; Kumar, S, Viral, R, Deep, V, Sharma, P, Kumar, M, Mahmud, M, Forecasting major impacts of COVID-19 pandemic on country-driven sectors: challenges, lessons, and future roadmap (2021) Personal and Ubiquitous Computing, pp. 1-24. , https://doi.org/10.1007/s00779-021-01530-7, PMID: 33815032; Kaiser, MS, Mahmud, M, Noor, MBT, Zenia, NZ, Al Mamun, S, Mahmud, KA, iWorkSafe: towards healthy workplaces during COVID-19 with an intelligent pHealth App for industrial settings (2021) IEEE Access, 9, pp. 13814-13828. , https://doi.org/10.1109/ACCESS.2021.3050193; Frost, D, Mahmud, M., Strengthening Health Systems in Low-Income Countries: A Stakeholder Engagement Framework (2020) EGOV-CeDEM-ePart 2020, p. 215; Kaiser, MS, Lwin, KT, Mahmud, M, Hajializadeh, D, Chaipimonplin, T, Sarhan, A, Advances in crowd analysis for urban applications through urban event detection (2017) IEEE Transactions on Intelligent Transportation Systems, 19 (10), pp. 3092-3112. , https://doi.org/10.1109/TITS.2017.2771746; Kaiser, MS, Zenia, N, Tabassum, F, Al Mamun, S, Rahman, MA, Islam, MS, 6G Access Network for Intelligent Internet of Healthcare Things: Opportunity, Challenges, and Research Directions (2021) Proceedings of International Conference on Trends in Computational and Cognitive Engineering, pp. 317-328. , Springer; Free, C, Phillips, G, Galli, L, Watson, L, Felix, L, Edwards, P, The effectiveness of mobile-health technology-based health behaviour change or disease management interventions for health care consumers: a systematic review (2013) PLoS med, 10 (1), p. e1001362. , https://doi.org/10.1371/journal.pmed.1001362, PMID: 23349621; Fiordelli, M, Diviani, N, Schulz, PJ., Mapping mHealth research: a decade of evolution (2013) Journal of medical Internet research, 15 (5), p. e95. , https://doi.org/10.2196/jmir.2430, PMID: 23697600; Biduski, D, Bellei, EA, Rodriguez, JPM, Zaina, LAM, De Marchi, ACB., Assessing long-term user experience on a mobile health application through an in-app embedded conversation-based questionnaire (2020) Computers in Human Behavior, 104, p. 106169. , https://doi.org/10.1016/j.chb.2019.106169; Asif-Ur-Rahman, M, Afsana, F, Mahmud, M, Kaiser, MS, Ahmed, MR, Kaiwartya, O, Toward a heterogeneous mist, fog, and cloud-based framework for the internet of healthcare things (2018) IEEE Internet of Things Journal, 6 (3), pp. 4049-4062. , https://doi.org/10.1109/JIOT.2018.2876088; Farhin, F, Kaiser, MS, Mahmud, M., Towards Secured Service Provisioning for the Internet of Healthcare Things (2020) 2020 IEEE 14th International Conference on Application of Information and Communication Technologies (AICT), pp. 1-6. , IEEE; Esha, NH, Tasmim, MR, Huq, S, Mahmud, M, Kaiser, MS., Trust IoHT: A Trust Management Model for Internet of Healthcare Things (2021) Proceedings of International Conference on Data Science and Applications, pp. 47-57. , Springer; Mukherjee, H, Sreerama, P, Dhar, A, Obaidullah, SM, Roy, K, Mahmud, M, Automatic Lung Health Screening Using Respiratory Sounds (2021) Journal of Medical Systems, 45 (2), pp. 1-9. , https://doi.org/10.1007/s10916-020-01681-9, PMID: 33426615; Sumi, AI, Zohora, MF, Mahjabeen, M, Faria, TJ, Mahmud, M, Kaiser, MS., fASSERT: A fuzzy assistive system for children with autism using internet of things (2018) International Conference on Brain Informatics, pp. 403-412. , Springer; Jesmin, S, Kaiser, MS, Mahmud, M., Artificial and internet of healthcare things based Alzheimer care during COVID 19 (2020) International Conference on Brain Informatics, pp. 263-274. , Springer; Farhin, F, Kaiser, MS, Mahmud, M., Secured Smart Healthcare System: Blockchain and Bayesian Inference Based Approach (2021) Proceedings of International Conference on Trends in Computational and Cognitive Engineering, pp. 455-465. , Springer; Faria, TH, Shamim Kaiser, M, Hossian, CA, Mahmud, M, Al Mamun, S, Chakraborty, C., Smart City Technologies for Next Generation Healthcare (2021) Data-Driven Mining, Learning and Analytics for Secured Smart Cities: Trends and Advances, pp. 253-274. , Chakraborty C, Lin JCW, Alazab M, editors. Cham: Springer International Publishing; Bellei, EA, Biduski, D, Cechetti, NP, De Marchi, ACB., Diabetes Mellitus m-Health Applications: A Systematic Review of Features and Fundamentals (2018) Telemedicine and e-Health, 24 (11), pp. 839-852. , https://doi.org/10.1089/tmj.2017.0230, PMID: 29470105; Wang, S, Lee, HS, Choi, W., Assessing the informativeness of user reviews on mobile health applications for chronic diseases (2019) Proceedings of the Association for Information Science and Technology, 56 (1), pp. 790-791. , https://doi.org/10.1002/pra2.178; Debon, R, Coleone, JD, Bellei, EA, De Marchi, ACB., Mobile health applications for chronic diseases: A systematic review of features for lifestyle improvement (2019) Diabetes &amp; Metabolic Syndrome: Clinical Research &amp; Reviews, 13 (4), pp. 2507-2512. , https://doi.org/10.1016/j.dsx.2019.07.016, PMID: 31405669; Zohora, MF, Tania, MH, Kaiser, MS, Mahmud, M., Forecasting the risk of type ii diabetes using reinforcement learning (2020) 2020 Joint 9th International Conference on Informatics, Electronics &amp; Vision (ICIEV) and 2020 4th International Conference on Imaging, Vision &amp; Pattern Recognition (icIVPR), pp. 1-6. , IEEE; Krishna, S, Boren, SA, Balas, EA., Healthcare via cell phones: a systematic review (2009) Telemedicine and e-Health, 15 (3), pp. 231-240. , https://doi.org/10.1089/tmj.2008.0099, PMID: 19382860; BOGDANOV, V., The Fundamentals of UX Design for mHealth Apps (2016) The Journal of MHealth, 3 (1), pp. 4-5; Lee, E, Han, S, Jo, SH., Consumer choice of on-demand mHealth app services: Context and contents values using structural equation modeling (2017) International journal of medical informatics, 97, pp. 229-238. , https://doi.org/10.1016/j.ijmedinf.2016.10.016, PMID: 27919381; Hamine, S, Gerth-Guyette, E, Faulx, D, Green, BB, Ginsburg, AS., Impact of mHealth chronic disease management on treatment adherence and patient outcomes: a systematic review (2015) Journal of medical Internet research, 17 (2), p. e52. , https://doi.org/10.2196/jmir.3951, PMID: 25803266; Choi, W, Tulu, B., Effective use of user interface and user experience in an mHealth application (2017) Proceedings of the 50th Hawaii International Conference on System Sciences, pp. 3803-3812; Brewer, AC, Endly, DC, Henley, J, Amir, M, Sampson, BP, Moreau, JF, Mobile applications in dermatology (2013) JAMA dermatology, 149 (11), pp. 1300-1304. , https://doi.org/10.1001/jamadermatol.2013.5517, PMID: 24067948; Stevens, DJ, Jackson, JA, Howes, N, Morgan, J., Obesity surgery smartphone apps: a review (2014) Obesity surgery, 24 (1), pp. 32-36. , https://doi.org/10.1007/s11695-013-1010-3, PMID: 23749609; Anderson, K, Burford, O, Emmerton, L., Mobile Health Apps to Facilitate Self-Care: A Qualitative Study of User Experiences (2016) PLOS ONE, 11 (5), pp. 1-21. , https://doi.org/10.1371/journal.pone.0156164, PMID: 27214203; Cho, J., The impact of post-adoption beliefs on the continued use of health apps (2016) International journal of medical informatics, 87, pp. 75-83. , https://doi.org/10.1016/j.ijmedinf.2015.12.016, PMID: 26806714; Nelson, LA, Mulvaney, SA, Johnson, KB, Osborn, CY., mHealth Intervention Elements and User Characteristics Determine Utility: A Mixed-Methods Analysis (2017) Diabetes Technology &amp; Therapeutics, 19 (1), pp. 9-17. , https://doi.org/10.1089/dia.2016.0294, PMID: 28099052; (2021) buildfire Mobile App Download and Usage Statistics, p. 2021. , https://bit.ly/39c4bUs; Chen, Y, Yang, L, Zhang, M, Yang, J., Central or peripheral? Cognition elaboration cues’ effect on users’ continuance intention of mobile health applications in the developing markets (2018) International journal of medical informatics, 116, pp. 33-45. , https://doi.org/10.1016/j.ijmedinf.2018.04.008, PMID: 29887233; Krishnan, G, Selvam, G., Factors influencing the download of mobile health apps: Content review-led regression analysis (2019) Health Policy and Technology, 8 (4), pp. 356-364. , https://doi.org/10.1016/j.hlpt.2019.09.001; Kim, SM, Pantel, P, Chklovski, T, Pennacchiotti, M., Automatically assessing review helpfulness (2006) Proceedings of the 2006 Conference on empirical methods in natural language processing, pp. 423-430; Watkins, J, Fabielli, M, Mahmud, M., Sense: a student performance quantifier using sentiment analysis (2020) 2020 International Joint Conference on Neural Networks (IJCNN), pp. 1-6. , IEEE; Wei, CP, Yang, CC, Lin, CM., A latent semantic indexing-based approach to multilingual document clustering (2008) Decision Support Systems, 45 (3), pp. 606-620. , https://doi.org/10.1016/j.dss.2007.05.008; Sidorova, A, Evangelopoulos, N, Valacich, JS, Ramakrishnan, T., Uncovering the intellectual core of the information systems discipline (2008) Mis Quarterly, pp. 467-482. , https://doi.org/10.2307/25148852; Cao, Q, Duan, W, Gan, Q., Exploring determinants of voting for the “helpfulness” of online user reviews: A text mining approach (2011) Decision Support Systems, 50 (2), pp. 511-521. , https://doi.org/10.1016/j.dss.2010.11.009; Rabby, G, Azad, S, Mahmud, M, Zamli, KZ, Rahman, MM., Teket: a tree-based unsupervised keyphrase extraction technique (2020) Cognitive Computation, 12 (4), pp. 811-833. , https://doi.org/10.1007/s12559-019-09706-3; Levine, DM, Co, Z, Newmark, LP, Groisser, AR, Holmgren, AJ, Haas, JS, Design and testing of a mobile health application rating tool (2020) NPJ Digital Medicine, 3 (1), pp. 1-7. , https://doi.org/10.1038/s41746-020-0268-9, PMID: 32509971; Kao, CK, Liebovitz, DM., Consumer mobile health apps: current state, barriers, and future directions (2017) PM&amp;R, 9 (5), pp. S106-S115. , PMID: 28527495; Hamel, MB, Cortez, NG, Cohen, IG, Kesselheim, AS., FDA regulation of mobile health technologies (2014) The New England journal of medicine, 371 (4), p. 372. , https://doi.org/10.1056/NEJMhle1403384; Liu, C, Zhu, Q, Holroyd, KA, Seng, EK., Status and trends of mobile-health applications for iOS devices: A developer’s perspective (2011) Journal of Systems and Software, 84 (11), pp. 2022-2033. , https://doi.org/10.1016/j.jss.2011.06.049; Dey, AK., Understanding and using context (2001) Personal and ubiquitous computing, 5 (1), pp. 4-7. , https://doi.org/10.1007/s007790170019; Bhattacharyya, S, Saravanagru, R, Thangavelu, A., Context aware healthcare application (2011) International Journal of Computer Applications, 975, p. 8887; Bricon-Souf, N, Newman, CR., Context awareness in health care: A review (2007) international journal of medical informatics, 76 (1), pp. 2-12. , https://doi.org/10.1016/j.ijmedinf.2006.01.003, PMID: 16488663; Carroll, JK, Moorhead, A, Bond, R, LeBlanc, WG, Petrella, RJ, Fiscella, K., Who uses mobile phone health apps and does use matter? A secondary data analytics approach (2017) Journal of medical Internet research, 19 (4), p. e125. , https://doi.org/10.2196/jmir.5604, PMID: 28428170; Klasnja, P, Pratt, W., Healthcare in the pocket: mapping the space of mobile-phone health interventions (2012) Journal of biomedical informatics, 45 (1), pp. 184-198. , https://doi.org/10.1016/j.jbi.2011.08.017, PMID: 21925288; Dicianno, BE, Parmanto, B, Fairman, AD, Crytzer, TM, Yu, DX, Pramana, G, Perspectives on the evolution of mobile (mHealth) technologies and application to rehabilitation (2015) Physical therapy, 95 (3), pp. 397-405. , https://doi.org/10.2522/ptj.20130534, PMID: 24925075; Wattanapisit, A, Teo, CH, Wattanapisit, S, Teoh, E, Woo, WJ, Ng, CJ., Can mobile health apps replace GPs? A scoping review of comparisons between mobile apps and GP tasks (2020) BMC medical informatics and decision making, 20 (1), p. 5. , https://doi.org/10.1186/s12911-019-1016-4, PMID: 31906985; Zhao, J, Freeman, B, Li, M., Can mobile phone apps influence people’s health behavior change? An evidence review (2016) Journal of medical Internet research, 18 (11), p. e287. , https://doi.org/10.2196/jmir.5692, PMID: 27806926; Elavsky, S, Smahel, D, Machackova, H., Who are mobile app users from healthy lifestyle websites? Analysis of patterns of app use and user characteristics (2017) Translational behavioral medicine, 7 (4), pp. 891-901. , https://doi.org/10.1007/s13142-017-0525-x, PMID: 28929368; Dahlke, DV, Fair, K, Hong, YA, Beaudoin, CE, Pulczinski, J, Ory, MG., Apps seeking theories: results of a study on the use of health behavior change theories in cancer survivorship mobile apps (2015) JMIR mHealth and uHealth, 3 (1), p. e31. , https://doi.org/10.2196/mhealth.3861; Litman, L, Rosen, Z, Spierer, D, Weinberger-Litman, S, Goldschein, A, Robinson, J., Mobile exercise apps and increased leisure time exercise activity: a moderated mediation analysis of the role of self-efficacy and barriers (2015) Journal of medical Internet research, 17 (8), p. e195. , https://doi.org/10.2196/jmir.4142, PMID: 26276227; Zhou, L, Bao, J, Parmanto, B., Systematic review protocol to assess the effectiveness of usability questionnaires in mhealth app studies (2017) JMIR research protocols, 6 (8), p. e151. , https://doi.org/10.2196/resprot.7826, PMID: 28765101; Byambasuren, O, Sanders, S, Beller, E, Glasziou, P., Prescribable mHealth apps identified from an overview of systematic reviews (2018) NPJ digital medicine, 1 (1), pp. 1-12. , https://doi.org/10.1038/s41746-018-0021-9, PMID: 31304297; Dehling, T, Gao, F, Schneider, S, Sunyaev, A., Exploring the far side of mobile health: information security and privacy of mobile health apps on iOS and Android (2015) JMIR mHealth and uHealth, 3 (1), p. e8. , https://doi.org/10.2196/mhealth.3672, PMID: 25599627; Sunyaev, A, Dehling, T, Taylor, PL, Mandl, KD., Availability and quality of mobile health app privacy policies (2015) Journal of the American Medical Informatics Association, 22 (e1), pp. e28-e33. , https://doi.org/10.1136/amiajnl-2013-002605, PMID: 25147247; Amor-García, MÁ, Collado-Borrell, R, Escudero-Vilaplana, V, Melgarejo-Ortuño, A, Herranz-Alonso, A, Arija, JÁA, Assessing Apps for Patients with Genitourinary Tumors Using the Mobile Application Rating Scale (MARS): Systematic Search in App Stores and Content Analysis (2020) JMIR mHealth and uHealth, 8 (7), p. e17609. , https://doi.org/10.2196/17609, PMID: 32706737; Davalbhakta, S, Advani, S, Kumar, S, Agarwal, V, Bhoyar, S, Fedirko, E, A systematic review of the smartphone applications available for coronavirus disease 2019 (COVID19) and their assessment using the mobile app rating scale (MARS) (2020) medRxiv, , https://doi.org/10.1101/2020.07.02.20144964, PMID: 32637969; Van Singer, M, Chatton, A, Khazaal, Y., Quality of smartphone apps related to panic disorder (2015) Frontiers in psychiatry, 6, p. 96. , https://doi.org/10.3389/fpsyt.2015.00096, PMID: 26236242; Stoyanov, SR, Hides, L, Kavanagh, DJ, Wilson, H., Development and validation of the user version of the Mobile Application Rating Scale (uMARS) (2016) JMIR mHealth and uHealth, 4 (2), p. e72. , https://doi.org/10.2196/mhealth.5849, PMID: 27287964; Leigh, S, Ouyang, J, Mimnagh, C., Effective? Engaging? Secure? Applying the ORCHA-24 framework to evaluate apps for chronic insomnia disorder (2017) Evidence-based mental health, 20 (4), pp. e20-e20. , https://doi.org/10.1136/eb-2017-102751, PMID: 28947676; Stoyanov, SR, Hides, L, Kavanagh, DJ, Zelenko, O, Tjondronegoro, D, Mani, M., Mobile App Rating Scale: A New Tool for Assessing the Quality of Health Mobile Apps (2015) JMIR mHealth and uHealth, 3 (1), p. e3422. , https://doi.org/10.2196/mhealth.3422, PMID: 25760773; Carlo, AD, Ghomi, RH, Renn, BN, Areán, PA., By the numbers: ratings and utilization of behavioral health mobile applications (2019) NPJ digital medicine, 2 (1), pp. 1-8. , https://doi.org/10.1038/s41746-019-0129-6, PMID: 31304400; Lin, TT, Bautista, JR., Understanding the relationships between mHealth Apps’ characteristics, trialability, and mHealth literacy (2017) Journal of Health Communication, 22 (4), pp. 346-354. , https://doi.org/10.1080/10810730.2017.1296508, PMID: 28323546; Biviji, R, Vest, JR, Dixon, BE, Cullen, T, Harle, CA., Factors related to user ratings and user downloads of mobile apps for maternal and infant health: Cross-sectional study (2020) JMIR mHealth and uHealth, 8 (1), p. e15663. , https://doi.org/10.2196/15663, PMID: 32012107; News, I., Reports find that 80% of ‘Approved’ mHealth Apps have at least Two Major Security Flaws (2016) The Journal of mHealth, 3 (1), p. 17; Azad-Khaneghah, P, Neubauer, N, Miguel Cruz, A, Liu, L., Mobile health app usability and quality rating scales: a systematic review (2020) Disability and Rehabilitation: Assistive Technology, pp. 1-10. , PMID: 31910687; Janatkhah, R, Tabari-Khomeiran, R, Asadi-Louyeh, A, Kazemnejad, E., Usability of a Disease Management Mobile Application as Perceived by Patients With Diabetes (2019) CIN: Computers, Informatics, Nursing, 37 (8), pp. 413-419. , PMID: 31394560; Singh, K, Drouin, K, Newmark, LP, Lee, J, Faxvaag, A, Rozenblum, R, Many mobile health apps target high-need, high-cost populations, but gaps remain (2016) Health Affairs, 35 (12), pp. 2310-2318. , https://doi.org/10.1377/hlthaff.2016.0578, PMID: 27920321; Huang, HY, Bashir, M., Users’ adoption of mental health apps: examining the impact of information cues (2017) JMIR mHealth and uHealth, 5 (6), p. e83. , https://doi.org/10.2196/mhealth.6827, PMID: 28659256; Salazar, A, de Sola, H, Failde, I, Moral-Munoz, JA., Measuring the quality of mobile apps for the management of pain: systematic search and evaluation using the mobile app rating scale (2018) JMIR mHealth and uHealth, 6 (10), p. e10718. , https://doi.org/10.2196/10718, PMID: 30361196; Li, X, Hitt, LM., Self-selection and information role of online product reviews (2008) Information Systems Research, 19 (4), pp. 456-474. , https://doi.org/10.1287/isre.1070.0154; Purnawirawan, N, Eisend, M, De Pelsmacker, P, Dens, N., A meta-analytic investigation of the role of valence in online reviews (2015) Journal of Interactive Marketing, 31, pp. 17-27. , https://doi.org/10.1016/j.intmar.2015.05.001; Huang, AH, Chen, K, Yen, DC, Tran, TP., A study of factors that contribute to online review helpfulness (2015) Computers in Human Behavior, 48, pp. 17-27. , https://doi.org/10.1016/j.chb.2015.01.010; Zhang, KZ, Zhao, SJ, Cheung, CM, Lee, MK., Examining the influence of online reviews on consumers’ decision-making: A heuristic–systematic model (2014) Decision Support Systems, 67, pp. 78-89. , https://doi.org/10.1016/j.dss.2014.08.005; Casaló, LV, Flavián, C, Guinalíu, M., Understanding the intention to follow the advice obtained in an online travel community (2011) Computers in Human Behavior, 27 (2), pp. 622-633. , https://doi.org/10.1016/j.chb.2010.04.013; Willemsen, LM, Neijens, PC, Bronner, F, De Ridder, JA., “Highly recommended!” The content characteristics and perceived usefulness of online consumer reviews (2011) Journal of Computer-Mediated Communication, 17 (1), pp. 19-38. , https://doi.org/10.1111/j.1083-6101.2011.01551.x; Flanagin, AJ, Metzger, MJ., Trusting expert-versus user-generated ratings online: The role of information volume, valence, and consumer characteristics (2013) Computers in Human Behavior, 29 (4), pp. 1626-1634. , https://doi.org/10.1016/j.chb.2013.02.001; Mackiewicz, J, Yeats, D., Product review users’ perceptions of review quality: The role of credibility, informativeness, and readability (2014) IEEE Transactions on Professional Communication, 57 (4), pp. 309-324. , https://doi.org/10.1109/TPC.2014.2373891; Qiu, L, Pang, J, Lim, KH., Effects of conflicting aggregated rating on eWOM review credibility and diagnosticity: The moderating role of review valence (2012) Decision Support Systems, 54 (1), pp. 631-643. , https://doi.org/10.1016/j.dss.2012.08.020; Xu, X., Examining the role of emotion in online consumer reviews of various attributes in the surprise box shopping model (2020) Decision Support Systems, 136, p. 113344. , https://doi.org/10.1016/j.dss.2020.113344; Salehan, M, Kim, DJ., Predicting the performance of online consumer reviews: A sentiment mining approach to big data analytics (2016) Decision Support Systems, 81, pp. 30-40. , https://doi.org/10.1016/j.dss.2015.10.006; Powell, AC, Torous, J, Chan, S, Raynor, GS, Shwarts, E, Shanahan, M, Interrater reliability of mHealth app rating measures: analysis of top depression and smoking cessation apps (2016) JMIR mHealth and uHealth, 4 (1), p. e15. , https://doi.org/10.2196/mhealth.5176, PMID: 26863986; Kramer, DB, Xu, S, Kesselheim, AS., Regulation of medical devices in the United States and European Union (2020) The Ethical Challenges of Emerging Medical Technologies, pp. 41-49. , Taylor and Francis; Wilkinson, B, van Boxtel, R., The medical device regulation of the European Union intensifies focus on clinical benefits of devices (2020) Therapeutic Innovation &amp; Regulatory Science, pp. 1-5; Cafazzo, JA, Casselman, M, Hamming, N, Katzman, DK, Palmert, MR., Design of an mHealth app for the self-management of adolescent type 1 diabetes: a pilot study (2012) Journal of medical Internet research, 14 (3), p. e70. , https://doi.org/10.2196/jmir.2058, PMID: 22564332; de la Torre Díez, I, Garcia-Zapirain, B, López-Coronado, M, Rodrigues, JJ, del Pozo Vegas, C., A new mHealth app for monitoring and awareness of healthy eating: development and user evaluation by spanish users (2017) Journal of medical systems, 41 (7), p. 109. , https://doi.org/10.1007/s10916-017-0753-0, PMID: 28555352; Alshora, DH, Alsaif, S, Ibrahim, MA, Ezzeldin, E, Almeanazel, OT, Abou El Ela, AES, Co-stabilization of pioglitazone HCL nanoparticles prepared by planetary ball milling: in-vitro and in-vivo evaluation (2020) Pharmaceutical Development and Technology, pp. 1-10. , PMID: 32174213; Millstein, F., (2020) Natural language processing with python: natural language processing using NLTK, , Frank Millstein; Bakshi, RK, Kaur, N, Kaur, R, Kaur, G., Opinion mining and sentiment analysis (2016) 2016 3rd International Conference on Computing for Sustainable Global Development (INDIACom), pp. 452-455. , IEEE; Lin, S, Zhang, R, Yu, Z, Zhang, N, Sentiment Analysis Of Movie Reviews Based On Improved Word2vec And Ensemble Learning (2020) Journal of Physics: Conference Series, 1693 (1), p. 012088. , IOP Publishing; Rish, I., An empirical study of the naive Bayes classifier (2001) IJCAI 2001 workshop on empirical methods in artificial intelligence, 3 (22), pp. 41-46; Mahmud, M, Kaiser, MS, McGinnity, TM, Hussain, A., Deep learning in mining biological data (2021) Cognitive Computation, 13 (1), pp. 1-33. , https://doi.org/10.1007/s12559-020-09773-x, PMID: 33425045; Loper, E, Bird, S., (2002) NLTK: the natural language toolkit, , arXiv preprint cs/0205028; Shekhawat, SS, Shringi, S, Sharma, H., Twitter sentiment analysis using hybrid Spider Monkey optimization method (2020) Evolutionary Intelligence, pp. 1-10; Coronato, A, Cuzzocrea, A., An Innovative Risk Assessment Methodology for Medical Information Systems (2020) IEEE Transactions on Knowledge and Data Engineering, , https://doi.org/10.1109/TKDE.2020.3023553; Thiagarajan, H, Larson, B, Hatcliff, J, Zhang, Y., Model-based risk analysis for an open-source PCA pump using AADL error modeling (2020) International Symposium on Model-Based Safety and Assessment, pp. 34-50. , Springer; Mahmud, M, Kaiser, MS, Rahman, MM, Rahman, MA, Shabut, A, Al-Mamun, S, A brain-inspired trust management model to assure security in a cloud based IoT framework for neuroscience applications (2018) Cognitive Computation, 10 (5), pp. 864-873. , https://doi.org/10.1007/s12559-018-9543-3; Kaiser, MS, Chaudary, MH, Shah, RA, Ahmed, KM., Neuro-Fuzzy (NF) based relay selection and resource allocation for cooperative networks (2010) ECTI-CON2010: The 2010 ECTI International Confernce on Electrical Engineering/Electronics, Computer, Telecommunications and Information Technology, pp. 244-248. , IEEE; Mahmud, M, Kaiser, MS, Hussain, A, Vassanelli, S., Applications of deep learning and reinforcement learning to biological data (2018) IEEE transactions on neural networks and learning systems, 29 (6), pp. 2063-2079. , https://doi.org/10.1109/TNNLS.2018.2790388, PMID: 29771663; Ieracitano, C, Mammone, N, Hussain, A, Morabito, FC., A novel explainable machine learning approach for EEG-based brain-computer interface systems (2021) Neural Computing and Applications, pp. 1-14; Holzinger, A, Malle, B, Saranti, A, Pfeifer, B., Towards multi-modal causability with Graph Neural Networks enabling information fusion for explainable AI (2021) Information Fusion, 71, pp. 28-37. , https://doi.org/10.1016/j.inffus.2021.01.008</t>
  </si>
  <si>
    <t>2-s2.0-85122008521</t>
  </si>
  <si>
    <t>Accu3rate: a mobile health application rating scale based on user reviews</t>
  </si>
  <si>
    <t>Faraj Z., Selamet M., Morales C., Torres P., Hossain M., Chen B., Lipson H.</t>
  </si>
  <si>
    <t>57221944620;57221939985;57225335560;57221928887;57684268700;57201357311;7006792691;</t>
  </si>
  <si>
    <t>Facially expressive humanoid robotic face</t>
  </si>
  <si>
    <t>HardwareX</t>
  </si>
  <si>
    <t>e00117</t>
  </si>
  <si>
    <t>10.1016/j.ohx.2020.e00117</t>
  </si>
  <si>
    <t>https://www.scopus.com/inward/record.uri?eid=2-s2.0-85100666203&amp;doi=10.1016%2fj.ohx.2020.e00117&amp;partnerID=40&amp;md5=02531fea679affda12d1ce7017aa2880</t>
  </si>
  <si>
    <t>Department of Mechanical Engineering, Columbia University, New York, NY, United States</t>
  </si>
  <si>
    <t>Faraj, Z., Department of Mechanical Engineering, Columbia University, New York, NY, United States; Selamet, M., Department of Mechanical Engineering, Columbia University, New York, NY, United States; Morales, C., Department of Mechanical Engineering, Columbia University, New York, NY, United States; Torres, P., Department of Mechanical Engineering, Columbia University, New York, NY, United States; Hossain, M., Department of Mechanical Engineering, Columbia University, New York, NY, United States; Chen, B., Department of Mechanical Engineering, Columbia University, New York, NY, United States; Lipson, H., Department of Mechanical Engineering, Columbia University, New York, NY, United States</t>
  </si>
  <si>
    <t>Realistic humanoid robots have emerged in the last two decades but the emotional intelligence of these machines has been limited. To teach humanoids how to emotionally communicate with humans, researchers have been increasingly relying on machine learning algorithms. While the software used to implement machine learning algorithms is largely open source, facially expressive humanoid robots are expensive and inaccessible to most people, thus limiting the number of researchers in this field. This paper aims to aid potential artificial intelligence researchers by providing a relatively inexpensive, open-source robot that can serve as a platform for research into emotional communication between humans and machines. Eva, the robot described in this paper, is an adult-sized humanoid head that can emulate human facial expressions, head movements, and speech through the use of 25 muscles, including 12 facial muscles that can produce a maximum skin displacement of 15 mm. © 2020 The Author(s)</t>
  </si>
  <si>
    <t>Artificial intelligence; Emotions; Face robot; Facial expressions; Humanoid</t>
  </si>
  <si>
    <t>Anthropomorphic robots; Emotional intelligence; Intelligent robots; Learning algorithms; Machine learning; Muscle; Open source software; Open systems; Robotics; Emotional communications; Facial muscles; Head movements; Human facial expressions; Humanoid robot; Humanoid robotics; On-machines; Open sources; Social robots</t>
  </si>
  <si>
    <t>Hanson, D., (2020), https://www.hansonrobotics.com/, Hanson Robotics [Online]. Available:; Ishiguro, H., (2020), http://www.geminoid.jp/en/index.html, Hiroshi Ishiguro Laboratories [Online]. Available:; Kobayashi, H., Hara, F., (1993), Study on face robot for active human interface-mechanisms of face robot and expression of 6 basic facial expressions, in IEEE, Tokyo; Hashimoto, T., Hiramatsu, S., Kobayashi, H., (2006), Development of Face Robot for Emotional Communication between Human and Robot, in IEEE, Luoyang; (2006), J.-h. Oh, D. Hanson, W.-s. Kim, Y. Han, J.-y. Kim, I.-w. Park, Design of Android type Humanoid Robot Albert HUBO, in IEEE, Beijing; Hashimoto, T., Hiramatsu, S., Kobayashi, H., (2008), Dynamic Display ofFacial Expressions on the Face Robot Made by Using a Life Mask, in IEEE, Daejeon; Lin, C.-Y., Huang, C.-C., Cheng, L.-C., An expressional simplified mechanism in anthropomorphic face robot design (2016) Robotica, 34 (3), pp. 652-670; (2009), https://robots.ieee.org/robots/hrp4c/, IEEE, HRP-4C, IEEE [Online]. Available:; (2011), https://robots.ieee.org/robots/geminoiddk/, IEEE, Geminoid DK, IEEE [Online]. Available:; (2015), https://robots.ieee.org/robots/erica/, IEEE, Erica, IEEE [Online]. Available:; Ishiguro, H., (2020), http://www.geminoid.jp/en/robots.html, Robots [Online]. Available:; Ishiguro, H., (2020), http://www.geminoid.jp/projects/kibans/Telenoid-overview.html, Telenoid [Online]. Available:; Ekman, P., (2019), https://www.paulekman.com/facial-action-coding-system/, Facial Action Coding System, Paul Ekman Group [Online]. Available:; Beck, J., https://www.theatlantic.com/health/archive/2015/02/hard-feelings-sciences-struggle-to-define-emotions/385711/, Hard Feelings: Science's Struggle to Define Emotions, 24 February 2015. [Online]. Available:; McCloud, S., (2006), Making Comics: Storytelling Secrets of Comics, Manga and Graphic Novels, New York City: William Morrow; (2015), https://www.thingiverse.com/thing:1152248, Polymaker, Eye Mechanism, Thingiverse [Online]. Available:; Mori, M., (2012), pp. 98-100. , The Uncanny Valley, IEEE Robotics &amp; Automation Magazine; Caballar, R.D., https://spectrum.ieee.org/automaton/robotics/humanoids/what-is-the-uncanny-valley, What is the Uncanny Valley?, IEEE Spectrum, 06 November 2019. [Online]. Available:; Siegel, M., Breazeal, C., Norton, M.I., (2009), Persuasive Robotics: The influence of robot gender on human behavior, in IEEE, St. Louis; Kanade, T., Cohn, J., Tian, Y., (2000), Comprehensive database for facial expression analysis, in IEEE, Grenoble</t>
  </si>
  <si>
    <t>24680672</t>
  </si>
  <si>
    <t>2-s2.0-85100666203</t>
  </si>
  <si>
    <t>Mitchell R.L.C., Kumari V.</t>
  </si>
  <si>
    <t>7403974582;7005573217;</t>
  </si>
  <si>
    <t>Hans Eysenck's interface between the brain and personality: Modern evidence on the cognitive neuroscience of personality</t>
  </si>
  <si>
    <t>Personality and Individual Differences</t>
  </si>
  <si>
    <t>103</t>
  </si>
  <si>
    <t>74</t>
  </si>
  <si>
    <t>10.1016/j.paid.2016.04.009</t>
  </si>
  <si>
    <t>https://www.scopus.com/inward/record.uri?eid=2-s2.0-84989870904&amp;doi=10.1016%2fj.paid.2016.04.009&amp;partnerID=40&amp;md5=8fed8ca7c057e046ab8cbc855d57a8b1</t>
  </si>
  <si>
    <t>Centre for Affective Disorders, Institute of Psychiatry Psychology &amp; Neuroscience, King's College London, London, United Kingdom; Department of Psychology, Institute of Psychiatry Psychology &amp; Neuroscience, King's College London, London, United Kingdom; NIHR Biomedical Research Centre for Mental Health, South London and Maudsley NHS Foundation Trust, London, United Kingdom</t>
  </si>
  <si>
    <t>Mitchell, R.L.C., Centre for Affective Disorders, Institute of Psychiatry Psychology &amp; Neuroscience, King's College London, London, United Kingdom; Kumari, V., Department of Psychology, Institute of Psychiatry Psychology &amp; Neuroscience, King's College London, London, United Kingdom, NIHR Biomedical Research Centre for Mental Health, South London and Maudsley NHS Foundation Trust, London, United Kingdom</t>
  </si>
  <si>
    <t>In this review, incorporating functional and structural MRI and DTI, with evidence gathered over the last 15 years, we examine the neural underpinnings of extraversion and neuroticism, the two major personality dimensions in Eysenck's (1967) biological model of personality. We present clear evidence that, as proposed by Eysenck nearly half-a-century ago, these traits relate meaningfully to the functioning and structure of various cortical and limbic brain regions. Specifically, there is a robust relationship between neuroticism and the functioning of several emotion processing networks in the brain, particularly during exposure to negative stimuli. The brain regions showing this association include a number of cortical regions implicated in emotion regulation, depression and anxiety, in addition to many sub-cortical/limbic regions. Currently, there are few studies directly assessing the relationship between extraversion and the cortical arousal system in the context of varying stimulations but data available so far are remarkably consistent with Eysenck's model. Future neuroimaging studies guided by relevant personality and cognitive theories, and with sufficient power to allow application of sophisticated analysis methods (for example, machine learning) are now needed to improve our understanding of the biological basis of individual differences and its application in the promotion of well-being and mental health. © 2016 The Authors</t>
  </si>
  <si>
    <t>Cognition; Emotion perception; Extraversion; Neuroticism; Personality traits</t>
  </si>
  <si>
    <t>Abbott, R.A., Croudace, T.J., Ploubidis, G.B., Kuh, D., Richards, M., Huppert, F.A., The relationship between early personality and midlife psychological well-being: Evidence from a UK birth cohort study (2008) Social Psychiatry and Psychiatric Epidemiology, 43, pp. 679-687; Adelstein, J.S., Shehzad, Z., Mennes, M., Deyoung, C.G., Zuo, X.N., Kelly, C., Milham, M.P., Personality is reflected in the brain's intrinsic functional architecture (2011) PloS One, 6. , e27633; Adolphs, R., Fear, faces, and the human amygdala (2008) Current Opinion in Neurobiology, 18, pp. 166-172; Adolphs, R., What does the amygdala contribute to social cognition? (2010) Annals of the New York Academy of Sciences, 1191, pp. 42-61; Aghajani, M., Veer, I.M., van Tol, M.J., Aleman, A., van Buchem, M.A., Veltman, D.J., van der Wee, N.J., Neuroticism and extraversion are associated with amygdala resting-state functional connectivity (2014) Cognitive, Affective, &amp; Behavioral Neuroscience, 14, pp. 836-848; Amin, Z., Constable, R.T., Canli, T., Attentional bias for valenced stimuli as a function of personality in the dot-probe task (2004) Journal of Research in Personality, 38, pp. 15-23; Arndt, H., Janney, R.W., Verbal, prosodic and kinesic emotive contrats in speech (1991) Journal of Pragmatics, 15, pp. 521-546; Baumann, O., Mattingley, J.B., Functional topography of primary emotion processing in the human cerebellum (2012) NeuroImage, 61, pp. 805-811; Becker, E.B., Stoodley, C.J., Autism spectrum disorder and the cerebellum (2013) International Review of Neurobiology, 113, pp. 1-34; Bjornebekk, A., Fjell, A.M., Walhovd, K.B., Grydeland, H., Torgersen, S., Westlye, L.T., Neuronal correlates of the five factor model (FFM) of human personality: Multimodal imaging in a large healthy sample (2013) NeuroImage, 65, pp. 194-208; Blackmon, K., Barr, W.B., Carlson, C., Devinsky, O., Dubois, J., Pogash, D., Thesen, T., Structural evidence for involvement of a left amygdala-orbitofrontal network in subclinical anxiety (2011) Psychiatry Research, 194, pp. 296-303; Brandes, M., Bienvenu, O.J., Personality and anxiety disorders (2006) Current Psychiatry Reports, 8, pp. 263-269; Britton, J.C., Ho, S.-H., Taylor, S.F., Liberzon, I., Neuroticism associated with neural activation patterns to positive stimuli (2007) Psychiatry Research: Neuroimaging, 156, pp. 263-267; Bruck, C., Kreifelts, B., Wildgruber, D., Emotional voices in context: A neurobiological model of multimodal affective information processing (2011) Physics of Life Reviews, 8, pp. 383-403; Bruck, C., Kreifelts, B., Kaza, E., Lotze, M., Wildgruber, D., Impact of personality on the cerebral processing of emotional prosody (2011) NeuroImage, 58, pp. 259-268; Bruhl, A.B., Viebke, M.C., Baumgartner, T., Kaffenberger, T., Herwig, U., Neural correlates of personality dimensions and affective measures during the anticipation of emotional stimuli (2011) Brain Imaging and Behavior, 5, pp. 86-96; Bush, G., Luu, P., Posner, M.I., Cognitive and emotional influences in anterior cingulate cortex (2000) Trends in Cognitive Sciences, 4, pp. 215-222; Calder, A.J., Ewbank, M., Passamonti, L., Personality influences the neural responses to viewing facial expressions of emotion (2011) Philosophical Transactions of the Royal Society of London. Series B, Biological Sciences, 366, pp. 1684-1701; Canli, T., Functional brain mapping of extraversion and neuroticism: Learning from individual differences in emotion processing (2004) Journal of Personality, 72, pp. 1105-1132; Canli, T., Amin, Z., Neuroimaging of emotion and personality: Scientific evidence and ethical considerations (2002) Brain and Cognition, 50, pp. 414-431; Canli, T., Amin, Z., Haas, B., Omura, K., Constable, R.T., A double dissociation between mood states and personality traits in the anterior cingulate (2004) Behavioral Neuroscience, 118, pp. 897-904; Canli, T., Sivers, H., Whitfield, S.L., Gotlib, I.H., Gabrieli, J.D., Amygdala response to happy faces as a function of extraversion (2002) Science, 296, p. 2191; Canli, T., Zhao, Z., Desmond, J.E., Kang, E., Gross, J., Gabrieli, J.D., An fMRI study of personality influences on brain reactivity to emotional stimuli (2001) Behavioral Neuroscience, 115, pp. 33-42; Coen, S.J., Kano, M., Farmer, A.D., Kumari, V., Giampietro, V., Brammer, M., Aziz, Q., Neuroticism influences brain activity during the experience of visceral pain (2011) Gastroenterology, 141 (909-917). , e901; Corr, P., (2008) The reinforcement sensitivity theory of personality, , Cambridge University Press Cambridge; Costa, P.T., Jr., McCrae, R.R., Primary traits of Eysenck's P–E–N system: Three- and five-factor solutions (1995) Journal of Personality and Social Psychology, 69, pp. 308-317; Coutinho, J.F., Sampaio, A., Ferreira, M., Soares, J.M., Goncalves, O.F., Brain correlates of pro-social personality traits: A voxel-based morphometry study (2013) Brain Imaging and Behavior, 7, pp. 293-299; Cremers, H.R., Demenescu, L.R., Aleman, A., Renken, R., van Tol, M.J., van der Wee, N.J., Roelofs, K., Neuroticism modulates amygdala-prefrontal connectivity in response to negative emotional facial expressions (2010) NeuroImage, 49, pp. 963-970; Cunningham, W.A., Arbuckle, N.L., Jahn, A., Mowrer, S.M., Abduljalil, A.M., Aspects of neuroticism and the amygdala: Chronic tuning from motivational styles (2010) Neuropsychologia, 48, pp. 3399-3404; Davidson, R.J., Affective neuroscience and psychophysiology: Toward a synthesis (2003) Psychophysiology, 40, pp. 655-665; Davis, M., Whalen, P.J., The amygdala: Vigilance and emotion (2001) Molecular Psychiatry, 6, pp. 13-34; DeYoung, C.G., Hirsh, J.B., Shane, M.S., Papademetris, X., Rajeevan, N., Gray, J.R., Testing predictions from personality neuroscience: Brain structure and the big five (2010) Psychological Science, 21, pp. 820-828; Dima, D., Friston, K.J., Stephan, K.E., Frangou, S., Neuroticism and conscientiousness respectively constrain and facilitate short-term plasticity within the working memory neural network (2015) Human Brain Mapping, 36, pp. 4158-4163; Duncan, J., Owen, A.M., Common regions of the human frontal lobe recruited by diverse cognitive demands (2000) Trends in Neurosciences, 23, pp. 475-483; Etkin, A., Egner, T., Kalisch, R., Emotional processing in anterior cingulate and medial prefrontal cortex (2011) Trends in Cognitive Science, 15, pp. 85-93; Eysenck, H.J., The biological basis of personality (1967), Thomas Springfield, IL; Eysenck, H.J., A model for personality (1981), Springer Berlin; Eysenck, H.J., Peronality: Biological foundations (1994) The neuropsychology of individual differences, pp. 151-208. , P.A. Vernon Academic Press London; Eysenck, H.J., Eysenck, S.B.G., Manual of the Eysenck Personality Questionnaire (junior and adult) (1975), Hodder &amp; Stoughton Kent, UK; Falquez, R., Couto, B., Ibanez, A., Freitag, M.T., Berger, M., Arens, E.A., Barnow, S., Detaching from the negative by reappraisal: The role of right superior frontal gyrus (BA9/32) (2014) Frontiers in Behavioral Neuroscience, 8, p. 165; Forsman, L.J., de Manzano, O., Karabanov, A., Madison, G., Ullen, F., Differences in regional brain volume related to the extraversion–introversion dimension—a voxel based morphometry study (2012) Neuroscience Research, 72, pp. 59-67; Foster, J.A., MacQueen, G., Neurobiological factors linking personality traits and major depression (2008) Canadian Journal of Psychiatry, 53, pp. 6-13; Fruhholz, S., Prinz, M., Herrmann, M., Affect-related personality traits and contextual interference processing during perception of facial affect (2010) Neuroscience Letters, 469, pp. 260-264; Gale, C.R., Sayer, A.A., Cooper, C., Dennison, E.M., Starr, J.M., Whalley, L.J., Deary, I.J., Factors associated with symptoms of anxiety and depression in five cohorts of community-based older people: the HALCyon (Healthy Ageing across the Life Course) Programme (2011) Psychological Medicine, 41, pp. 2057-2073; Garrett, D.D., Kovacevic, N., McIntosh, A.R., Grady, C.L., The importance of being variable (2011) Journal of Neuroscience, 31, pp. 4496-4503; Garrett, D.D., Samanez-Larkin, G.R., MacDonald, S.W., Lindenberger, U., McIntosh, A.R., Grady, C.L., Moment-to-moment brain signal variability: A next frontier in human brain mapping? (2013) Neuroscience and Biobehavioral Reviews, 37, pp. 610-624; Gray, J.A., Pavlov's typology (1964), Pergamon Press Oxford; Green, M.F., Penn, D.L., Bentall, R., Carpenter, W.T., Gaebel, W., Gur, R.C., Heinssen, R., Social cognition in schizophrenia: An NIMH workshop on definitions, assessment, and research opportunities (2008) Schizophrenia Bulletin, 34, pp. 1211-1220; Haas, B.W., Constable, R.T., Canli, T., Stop the sadness: Neuroticism is associated with sustained medial prefrontal cortex response to emotional facial expressions (2008) NeuroImage, 42, pp. 385-392; Haas, B.W., Omura, K., Amin, Z., Constable, R.T., Canli, T., Functional connectivity with the anterior cingulate is associated with extraversion during the emotional Stroop task (2006) Social Neuroscience, 1, pp. 16-24; Haas, B.W., Omura, K., Constable, R.T., Canli, T., Emotional conflict and neuroticism: Personality-dependent activation in the amygdala and subgenual anterior cingulate (2007) Behavioral Neuroscience, 121, pp. 249-256; Hamann, S., Canli, T., Individual differences in emotion processing (2004) Current Opinion in Neurobiology, 14, pp. 233-238; Hamann, S., Harenski, C.L., Exploring the brain's interface between personality, mood, and emotion: Theoretical comment on Canli et al. (2004) (2004) Behavioral Neuroscience, 118, pp. 1134-1136; Harenski, C.L., Kim, S.H., Hamann, S., Neuroticism and psychopathy predict brain activation during moral and nonmoral emotion regulation (2009) Cognitive, Affective, &amp; Behavioral Neuroscience, 9, pp. 1-15; Hooker, C.I., Verosky, S.C., Miyakawa, A., Knight, R.T., D'Esposito, M., The influence of personality on neural mechanisms of observational fear and reward learning (2008) Neuropsychologia, 46, pp. 2709-2724; Jimura, K., Konishi, S., Miyashita, Y., Temporal pole activity during perception of sad faces, but not happy faces, correlates with neuroticism trait (2009) Neuroscience Letters, 453, pp. 45-48; Kalisch, R., Gerlicher, A.M., Making a mountain out of a molehill: On the role of the rostral dorsal anterior cingulate and dorsomedial prefrontal cortex in conscious threat appraisal, catastrophizing, and worrying (2014) Neuroscience and Biobehavioral Reviews, 42, pp. 1-8; Kanske, P., Heissler, J., Schonfelder, S., Wessa, M., Neural correlates of emotion regulation deficits in remitted depression: The influence of regulation strategy, habitual regulation use, and emotional valence (2012) NeuroImage, 61, pp. 686-693; Kehoe, E.G., Toomey, J.M., Balsters, J.H., Bokde, A.L., Personality modulates the effects of emotional arousal and valence on brain activation (2012) Social Cognitive and Affective Neuroscience, 7, pp. 858-870; Keller, M.B., Improving the course of illness and promoting continuation of treatment of bipolar disorder (2004) Journal of Clinical Psychiatry, 65, pp. 10-14; Klein, D.N., Kotov, R., Bufferd, S.J., Personality and depression: Explanatory models and review of the evidence (2011) Annual Review of Clinical Psychology, 7, pp. 269-295; Knutson, B., Momenan, R., Rawlings, R.R., Fong, G.W., Hommer, D., Negative association of neuroticism with brain volume ratio in healthy humans (2001) Biological Psychiatry, 50, pp. 685-690; Koelsch, S., Skouras, S., Jentschke, S., Neural correlates of emotional personality: A structural and functional magnetic resonance imaging study (2013) PloS One, 8. , e77196; Kraemer, H.C., DSM categories and dimensions in clinical and research contexts (2007) International Journal of Methods in Psychiatric Research, 16, pp. S8-S15; Kringelbach, M.L., Berridge, K.C., Towards a functional neuroanatomy of pleasure and happiness (2009) Trends in Cognitive Science, 13, pp. 479-487; Kumari, V., ffytche, D.H., Das, M., Wilson, G.D., Goswami, S., Sharma, T., Neuroticism and brain responses to anticipatory fear (2007) Behavioral Neuroscience, 121, pp. 643-652; Kumari, V., ffytche, D.H., Williams, S.C., Gray, J.A., Personality predicts brain responses to cognitive demands (2004) Journal of Neuroscience, 24, pp. 10636-10641; Kunisato, Y., Okamoto, Y., Okada, G., Aoyama, S., Nishiyama, Y., Onoda, K., Yamawaki, S., Personality traits and the amplitude of spontaneous low-frequency oscillations during resting state (2011) Neuroscience Letters, 492, pp. 109-113; Li, J., Tian, M., Fang, H., Xu, M., Li, H., Liu, J., Extraversion predicts individual differences in face recognition (2010) Communicative &amp; Integrative Biology, 3, pp. 295-298; Lu, F., Huo, Y., Li, M., Chen, H., Liu, F., Wang, Y., Chen, H., Relationship between personality and gray matter volume in healthy young adults: A voxel-based morphometric study (2014) PloS One, 9. , e88763; Mak, A.K., Hu, Z.G., Zhang, J.X., Xiao, Z.W., Lee, T.M., Neural correlates of regulation of positive and negative emotions: An fMRI study (2009) Neuroscience Letters, 457, pp. 101-106; Mar, R.A., Spreng, R.N., Deyoung, C.G., How to produce personality neuroscience research with high statistical power and low additional cost (2013) Cognitive, Affective, &amp; Behavioral Neuroscience, 13, pp. 674-685; Maxwell, J.S., Davidson, R.J., Emotion as motion: Asymmetries in approach and avoidant actions (2007) Psychological Science, 18, pp. 1113-1119; McEwen, B.S., Protective and damaging effects of stress mediators: Central role of the brain (2006) Dialogues in Clinical Neuroscience, 8, pp. 367-381; McIntosh, A.R., Kovacevic, N., Itier, R.J., Increased brain signal variability accompanies lower behavioral variability in development (2008) PLoS Computational Biology, 4. , e1000106; McNaughton, N., Corr, P.J., DeYoung, C., Approach and avoidance (2015) Neuroimaging personality and character: Traits and mental states in the brain, , J.R. Absher J. Cloutier Elsevier London; Mincic, A.M., Neuroanatomical correlates of negative emotionality-related traits: A systematic review and meta-analysis (2015) Neuropsychologia, 77, pp. 77-97; Misic, B., Mills, T., Taylor, M.J., McIntosh, A.R., Brain noise is task dependent and region specific (2010) Journal of Neurophysiology, 104, pp. 2667-2676; Montag, C., Reuter, M., Jurkiewicz, M., Markett, S., Panksepp, J., Imaging the structure of the human anxious brain: A review of findings from neuroscientific personality psychology (2013) Reviews in Neuroscience, 24, pp. 167-190; Mothersill, O., Knee-Zaska, C., Donohoe, G., Emotion and theory of mind in schizophrenia—Investigating the role of the cerebellum (2016) Cerebellum, 15, pp. 357-368; Murray, R.J., Brosch, T., Sander, D., The functional profile of the human amygdala in affective processing: Insights from intracranial recordings (2014) Cortex, 60, pp. 10-33; Noonan, M.P., Kolling, N., Walton, M.E., Rushworth, M.F., Re-evaluating the role of the orbitofrontal cortex in reward and reinforcement (2012) European Journal of Neuroscience, 35, pp. 997-1010; Nummenmaa, L., Calder, A.J., Neural mechanisms of social attention (2009) Trends in Cognitive Sciences, 13, pp. 135-143; Omura, K., Todd Constable, R., Canli, T., Amygdala gray matter concentration is associated with extraversion and neuroticism (2005) Neuroreport, 16, pp. 1905-1908; Pan, W., Wang, T., Wang, X., Hitchman, G., Wang, L., Chen, A., Identifying the core components of emotional intelligence: Evidence from amplitude of low-frequency fluctuations during resting state (2014) PloS One, 9. , e111435; Phan, K.L., Wager, T., Taylor, S.F., Liberzon, I., Functional neuroanatomy of emotion: A meta-analysis of emotion activation studies in PET and fMRI (2002) NeuroImage, 16, pp. 331-348; Phillips, M.L., Drevets, W.C., Rauch, S.L., Lane, R., Neurobiology of emotion perception I: The neural basis of normal emotion perception (2003) Biological Psychiatry, 54, pp. 504-514; Ponari, M., Trojano, L., Grossi, D., Conson, M., “Avoiding or approaching eyes”? Introversion/extraversion affects the gaze-cueing effect (2013) Cognitive Processing, 14, pp. 293-299; Ptak, R., The frontoparietal attention network of the human brain: Action, saliency, and a priority map of the environment (2012) The Neuroscientist, 18, pp. 502-515; Raja Beharelle, A., Kovacevic, N., McIntosh, A.R., Levine, B., Brain signal variability relates to stability of behavior after recovery from diffuse brain injury (2012) NeuroImage, 60, pp. 1528-1537; Robinson, M.D., Tamir, M., Neuroticism as mental noise: A relation between neuroticism and reaction time standard deviations (2005) Journal of Personality and Social Psychology, 89, pp. 107-114; Robinson, M.D., Moeller, S.K., Fetterman, A.K., Neuroticism and responsiveness to error feedback: Adaptive self-regulation versus affective reactivity (2010) Journal of Personality, 78, pp. 1469-1496; Robinson, M.D., Wilkowski, B.M., Kirkeby, B.S., Meier, B.P., Stuck in a rut: Perseverative response tendencies and the neuroticism-distress relationship (2006) Journal of Experimental Psychology. General, 135, pp. 78-91; Ross, E.D., Nonverbal aspects of language (1993) Neurologic Clinics, 11, pp. 9-23; Sabatinelli, D., Fortune, E.E., Li, Q., Siddiqui, A., Krafft, C., Oliver, W.T., Jeffries, J., Emotional perception: Meta-analyses of face and natural scene processing (2011) NeuroImage, 54, pp. 2524-2533; Salimpoor, V.N., Benovoy, M., Larcher, K., Dagher, A., Zatorre, R.J., Anatomically distinct dopamine release during anticipation and experience of peak emotion to music (2011) Nature Neuroscience, 14, pp. 257-262; Sampaio, A., Soares, J.M., Coutinho, J., Sousa, N., Goncalves, O.F., The Big Five default brain: Functional evidence (2014) Brain Structure and Function, 219, pp. 1913-1922; Scarpazza, C., Tognin, S., Frisciata, S., Sartori, G., Mechelli, A., False positive rates in voxel-based morphometry studies of the human brain: Should we be worried? (2015) Neuroscience and Biobehavioral Reviews, 52, pp. 49-55; Scherer, K.R., Vocal affect expression: A review and a model for future research (1986) Psychology Bulletin, 99, pp. 143-165; Schindler, S., Wegrzyn, M., Steppacher, I., Kissler, J., Perceived communicative context and emotional content amplify visual word processing in the fusiform gyrus (2015) Journal of Neuroscience, 35, pp. 6010-6019; Schlaffke, L., Lissek, S., Lenz, M., Juckel, G., Schultz, T., Tegenthoff, M., Brune, M., Shared and nonshared neural networks of cognitive and affective theory-of-mind: A neuroimaging study using cartoon picture stories (2015) Human Brain Mapping, 36, pp. 29-39; Schultz, W., Neuronal reward and decision signals: From theories to data (2015) Physiological Reviews, 95, pp. 853-951; Schuyler, B.S., Kral, T.R., Jacquart, J., Burghy, C.A., Weng, H.Y., Perlman, D.M., Davidson, R.J., Temporal dynamics of emotional responding: Amygdala recovery predicts emotional traits (2012) Social Cognitive and Affective Neuroscience, 9, pp. 176-181; Seo, D., Olman, C.A., Haut, K.M., Sinha, R., MacDonald, A.W., 3rd, Patrick, C.J., Neural correlates of preparatory and regulatory control over positive and negative emotion (2014) Social Cognitive and Affective Neuroscience, 9, pp. 494-504; Servaas, M.N., Geerligs, L., Renken, R.J., Marsman, J.B., Ormel, J., Riese, H., Aleman, A., Connectomics and neuroticism: An altered functional network organization (2015) Neuropsychopharmacology, 40, pp. 296-304; Shackman, A.J., McMenamin, B.W., Maxwell, J.S., Greischar, L.L., Davidson, R.J., Right dorsolateral prefrontal cortical activity and behavioral inhibition (2009) Psychological Science, 20, pp. 1500-1506; Spielberg, J.M., Stewart, J.L., Levin, R.L., Miller, G.A., Heller, W., Prefrontal cortex, emotion, and approach/withdrawal notivation (2008) Social and Personality Psychology Compass, 2, pp. 135-153; Strange, B.A., Dolan, R.J., Anterior medial temporal lobe in human cognition: Memory for fear and the unexpected (2006) Cognitive Neuropsychiatry, 11, pp. 198-218; Suslow, T., Kugel, H., Reber, H., Bauer, J., Dannlowski, U., Kersting, A., Egloff, B., Automatic brain response to facial emotion as a function of implicitly and explicitly measured extraversion (2010) Neuroscience, 167, pp. 111-123; Tanji, J., Hoshi, E., Role of the lateral prefrontal cortex in executive behavioral control (2008) Physiology Review, 88, pp. 37-57; Vandenberghe, R., Gillebert, C.R., Parcellation of parietal cortex: Convergence between lesion-symptom mapping and mapping of the intact functioning brain (2009) Behavioural Brain Research, 199, pp. 171-182; Wang, T., Huang, X., Huang, P., Li, D., Lv, F., Zhang, Y., Xie, P., Early-stage psychotherapy produces elevated frontal white matter integrity in adult major depressive disorder (2013) PloS One, 8. , e63081; Wei, L., Duan, X., Zheng, C., Wang, S., Gao, Q., Zhang, Z., Chen, H., Specific frequency bands of amplitude low-frequency oscillation encodes personality (2014) Human Brain Mapping, 35, pp. 331-339; Whittle, S., Lichter, R., Dennison, M., Vijayakumar, N., Schwartz, O., Byrne, M.L., Allen, N.B., Structural brain development and depression onset during adolescence: A prospective longitudinal study (2014) American Journal of Psychiatry, 171, pp. 564-571; Wright, B.K., Kelsall, H.L., Sim, M.R., Clarke, D.M., Creamer, M.C., Support mechanisms and vulnerabilities in relation to PTSD in veterans of the gulf war, Iraq war, and Afghanistan deployments: A systematic review (2013) Journal of Trauma Stress, 26, pp. 310-318; Wright, C.I., Williams, D., Feczko, E., Barrett, L.F., Dickerson, B.C., Schwartz, C.E., Wedig, M.M., Neuroanatomical correlates of extraversion and neuroticism (2006) Cerebral Cortex, 16, pp. 1809-1819; Xu, J., Potenza, M.N., White matter integrity and five-factor personality measures in healthy adults (2012) NeuroImage, 59, pp. 800-807; Zald, D.H., McHugo, M., Ray, K.L., Glahn, D.C., Eickhoff, S.B., Laird, A.R., Meta-analytic connectivity modeling reveals differential functional connectivity of the medial and lateral orbitofrontal cortex (2014) Cerebral Cortex, 24, pp. 232-248; Zhang, X., Zhu, X., Wang, X., Zhu, X., Zhong, M., Yi, J., Yao, S., First-episode medication-naive major depressive disorder is associated with altered resting brain function in the affective network (2014) PloS One, 9. , e85241</t>
  </si>
  <si>
    <t>01918869</t>
  </si>
  <si>
    <t>PEIDD</t>
  </si>
  <si>
    <t>Pers. Individ. Differ.</t>
  </si>
  <si>
    <t>2-s2.0-84989870904</t>
  </si>
  <si>
    <t>Hans eysenck's interface between the brain and personality: modern evidence on the cognitive neuroscience of personality</t>
  </si>
  <si>
    <t>Kauppinen T., Toikkanen J.</t>
  </si>
  <si>
    <t>26022358800;6603078439;</t>
  </si>
  <si>
    <t>Health and hazard surveillance - Needs and perspectives</t>
  </si>
  <si>
    <t>Scandinavian Journal of Work, Environment and Health</t>
  </si>
  <si>
    <t>SUPPL. 4</t>
  </si>
  <si>
    <t>67</t>
  </si>
  <si>
    <t>https://www.scopus.com/inward/record.uri?eid=2-s2.0-0033401632&amp;partnerID=40&amp;md5=c5548630aecae818d7ec8fddf5cd298b</t>
  </si>
  <si>
    <t>Finnish Institute of Occupational Health, Helsinki, Finland; Finnish Institute of Occupational Health, Topeliuksenkatu 41 a A, FIN-00250 Helsinki, Finland</t>
  </si>
  <si>
    <t>Kauppinen, T., Finnish Institute of Occupational Health, Helsinki, Finland, Finnish Institute of Occupational Health, Topeliuksenkatu 41 a A, FIN-00250 Helsinki, Finland; Toikkanen, J., Finnish Institute of Occupational Health, Helsinki, Finland</t>
  </si>
  <si>
    <t>Health and hazard surveillance is the on-going collection, analysis, evaluation, and dissemination of information aimed at improving the health, work ability, and well-being of workers. Hazard surveillance supplemented by quantitative risk assessment is the most prevention-oriented domain of surveillance. However, information on exposures and stress factors is often lacking. Computer-assisted expert judgment is a new approach to improve knowledge on hazards. Surveillance of work organizations and psychosocial factors is a challenging area which still requires research. Statistics on occupational injuries and diseases are available, but nonspecific coding and insufficient interpretation often limit their usefulness. Systematic surveys of new types of cases and the linking of different data bases are becoming more feasible. Methodological work is needed to develop indicators of work ability and work-related symptoms. Among the many possibilities to develop surveillance are the use of information technology, the application of hazard communication principles, and the development of practical aids for surveillance at the company level.</t>
  </si>
  <si>
    <t>Epidemiology; Exposure; Monitoring; Review; Work organization</t>
  </si>
  <si>
    <t>hazard assessment; health risk; medical geography; methodology; data analysis; data base; expert system; human; information processing; methodology; occupational accident; occupational hazard; occupational health; priority journal; review; risk assessment; social psychology; stress; technology; wellbeing; work capacity; work environment; Data Collection; Data Interpretation, Statistical; Databases, Factual; Diffusion of Innovation; Environmental Monitoring; Humans; Information Services; Needs Assessment; Occupational Diseases; Occupational Exposure; Occupational Health; Population Surveillance; Risk Assessment</t>
  </si>
  <si>
    <t>Baker, E.L., Surveillance in occupational health and safety (1989) Am J Public Health, 79 (SUPPL.); Halperin, W., Baker, E.L., Monson, R.R., (1992) Public Health Surveillance, , New York (NY): Van Nostrand Reinhold; Stellman, S.D., Record systems and surveillance (1998) Encyclopedia of Occupational Health and Safety; Vol I. 4th Ed., 1, p. 32. , Stellman JM, editor. Geneva: International Labour Office, chapter; Tüchsen, F., Surveillance of the working environment and health: Concepts and sources of information (1998) TemaNord, 527. , Copenha-gen: Nordic Council of Ministers; (1997) Technical and Ethical Guidelines for Workers' Health Surveillance, , Geneva: International Labour Office, MEHS/1997/D.2; (1994) Printout of HFA Database and Some Other Data Available in the WHO Regional Office for Europe, , Copenhagen: WHO, Regional Office for Europe; Takahashi, K., Aw, T.C., Koh, D., Wong, T.W., Kauppinen, T., Westerholm, P., Developing national indicators for occupational health (1997) Scand J Work Environ Health, 23, pp. 392-393; Eurostat. Accidents at work in the European Union in 1993: Initial results (1997) Eurostat, , Statistics in focus 1997/2; Laursen, P., Netterstrøm, B., Gyntelberg, F., Jørgensen, K., (1992) Reporting Occupational Diseases in the European Community, Phase I: Final Report, , Copenhagen; (1997) Second European Survey on Working Conditions 1996, , Luxembourg: Office of Official Publication of the European Communities; Kauppinen, T., Toikkanen, J., Pedersen, D., Young, R., Ahrens, W., Boffetta, P., Occupational exposure to carcinogens in the European Union Occup Environ Med., , In press; (1995) Summaries of Descriptions of Systems for Monitoring Health and Safety at Work, , Dublin: European Foundation for the Improvement of Living and Working Conditions</t>
  </si>
  <si>
    <t>03553140</t>
  </si>
  <si>
    <t>SWEHD</t>
  </si>
  <si>
    <t>Scand. J. Work Environ. Health</t>
  </si>
  <si>
    <t>2-s2.0-0033401632</t>
  </si>
  <si>
    <t>Health and hazard surveillance - needs and perspectives</t>
  </si>
  <si>
    <t>Botero-Valencia J.-S., Valencia-Aguirre J., Durmus D., Davis W.</t>
  </si>
  <si>
    <t>55755583500;36761935900;56624301400;57646573000;</t>
  </si>
  <si>
    <t>Multi-channel low-cost light spectrum measurement using a multilayer perceptron</t>
  </si>
  <si>
    <t>Energy and Buildings</t>
  </si>
  <si>
    <t>199</t>
  </si>
  <si>
    <t>579</t>
  </si>
  <si>
    <t>587</t>
  </si>
  <si>
    <t>10.1016/j.enbuild.2019.07.026</t>
  </si>
  <si>
    <t>https://www.scopus.com/inward/record.uri?eid=2-s2.0-85069697000&amp;doi=10.1016%2fj.enbuild.2019.07.026&amp;partnerID=40&amp;md5=e8977a059624fe3302d4710e1fd8adda</t>
  </si>
  <si>
    <t>Grupo de Automática, Electrónica y Ciencias Computacionales, Instituto Tecnológico Metropolitano, Medellín, Colombia; School of Architecture, Design and Planning, The University of Sydney, Sydney, Australia; Pacific Northwest National Laboratory., Portland, United States</t>
  </si>
  <si>
    <t>Botero-Valencia, J.-S., Grupo de Automática, Electrónica y Ciencias Computacionales, Instituto Tecnológico Metropolitano, Medellín, Colombia; Valencia-Aguirre, J., Grupo de Automática, Electrónica y Ciencias Computacionales, Instituto Tecnológico Metropolitano, Medellín, Colombia; Durmus, D., School of Architecture, Design and Planning, The University of Sydney, Sydney, Australia, Pacific Northwest National Laboratory., Portland, United States; Davis, W., School of Architecture, Design and Planning, The University of Sydney, Sydney, Australia</t>
  </si>
  <si>
    <t>Light is one of the most important elements for residential and work spaces, which affects visual performance, comfort, productivity and well-being. The measures that quantify the characteristics of a light source are derived directly from the spectral power distribution (SPD). In addition the SPD is an important factor influencing the quality of a light source. However, measuring light source spectrum with traditional spectrometers is expensive, difficult to adapt to normal spaces, and hard to integrate with other systems. To address these challenges, a low-cost spectrometer was developed using an Artificial Neural Network, with a resolution of 5 nm in the visible spectrum. The reconstructed SPD has an error lower than 2% and allows the derivation of measurements to characterize the colour quality of light sources. Additionally, the device has wireless communication (Bluetooth and Wi-Fi) in real time, which allows integration into lighting control applications and other Internet of things (IoT) applications. © 2019 Elsevier B.V.</t>
  </si>
  <si>
    <t>Internet of things; Multi spectral sensor; Multilayer perceptron; Spectral power distribution; Spectrum measurement</t>
  </si>
  <si>
    <t>Internet of things; Light sources; Multilayer neural networks; Multilayers; Neural networks; Spectrometers; Wi-Fi; Internet of Things (IOT); Lighting controls; Low cost spectrometers; Multispectral sensors; Spectral power distribution; Spectrum measurement; Visual performance; Wireless communications; Costs</t>
  </si>
  <si>
    <t>Durmus, D., Davis, W., Object color naturalness and attractiveness with spectrally optimized illumination (2017) Opt. Express, 25 (11), p. 12839; Lucas, R.J., Peirson, S.N., Berson, D.M., Brown, T.M., Cooper, H.M., Czeisler, C.A., Figueiro, M.G., Brainard, G.C., Measuring and using light in the melanopsin age (2014) Trends Neurosci., 37 (1), pp. 1-9; Algvere, P.V., Marshall, J., Seregard, S., Age-related maculopathy and the impact of blue light hazard (2006) Acta Ophthalmol. Scand., 84 (1), pp. 4-15; Shaikh, P.H., Nor, N.B.M., Nallagownden, P., Elamvazuthi, I., Ibrahim, T., A review on optimized control systems for building energy and comfort management of smart sustainable buildings (2014) Renewable Sustainable Energy Rev., 34, pp. 409-429; Durmus, D., (2015) Optimising Light Source Spectrum to Reduce the Energy Absorbed by Objects, Ph.D. thesis, , The University of Sydney; Durmus, D., Davis, W., Blur perception and visual clarity in light projection systems (2019) Opt. Express, 27 (4), pp. A216-A223; Botero-Valencia, J.S., Lopez-Giraldo, F.E., Vargas-Bonilla, J.F., Classification of artificial light sources and estimation of Color Rendering Index using RGB sensors, K Nearest Neighbor and Radial Basis Function (2015) Int. J. Smart Sens. Intell. Syst., 8 (3), pp. 1505-1524; Botero-Valencia, J.S., Lopez-Giraldo, F.E., Vargas-Bonilla, J.F., Characterization of photodectors using a monochromator and a broadband light source in the XYZ color space (2016) Int. J. Smart Sens. Intell. Syst., 9 (2), pp. 752-764; Botero-Valencia, J.S., Navarro, S., Giraldo, N., Atehortua, L., Estimation of photosynthetically active radiation (PAR) using a low cost spectrometer (2014) IEEE Latin Am. Trans., 12 (2), pp. 107-111; Pavanello, D., Galleano, R., Kenny, R., Pavanello, D., Galleano, R., Kenny, R.P., Uncertainty propagation of spectral matching ratios measured using a calibrated spectroradiometer (2018) Appl. Sci., 8 (2), p. 186; Brown, S.W., Ohno, Y., NIST reference spectroradiometer for color display calibrations (1998) Color Imaging Conf., 1998 (1), pp. 62-64; DeCusatis, C., Optical Society of America, Handbook of Applied Photometry (1997), AIP Press Woodbury N.Y.; Washington DC; Mansoor, M., Haneef, I., Akhtar, S., Luca, A.D., Udrea, F., Silicon diode temperature sensors-a review of applications (2015) Sens. Actuators A, 232, pp. 63-74; Jeong, G.-S., Bae, W., Jeong, D.-K., Review of CMOS integrated circuit technologies for high-Speed photo-detection (2017) Sensors, 17 (9), p. 1962; Bigas, M., Cabruja, E., Forest, J., Salvi, J., Review of CMOS image sensors (2006) Microelectron. J., 37 (5), pp. 433-451; http://www.wacolab.com/avantes/spectrometers5.pdf, Avantes 2017 URL; THE, N.A., TIONAL, A.C., ADEMIES, P.R., (2013), ESS Assessment of Advanced Solid-State Lighting, Washington doi:; Ohno, Y., Optical metrology for LEDs and solid state lighting (2006), 6046, p. 604625. , International Society for Optics and Photonics; Royer, M.P., Lumen and Chromaticity Maintenance of LED PAR38 Lamps Operated in Steady-State Conditions (2014) Technical Report PNNL-23988, , Pacific Northwest National Lab, Richland, WA (United States); Ohno, Y., Blattner, P., Chromaticity Difference Specification for Light Sources (2014) Technical Report CIE TN 001:2014, , International Commission on Illumination - CIE; Judd, D.B., MacAdam, D.L., Wyszecki, G., Budde, H.W., Condit, H.R., Henderson, S.T., Simonds, J.L., Spectral distribution of typical daylight as a function of correlated color temperature (1964) J. Opt. Soc. Am., 54 (8), p. 1031; Afshari, S., Mishra, S., Julius, A., Lizarralde, F., Wason, J.D., Wen, J.T., Modeling and control of color tunable lighting systems (2014) Energy Build., 68, pp. 242-253; Dong, F., Sanderson, A., A dynamic adaptive light field sampling approach for smart lighting control (2014) Light. Res. Technol., 46 (5), pp. 593-614; Durmus, D., Davis, W., Optimising light source spectrum for object reflectance (2015) Opt. Express, 23 (11), p. A456; Durmus, A., Abdalla, D., Duis, A., Davis, W., Spectral optimization to minimize light absorbed by artwork (2018) LEUKOS, pp. 1-10; Berson, D.M., Dunn, F.A., Takao, M., Phototransduction by retinal ganglion cells that set the circadian clock (2002) Science, 295 (5557), pp. 1070-1073; Hattar, S., Liao, H.-W., Takao, M., Berson, D.M., Yau, K.-W., Melanopsin-containing retinal ganglion cells: architecture, projections, and intrinsic photosensitivity (2002) Science, 295 (5557), pp. 1065-1070; Hye Oh, J., Ji Yang, S., Rag Do, Y., Healthy, natural, efficient and tunable lighting: four-package white LEDs for optimizing the circadian effect, color quality and vision performance (2014) Light, 3 (2). , e141–e141; Park, Y.-J., Choi, J.-H., Jang, M.-G., Optimization of light source combination through the illuminance and color temperature simulation of circadian lighting apparatus (2009) J. Korea Contents Assoc., 9 (8), pp. 248-254; Elejoste, P., Angulo, I., Perallos, A., Chertudi, A., Zuazola, I., Moreno, A., Azpilicueta, L., Villadangos, J., An easy to deploy street light control system based on wireless communication and LED technology (2013) Sensors, 13 (5), pp. 6492-6523; Gaston, K.J., Davies, T.W., Bennie, J., Hopkins, J., REVIEW: reducing the ecological consequences of night-time light pollution: options and developments (2012) J. Appl. Ecol., 49 (6), pp. 1256-1266; CIE, CIE 157:2004 Control of Damage to Museum Objects by Optical Radiation (2004) Technical Report, , Commission Internationale de l’Éclairage, Vienna, Austria; https://www.lightingpassport.com/, Lighting Passport 2018 URL; http://www.aibcusa.com/portable-led-light-spectrometer, AIBC International 2018 URL; https://alliedscientificpro.com, Allied Scientific Pro 2018 - Spectral Light Meter SRI2000 Illuminance Spectrometer, URL; Rosenblatt, F., Principles of Neurodynamics: Perceptrons and the theory of Brain Mechanisms (1962) Report (Cornell Aeronautical Laboratory), , Spartan Books; https://ams.com/as7262, AMS 2019a URL; https://ams.com/as7263, AMS, 2019b URL; CIE 13.3: Method of Measuring and Specifying Colour Rendering Properties of Light Sources (1995) Technical Report, , Commission Internationale de l’Éclairage, Vienna, Austria; Davis, W., Ohno, Y., Color quality scale (2010) Opt. Eng., 49 (3), p. 033602; Society, I.E., IES Method for Evaluating Light Source Color Rendition (2015) Technical memorandum series, , Illuminating Engineering Society of North America; CIE, CIE 15: Colorimetry (2004) Technical Report, , Commission Internationale de l’Éclairage, Vienna, Austria; Davis, W., Ohno, Y., Approaches to color rendering measurement (2009) J. Mod. Opt., 56 (13), pp. 1412-1419; Xu, W., Wei, M., Smet, K., Lin, Y., The prediction of perceived colour differences by colour fidelity metrics (2017) Light. Res. Technol., 49 (7), pp. 805-817; Wei, M., Royer, M., Huang, H.-P., Perceived color fidelity under LEDs with similar Rf but different Ra (2019) Light. Res. Technol.; Ohno, Y., Practical use and calculation of CCT and duv (2014) LEUKOS, 10 (1), pp. 47-55; CIE, CIE TN001: Chromaticity Difference Specification for Light Sources (2014) Technical Report, , Commission Internationale de l’Éclairage, Vienna, Austria; CIE, CIE 191: Recommended System for Mesopic Photometry Based on Visual Performance (2010) Technical Report, , Commission Internationale de l’Éclairage, Vienna, Austria; , pp. 23-50. , Artificial Neural Network and Supervised Learning, Springer Berlin Heidelberg, Berlin, Heidelberg, 2008 doi:; Landi, A., Piaggi, P., Laurino, M., Menicucci, D., Artificial neural networks for nonlinear regression and classification (2010) 2010 10th International Conference on Intelligent Systems Design and Applications, pp. 115-120; Jordan, M.I., Bishop, C.M., Neural networks (2014) Computing Handbook, Third Edition: Computer Science and Software Engineering, , pp. 42: 1–24; Zeng, Z., Huang, T., Zheng, W.X., Multistability of recurrent neural networks with time-varying delays and the piecewise linear activation function (2010) IEEE Trans. Neural Netw., 21 (8), pp. 1371-1377; Lin, C.-W., Wang, J.-S., A digital circuit design of hyperbolic tangent sigmoid function for neural networks (2008) 2008 IEEE International Symposium on Circuits and Systems, pp. 856-859</t>
  </si>
  <si>
    <t>03787788</t>
  </si>
  <si>
    <t>ENEBD</t>
  </si>
  <si>
    <t>Energy Build.</t>
  </si>
  <si>
    <t>2-s2.0-85069697000</t>
  </si>
  <si>
    <t>Casaccia S., Gian Marco R., Cosoli G., Scalise L.</t>
  </si>
  <si>
    <t>55957572000;58153351700;56786271100;7003621443;</t>
  </si>
  <si>
    <t>Assessment of Domestic Well-Being: From Perception to Measurement</t>
  </si>
  <si>
    <t>IEEE Instrumentation and Measurement Magazine</t>
  </si>
  <si>
    <t>9513641</t>
  </si>
  <si>
    <t>10.1109/MIM.2021.9513641</t>
  </si>
  <si>
    <t>https://www.scopus.com/inward/record.uri?eid=2-s2.0-85112045006&amp;doi=10.1109%2fMIM.2021.9513641&amp;partnerID=40&amp;md5=17e6c044fd4095a0bef56b9ca05b6fbe</t>
  </si>
  <si>
    <t>Department of Industrial Engineering and Mathematical Sciences (DIISM), Marche Polytechnic University (UNIVPM), Ancona, Italy; Mechanical and thermal measurement, Marche Polytechnic University (UNIVPM), Ancona, Italy; Mechanical measurements and biomedical instrumentation, Marche Polytechnic University (UNIVPM), Ancona, Italy</t>
  </si>
  <si>
    <t>Casaccia, S., Department of Industrial Engineering and Mathematical Sciences (DIISM), Marche Polytechnic University (UNIVPM), Ancona, Italy; Gian Marco, R., Department of Industrial Engineering and Mathematical Sciences (DIISM), Marche Polytechnic University (UNIVPM), Ancona, Italy; Cosoli, G., Mechanical and thermal measurement, Marche Polytechnic University (UNIVPM), Ancona, Italy; Scalise, L., Mechanical measurements and biomedical instrumentation, Marche Polytechnic University (UNIVPM), Ancona, Italy</t>
  </si>
  <si>
    <t>Nowadays, there are plenty of sensing devices that enable the measurement of physiological, environmental, and behavioral parameters of people 24 hours a day, seven days a week and provide huge quantities of different data. Data and signals coming from sensing devices, installed in indoor or outdoor environments or often worn by the users, generate heterogeneous and complex structured datasets, most of the time not uniformly structured. The artificial intelligence (AI) algorithms applied to these sets of data have demonstrated capabilities to infer indices related to a subject's status and well-being [1]. Well-being is a key parameter in the World Health Organization (WHO) definition of health, considering its physical, mental, and social spheres. Quantitatively assessing a subject's well-being is of paramount importance if we want to assess the whole status of a person, which is particularly useful in the case of ageing people living alone. Assessment allows for continuous remote monitoring to improve people's quality of life (QoL) according to their perceptions, needs, and preferences. Technology undoubtedly plays a pivotal role in this regard, providing us new tools to support the objective evaluation of a subject's status, including her/his perception of the living environment. Its potential is huge, also in terms of support to the healthcare system and ageing people; however, there are several engineering challenges to consider, especially in terms of sensors integrability, connectivity, and metrological performance, in order to obtain reliable and accurate measurement systems. © 1998-2012 IEEE.</t>
  </si>
  <si>
    <t>Behavioral parameters; Data and signals; Domestic wells; Environmental parameter; Indoor environment; Measurements of; Outdoor environment; Physiological parameters; Sensing devices; Well being; Physiological models</t>
  </si>
  <si>
    <t>Khanafer, M., Shirmohammadi, S., Applied AI in instrumentation and measurement: The deep learning revolution (2020) IEEE Instrum. Meas. Mag, 23 (6), pp. 10-17; Carnemolla, P., Ageing in place and the internet of things-how smart home technologies, the built environment and caregiving intersect (2018) Vis. Eng, 6 (1), p. 7; Gaspard, S., Healthcare innovations for low and medium income countries or environments today and visions for the future (2018) IEEE Instrum. Meas. Mag, 21 (5), pp. 11-18; (2018) Economic and Financial Affairs the 2018 Ageing Report Underlying Assumptions &amp; Projection Methodologies, , European Commission-DG ECFIN; Andò, B., Baglio, S., Lombardo, C.O., RESIMA: An assistive paradigm to support weak people in indoor environments (2014) IEEE Trans. Instrum. Meas, 63 (11), pp. 2522-2528. , Nov; Global Health and Ageing, , World Health Organization; Megahed, N.A., Ghoneim, E.M., Antivirus-built environment: Lessons learned from Covid-19 pandemic (2020) Sustain. Cities Soc, 61, p. 102350; Islam, M.M., Razzaque, M.A., Hassan, M.M., Ismail, W.N., Song, B., Mobile cloud-based big healthcare data processing in smart cities (2017) IEEE Access, 5, pp. 11887-11899; Mari, L., Petri, D., The metrological culture in the context of big data: Managing data-driven decision confidence (2017) IEEE Instrum. Meas. Mag, 20 (5); Tavakoli, M., Carriere, J., Torabi, A., Robotics, smart wearable technologies, and autonomous intelligent systems for healthcare during the COVID-19 pandemic: An analysis of the state of the art and future vision (2020) Adv. Intell. Syst, 2 (7), p. 2000071; Jaiswal, R., Agarwal, A., Negi, R., Smart solution for reducing the COVID-19 risk using smart city technology (2020) IET Smart Cities, 2 (2), pp. 82-88; Ding, X., Wearable sensing and telehealth technology with potential applications in the coronavirus pandemic (2020) IEEE Rev. Biomed. Eng, p. 1; Casaccia, S., Health@Home pilot cases and preliminary results : integrated residential sensor network to promote the active aging of real users (2018) Proc. 2018 IEEE Int. Symp. Medical Meas. Applications (MeMeA, pp. 1-6; Pietroni, F., Casaccia, S., Revel, G.M., Scalise, L., Methodologies for continuous activity classification of user through wearable devices: Feasibility and preliminary investigation (2016) Proc 2016 IEEE Sensors Applications Symp. (SAS, pp. 1-6; Cosoli, G., Spinsante, S., Scalise, L., Wrist-worn and cheststrap wearable devices: Systematic review on accuracy and metrological characteristics (2020) Measurement, p. 107789. , Apr; Poli, A., Cosoli, G., Scalise, L., Spinsante, S., Impact of wearable measurement properties and data quality on ADLs classification accuracy (2020) IEEE Sens. J, p. 1; Well-being-Aggregate report (eurobarometer qualitative studies) (2011) TNS Qual+; Bevilacqua, R., Coaching through technology: A systematic review into efficacy and effectiveness for the ageing population (2020) Int. J. Environ. Res. Public Health, 17 (16), p. 5930; Cosoli, G., Casacanditella, L., Tomasini, E.P., Scalise, L., Heart rate assessment by means of a novel approach applied to signals of different nature (2017) J. Physics: Conference Series, 778 (1); Arnesano, M., Citizen-oriented technologies in the cities of tomorrow (2019) The First Outstanding 50 Years of "università Politecnica Delle Marche": Research Achievements in Physical Sciences and Engineering, pp. 143-160. , Cham, Switzerland Springer International Publishing; Cosoli, G., Spinsante, S., Scalise, L., Wearable devices and diagnostic apps: Beyond the borders of traditional medicine, but what about their accuracy and reliability? (2021) Instrum. Meas. Mag, 24 (6); Barredo Arrieta, A., Explainable artificial intelligence (XAI): Concepts, taxonomies, opportunities and challenges toward responsible AI (2020) Inf. Fusion, 58, pp. 82-115. , Jun; Casaccia, S., Measurement of users well-being through domotic sensors and machine learning algorithms (2020) IEEE Sens. J, pp. 1-1; Monteriù, A., A smart sensing architecture for domestic monitoring: Methodological approach and experimental validation (2018) Sensors, 18 (7), p. 2310; Casaccia, S., Pietroni, F., Calvaresi, A., Revel, G.M., Scalise, L., Smart monitoring of user s health at home: Performance evaluation and signal processing of a wearable sensor for the measurement of heart rate and breathing rate Biosignals, , https://www.researchgate.net/publication/295859566-Smart-Monitoring-of-Users-Health-At-Home-Performance-Evaluation-And-Signal-Processing-of-A-Wearable-Sensor-for-The-Measurement-of-Heart-Rate-And-Breathing-Rate; Casaccia, S., Social robot and sensor network in support of activity of daily living for people with dementia (2019) Communications in Computer and Information Sci, 1117, pp. 128-135; Casaccia, S., Braccili, E., Scalise, L., Revel, G.M., Experimental assessment of sleep-related parameters by passive infrared sensors: Measurement setup, feature extraction, and uncertainty analysis (2019) Sensors (Switzerland, 19 (17); Casaccia, S., Assistive sensor-based technology driven self-management for building resilience among people with early stage cognitive impairment (2019) Proc. 2019 IEEE Int. Symp. Meas. Networking (M&amp;N, pp. 1-5; Kort, H.S.M., Van Hoof, J., Design of a website for home modifications for older persons with dementia (2014) Technol. Disabil, 26 (1), pp. 1-10</t>
  </si>
  <si>
    <t>10946969</t>
  </si>
  <si>
    <t>IIMMF</t>
  </si>
  <si>
    <t>IEEE Instrum Meas Mag</t>
  </si>
  <si>
    <t>2-s2.0-85112045006</t>
  </si>
  <si>
    <t>Assessment of domestic well-being: from perception to measurement</t>
  </si>
  <si>
    <t>Mojarad R., Attal F., Chibani A., Amirat Y.</t>
  </si>
  <si>
    <t>57189049805;56042634500;34167721100;7003336093;</t>
  </si>
  <si>
    <t>Automatic Classification Error Detection and Correction for Robust Human Activity Recognition</t>
  </si>
  <si>
    <t>IEEE Robotics and Automation Letters</t>
  </si>
  <si>
    <t>8976121</t>
  </si>
  <si>
    <t>2208</t>
  </si>
  <si>
    <t>2215</t>
  </si>
  <si>
    <t>10.1109/LRA.2020.2970667</t>
  </si>
  <si>
    <t>https://www.scopus.com/inward/record.uri?eid=2-s2.0-85081108705&amp;doi=10.1109%2fLRA.2020.2970667&amp;partnerID=40&amp;md5=efaf10950d383e2ef1f75f3b6f94dbd1</t>
  </si>
  <si>
    <t>Laboratoire Images, Signaux et Systèmes Intelligents (LISSI), Université Paris Est Créteil (UPEC), Vitry-sur-Seine, 94400, France</t>
  </si>
  <si>
    <t>Mojarad, R., Laboratoire Images, Signaux et Systèmes Intelligents (LISSI), Université Paris Est Créteil (UPEC), Vitry-sur-Seine, 94400, France; Attal, F., Laboratoire Images, Signaux et Systèmes Intelligents (LISSI), Université Paris Est Créteil (UPEC), Vitry-sur-Seine, 94400, France; Chibani, A., Laboratoire Images, Signaux et Systèmes Intelligents (LISSI), Université Paris Est Créteil (UPEC), Vitry-sur-Seine, 94400, France; Amirat, Y., Laboratoire Images, Signaux et Systèmes Intelligents (LISSI), Université Paris Est Créteil (UPEC), Vitry-sur-Seine, 94400, France</t>
  </si>
  <si>
    <t>One of the main objectives of Ambient Assisted Living (AAL) systems is to proactively provide intelligent services to improve the quality of people's lives in terms of autonomy, safety, and well-being. Designing AAL systems that can autonomously monitor human's activities and provide assistance services poses several challenges of which Human Activity Recognition (HAR) which is critically important to adapt the assistance services to the user. In this letter, a robust multi-label HAR framework is proposed. The proposed framework is composed of two main modules: (i) activity classification module and (ii) classification error detection and correction module. In the first module, machine-learning models are used to predict human activities. Since these models may produce predictions with errors, there is a requirement to detect and correct these errors. The classification error detection and correction module is based on two acyclic directed graphical models and operates in two phases: (i) classification error detection and (ii) classification error correction. The proposed framework is evaluated on the Opportunity dataset, a benchmark and a unique dataset for multi-label human daily living activity recognition. The obtained results demonstrate the ability of the proposed framework to improve the performances of HAR. © 2016 IEEE.</t>
  </si>
  <si>
    <t>classification error; error correction; error detection; Human activity recognition; multi-label classification</t>
  </si>
  <si>
    <t>Assisted living; Classification (of information); Error correction; Pattern recognition; Activity classifications; Ambient assisted living (AAL); Automatic classification; Classification errors; Daily living activities; Human activity recognition; Machine learning models; Multi label classification; Error detection</t>
  </si>
  <si>
    <t>Mojarad, R., Attal, F., Chibani, A., Fiorini, S.R., Amirat, Y., Hybrid approach for human activity recognition by ubiquitous robots (2018) Proc. IEEE/RSJ Int. Conf. Intell. Robots Syst., pp. 5660-5665. , Oct; Kańtoch, E., Human activity recognition for physical rehabilitation using wearable sensors fusion and artificial neural networks (2017) Proc. Comput. Cardiology, pp. 1-4. , Sep; Nweke, H.F., Teh, Y.W., Al-Garadi, M.A., Alo, U.R., Deep learning algorithms for human activity recognition using mobile and wearable sensor networks: State of the art and research challenges (2018) Expert Syst. Appl., 105, pp. 233-261; Huang, J., Improving multi-label classification with missing labels by learning label-specific features (2019) Inf. Sci., 492, pp. 124-146; Dey, A.K., Understanding and using context (2001) Pers. Ubiquitous Comput., 5 (1), pp. 4-7. , Feb; Chavarriaga, R., The opportunity challenge: A benchmark database for on-body sensor-based activity recognition (2013) Pattern Recognit. Lett., 34 (15), pp. 2033-2042; Banos, O., MHealthDroid:Anovel framework for agile development of mobile health applications (2014) Ambient Assisted Living and Daily Activities, pp. 91-98. , L. Pecchia, L. L. Chen, C. Nugent, and J. Bravo, Eds., Cham: Springer; Reiss, A., Stricker, D., Introducing a new benchmarked dataset for activity monitoring (2012) Proc. 16th Int. Symp. Wearable Comput., pp. 108-109. , Jun; Zhang, M., Sawchuk, A.A., USC-HAD: A daily activity dataset for ubiquitous activity recognition using wearable sensors (2012) Proc. Acm Conf. Ubiquitous Comput., pp. 1036-1043. , New York, NY, USA; Chen, C., Jafari, R., Kehtarnavaz, N., UTD-MHAD: A multimodal dataset for human action recognition utilizing a depth camera and a wearable inertial sensor (2015) Proc. Ieee Int. Conf. Image Process., pp. 168-172. , Sep; Bruno, B., Mastrogiovanni, F., Sgorbissa, A., A public domain dataset for ADL recognition using wrist-placed accelerometers (2014) Proc. 23 Rd Ieee Int. Symp. Robot Human Interactive Commun., pp. 738-743. , Aug; Kwapisz, J.R., Weiss, G.M., Moore, S.A., Activity recognition using cell phone accelerometers (2011) Sigkdd Explor. Newslett., 12 (2), pp. 74-82. , Mar; Wang, Y., Cang, S., Yu, H., A survey on wearable sensor modality centred human activity recognition in health care (2019) Expert Syst. Appl., 137, pp. 167-190; Attal, F., Mohammed, S., Dedabrishvili, M., Chamroukhi, F., Oukhellou, L., Amirat, Y., Physical human activity recognition using wearable sensors (2015) Sensors, 15 (12), pp. 31314-31338; Adeli Mosabbeb, E., Cabral, R., De La Torre, F., Fathy, M., Multilabel discriminative weakly-supervised human activity recognition and localization (2015) Computer Vision, pp. 241-258. , D. Cremers, I. Reid, H. Saito, and M.-H. Yang, Eds., Cham: Springer; Zhang, M., Zhou, Z., A review on multi-label learning algorithms (2014) Ieee Trans. Knowl. Data Eng., 26 (8), pp. 1819-1837. , Aug; Tsoumakas, G., Katakis, I., Vlahavas, I., (2010) Mining Multi-label Data., pp. 667-685. , Boston, MA, USA: Springer; Sozykin, K., Protasov, S., Khan, A., Hussain, R., Lee, J., Multi-label class-imbalanced action recognition in hockey videos via 3 d convolutional neural networks (2018) Proc. 19th IEEE/ACIS Int. Conf. Softw. Eng., Artif. Intell., Netw. Parallel/Distrib. Comput., pp. 146-151. , Jun; Boutell, M.R., Luo, J., Shen, X., Brown, C.M., Learning multi-label scene classification (2004) Pattern Recognit., 37 (9), pp. 1757-1771; Read, J., Pfahringer, B., Holmes, G., Frank, E., Classifier chains for multi-label classification (2009) Machine Learning and Knowledge Discovery in Databases, pp. 254-269. , W. Buntine, M. Grobelnik, D. Mladenić, and J. Shawe-Taylor, Eds., Berlin, Heidelberg: Springer; Fürnkranz, J., Hüllermeier, E., LozaMencía, E., Brinker, K., Multilabel classification via calibrated label ranking (2008) Mach. Learn., 73 (2), pp. 133-153. , Nov; Tsoumakas, G., Vlahavas, I., Random k-labelsets: An ensemble method for multilabel classification (2007) Machine Learning: Ecml 2007, pp. 406-417. , J. N. Kok, J. Koronacki, R. L. D. Mantaras, S. Matwin, D. Mladenič, and A. Skowron, Eds., Berlin, Heidelberg: Springer; Peng, Y., Chen, G., Xu, M., Wang, C., Xie, J., Multi-label learning by exploiting label correlations with LDA (2017) Proc. Ieee 29th Int. Conf. Tools Artif. Intell., pp. 168-174. , Nov; Guo, Y., Gu, S., Multi-label classification using conditional dependency networks (2011) Proc. Ijcai Int. Joint Conf. Artif. Intell., 22 (1), pp. 1300-1305; Zhang, M.-L., Zhou, Z.-H., ML-KNN: A lazy learning approach to multi-label learning (2007) Pattern Recognit., 40 (7), pp. 2038-2048. , Jul; Elisseeff, A., Weston, J., A kernel method for multi-labelled classification (2001) Proc. 14th Int. Conf. Neural Inf. Process. Syst.: Natural Synthetic, pp. 681-687. , Cambridge, MA, USA; Zhang, S., Li, Z., Nie, J., Huang, L., Wang, S., Wei, Z., How to record the amount of exercise automatically? a general real-time recognition and counting approach for repetitive activities (2016) Proc. Ieee Int. Conf. Bioinformatics Biomed., pp. 831-834. , Dec; Aloulou, H., Mokhtari, M., Tiberghien, T., Endelin, R., Biswas, J., Uncertainty handling in semantic reasoning for accurate context understanding (2015) Knowl.-Based Syst., 77, pp. 16-28; Mojarad, R., Kordestani, H., Zarandi, H.R., A cluster-based method to detect and correct anomalies in sensor data of embedded systems (2016) Proc. 24th Euromicro Int. Conf. Parallel, Distrib. Netw.-Based Process., pp. 240-247. , Feb; Mojarad, R., Zarandi, H.R., Two effective anomaly correctionmethods in embedded systems (2015) Proc. Csi Symp. Real-Time Embedded Syst. Technologies, pp. 1-6. , Oct; Cooper, G.F., Herskovits, E., A Bayesian method for the induction of probabilistic networks from data (1992) Mach. Learn., 9 (4), pp. 309-347. , Oct; Ji, Z., Xia, Q., Meng, G., A review of parameter learning methods in Bayesian network (2015) Advanced Intelligent Computing Theories and Applications, pp. 3-12. , D.-S. Huang and K. Han, Eds., Cham: Springer; Zhao, Y., Yang, R., Chevalier, G., Xu, X., Zhang, Z., Deep residual bidir-LSTMfor human activity recognition using wearable sensors (2018) Math. Problems Eng., 2018, pp. 1-13. , Dec; Garcia-Ceja, E., Galván-Tejada, C.E., Brena, R., Multi-view stacking for activity recognition with sound and accelerometer data (2018) Inf. Fusion, 40, pp. 45-56; Sagha, H., Benchmarking classification techniques using the opportunity human activity dataset (2011) Proc. Ieee Int. Conf. Syst., Man, Cybern., pp. 36-40. , Oct; Li, F., Shirahama, K., Nisar, M., Köping, L., Grzegorzek, M., Comparison of feature learning methods for human activity recognition using wearable sensors (2018) Sensors, 18 (2)</t>
  </si>
  <si>
    <t>23773766</t>
  </si>
  <si>
    <t>IEEE Robot. Autom.</t>
  </si>
  <si>
    <t>2-s2.0-85081108705</t>
  </si>
  <si>
    <t>Automatic classification error detection and correction for robust human activity recognition</t>
  </si>
  <si>
    <t>Afyouni I., Aghbari Z.A., Razack R.A.</t>
  </si>
  <si>
    <t>36719988700;57195975682;57340464500;</t>
  </si>
  <si>
    <t>Multi-feature, multi-modal, and multi-source social event detection: A comprehensive survey</t>
  </si>
  <si>
    <t>Information Fusion</t>
  </si>
  <si>
    <t>279</t>
  </si>
  <si>
    <t>308</t>
  </si>
  <si>
    <t>10.1016/j.inffus.2021.10.013</t>
  </si>
  <si>
    <t>https://www.scopus.com/inward/record.uri?eid=2-s2.0-85119204303&amp;doi=10.1016%2fj.inffus.2021.10.013&amp;partnerID=40&amp;md5=005cf722df9d8239ee8f6347040206ef</t>
  </si>
  <si>
    <t>Computer Science Department, University of Sharjah, United Arab Emirates</t>
  </si>
  <si>
    <t>Afyouni, I., Computer Science Department, University of Sharjah, United Arab Emirates; Aghbari, Z.A., Computer Science Department, University of Sharjah, United Arab Emirates; Razack, R.A., Computer Science Department, University of Sharjah, United Arab Emirates</t>
  </si>
  <si>
    <t>The tremendous growth of event dissemination over social networks makes it very challenging to accurately discover and track exciting events, as well as their evolution and scope over space and time. People have migrated to social platforms and messaging apps, which represent an opportunity to create a more accurate prediction of social developments by translating event related streams to meaningful insights. However, the huge spread of ‘noise’ from unverified social media sources makes it difficult to accurately detect and track events. Over the last decade, multiple surveys on event detection from social media have been presented, with the aim of highlighting the different NLP, data management and machine learning techniques used to discover specific types of events, such as social gatherings, natural disasters, and emergencies, among others. However, these surveys focus only on a few dimensions of event detection, such as emphasizing on knowledge discovery form single modality or single social media platform or applied only to one specific language. In this survey paper, we introduce multiple perspectives for event detection in the big social data era. This survey paper thoroughly investigates and summarizes the significant progress in social event detection and visualization techniques, by emphasizing crucial challenges ranging from the management, fusion, and mining of big social data, to the applicability of these methods to different platforms, multiple languages and dialects rather than a single language, and with multiple modalities. The survey also focuses on advanced features required for event extraction, such as spatial and temporal scopes, location inference from multi-modal data (i.e., text or image), and semantic analysis. Application-oriented challenges and opportunities are also discussed. Finally, quantitative and qualitative experimental procedures and results to illustrate the effectiveness and gaps in existing works are presented. © 2021 Elsevier B.V.</t>
  </si>
  <si>
    <t>Big data; Event detection; Multi-lingual; Multi-modal; Multi-source; Social data mining; Visualization</t>
  </si>
  <si>
    <t>Big data; Data mining; Data visualization; Disasters; Information management; Learning systems; Modal analysis; Semantics; Social networking (online); Visualization; Event dissemination; Events detection; Multi-modal; Multi-Sources; Multifeatures; Social data mining; Social datum; Social events; Social media; Space and time; Surveys</t>
  </si>
  <si>
    <t xml:space="preserve">Adedoyin-Olowe, M., Gaber, M.M., Dancausa, C.M., Stahl, F., Gomes, J.B., A rule dynamics approach to event detection in Twitter with its application to sports and politics (2016) Expert Syst. Appl., 55, pp. 351-360; Afyouni, I., Khan, A.S., Aghbari, Z., Spatio-temporal event discovery in the big social data era (2020) Proceedings of the 24th Symposium on International Database Engineering &amp; Applications, IDEAS ’20, , Association for Computing Machinery New York, NY, USA; Aggarwal, C.C., Subbian, K., Event detection in social streams (2012) Proceedings of the 2012 SIAM International Conference on Data Mining, pp. 624-635. , SIAM; Ahmad, K., Conci, N., Boato, G., De Natale, F.G.B., USED: A large-scale social event detection dataset (2016) Proceedings of the 7th International Conference on Multimedia Systems, MMSys ’16, , Association for Computing Machinery New York, NY, USA URL:; Petrovic, S., Osborne, M., Mccreadie, R., Macdonald, C., Ounis, I., Can Twitter replace newswire for breaking news? (2013) The 7th International AAAI Conference on Weblogs and Social Media (ICWSM), , http://eprints.gla.ac.uk/82566/, URL:; Atefeh, F., Khreich, W., A survey of techniques for event detection in Twitter (2015) Comput. Intell., 31 (1), pp. 132-164; Liu, X., Wang, M., Huet, B., Event analysis in social multimedia: a survey (2016) Front. Comput. Sci., 10 (3), pp. 433-446; Hasan, M., Orgun, M.A., Schwitter, R., A survey on real-time event detection from the Twitter data stream (2018) J. Inf. Sci., 44 (4), pp. 443-463; Nurwidyantoro, A., Winarko, E., Event detection in social media: A survey (2013) International Conference on ICT for Smart Society, pp. 1-5. , IEEE; Cordeiro, M., Gama, J., Online social networks event detection: a survey (2016) Solving Large Scale Learning Tasks. Challenges and Algorithms, pp. 1-41. , Springer; Garg, M., Kumar, M., Review on event detection techniques in social multimedia (2016) Online Inf. Rev., 40 (3), pp. 347-361; Borges, J., Hain, H., Sudrich, S., Beigl, M., Event detection for smarter cities (2017) 2017 IEEE SmartWorld, Ubiquitous Intelligence &amp; Computing, Advanced &amp; Trusted Computed, Scalable Computing &amp; Communications, Cloud &amp; Big Data Computing, Internet of People and Smart City Innovation, pp. 1-8. , IEEE; Weiler, A., Grossniklaus, M., Scholl, M.H., Survey and experimental analysis of event detection techniques for Twitter (2017) Comput. J., 60 (3), pp. 329-346; Yu, M., Bambacus, M., Cervone, G., Clarke, K., Duffy, D., Huang, Q., Li, J., Liu, Q., Spatiotemporal event detection: a review (2020) Int. J. Digit. Earth, 13 (12), pp. 1339-1365; Liu, T., Xue, F., Sun, J., Sun, X., A survey of event analysis and mining from social multimedia (2020) Multimedia Tools Appl., 79 (45), pp. 33431-33448; Zhou, H., Yin, H., Zheng, H., Li, Y., A survey on multi-modal social event detection (2020) Knowl.-Based Syst., 195; Wei, H., Anjaria, J., Samet, H., Learning embeddings of spatial, textual and temporal entities in geotagged tweets (2019) Proceedings of the 27th ACM SIGSPATIAL International Conference on Advances in Geographic Information Systems, pp. 484-487. , ACM; Xin, Y., MacEachren, A.M., Characterizing traveling fans: a workflow for event-oriented travel pattern analysis using Twitter data (2020) Int. J. Geogr. Inf. Sci., pp. 1-20; Wazarkar, S., Keshavamurthy, B.N., Social image mining for fashion analysis and forecasting (2020) Appl. Soft Comput., 95; Yang, Y., Pierce, T., Carbonell, J., A study of retrospective and on-line event detection (1998) Proceedings of the 21st Annual International ACM SIGIR Conference on Research and Development in Information Retrieval, pp. 28-36. , ACM; Cui, W., Wang, P., Du, Y., Chen, X., Guo, D., Li, J., Zhou, Y., An algorithm for event detection based on social media data (2017) Neurocomputing, 254, pp. 53-58; Gao, Y., Wang, S., Padmanabhan, A., Yin, J., Cao, G., Mapping spatiotemporal patterns of events using social media: a case study of influenza trends (2018) Int. J. Geogr. Inf. Sci., 32 (3), pp. 425-449; Wang, Z., Ye, X., Social media analytics for natural disaster management (2018) Int. J. Geogr. Inf. Sci., 32 (1), pp. 49-72; Alkouz, B., Al Aghbari, Z., SNSJam: Road traffic analysis and prediction by fusing data from multiple social networks (2020) Inf. Process. Manage., 57 (1); Rehman, F.U., Afyouni, I., Lbath, A., Khan, S., Basalamah, S., Building socially-enabled event-enriched maps (2020) GeoInformatica, 24 (2), pp. 371-409; Zhou, X., Chen, X., Tracing the spatial-temporal evolution of events based on social media data (2017) ISPRS Int. J. Geo-Inf., 6 (3), p. 88; Zhou, Z., Zhang, X., Guo, Z., Liu, Y., Visual abstraction and exploration of large-scale geographical social media data (2020) Neurocomputing, 376, pp. 244-255; Goswami, A., Kumar, A., A survey of event detection techniques in online social networks (2016) Soc. Netw. Anal. Min., 6 (1), p. 107; Leskovec, J., Rajaraman, A., Ullman, J.D., Mining of Massive Data Sets (2020), Cambridge University Press; Yadav, V., Bethard, S., A survey on recent advances in named entity recognition from deep learning models (2018), pp. 2145-2158. , Proceedings of the 27th International Conference on Computational Linguistics; Trimastuti, W., An analysis of slang words used in social media (2017) J. Dimens. Pendidik. Dan Pembelajaran, 5 (2), pp. 64-68; Lin, C., Miller, T., Dligach, D., Bethard, S., Savova, G., Representations of time expressions for temporal relation extraction with convolutional neural networks (2017) BioNLP 2017, pp. 322-327; Hasan, M., Orgun, M.A., Schwitter, R., Real-time event detection from the Twitter data stream using the TwitterNews+ Framework (2019) Inf. Process. Manage., 56 (3), pp. 1146-1165; Gimpel, K., Part-of-speech tagging for Twitter: Annotation, features, and experiments (2011) Proceedings of the 49th Annual Meeting of the Association for Computational Linguistics: Human Language Technologies: Short Papers - Volume 2, HLT ’11, pp. 42-47. , Association for Computational Linguistics Stroudsburg, PA, USA; Derczynski, L., Ritter, A., Clark, S., Bontcheva, K., Twitter part-of-speech tagging for all: Overcoming sparse and noisy data (2013), pp. 198-206. , Proceedings of the International Conference Recent Advances in Natural Language Processing Ranlp 2013; You, Y., Huang, G., Cao, J., Chen, E., He, J., Zhang, Y., Hu, L., GEAM: A general and event-related aspects model for Twitter event detection (2013) International Conference on Web Information Systems Engineering, pp. 319-332. , Springer; Lin, C., Miller, T., Dligach, D., Bethard, S., Savova, G., A BERT-based universal model for both within-and cross-sentence clinical temporal relation extraction (2019), pp. 65-71. , Proceedings of the 2nd Clinical Natural Language Processing Workshop; Chang, A., Manning, C.D., SUTime: A library for recognizing and normalizing time expressions (2012), pp. 3735-3740. , Proceedings of the Eighth International Conference on Language Resources and Evaluation (LREC’12); Allan, J., Papka, R., Lavrenko, V., On-line new event detection and tracking (1998), pp. 37-45. , Proceedings of the 21st Annual International ACM SIGIR Conference on Research and Development in Information Retrieval; Allan, J., Carbonell, J.G., Doddington, G., Yamron, J., Yang, Y., Topic Detection and Tracking Pilot Study Final Report: Technical Report (1998), Carnegie Mellon University Research Showcase; Guille, A., Favre, C., Event detection, tracking, and visualization in Twitter: a mention-anomaly-based approach (2015) Soc. Netw. Anal. Min., 5 (1), p. 18; Petrović, S., Osborne, M., Lavrenko, V., Streaming first story detection with application to Twitter (2010) Human Language Technologies: The 2010 Annual Conference of the North American Chapter of the Association for Computational Linguistics, pp. 181-189. , Association for Computational Linguistics; Slaney, M., Casey, M., Locality-sensitive hashing for finding nearest neighbors [lecture notes] (2008) IEEE Signal Process. Mag., 25 (2), pp. 128-131; Fedoryszak, M., Frederick, B., Rajaram, V., Zhong, C., Real-time event detection on social data streams (2019) Proceedings of the 25th ACM SIGKDD International Conference on Knowledge Discovery &amp; Data Mining, pp. 2774-2782. , ACM; Reuter, T., Cimiano, P., Event-based classification of social media streams (2012) Proceedings of the 2nd ACM International Conference on Multimedia Retrieval, p. 22. , ACM; Wang, Y., Sundaram, H., Xie, L., Social event detection with interaction graph modeling (2012) 20th ACM International Conference on Multimedia, MM 2012, pp. 865-868. , Association for Computing Machinery; Phuvipadawat, S., Murata, T., Breaking news detection and tracking in Twitter (2010) 2010 IEEE/WIC/ACM International Conference on Web Intelligence and Intelligent Agent Technology, Vol. 3, pp. 120-123. , IEEE; Becker, H., Iter, D., Naaman, M., Gravano, L., Identifying content for planned events across social media sites (2012) Proceedings of the Fifth ACM International Conference on Web Search and Data Mining, pp. 533-542. , ACM; Unankard, S., Li, X., Sharaf, M.A., Emerging event detection in social networks with location sensitivity (2015) World Wide Web, 18 (5), pp. 1393-1417; Kaleel, S.B., Abhari, A., Cluster-discovery of Twitter messages for event detection and trending (2015) J. Comput. Sci., 6, pp. 47-57; Figueredo, M., Ribeiro, J., Cacho, N., Thome, A., Cacho, A., Lopes, F., Araujo, V., From photos to travel itinerary: A tourism recommender system for smart tourism destination (2018) 2018 IEEE Fourth International Conference on Big Data Computing Service and Applications (BigDataService), pp. 85-92. , IEEE; Lee, H., Abdar, M., Yen, N.Y., Event-based trend factor analysis based on hashtag correlation and temporal information mining (2018) Appl. Soft Comput., 71, pp. 1204-1215; Ibrahim, R., Elbagoury, A., Kamel, M.S., Karray, F., Tools and approaches for topic detection from Twitter streams: survey (2018) Knowl. Inf. Syst., 54 (3), pp. 511-539; GabAllah, N.A., Rafea, A., Unsupervised topic extraction from Twitter: A feature-pivot approach (2019), pp. 185-192. , Proceedings of the 15th International Conference on Web Information Systems and Technologies (WEBIST 2019); Johansen, M.K., Osman, M., Coincidences: A fundamental consequence of rational cognition (2015) New Ideas Psychol., 39, pp. 34-44; Petkos, G., Papadopoulos, S., Kompatsiaris, Y., Two-level message clustering for topic detection in Twitter (2014) Proceedings of the SNOW 2014 Data Challenge, Co-Located with 23rd International World Wide Web Conference (SNOW-DC@ WWW 2014), pp. 1-8. , CEUR Workshop AMIA Annual Symposium Proceedings; Blei, D., Carin, L., Dunson, D., Probabilistic topic models (2010) IEEE Signal Process. Mag., 27 (6), pp. 55-65; Blei, D.M., Ng, A.Y., Jordan, M.I., Latent dirichlet allocation (2003) J. Mach. Learn. Res., 3 (Jan), pp. 993-1022; Jelodar, H., Wang, Y., Yuan, C., Feng, X., Jiang, X., Li, Y., Zhao, L., Latent Dirichlet Allocation (LDA) and Topic modeling: models, applications, a survey (2019) Multimedia Tools Appl., 78 (11), pp. 15169-15211; Han, J., Cheng, H., Xin, D., Yan, X., Frequent pattern mining: current status and future directions (2007) Data Min. Knowl. Discov., 15 (1), pp. 55-86; Popescu, A.-M., Pennacchiotti, M., Detecting controversial events from Twitter (2010) Proceedings of the 19th ACM International Conference on Information and Knowledge Management, pp. 1873-1876. , ACM; Popescu, A.-M., Pennacchiotti, M., Paranjpe, D., Extracting events and event descriptions from Twitter (2011) Proceedings of the 20th International Conference Companion on World Wide Web, pp. 105-106. , ACM; Benson, E., Haghighi, A., Barzilay, R., Event discovery in social media feeds (2011) Proceedings of the 49th Annual Meeting of the Association for Computational Linguistics: Human Language Technologies-Volume 1, pp. 389-398. , Association for Computational Linguistics; Massoudi, K., Tsagkias, M., de Rijke, M., Weerkamp, W., Incorporating query expansion and quality indicators in searching microblog posts (2011) Proceedings of the 33rd European Conference on Advances in Information Retrieval, pp. 362-367. , Springer-Verlag; Metzler, D., Cai, C., Hovy, E., Structured event retrieval over microblog archives (2012), pp. 646-655. , Proceedings of the 2012 Conference of the North American Chapter of the Association for Computational Linguistics: Human Language Technologies; Gu, H., Xie, X., Lv, Q., Ruan, Y., Shang, L., Etree: Effective and efficient event modeling for real-time online social media networks (2011) 2011 IEEE/WIC/ACM International Conferences on Web Intelligence and Intelligent Agent Technology, Vol. 1, pp. 300-307. , IEEE; Stilo, G., Velardi, P., Efficient temporal mining of micro-blog texts and its application to event discovery (2016) Data Min. Knowl. Discov., 30 (2), pp. 372-402; Lin, J., Keogh, E., Wei, L., Lonardi, S., Experiencing SAX: a novel symbolic representation of time series (2007) Data Min. Knowl. Discov., 15 (2), pp. 107-144; Zhang, X., Chen, X., Chen, Y., Wang, S., Li, Z., Xia, J., Event detection and popularity prediction in microblogging (2015) Neurocomputing, 149, pp. 1469-1480; Zhang, C., Zhou, G., Yuan, Q., Zhuang, H., Zheng, Y., Kaplan, L., Wang, S., Han, J., Geoburst: Real-time local event detection in geo-tagged tweet streams (2016), pp. 513-522. , Proceedings of the 39th International ACM SIGIR Conference on Research and Development in Information Retrieval; Zhao, L., Chen, F., Dai, J., Hua, T., Lu, C.-T., Ramakrishnan, N., Unsupervised spatial event detection in targeted domains with applications to civil unrest modeling (2014) PLoS One, 9 (10); Lee, K., Qadir, A., Hasan, S.A., Datla, V., Prakash, A., Liu, J., Farri, O., Adverse drug event detection in tweets with semi-supervised convolutional neural networks (2017), pp. 705-714. , Proceedings of the 26th International Conference on World Wide Web; Gao, Y., Zhang, H., Zhao, X., Yan, S., Event classification in microblogs via social tracking (2017) ACM Trans. Intell. Syst. Technol. (TIST), 8 (3), pp. 1-14; Liu, S., Li, Y., Zhang, F., Yang, T., Zhou, X., Event detection without triggers (2019), 1, pp. 735-744. , Proceedings of the 2019 Conference of the North American Chapter of the Association for Computational Linguistics: Human Language Technologies, (Long and Short Papers); Dabiri, S., Heaslip, K., Developing a Twitter-based traffic event detection model using deep learning architectures (2019) Expert Syst. Appl., 118, pp. 425-439; Dai, X., Sun, Y., Event identification within news topics (2010) 2010 International Conference on Intelligent Computing and Integrated Systems, pp. 498-502. , IEEE; Sankaranarayanan, J., Samet, H., Teitler, B.E., Lieberman, M.D., Sperling, J., TwitterStand: News in tweets (2009) Proceedings of the 17th ACM SIGSPATIAL International Conference on Advances in Geographic Information Systems, GIS ’09, pp. 42-51. , ACM New York, NY, USA; Ozdikis, O., Karagoz, P., Oğuztüzün, H., Incremental clustering with vector expansion for online event detection in microblogs (2017) Soc. Netw. Anal. Min., 7 (1), p. 56; De Boom, C., Van Canneyt, S., Dhoedt, B., Semantics-driven event clustering in Twitter feeds (2015) Making Sense of Microposts, Vol. 1395, pp. 2-9. , CEUR; Hasan, M., Orgun, M.A., Schwitter, R., TwitterNews+: A framework for real time event detection from the Twitter data stream (2016) 8th International Conference on Social Informatics, SocInfo 2016, pp. 224-239. , Springer, Springer Nature; Giridhar, P., Wang, S., Abdelzaher, T., Al Amin, T., Kaplan, L., Social fusion: Integrating Twitter and instagram for event monitoring (2017) 2017 IEEE International Conference on Autonomic Computing (ICAC), pp. 1-10. , IEEE; Morabia, K., Murthy, N.L.B., Malapati, A., Samant, S., SEDTWik: Segmentation-based event detection from tweets using wikipedia (2019), pp. 77-85. , Proceedings of the 2019 Conference of the North American Chapter of the Association for Computational Linguistics: Student Research Workshop; Ahuja, A., Baghudana, A., Lu, W., Fox, E.A., Reddy, C.K., Spatio-temporal event detection from multiple data sources (2019) Pacific-Asia Conference on Knowledge Discovery and Data Mining, pp. 293-305. , Springer; Fung, G.P.C., Yu, J.X., Yu, P.S., Lu, H., Parameter free bursty events detection in text streams (2005) Proc. 31st International Conference on Very Large Data Bases, 2005, pp. 181-192. , VLDB Endowment; Kleinberg, J., Bursty and hierarchical structure in streams (2003) Data Min. Knowl. Discov., 7 (4), pp. 373-397; Madani, A., Boussaid, O., Zegour, D.E., Real-time trending topics detection and description from Twitter content (2015) Soc. Netw. Anal. Min., 5 (1), p. 59; He, Q., Chang, K., Lim, E.-P., Analyzing feature trajectories for event detection (2007) Proceedings of the 30th Annual International ACM SIGIR Conference on Research and Development in Information Retrieval, pp. 207-214. , ACM; Wang, X., Zhai, C., Hu, X., Sproat, R., Mining correlated bursty topic patterns from coordinated text streams (2007) Proceedings of the 13th ACM SIGKDD International Conference on Knowledge Discovery and Data Mining, pp. 784-793. , ACM; Snowsill, T., Nicart, F., Stefani, M., De Bie, T., Cristianini, N., Finding surprising patterns in textual data streams (2010) 2010 2nd International Workshop on Cognitive Information Processing, pp. 405-410. , IEEE; Marcus, A., Bernstein, M.S., Badar, O., Karger, D.R., Madden, S., Miller, R.C., Twitinfo: aggregating and visualizing microblogs for event exploration (2011) Proceedings of the SIGCHI Conference on Human Factors in Computing Systems, pp. 227-236. , ACM; Alvanaki, F., Sebastian, M., Ramamritham, K., Weikum, G., EnBlogue: emergent topic detection in web 2.0 streams (2011) Proceedings of the 2011 ACM SIGMOD International Conference on Management of Data, pp. 1271-1274. , ACM; Weng, J., Lee, B.-S., Event detection in Twitter (2011), 11, pp. 401-408. , Proceedings of the Fifth International AAAI Conference on Weblogs and Social Media; Li, C., Sun, A., Datta, A., Twevent: segment-based event detection from tweets (2012) Proceedings of the 21st ACM International Conference on Information and Knowledge Management, pp. 155-164. , ACM; Xie, W., Zhu, F., Jiang, J., Lim, E.-P., Wang, K., Topicsketch: Real-time bursty topic detection from Twitter (2016) IEEE Trans. Knowl. Data Eng., 28 (8), pp. 2216-2229; Zhou, D., Chen, L., He, Y., An unsupervised framework of exploring events on Twitter: filtering, extraction and categorization (2015) Proceedings of the Twenty-Ninth AAAI Conference on Artificial Intelligence, pp. 2468-2474. , AAAI Press; Tamura, K., Ichimura, T., Density-based spatiotemporal clustering algorithm for extracting bursty areas from georeferenced documents (2013) 2013 IEEE International Conference on Systems, Man, and Cybernetics, pp. 2079-2084. , IEEE; Feng, W., Zhang, C., Zhang, W., Han, J., Wang, J., Aggarwal, C., Huang, J., STREAMCUBE: Hierarchical spatio-temporal hashtag clustering for event exploration over the Twitter stream (2015) 2015 IEEE 31st International Conference on Data Engineering, pp. 1561-1572. , IEEE; Anderson, T.K., Kernel density estimation and K-means clustering to profile road accident hotspots (2009) Accid. Anal. Prev., 41 (3), pp. 359-364; Carreira-Perpinán, M.A., A review of mean-shift algorithms for clustering (2015), arXiv preprint; Ester, M., Kriegel, H.-P., Sander, J., Xu, X., A density-based algorithm for discovering clusters in large spatial databases with noise (1996) Kdd, Vol. 96, pp. 226-231; McInnes, L., Healy, J., Astels, S., Hdbscan: Hierarchical density based clustering (2017) J. Open Source Softw., 2 (11), p. 205; Birant, D., Kut, A., ST-DBSCAN: An algorithm for clustering spatial–temporal data (2007) Data Knowl. Eng., 60 (1), pp. 208-221; Khan, K., Rehman, S.U., Aziz, K., Fong, S., Sarasvady, S., DBSCAN: Past, present and future (2014) The Fifth International Conference on the Applications of Digital Information and Web Technologies (ICADIWT 2014), pp. 232-238. , IEEE; Huang, Y., Li, Y., Shan, J., Spatial-temporal event detection from geo-tagged tweets (2018) ISPRS Int. J. Geo-Inf., 7 (4), p. 150; Rehman, F.U., Afyouni, I., Lbath, A., Khan, S., Basalamah, S.M., Mokbel, M.F., Building multi-resolution event-enriched maps from social data (2017) Proceedings of the 20th International Conference on Extending Database Technology, EDBT 2017, Venice, Italy, March 21-24, 2017., pp. 594-597. , OpenProceedings.org; Rehman, F.U., Afyouni, I., Lbath, A., Basalamah, S., Understanding the spatio-temporal scope of multi-scale social events (2017) Proceedings of the 1st ACM SIGSPATIAL Workshop on Analytics for Local Events and News, pp. 1-7. , ACM; Shah, Z., Dunn, A.G., Event detection on Twitter by mapping unexpected changes in streaming data into a spatiotemporal lattice (2019) IEEE Trans. Big Data, pp. 1-16; Ansari, M.Y., Ahmad, A., Khan, S.S., Bhushan, G., Spatiotemporal clustering: a review (2019) Artif. Intell. Rev., pp. 1-43; Shi, Z., Pun-Cheng, L.S., Spatiotemporal data clustering: a survey of methods (2019) ISPRS Int. J. Geo-Inf., 8 (3), p. 112; Kisilevich, S., Krstajic, M., Keim, D., Andrienko, N., Andrienko, G., Event-based analysis of people's activities and behavior using flickr and panoramio geotagged photo collections (2010) Proceedings of the 2010 14th International Conference Information Visualisation, IV ’10, pp. 289-296. , IEEE Computer Society Washington, DC, USA; Zaharieva, M., Zeppelzauer, M., Breiteneder, C., Automated social event detection in large photo collections (2013), pp. 167-174. , Proceedings of the 3rd ACM Conference on International Conference on Multimedia Retrieval; Cai, H., Yang, Y., Li, X., Huang, Z., What are popular: Exploring Twitter features for event detection, tracking and visualization (2015) Proceedings of the 23rd ACM International Conference on Multimedia, pp. 89-98. , ACM; Mahajan, D., Girshick, R., Ramanathan, V., Paluri, M., von Der Maaten, L., Advancing state-of-the-art image recognition with deep learning on hashtags (2018) (2018); Guillaumin, M., Verbeek, J., Schmid, C., Multimodal semi-supervised learning for image classification (2010) CVPR 2010-23rd IEEE Conference on Computer Vision &amp; Pattern Recognition, pp. 902-909. , IEEE Computer Society; Sivakumar, V., Gordo, A., Paluri, M., Rosetta: Understanding text in images and videos with machine learning (2018) Facebook Eng., 11, p. 2018; Luo, W., Liu, W., Gao, S., A revisit of sparse coding based anomaly detection in stacked rnn framework (2017), pp. 341-349. , Proceedings of the IEEE International Conference on Computer Vision; Zhao, S., Gao, Y., Ding, G., Chua, T.-S., Real-time multimedia social event detection in microblog (2017) IEEE Trans. Cybern., 48 (11), pp. 3218-3231; Alkhawlani, M., Elmogy, M., Elbakry, H., Content-based image retrieval using local features descriptors and bag-of-visual words (2015) Int. J. Adv. Comput. Sci. Appl., 6 (9), pp. 212-219; Xie, L., Lee, F., Liu, L., Yin, Z., Yan, Y., Wang, W., Zhao, J., Chen, Q., Improved spatial pyramid matching for scene recognition (2018) Pattern Recognit., 82, pp. 118-129; Cenamor, I., de la Rosa, T., Núñez, S., Borrajo, D., Planning for tourism routes using social networks (2017) Expert Syst. Appl., 69, pp. 1-9; Ajao, O., Hong, J., Liu, W., A survey of location inference techniques on Twitter (2015) J. Inf. Sci., 41 (6), pp. 855-864; Hoang, T.B.N., Mothe, J., Location extraction from tweets (2018) Inf. Process. Manage., 54 (2), pp. 129-144; Zamiri, M., Bahraini, T., Yazdi, H.S., MVDF-RSC: Multi-view data fusion via robust spectral clustering for geo-tagged image tagging (2021) Expert Syst. Appl., 173; Gelernter, J., Mushegian, N., Geo-parsing messages from microtext (2011) Trans. GIS, 15 (6), pp. 753-773; Zheng, X., Han, J., Sun, A., A survey of location prediction on Twitter (2018) IEEE Trans. Knowl. Data Eng., 30 (9), pp. 1652-1671; Abalı, G., Karaarslan, E., Hürriyetoğlu, A., Dalkılıç, F., Detecting citizen problems and their locations using Twitter data (2018) 2018 6th International Istanbul Smart Grids and Cities Congress and Fair (ICSG), pp. 30-33. , IEEE; Kinsella, S., Murdock, V., O'Hare, N., (2011), pp. 61-68. , “I'm eating a sandwich in Glasgow” modeling locations with tweets, in: Proceedings of the 3rd International Workshop on Search and Mining User-Generated Contents; McGee, J., Caverlee, J., Cheng, Z., Location prediction in social media based on tie strength (2013), pp. 459-468. , Proceedings of the 22nd ACM International Conference on Information &amp; Knowledge Management; Li, W., Serdyukov, P., (2011), pp. 2473-2476. , A.P. de Vries, C. Eickhoff, M. Larson, The where in the tweet, in: Proceedings of the 20th ACM International Conference on Information and Knowledge Management; Schulz, A., Hadjakos, A., Paulheim, H., Nachtwey, J., Mühlhäuser, M., A multi-indicator approach for geolocalization of tweets (2013), Proceedings of the International AAAI Conference on Web and Social Media; Laylavi, F., Rajabifard, A., Kalantari, M., A multi-element approach to location inference of Twitter: A case for emergency response (2016) ISPRS Int. J. Geo-Inf., 5 (5), p. 56; Rehman, F.U., Afyouni, I., Lbath, A., Basalamah, S., Hadath: From social media mapping to multi-resolution event-enriched maps (2019) 2019 IEEE/ACS 16th International Conference on Computer Systems and Applications (AICCSA), pp. 1-8; George, Y., Karunasekera, S., Harwood, A., Li, K.H., Spatio-temporal event detection using Poisson model and quad-tree on geotagged social media (2019) 2019 IEEE International Conference on Big Data (Big Data), pp. 2247-2256. , IEEE; Cordeiro, M., Twitter event detection: combining wavelet analysis and topic inference summarization (2012) Doctoral Symposium on Informatics Engineering, pp. 11-16; Dong, X., Mavroeidis, D., Calabrese, F., Frossard, P., Multiscale event detection in social media (2015) Data Min. Knowl. Discov., 29 (5), pp. 1374-1405; Sun, G., Tang, T., Peng, T.-Q., Liang, R., Wu, Y., Socialwave: visual analysis of spatio-temporal diffusion of information on social media (2017) ACM Trans. Intell. Syst. Technol. (TIST), 9 (2), pp. 1-23; Li, Q., Nourbakhsh, A., Shah, S., Liu, X., Real-time novel event detection from social media (2017) 2017 IEEE 33Rd International Conference on Data Engineering (ICDE), pp. 1129-1139. , IEEE; Tartir, S., Abdul-Nabi, I., Semantic sentiment analysis in Arabic social media (2017) J. King Saud Univ.-Comput. Inf. Sci., 29 (2), pp. 229-233; Hua, T., Chen, F., Zhao, L., Lu, C.-T., Ramakrishnan, N., Automatic targeted-domain spatio-temporal event detection in Twitter (2016) GeoInformatica, 20 (4), pp. 765-795; AL-Smadi, M., Jaradat, Z., AL-Ayyoub, M., Jararweh, Y., Paraphrase identification and semantic text similarity analysis in Arabic news tweets using lexical, syntactic, and semantic features (2017) Inf. Process. Manage., 53 (3), pp. 640-652; Wang, S., Giridhar, P., Kaplan, L., Abdelzaher, T., Unsupervised event tracking by integrating Twitter and Instagram (2017) Proceedings of the 2nd International Workshop on Social Sensing, pp. 81-86. , ACM; Tonon, A., Cudré-Mauroux, P., Blarer, A., Lenders, V., Motik, B., ArmaTweet: detecting events by semantic tweet analysis (2017) European Semantic Web Conference, pp. 138-153. , Springer; Zhou, Z., Zhang, X., Zhou, X., Liu, Y., Semantic-aware visual abstraction of large-scale social media data with geo-tags (2019) IEEE Access, 7, pp. 114851-114861; Han, Y., Karunasekera, S., Leckie, C., Harwood, A., Multi-spatial scale event detection from geo-tagged tweet streams via power-law verification (2019) 2019 IEEE International Conference on Big Data (Big Data), pp. 1131-1136. , IEEE; Mao, Y., Jie, Q., Jia, B., Ping, P., Li, X., Online event detection based on the spatio-temporal analysis in the river sensor networks (2015) 2015 IEEE International Conference on Information and Automation, pp. 2320-2325. , IEEE; Kim, K.-S., Kojima, I., Ogawa, H., Discovery of local topics by using latent spatio-temporal relationships in geo-social media (2016) Int. J. Geogr. Inf. Sci., 30 (9), pp. 1899-1922; Diggle, P.J., Statistical Analysis of Spatial and Spatio-Temporal Point Patterns (2013), CRC Press; Zhang, C., Zhang, K., Yuan, Q., Tao, F., Zhang, L., Hanratty, T., Han, J., ReAct: Online multimodal embedding for recency-aware spatiotemporal activity modeling (2017) Proceedings of the 40th International ACM SIGIR Conference on Research and Development in Information Retrieval, pp. 245-254. , ACM; Lo, S.L., Chiong, R., Cornforth, D., An unsupervised multilingual approach for online social media topic identification (2017) Expert Syst. Appl., 81, pp. 282-298; Keogh, E., Ratanamahatana, C.A., Exact indexing of dynamic time warping (2005) Knowl. Inf. Syst., 7 (3), pp. 358-386; Shi, L.-L., Liu, L., Wu, Y., Jiang, L., Hardy, J., Event detection and user interest discovering in social media data streams (2017) IEEE Access, 5, pp. 20953-20964; Yu, Z., Wu, X., Xie, X., Xu, J., Hot event detection for social media based on keyword semantic information (2019) 2019 IEEE Fourth International Conference on Data Science in Cyberspace (DSC), pp. 410-415. , IEEE; Senarath, Y., Purohit, H., Evaluating semantic feature representations to efficiently detect hate intent on social media (2020) 2020 IEEE 14th International Conference on Semantic Computing (ICSC), pp. 199-202. , IEEE; Baker, C.F., Fillmore, C.J., Lowe, J.B., The berkeley framenet project (1998) 36th Annual Meeting of the Association for Computational Linguistics and 17th International Conference on Computational Linguistics, Volume 1, pp. 86-90; Pandya, A., Oussalah, M., Kostakos, P., Fatima, U., MaTED: Metadata-assisted Twitter event detection system (2020) International Conference on Information Processing and Management of Uncertainty in Knowledge-Based Systems, pp. 402-414. , Springer; Singhal, S., Shah, R.R., Chakraborty, T., Kumaraguru, P., Satoh, S., SpotFake: A multi-modal framework for fake news detection (2019) 2019 IEEE Fifth International Conference on Multimedia Big Data (BigMM), pp. 39-47. , IEEE; Khattar, D., Goud, J.S., Gupta, M., Varma, V., Mvae: Multimodal variational autoencoder for fake news detection (2019) The World Wide Web Conference, pp. 2915-2921. , Association for Computing Machinery; Apuke, O.D., Omar, B., Fake news and COVID-19: modelling the predictors of fake news sharing among social media users (2021) Telemat. Inform., 56; Tiwari, A., Weth, C.V.D., Kankanhalli, M.S., Multimodal multiplatform social media event summarization (2018) ACM Trans. Multimedia Comput. Commun. Appl. (TOMM), 14 (2s), pp. 1-23; Hardoon, D.R., Szedmak, S., Shawe-Taylor, J., Canonical correlation analysis: An overview with application to learning methods (2004) Neural Comput., 16 (12), pp. 2639-2664; Zhang, Y., Li, G., Chu, L., Wang, S., Zhang, W., Huang, Q., Cross-media topic detection: A multi-modality fusion framework (2013) 2013 IEEE International Conference on Multimedia and Expo (ICME), pp. 1-6. , IEEE; Zeppelzauer, M., Schopfhauser, D., Multimodal classification of events in social media (2016) Image Vis. Comput., 53, pp. 45-56; Yılmaz, Y., Hero, A.O., Multimodal event detection in Twitter hashtag networks (2018) J. Signal Process. Syst., 90 (2), pp. 185-200; Xu, N., Mao, W., A residual merged neutral network for multimodal sentiment analysis (2017) 2017 IEEE 2nd International Conference on Big Data Analysis (ICBDA)(, pp. 6-10. , IEEE; Xu, N., Analyzing multimodal public sentiment based on hierarchical semantic attentional network (2017) 2017 IEEE International Conference on Intelligence and Security Informatics (ISI), pp. 152-154. , IEEE; Qian, X., Wu, Y., Li, M., Ren, Y., Jiang, S., Li, Z., LAST: Location-appearance-semantic-temporal clustering based POI summarization (2020) IEEE Trans. Multimed., p. 1; Francalanci, C., Pernici, B., Scalia, G., Exploratory spatio-temporal queries in evolving information (2017) International Workshop on Mobility Analytics for Spatio-Temporal and Social Data, pp. 138-156. , Springer; Chu, L., Zhang, Y., Li, G., Wang, S., Zhang, W., Huang, Q., Effective multimodality fusion framework for cross-media topic detection (2014) IEEE Trans. Circuits Syst. Video Technol., 26 (3), pp. 556-569; Yang, Z., Li, Q., Lu, Z., Ma, Y., Gong, Z., Liu, W., Dual structure constrained multimodal feature coding for social event detection from flickr data (2017) ACM Trans. Internet Technol. (TOIT), 17 (2), pp. 1-20; Yang, Z., Li, Q., Lu, Z., Ma, Y., Gong, Z., Pan, H., Semi-supervised multimodal clustering algorithm integrating label signals for social event detection (2015) 2015 IEEE International Conference on Multimedia Big Data, pp. </t>
  </si>
  <si>
    <t>15662535</t>
  </si>
  <si>
    <t>Inf. Fusion</t>
  </si>
  <si>
    <t>2-s2.0-85119204303</t>
  </si>
  <si>
    <t>Multi-feature, multi-modal, and multi-source social event detection: a comprehensive survey</t>
  </si>
  <si>
    <t>Nguyen N.N., Nham P.T., Takahashi Y.</t>
  </si>
  <si>
    <t>57209206354;55351748400;51764435100;</t>
  </si>
  <si>
    <t>Relationship between ability-based emotional intelligence, cognitive intelligence, and job performance</t>
  </si>
  <si>
    <t>2299</t>
  </si>
  <si>
    <t>10.3390/su11082299</t>
  </si>
  <si>
    <t>https://www.scopus.com/inward/record.uri?eid=2-s2.0-85066847398&amp;doi=10.3390%2fsu11082299&amp;partnerID=40&amp;md5=dd085dec0c9f1740d1e617dbcf1a4c98</t>
  </si>
  <si>
    <t>Graduate School for International Development and Cooperation, Hiroshima University, Higashihiroshima, Hiroshima, 739-8529, Japan; School of Business Administration, University of Economics and Business, Vietnam National University, Hanoi, 10000, Viet Nam</t>
  </si>
  <si>
    <t>Nguyen, N.N., Graduate School for International Development and Cooperation, Hiroshima University, Higashihiroshima, Hiroshima, 739-8529, Japan; Nham, P.T., School of Business Administration, University of Economics and Business, Vietnam National University, Hanoi, 10000, Viet Nam; Takahashi, Y., Graduate School for International Development and Cooperation, Hiroshima University, Higashihiroshima, Hiroshima, 739-8529, Japan</t>
  </si>
  <si>
    <t>Based on previous findings, which found that the three facets of ability-based emotional intelligence (EI) have varying effects on job performance, this study investigates the relationship between emotional intelligence, cognitive intelligence (CI), and job performance. The use of a cascade model suggests a progressive pattern, starting from emotion perception, followed by emotional understanding and emotion regulation, with downstream effects on job performance. Considering the advantages and disadvantages of both measurements, we employed the performance-based ability measurement, the Mayer-Salovey-Caruso Emotional Intelligence Test (MSCEIT) and the self-reporting ability EI measurement, Wong Law Emotional Intelligence Scale (WLEIS). Our findings supported the cascade model, but in the case of WLEIS measures, both self-emotion appraisal and others' emotion appraisal precede emotion regulation, leading to a positive effect on job performance. Moreover, CI moderated the relationship between EI and job performance, such that a decline in CI rendered the relationship more positive. The MSCEIT and WLEIS showed similar results, thus supporting the cascading model and moderating effects. © 2019 by the authors.</t>
  </si>
  <si>
    <t>Cascading model; Cognitive intelligence; Compensatory model; Emotional intelligence; Emotional intelligence measurement</t>
  </si>
  <si>
    <t>artificial intelligence; cognition; job search; measurement method; numerical model; perception; performance assessment; psychology</t>
  </si>
  <si>
    <t>Farh, C.I., Seo, M.G., Tesluk, P.E., Emotional intelligence, teamwork effectiveness, and job performance: The moderating role of job context (2012) J. Appl. Psychol, 97, pp. 890-900; Sy, T., Tram, S., O'Hara, L.A., Relation of employee and manager emotional intelligence to job satisfaction and performance (2006) J. Vocat. Behav, 68, pp. 461-473; Wong, C.S., Law, K.S., The effects of leader and follower emotional intelligence on performance and attitude: An exploratory study (2002) Leadersh. Q, 13, pp. 243-274; Vratskikh, I., Al-Lozi, M., Maqableh, M., The impact of emotional intelligence on job performance via the mediating role of job satisfaction (2016) Int. J. Bus. Manag, 11, pp. 69-91; Day, A.L., Carroll, S.A., Using an ability-based measure of emotional intelligence to predict individual performance, group performance, and group citizenship behaviours (2004) Pers. Individ. Differ, 36, pp. 1443-1458; Kluemper, D.H., DeGroot, T., Choi, S., Emotion management ability: Predicting task performance, citizenship, and deviance (2013) J. Manag, 39, pp. 878-905; Joseph, D.L., Newman, D.A., Emotional intelligence: An integrative meta-analysis and cascading model (2010) J. Appl. Psychol, 95, pp. 54-78; Cote, S., Miners, C.T., Emotional intelligence, cognitive intelligence, and job performance (2006) Adm. Sci. Q, 51, pp. 1-28; Palmer, B.R., Gignac, G., Manocha, R., Stough, C.A., Psychometric evaluation of the Mayer-Salovey-Caruso emotional intelligence test version 2.0 (2005) Intelligence, 33, pp. 285-305; Rossen, E., Kranzler, J.H., Algina, J., Confirmatory factor analysis of the Mayer-Salovey-Caruso emotional intelligence test V 2.0 (MSCEIT) (2008) Pers. Individ. Differ, 44, pp. 1258-1269; O'Boyle, E.H., Jr., Humphrey, R.H., Pollack, J.M., Hawver, T.H., Story, P.A., The relation between emotional intelligence and job performance: A meta-analysis (2011) J. Organ. Behav, 32, pp. 788-818; Joseph, D.L., Jin, J., Newman, D.A., O'boyle, E.H., Why does self-reported emotional intelligence predict job performance? A meta-analytic investigation of mixed EI (2015) J. Appl. Psychol, 100, pp. 298-342; Śmieja, M., Orzechowski, J., Stolarski, M.S., TIE: An ability test of emotional intelligence (2014) PLoS ONE, 9; Herpertz, S., Nizielski, S., Hock, M., Schütz, A., The relevance of emotional intelligence in personnel selection for high emotional labor jobs (2016) PLoS ONE, 11; Petrides, K.V., Furnham, A., Trait emotional intelligence: Psychometric investigation with reference to established trait taxonomies (2001) Eur. J. Pers, 15, pp. 425-448; Van der Linden, D., Pekaar, K.A., Bakker, A.B., Schermer, J.A., Vernon, P.A., Dunkel, C.S., Petrides, K.V., Overlap between the general factor of personality and emotional intelligence: A meta-analysis (2017) Psychol. Bull, 143, pp. 36-52; MacCann, C., Joseph, D.L., Newman, D.A., Roberts, R.D., Emotional intelligence is a second-stratum factor of intelligence: Evidence from hierarchical and bifactor models (2014) Emotion, 14, p. 358; Brackett, M.A., Mayer, J.D., Convergent, discriminant, and incremental validity of competing measures of emotional intelligence (2003) Pers. Soc. Psychol. Bull, 29, pp. 1147-1158; Law, K.S., Wong, C.S., Huang, G.H., Li, X., The effects of emotional intelligence on job performance and life satisfaction for the research and development scientists in China (2008) Asia Pac. J. Manag, 25, pp. 51-69; Curci, A., Lanciano, T., Soleti, E., Zammuner, V.L., Salovey, P., Construct validity of the Italian version of the Mayer-Salovey-Caruso emotional intelligence test (MSCEIT) v2.0 (2013) J. Pers. Assess, 95, pp. 486-494; Sanchez-Garcia, M., Extremera, N., Fernandez-Berrocal, P., The factor structure and psychometric properties of the Spanish version of the Mayer-Salovey-Caruso Emotional Intelligence Test (2016) Psychol. Assess, 28, pp. 1404-1415; Iliescu, D., Ilie, A., Ispas, D., Ion, A., Examining the Psychometric Properties of the Mayer-Salovey-Caruso Emotional Intelligence Test (2013) Eur. J. Psychol. Assess, 29, pp. 121-128; Mao, W.C., Chen, L.F., Chi, C.H., Lin, C.H., Kao, Y.C., Hsu, W.Y., Hsieh, J.C., Traditional Chinese version of the Mayer Salovey Caruso Emotional Intelligence Test (MSCEIT-TC): Its validation and application to schizophrenic individuals (2016) Psychiatry Res, 243, pp. 61-70; Karim, J., Weisz, R., Cross-cultural research on the reliability and validity of the Mayer-Salovey-Caruso Emotional Intelligence Test (MSCEIT) (2010) Cross Cult. Res, 44, pp. 374-404; Libbrecht, N., Beuckelaer, A.D., Lievens, F., Rockstuhl, T., Measurement invariance of the Wong and Law emotional intelligence scale scores: Does the measurement structure hold across far Eastern and European countries? (2014) Appl. Psychol, 63, pp. 223-237; Podsakoff, P.M., Organ, D.W., Self-reports in organizational research: Problems and prospects (1986) J. Manag, 12, pp. 531-544; Caruso, D.R., Mayer, J.D., Salovey, P., Emotional intelligence and emotional leadership (2002) Multiple Intelligences and Leadership, pp. 55-74. , Riggio, R.E., Murphy, S.E., Pirozzolo, F.J., Eds.; Lawrence Erlbaum Associates Publishers: Mahwah, NJ, USA; Fredrickson, B.L., The role of positive emotions in positive psychology: The broaden-and-build theory of positive emotions (2001) Am. Psychol, 56, pp. 218-226; Tsai, W.C., Chen, C.C., Liu, H.L., Test of a model linking employee positive moods and task performance (2007) J. Appl. Psychol, 92, pp. 1570-1583; Butler, E.A., Egloff, B., Wilhelm, F.H., Smith, N.C., Erickson, E.A., Gross, J.J., The social consequences of expressive suppression (2003) Emotion, 3, pp. 48-67; Gross, J.J., John, O.P., Individual differences in two emotion regulation processes: Implications for affect, relationships, and well-being (2003) J. Pers. Soc. Psychol, 85, pp. 348-362; Beal, D.J., Weiss, H.M., Barros, E., MacDermid, S.M., An episodic process model of affective influences on performance (2005) J. Appl. Psychol, 90, pp. 1054-1068; Kanfer, R., Ackerman, P.L., Heggestad, E.D., Motivational skills &amp; self-regulation for learning: A trait perspective (1996) Learn. Individ. Differ, 8, pp. 185-209; Gross, J.J., Emotion and emotion regulation: Personality processes and individual differences (2008) Handbook of Personality: Theory and Research, pp. 701-724. , John, O.P., Robins, R.W., Pervin, L.A., Eds.; Guilford Press: New York, NY, USA; Mayer, J.D., Salovey, P., What is emotional intelligence? (1997) Emotional Development and Emotional Intelligence: Educational Implications, pp. 3-31. , Salovey, P., Sluyter, D.J., Eds.; Basic Books: New York, NY, USA; Kintsch, W., The control of knowledge activation in discourse comprehension (2000) Control of Human Behavior, Mental Processes, and Consciousness: Essays in Honor of the 60th Birthday of August Flammer, pp. 137-146. , Perrig, W.J., Grob, A., Eds.; Lawrence Erlbaum Associates Publishers: Mahwah, NJ, USA; Schmidt, F.L., Hunter, J., General mental ability in the world of work: Occupational attainment and job performance (2004) J. Pers. Soc. Psychol, 86, pp. 162-173; Trentacosta, C.J., Izard, C.E., Mostow, A.J., Fine, S.E., Children's emotional competence and attentional competence in early elementary school (2006) Sch. Psychol. Q, 21, pp. 148-170; Carroll, J.B., (1993) Human Cognitive Abilities: A Survey of Factor-Analytic Studies, , Cambridge University Press: Cambridge, UK; Viswesvaran, C., Ones, D.S., Agreements and disagreements on the role of general mental ability (GMA) in industrial, work, and organizational psychology (2002) Hum. Perform, 15, pp. 211-231; Cattell, R.B., Cattell, A.K.S., (1973) Culture Fair Intelligence Tests: CFIT, , Institute for Personality &amp; Ability Testing: Champaign, IL, USA; Tsui, A.S., Pearce, J.L., Porter, L.W., Tripoli, A.M., Alternative approaches to the employee-organization relationship: Does investment in employees pay off Acad (1997) Manag. J, 40, pp. 1089-1121; Adler, S., Campion, M., Colquitt, A., Grubb, A., Murphy, K., Ollander-Krane, R., Pulakos, E.D., Getting rid of performance ratings: Genius or folly? (2016) A debate. Ind. Organ. Psychol, 9, pp. 219-252; James, L.R., Demaree, R.G., Wolf, G., Estimating within-group interrater reliability with and without response bias (1984) J. Appl. Psychol, 69, pp. 85-98; Bliese, P.D., Within-group agreement, non-independence, and reliability: Implications for data aggregation and analysis (2000) Multilevel Theory, Research, and Methods in Organizations: Foundations, Extensions, and New Directions, pp. 349-381. , Klein, K.J., Kozlowski, S.W.J., Eds.; Jossey-Bass: San Francisco, CA, USA; Kozlowski, S.W., Klein, K.J., A multilevel approach to theory and research in organizations: Contextual, temporal, and emergent processes (2000) Multilevel Theory, Research, and Methods in Organizations: Foundations, Extensions, and New Directions, pp. 3-90. , Klein, K.J., Kozlowski, S.W.J., Eds.; Jossey-Bass: San Francisco, CA, USA; Hu, L.T., Bentler, P.M., Fit indices in covariance structure modeling: Sensitivity to underparameterized model misspecification (1998) Psychol. Methods, 3, pp. 424-453; Mayer, J.D., Caruso, D.R., Salovey, P., Emotional intelligence meets traditional standards for an intelligence (1999) Intelligence, 27, pp. 267-298; Hodzic, S., Scharfen, J., Ripoll, P., Holling, H., Zenasni, F., How efficient are emotional intelligence trainings: A meta-analysis (2018) Emot. Rev, 10, pp. 138-148; Mattingly, V., Kraiger, K., Can emotional intelligence be trained? (2019) A meta-analytical investigation. Hum. Resour. Manag. R, 29, pp. 140-155; Mayer, J.D., Cobb, C.D., Educational policy on emotional intelligence: Does it make sense? (2000) Educ. Psychol. Rev, 12, pp. 163-183</t>
  </si>
  <si>
    <t>2-s2.0-85066847398</t>
  </si>
  <si>
    <t>Banerjee M., Chiew D., Patel K.T., Johns I., Chappell D., Linton N., Cole G.D., Francis D.P., Szram J., Ross J., Zaman S.</t>
  </si>
  <si>
    <t>57226705816;57226728339;56985072700;57204912237;57528928100;57207603130;36623430500;7401512763;57226717694;57226706910;55798249000;</t>
  </si>
  <si>
    <t>The impact of artificial intelligence on clinical education: perceptions of postgraduate trainee doctors in London (UK) and recommendations for trainers</t>
  </si>
  <si>
    <t>BMC Medical Education</t>
  </si>
  <si>
    <t>429</t>
  </si>
  <si>
    <t>10.1186/s12909-021-02870-x</t>
  </si>
  <si>
    <t>https://www.scopus.com/inward/record.uri?eid=2-s2.0-85112431087&amp;doi=10.1186%2fs12909-021-02870-x&amp;partnerID=40&amp;md5=844ace06dc9585f5a49d2dc3753801c6</t>
  </si>
  <si>
    <t>University College London, Gower Street, London, WC1E 6BT, United Kingdom; Imperial College London, Exhibition Road, London, SW7 2AZ, United Kingdom; Guy’s &amp; St. Thomas’ NHS Foundation Trust, Westminster Bridge Road, London, SE1 7EH, United Kingdom; Imperial College Healthcare NHS Trust, Du Cane Road, London, W12 0HS, United Kingdom; Royal College of Physicians, 11 St. Andrews Place, London, NW1 4LE, United Kingdom; Artificial Intelligence for Healthcare Centre for Doctoral Training, Imperial College London, South Kensington Campus, London, SW7 2BX, United Kingdom</t>
  </si>
  <si>
    <t>Banerjee, M., University College London, Gower Street, London, WC1E 6BT, United Kingdom; Chiew, D., Imperial College London, Exhibition Road, London, SW7 2AZ, United Kingdom; Patel, K.T., Guy’s &amp; St. Thomas’ NHS Foundation Trust, Westminster Bridge Road, London, SE1 7EH, United Kingdom; Johns, I., Imperial College Healthcare NHS Trust, Du Cane Road, London, W12 0HS, United Kingdom; Chappell, D., Imperial College London, Exhibition Road, London, SW7 2AZ, United Kingdom; Linton, N., Imperial College Healthcare NHS Trust, Du Cane Road, London, W12 0HS, United Kingdom; Cole, G.D., Imperial College Healthcare NHS Trust, Du Cane Road, London, W12 0HS, United Kingdom; Francis, D.P., Imperial College London, Exhibition Road, London, SW7 2AZ, United Kingdom; Szram, J., Royal College of Physicians, 11 St. Andrews Place, London, NW1 4LE, United Kingdom; Ross, J., Guy’s &amp; St. Thomas’ NHS Foundation Trust, Westminster Bridge Road, London, SE1 7EH, United Kingdom; Zaman, S., Imperial College London, Exhibition Road, London, SW7 2AZ, United Kingdom, Guy’s &amp; St. Thomas’ NHS Foundation Trust, Westminster Bridge Road, London, SE1 7EH, United Kingdom, Imperial College Healthcare NHS Trust, Du Cane Road, London, W12 0HS, United Kingdom, Artificial Intelligence for Healthcare Centre for Doctoral Training, Imperial College London, South Kensington Campus, London, SW7 2BX, United Kingdom</t>
  </si>
  <si>
    <t>Background: Artificial intelligence (AI) technologies are increasingly used in clinical practice. Although there is robust evidence that AI innovations can improve patient care, reduce clinicians’ workload and increase efficiency, their impact on medical training and education remains unclear. Methods: A survey of trainee doctors’ perceived impact of AI technologies on clinical training and education was conducted at UK NHS postgraduate centers in London between October and December 2020. Impact assessment mirrored domains in training curricula such as ‘clinical judgement’, ‘practical skills’ and ‘research and quality improvement skills’. Significance between Likert-type data was analysed using Fisher’s exact test. Response variations between clinical specialities were analysed using k-modes clustering. Free-text responses were analysed by thematic analysis. Results: Two hundred ten doctors responded to the survey (response rate 72%). The majority (58%) perceived an overall positive impact of AI technologies on their training and education. Respondents agreed that AI would reduce clinical workload (62%) and improve research and audit training (68%). Trainees were skeptical that it would improve clinical judgement (46% agree, p = 0.12) and practical skills training (32% agree, p &lt; 0.01). The majority reported insufficient AI training in their current curricula (92%), and supported having more formal AI training (81%). Conclusions: Trainee doctors have an overall positive perception of AI technologies’ impact on clinical training. There is optimism that it will improve ‘research and quality improvement’ skills and facilitate ‘curriculum mapping’. There is skepticism that it may reduce educational opportunities to develop ‘clinical judgement’ and ‘practical skills’. Medical educators should be mindful that these domains are protected as AI develops. We recommend that ‘Applied AI’ topics are formalized in curricula and digital technologies leveraged to deliver clinical education. © 2021, The Author(s).</t>
  </si>
  <si>
    <t>Artificial intelligence; Clinical training; Machine learning; Medical education</t>
  </si>
  <si>
    <t>adult; article; artificial intelligence; clinical education; curriculum; digital technology; England; female; human; human experiment; machine learning; male; optimism; perception; postgraduate student; skill; thematic analysis; total quality management; workload; England; perception; physician; questionnaire; United Kingdom; Artificial Intelligence; Humans; London; Perception; Physicians; Surveys and Questionnaires; United Kingdom</t>
  </si>
  <si>
    <t>Topol, E.J., High-performance medicine: the convergence of human and artificial intelligence (2019) Nat Med, 25 (1), pp. 44-56; Ross, J., Webbaorcm, C.F., (2019) Artificial Intelligence in Healthcare: Academy of Medical Royal Colleges, , https://www.aomrc.org.uk/wp-content/uploads/2019/01/Artificial_intelligence:in_healthcare_0119.pdf, cited 2020 Jan 12, Available from; Topol, E., (2019) The Topol Review - Preparing the Healthcare Workforce to Deliver the Digital Future: NHS, , https://topol.hee.nhs.uk/wp-content/uploads/HEE-Topol-Review-2019.pdf, [cited 2021 Jan 12]. Available from; Joshi, I., Morley, J., (2019) Artificial Intelligence: How to Get It Right. Putting Policy into Practice for Safe Data-Driven Innovation in Health and Care: NHSX, , https://www.nhsx.nhs.uk/media/documents/NHSX_AI_report.pdf, cited 2021 Jan 12, Available from; Esteva, A., Kuprel, B., Novoa, R.A., Ko, J., Swetter, S.M., Blau, H.M., Dermatologist-level classification of skin cancer with deep neural networks (2017) Nature, 542 (7639), pp. 115-118; Tomašev, N., Glorot, X., Rae, J.W., Zielinski, M., Askham, H., Saraiva, A., Mottram, A., Mohamed, S., A clinically applicable approach to continuous prediction of future acute kidney injury (2019) Nature., 572 (7767), pp. 116-119; Nelson, A., Herron, D., Rees, G., Nachev, P., Predicting scheduled hospital attendance with artificial intelligence (2019) NPJ Digital Med, 2 (1), pp. 1-7; Paranjape, K., Schinkel, M., Nannan Panday, R., Car, J., Nanayakkara, P., Introducing Artificial Intelligence Training in Medical Education (2019) JMIR Med Educ, 5 (2). , https://www.ncbi.nlm.nih.gov/pmc/articles/PMC6918207/, cited 2021 Jan 10, Available from; Wartman, S.A., Combs, C.D., Medical education must move from the information age to the age of artificial intelligence (2018) Acad Med, 93 (8), pp. 1107-1109; Fernandes, M., Vieira, S.M., Leite, F., Palos, C., Finkelstein, S., Sousa, J.M.C., Clinical decision support Systems for Triage in the emergency department using intelligent systems: a review (2020) Artif Intell Med, 102, p. 101762; Goldstein, A., Shahar, Y., An automated knowledge-based textual summarization system for longitudinal, multivariate clinical data (2016) J Biomed Inform, 61, pp. 159-175; Bressem, K.K., Adams, L.C., Gaudin, R.A., Tröltzsch, D., Hamm, B., Makowski, M.R., Highly accurate classification of chest radiographic reports using a deep learning natural language model pretrained on 3.8 million text reports (2021) Bioinformatics, 36 (21), pp. 5255-5261; Esteva, A., Robicquet, A., Ramsundar, B., Kuleshov, V., DePristo, M., Chou, K., Cui, C., Dean, J., A guide to deep learning in healthcare (2019) Nat Med, 25 (1), pp. 24-29; Howard, J.P., Zaman, S., Ragavan, A., Hall, K., Leonard, G., Sutanto, S., Automated analysis and detection of abnormalities in transaxial anatomical cardiovascular magnetic resonance images: a proof of concept study with potential to optimize image acquisition (2020) Int J Cardiovasc Imaging, 37 (3), pp. 1033-1042. , [cited 2021 Jan 4]; Available from; Groetz, S., Wilhelm, K., Willinek, W., Pieper, C., Schild, H., Thomas, D., A new robotic assistance system for percutaneous CT-guided punctures: initial experience (2016) Minim Invasive Ther Allied Technol, 25 (2), pp. 79-85; Blaivas, M., Blaivas, L., Philips, G., Merchant, R., Levy, M., Abbasi, A., Development of a deep learning network to classify inferior vena cava collapse to predict fluid responsiveness (2021) J Ultrasound Med, 40 (8), pp. 1495-1504; Asan, O., Bayrak, A.E., Choudhury, A., Artificial Intelligence and Human Trust in Healthcare: Focus on Clinicians (2020) J Med Internet Res, 22 (6). , https://www.ncbi.nlm.nih.gov/pmc/articles/PMC7334754/, cited 2021 May 26, Available from; DeCamp, M., Tilburt, J.C., Why we cannot trust artificial intelligence in medicine (2019) Lancet Digital Health, 1 (8); Wartman, S.A., Combs, C.D., Reimagining medical education in the age of AI (2019) AMA J Ethics, 21 (2), pp. E146-E152; Regulating Black-Box Medicine | Michigan Law Review [Internet], , https://michiganlawreview.org/regulating-black-box-medicine/; Huang, Z., (1998) Extensions to the k-means algorithm for clustering large data sets with categorical values; Braun, V., Clarke, V., Using thematic analysis in psychology (2006) Qual Res Psychol, 3 (2), pp. 77-101; Extance, A., How AI technology can tame the scientific literature (2018) Nature., 561 (7722), pp. 273-274; Gerke, S., Minssen, T., Cohen, G., Ethical and legal challenges of artificial intelligence-driven healthcare Artificial Intelligence Healthcare, 2020, pp. 295-336. , https://doi.org/10.1016/B978-0-12-818438-7.00012-5; Hashimoto, D.A., Witkowski, E., Gao, L., Meireles, O., Rosman, G., Artificial intelligence in anesthesiology: current techniques, clinical applications, and limitations (2020) Anesthesiology., 132 (2), pp. 379-394; Dumić-Čule, I., Orešković, T., Brkljačić, B., Kujundžić Tiljak, M., Orešković, S., The importance of introducing artificial intelligence to the medical curriculum - assessing practitioners’ perspectives (2020) Croat Med J, 61 (5), pp. 457-464; Rajpurkar, P., Irvin, J., Ball, R.L., Zhu, K., Yang, B., Mehta, H., Duan, T., Lungren, M.P., Deep learning for chest radiograph diagnosis: a retrospective comparison of the CheXNeXt algorithm to practicing radiologists (2018) PLoS Med, 15 (11); Ardila, D., Kiraly, A.P., Bharadwaj, S., Choi, B., Reicher, J.J., Peng, L., Tse, D., Shetty, S., End-to-end lung cancer screening with three-dimensional deep learning on low-dose chest computed tomography (2019) Nat Med, 25 (6), pp. 954-961; Cheng, C.-T., Chen, C.-C., Fu, C.-Y., Chaou, C.-H., Wu, Y.-T., Hsu, C.-P., Chang, C.C., Liao, C.H., Artificial intelligence-based education assists medical students’ interpretation of hip fracture (2020) Insights Imaging, 11 (1), p. 119; Aeckersberg, G., Gkremoutis, A., Schmitz-Rixen, T., Kaiser, E., The relevance of low-fidelity virtual reality simulators compared with other learning methods in basic endovascular skills training (2019) J Vasc Surg, 69 (1), pp. 227-235; Winkler-Schwartz, A., Bissonnette, V., Mirchi, N., Ponnudurai, N., Yilmaz, R., Ledwos, N., Siyar, S., del Maestro, R.F., Artificial intelligence in medical education: best practices using machine learning to assess surgical expertise in virtual reality simulation (2019) J Surg Educ, 76 (6), pp. 1681-1690; Nagendran, M., Chen, Y., Lovejoy, C.A., Gordon, A.C., Komorowski, M., Harvey, H., Artificial intelligence versus clinicians: systematic review of design, reporting standards, and claims of deep learning studies (2020) BMJ., 368, p. m689; Choudhury, A., Asan, O., Role of artificial intelligence in patient safety outcomes: systematic literature review (2020) JMIR Med Inform, 8 (7)</t>
  </si>
  <si>
    <t>BioMed Central Ltd</t>
  </si>
  <si>
    <t>14726920</t>
  </si>
  <si>
    <t>BMC Med. Educ.</t>
  </si>
  <si>
    <t>2-s2.0-85112431087</t>
  </si>
  <si>
    <t>The impact of artificial intelligence on clinical education: perceptions of postgraduate trainee doctors in london (uk) and recommendations for trainers</t>
  </si>
  <si>
    <t>Saganowski S.</t>
  </si>
  <si>
    <t>50262928000;</t>
  </si>
  <si>
    <t>Bringing Emotion Recognition out of the Lab into Real Life: Recent Advances in Sensors and Machine Learning</t>
  </si>
  <si>
    <t>Electronics (Switzerland)</t>
  </si>
  <si>
    <t>496</t>
  </si>
  <si>
    <t>10.3390/electronics11030496</t>
  </si>
  <si>
    <t>https://www.scopus.com/inward/record.uri?eid=2-s2.0-85124161014&amp;doi=10.3390%2felectronics11030496&amp;partnerID=40&amp;md5=40d0fa233efc472253adfdc04cf2c0bb</t>
  </si>
  <si>
    <t>Department of Artificial Intelligence, Wrocław University of Science and Technology, Wrocław, 50-370, Poland</t>
  </si>
  <si>
    <t>Saganowski, S., Department of Artificial Intelligence, Wrocław University of Science and Technology, Wrocław, 50-370, Poland</t>
  </si>
  <si>
    <t>Bringing emotion recognition (ER) out of the controlled laboratory setup into everyday life can enable applications targeted at a broader population, e.g., helping people with psychological disorders, assisting kids with autism, monitoring the elderly, and general improvement of well-being. This work reviews progress in sensors and machine learning methods and techniques that have made it possible to move ER from the lab to the field in recent years. In particular, the commercially available sensors collecting physiological data, signal processing techniques, and deep learning architectures used to predict emotions are discussed. A survey on existing systems for recognizing emotions in real-life scenarios—their possibilities, limitations, and identified problems—is also provided. The review is concluded with a debate on what challenges need to be overcome in the domain in the near future. © 2022 by the authors. Licensee MDPI, Basel, Switzerland. This article is an open access article distributed under the terms and conditions of the Creative Commons Attribution (CC BY) license (https:// creativecommons.org/licenses/by/ 4.0/).</t>
  </si>
  <si>
    <t>Emotion recognition; Field studies; Machine learning; Review; Signal processing; Wearables</t>
  </si>
  <si>
    <t>O’Brien, D.T., (2012) Thinking, Fast and Slow, , Farrar, Straus and Giroux: New York, NY, USA; He, C., Yao, Y.J., Ye, X.S., An emotion recognition system based on physiological signals obtained by wearable sensors (2017) Wearable Sensors and Robots, pp. 15-25. , Springer: Berlin, Germany; Feng, H., Golshan, H.M., Mahoor, M.H., A wavelet-based approach to emotion classification using EDA signals (2018) Expert Syst. Appl, 112, pp. 77-86. , [CrossRef]; Pollreisz, D., TaheriNejad, N., A simple algorithm for emotion recognition, using physiological signals of a smart watch (2017) Proceedings of the 39th Annual International Conference of the Ieee Engineering in Medicine and Biology Society (EMBC), pp. 2353-2356. , Jeju Island, Korea, 11–15 July; Fernández-Aguilar, L., Martínez-Rodrigo, A., Moncho-Bogani, J., Fernández-Caballero, A., Latorre, J.M., Emotion detection in aging adults through continuous monitoring of electro-dermal activity and heart-rate variability (2019) Proceedings of the International Work-Conference on the Interplay Between Natural and Artificial Computation, pp. 252-261. , Tenerife, Spain, 3–7 June; Hu, L., Yang, J., Chen, M., Qian, Y., Rodrigues, J.J., SCAI-SVSC: Smart clothing for effective interaction with a sustainable vital sign collection (2018) Future Gener. Comput. Syst, 86, pp. 329-338. , [CrossRef]; Albraikan, A., Hafidh, B., El Saddik, A., iAware: A real-time emotional biofeedback system based on physiological signals (2018) IEEE Access, 6, pp. 78780-78789. , [CrossRef]; Schmidt, P., Reiss, A., Duerichen, R., Marberger, C., Van Laerhoven, K., Introducing wesad, a multimodal dataset for wearable stress and affect detection (2018) Proceedings of the 20th ACM International Conference on Multimodal Interaction, pp. 400-408. , Boulder, CO, USA, 16–20 October; Setiawan, F., Khowaja, S.A., Prabono, A.G., Yahya, B.N., Lee, S.L., A framework for real time emotion recognition based on human ans using pervasive device (2018) Proceedings of the 42nd Annual Computer Software and Applications Conference (COMPSAC), pp. 805-806. , Tokyo, Japan, 23–27 July; Álvarez, P., Zarazaga-Soria, F.J., Baldassarri, S., Mobile music recommendations for runners based on location and emotions: The DJ-Running system (2020) Pervasive Mob. Comput, 67, p. 101242. , [CrossRef]; Tkalčič, M., Emotions and personality in recommender systems: Tutorial (2018) Proceedings of the 12th ACM Conference on Recommender Systems, pp. 535-536. , Vancouver, BC, Canada, 2 October; Nalepa, G.J., Kutt, K., Giżycka, B., Jemioło, P., Bobek, S., Analysis and use of the emotional context with wearable devices for games and intelligent assistants (2019) Sensors, 19, p. 2509. , [CrossRef] [PubMed]; Xu, T., Yin, R., Shu, L., Xu, X., Emotion recognition using frontal EEG in VR affective scenes (2019) Proceedings of the MTT-S International Microwave Biomedical Conference (IMBioC), pp. 1-4. , Nanjing, China, 6–8 May; Gross, J.J., Feldman Barrett, L., Emotion generation and emotion regulation: One or two depends on your point of view (2011) Emot. Rev, 3, pp. 8-16. , [CrossRef] [PubMed]; Damasio, A.R., (1999) The Feeling of What Happens: Body and Emotion in the Making of Consciousness, , Mariner Books: Boston, MA, USA; Ekman, P., Universals and cultural differences in facial expressions of emotions (1971) Nebr. Symp. Motiv, 19, pp. 207-283. , W: J. Cole (red); Plutchik, R., A general psychoevolutionary theory of emotion (1980) Theories of Emotion, pp. 3-33. , Elsevier: Amsterdam, The Netherlands; Frijda, N.H., (1986) The Emotions, , Cambridge University Press: Cambridge, UK; Gross, J.J., Emotion regulation: Current status and future prospects (2015) Psychol. Sci, 26, pp. 1-26. , [CrossRef]; Barrett, L.F., The future of psychology: Connecting mind to brain (2009) Perspect. Psychol. Sci, 4, pp. 326-339. , [CrossRef]; James, W., The emotions (1922) Nature, 110, pp. 730-731; Averill, J.R., A constructivist view of emotion (1980) Theories of Emotion, pp. 305-339. , Elsevier: Amsterdam, The Netherlands; Mesquita, B., Boiger, M., Emotions in context: A sociodynamic model of emotions (2014) Emo. Rev, 6, pp. 298-302. , [CrossRef]; Chen, T., Yin, H., Yuan, X., Gu, Y., Ren, F., Sun, X., Emotion recognition based on fusion of long short-term memory networks and SVMs (2021) Digit. Signal Process, 117, p. 103153. , [CrossRef]; Nakisa, B., Rastgoo, M.N., Rakotonirainy, A., Maire, F., Chandran, V., Long short term memory hyperparameter optimization for a neural network based emotion recognition framework (2018) IEEE Access, 6, pp. 49325-49338. , [CrossRef]; Soroush, M., Maghooli, K., Setarehdan, S., Nasrabadi, A., A Review on EEG signals based emotion recognition (2017) Int. Clin. Neurosc. J, 4, p. 118. , [CrossRef]; Saganowski, S., Dutkowiak, A., Dziadek, A., Dzieżyc, M., Komoszyńska, J., Michalska, W., Polak, A., Kazienko, P., Emotion recognition using wearables: A systematic literature review-work-in-progress (2020) Proceedings of the IEEE International Conference on Pervasive Computing and Communications Workshops (PerCom Workshops), pp. 1-6. , Austin, TX, USA, 23–27 March; Schmidt, P., Reiss, A., Dürichen, R., Van Laerhoven, K., Labelling Affective States in the Wild: Practical Guidelines and Lessons Learned (2018) Proceedings of the 2018 ACM International Joint Conference and 2018 International Symposium on Pervasive and Ubiquitous Computing and Wearable Computers, pp. 654-659. , Singapore, 8–12 October; Maier, M., Marouane, C., Elsner, D., DeepFlow: Detecting Optimal User Experience From Physiological Data Using Deep Neural Networks (2019) Proceedings of the 28th International Joint Conference on Artificial Intelligence, pp. 2108-2110. , Macao, China, 10–16 August; Kanjo, E., Younis, E.M., Ang, C.S., Deep learning analysis of mobile physiological, environmental and location sensor data for emotion detection (2019) Inf. Fusion, 49, pp. 46-56. , [CrossRef]; Saganowski, S., Kazienko, P., Dzieżyc, M., Jakimów, P., Komoszyńska, J., Michalska, W., Dutkowiak, A., Ujma, M., Consumer Wearables and Affective Computing for Wellbeing Support (2020) Proceedings of the 17th EAI International Conference on Mobile and Ubiquitous Systems: Computing, Networking and Services, , Darmstadt, Germany, 7–9 December; Bent, B., Goldstein, B.A., Kibbe, W.A., Dunn, J.P., Investigating sources of inaccuracy in wearable optical heart rate sensors (2020) NPJ Digit. Med, 3, pp. 1-9. , [CrossRef] [PubMed]; Speer, K.E., Semple, S., Naumovski, N., McKune, A.J., Measuring heart rate variability using commercially available devices in healthy children: A validity and reliability study (2020) EJIHPE, 10, pp. 390-404. , [CrossRef]; McDuff, D., Jun, E., Rowan, K., Czerwinski, M., Longitudinal Observational Evidence of the Impact of Emotion Regulation Strategies on Affective Expression (2019) IEEE Trans. Affect. Comput, 12, pp. 636-647. , [CrossRef]; Mukhopadhyay, M., Pal, S., Nayyar, A., Pramanik, P.K.D., Dasgupta, N., Choudhury, P., Facial emotion detection to assess Learner’s State of mind in an online learning system (2020) Proceedings of the 5th International Conference on Intelligent Information Technology, pp. 107-115. , Hanoi, Vietnam, 13–22 February; Lu, H., Frauendorfer, D., Rabbi, M., Mast, M.S., Chittaranjan, G.T., Campbell, A.T., Gatica-Perez, D., Choudhury, T., Stresssense: Detecting stress in unconstrained acoustic environments using smartphones (2012) Proceedings of the 2012 ACM Conference on Ubiquitous Computing, pp. 351-360. , Pittsburgh, PA, USA, 5–8 September; Lee, J., Kim, M., Park, H.K., Kim, I.Y., Motion artifact reduction in wearable photoplethysmography based on multi-channel sensors with multiple wavelengths (2020) Sensors, 20, p. 1493. , [CrossRef]; Lee, H., Chung, H., Ko, H., Lee, J., Wearable multichannel photoplethysmography framework for heart rate monitoring during intensive exercise (2018) IEEE Sens. J, 18, pp. 2983-2993. , [CrossRef]; Masinelli, G., Dell’Agnola, F., Valdés, A.A., Atienza, D., SPARE: A spectral peak recovery algorithm for PPG signals pulsewave reconstruction in multimodal wearable devices (2021) Sensors, 21, p. 2725. , [CrossRef]; Zhao, B., Wang, Z., Yu, Z., Guo, B., EmotionSense: Emotion recognition based on wearable wristband (2018) Proceedings of the Symposia and Workshops on Ubiquitous, Autonomic and Trusted Computing, pp. 346-355. , UIC-ATC, Guangzhou, China, 8–12 October; Awais, M., Raza, M., Singh, N., Bashir, K., Manzoor, U., ul Islam, S., Rodrigues, J.J., LSTM based Emotion Detection using Physiological Signals: IoT framework for Healthcare and Distance Learning in COVID-19 (2020) IEEE Internet Things J, 8, pp. 16863-16871. , [CrossRef]; Dar, M.N., Akram, M.U., Khawaja, S.G., Pujari, A.N., Cnn and lstm-based emotion charting using physiological signals (2020) Sensors, 20, p. 4551. , [CrossRef] [PubMed]; Song, T., Lu, G., Yan, J., Emotion recognition based on physiological signals using convolution neural networks (2020) Proceedings of the 12th International Conference on Machine Learning and Computing, pp. 161-165. , Shenzhen, China, 19–21 June; Tizzano, G.R., Spezialetti, M., Rossi, S., A Deep Learning Approach for Mood Recognition from Wearable Data (2020) Proceedings of the IEEE International Symposium on Medical Measurements and Applications (MeMeA), pp. 1-5. , Bari, Italy, 1 June–1 July; Santamaria-Granados, L., Munoz-Organero, M., Ramirez-Gonzalez, G., Abdulhay, E., Arunkumar, N., Using deep convolutional neural network for emotion detection on a physiological signals dataset (AMIGOS) (2018) IEEE Access, 7, pp. 57-67. , [CrossRef]; Li, B., Lima, D., Facial expression recognition via ResNet-50 (2021) Int. J. Cogn. Comput. Eng, 2, pp. 57-64. , [CrossRef]; Sepas-Moghaddam, A., Etemad, A., Pereira, F., Correia, P.L., Facial emotion recognition using light field images with deep attention-based bidirectional LSTM (2020) Proceedings of the ICASSP 2020-2020 IEEE International Conference on Acoustics, Speech and Signal Processing (ICASSP), pp. 3367-3371. , Barcelona, Spain, 4–8 May; Efremova, N., Patkin, M., Sokolov, D., Face and emotion recognition with neural networks on mobile devices: Practical implementation on different platforms (2019) Proceedings of the 14th IEEE International Conference on Automatic Face &amp; Gesture Recognition (FG 2019), pp. 1-5. , Lille, France, 14–18 May; Cheng, B., Wang, Z., Zhang, Z., Li, Z., Liu, D., Yang, J., Huang, S., Huang, T.S., Robust emotion recognition from low quality and low bit rate video: A deep learning approach (2017) Proceedings of the Seventh International Conference on Affective Computing and Intelligent Interaction (ACII), pp. 65-70. , San Antonio, TX, USA, 23–26 October; Bargal, S.A., Barsoum, E., Ferrer, C.C., Zhang, C., Emotion recognition in the wild from videos using images (2016) Proceedings of the 18th ACM International Conference on Multimodal Interaction, pp. 433-436. , Tokyo, Japan, 12–16 November; Fan, W., Xu, X., Xing, X., Chen, W., Huang, D., LSSED: A large-scale dataset and benchmark for speech emotion recognition (2021) Proceedings of the ICASSP 2021-2021 IEEE International Conference on Acoustics, Speech and Signal Processing (ICASSP), pp. 641-645. , Toronto, ON, Canada, 6–11 June; Wang, J., Xue, M., Culhane, R., Diao, E., Ding, J., Tarokh, V., Speech emotion recognition with dual-sequence LSTM architecture (2020) Proceedings of the ICASSP 2020—2020 IEEE International Conference on Acoustics, Speech and Signal Processing (ICASSP), pp. 6474-6478. , Barcelona, Spain, 4–8 May; Yu, Y., Kim, Y.J., Attention-LSTM-attention model for speech emotion recognition and analysis of IEMOCAP database (2020) Electronics, 9, p. 713. , [CrossRef]; Zhang, Y., Du, J., Wang, Z., Zhang, J., Tu, Y., Attention based fully convolutional network for speech emotion recognition (2018) Proceedings of the Asia-Pacific Signal and Information Processing Association Annual Summit and Conference (APSIPA ASC), pp. 1771-1775. , Honolulu, HI, USA, 12–15 November; Zhao, Z., Bao, Z., Zhao, Y., Zhang, Z., Cummins, N., Ren, Z., Schuller, B., Exploring deep spectrum representations via attention-based recurrent and convolutional neural networks for speech emotion recognition (2019) IEEE Access, 7, pp. 97515-97525. , [CrossRef]; Li, Z., Li, J., Ma, S., Ren, H., Speech emotion recognition based on residual neural network with different classifiers (2019) Proceedings of the IEEE/ACIS 18th International Conference on Computer and Information Science (ICIS), pp. 186-190. , Beijing, China, 17–19 June; Gjoreski, M., Gams, M.Ž., Luštrek, M., Genc, P., Garbas, J.U., Hassan, T., Machine learning and end-to-end deep learning for monitoring driver distractions from physiological and visual signals (2020) IEEE Access, 8, pp. 70590-70603. , [CrossRef]; He, K., Zhang, X., Ren, S., Sun, J., Deep residual learning for image recognition (2016) Proceedings of the IEEE Conference on Computer Vision and Pattern Recognition, pp. 770-778. , San Francisco, CA, USA, 18–20 June; He, K., Zhang, X., Ren, S., Sun, J., Identity mappings in deep residual networks (2016) Proceedings of the Computer Vision—ECCV 2016, pp. 630-645. , Amsterdam, The Netherlands, 11–14 October; Simonyan, K., Zisserman, A., (2014) Very Deep Convolutional Networks for Large-Scale Image Recognition, , arXiv arXiv:1409.1556; Burkhardt, F., Paeschke, A., Rolfes, M., Sendlmeier, W.F., Weiss, B., A Database of German Emotional Speech, , https://citeseerx.ist.psu.edu/viewdoc/download?doi=10.1.1.130.8506&amp;rep=rep1&amp;type=pdf, (accessed on 1 January 2022); Hochreiter, S., Schmidhuber, J., Long short-term memory (1997) Neural Comput, 9, pp. 1735-1780. , [CrossRef]; Sharma, K., Castellini, C., van den Broek, E.L., Albu-Schaeffer, A., Schwenker, F., A dataset of continuous affect annotations and physiological signals for emotion analysis (2019) Sci. Data, 6, pp. 1-13. , [CrossRef] [PubMed]; LeCun, Y., Bottou, L., Bengio, Y., Haffner, P., Gradient-based learning applied to document recognition (1998) Proce. IEEE, 86, pp. 2278-2324. , [CrossRef]; Long, J., Shelhamer, E., Darrell, T., Fully convolutional networks for semantic segmentation (2015) Proceedings of the IEEE Conference on Computer Vision and Pattern Recognition, pp. 3431-3440. , Boston, MA, USA, 7–12 June; Dzieżyc, M., Gjoreski, M., Kazienko, P., Saganowski, S., Gams, M., Can we ditch feature engineering? end-to-end deep learning for affect recognition from physiological sensor data (2020) Sensors, 20, p. 6535. , [CrossRef] [PubMed]; Schmidt, P., Dürichen, R., Reiss, A., Van Laerhoven, K., Plötz, T., Multi-target affect detection in the wild: an exploratory study (2019) Proceedings of The 2019 ACM International Joint Conference on Pervasive and Ubiquitous Computing, pp. 211-219. , London, UK, 9–13 September; Zhao, S., Ma, Y., Gu, Y., Yang, J., Xing, T., Xu, P., Hu, R., Keutzer, K., (2020) An End-to-End visual-audio attention network for emotion recognition in user-generated videos, , arXiv arXiv: 2003.00832; Sun, T.W., End-to-end speech emotion recognition with gender information (2020) IEEE Access, 8, pp. 152423-152438. , [CrossRef]; Harper, R., Southern, J., (2020) A bayesian deep learning framework for end-to-end prediction of emotion from heartbeat, , arXiv arXiv:1902.03043; Chiang, H.T., Hsieh, Y.Y., Fu, S.W., Hung, K.H., Tsao, Y., Chien, S.Y., Noise reduction in ECG signals using fully convolutional denoising autoencoders (2019) IEEE Access, 7, pp. 60806-60813. , [CrossRef]; Adib, E., Afghah, F., Prevost, J.J., (2021) Synthetic ECG Signal Generation Using Generative Neural Networks, , arXiv arXiv:2112.03268; Sun, H., Zhang, F., Zhang, Y., An LSTM and GAN Based ECG Abnormal Signal Generator (2021) Advances in Artificial Intelligence and Applied Cognitive Computing, pp. 743-755. , Springer: Berlin, Germany; Samyoun, S., Mondol, A.S., Stankovic, J.A., Stress detection via sensor translation (2020) Proceedings of the 16th International Conference on Distributed Computing in Sensor Systems (DCOSS), pp. 19-26. , Marina del Rey, CA, USA, 25–27 May; Udovičić, G., Ðerek, J., Russo, M., Sikora, M., Wearable emotion recognition system based on GSR and PPG signals (2017) Proceedings of the 2nd International Workshop on Multimedia for Personal Health and Health Care, pp. 53-59. , New York, NY, USA, 23 October; Tian, Z., Huang, D., Zhou, S., Zhao, Z., Jiang, D., Personality first in emotion: a deep neural network based on electroencephalogram channel attention for cross-subject emotion recognition (2021) Royal Soc. Open Sci, 8, p. 201976. , [CrossRef]; Taylor, S., Jaques, N., Nosakhare, E., Sano, A., Picard, R., Personalized multitask learning for predicting tomorrow’s mood, stress, and health (2017) IEEE Trans. Affect. Comput, 11, pp. 200-213. , [CrossRef] [PubMed]; Can, Y.S., Chalabianloo, N., Ekiz, D., Fernandez-Alvarez, J., Riva, G., Ersoy, C., Personal stress-level clustering and decision-level smoothing to enhance the performance of ambulatory stress detection with smartwatches (2020) IEEE Access, 8, pp. 38146-38163. , [CrossRef]; https://imotions.com, (accessed on 1 January 2022); Gloor, P.A., Colladon, A.F., Grippa, F., Budner, P., Eirich, J., Aristotle said “happiness is a state of activity”—Predicting mood through body sensing with Smartwatches (2018) J. Syst. Sci. Syst. Eng, 27, pp. 586-612. , [CrossRef]; Roessler, J., Gloor, P.A., Measuring happiness increases happiness (2021) JCSS, 4, pp. 123-146. , [CrossRef]; Sun, L., Gloor, P.A., Stein, M., Eirich, J., Wen, Q., No Pain No Gain: Predicting Creativity Through Body Signals (2019) Digital Transformation of Collaboration, pp. 3-15. , Springer: Berlin, Germany; Sun, L., Gloor, P.A., Measuring Moral Values with Smartwatch-Based Body Sensors (2019) Digital Transformation of Collaboration, pp. 51-66. , Springer: Berlin, Germany; Budner, P., Eirich, J., Gloor, P.A., Making you happy makes me happy-Measuring Individual Mood with Smartwatches, , http://healthdocbox.com/Psychology_and_Psychiatry/68305189-Making-you-happy-makes-me-happy-measuring-individual-mood-with-smartwatches.html, (accessed on 1 January 2022); Tripathi, A., Ashwin, T., Guddeti, R.M.R., EmoWare: A context-aware framework for personalized video recommendation using affective video sequences (2019) IEEE Access, 7, pp. 51185-51200. , [CrossRef]; Fortune, E., Yusuf, Y., Zornes, S., Loyo Lopez, J., Blocker, R., Assessing Induced Emotions in Employees in a Workplace Setting Using Wearable Devices (2020) Proceedings of the 2020 Design of Medical Devices Conference, , Minneapolis, MA, USA, 6–9 April V001T09A004; Fortune, E., Yusuf, Y., Blocker, R., Measuring Arousal and Emotion in Healthcare Employees Using Novel Devices (2020) Proceedings of the IEEE 20th International Conference on Bioinformatics and Bioengineering (BIBE), pp. 835-838. , Cincinnati, OH, USA, 26–28 October; Hernandez, J., Lovejoy, J., McDuff, D., Suh, J., O’Brien, T., Sethumadhavan, A., Greene, G., Czerwinski, M., Guidelines for Assessing and Minimizing Risks of Emotion Recognition Applications (2021) Proceedings of the 9th International Conference on Affective Computing and Intelligent Interaction (ACII), pp. 1-8. , Nara, Japan, 28 September–1 October; https://ir.netflix.net/ir-overview/profile/default.aspx, (accessed on 22 January 2022); Panda, R., Redinho, H., Gonçalves, C., Malheiro, R., Paiva, R.P., How Does the Spotify API Compare to the Music Emotion Recognition State-of-the-Art? (2021) Proceedings of the 18th Sound and Music Computing Conference (SMC 2021), pp. 238-245. , Axea sas/SMC Network, 29 June–1 July [CrossRef]; Álvarez, P., de Quirós, J.G., Baldassarri, S., A Web System Based on Spotify for the automatic generation of affective playlists (2020) Cloud Computing, Big Data &amp; Emerging Topics, pp. 124-137. , Springer: Berlin, Germany; McDuff, D., Nishidate, I., Nakano, K., Haneishi, H., Aoki, Y., Tanabe, C., Niizeki, K., Aizu, Y., Non-contact imaging of peripheral hemodynamics during cognitive and psychological stressors (2020) Sci. Rep, 10, p. 10884. , [CrossRef]; Uchida, M., Akaho, R., Ogawa-Ochiai, K., Tsumura, N., Image-based measurement of changes to skin texture using piloerection for emotion estimation (2019) Artif. Life Robot, 24, pp. 12-18. , [CrossRef]; Zhao, M., Adib, F., Katabi, D., Emotion recognition using wireless signals (2016) Proceedings of the 22nd Annual International Conference on Mobile Computing and Networking, pp. 95-108. , New York, NY, USA, 3–7 October; Richter-Lunn, K., (2021) Incognito: Sensorial Interpretations of Covert Physiological Signals for Therapeutic Mediation, , Ph.D. Thesis, Harvard University, Cambridge, MA, USA; Myin-Germeys, I., Kuppens, P., The Open Handbook of Experience Sampling Methodology (2021) The Open Handbook of Experience Sampling Methodology, pp. 1-311. , Independently Publisher: Chicago, IL, USA; Smyth, J.M., Stone, A.A., Ecological momentary assessment research in behavioral medicine (2003) J. Happiness Stud, 4, pp. 35-52. , [CrossRef]; Saganowski, S., Behnke, M., Komoszyńska, J., Kunc, D., Perz, B., Kazienko, P., A system for collecting emotionally annotated physiological signals in daily life using wearables (2021) Proceeding of the 9th International Conference on Affective Computing and Intelligent Interaction Workshops and Demos (ACIIW), pp. 1-3. , Nara, Japan, 28 September–1 October</t>
  </si>
  <si>
    <t>20799292</t>
  </si>
  <si>
    <t>2-s2.0-85124161014</t>
  </si>
  <si>
    <t>Bringing emotion recognition out of the lab into real life: recent advances in sensors and machine learning</t>
  </si>
  <si>
    <t>Pinto G., Carvalho J.M., Barros F., Soares S.C., Pinho A.J., Brás S.</t>
  </si>
  <si>
    <t>57217209876;57205862508;57212081980;24367147300;7003780614;23974223300;</t>
  </si>
  <si>
    <t>Multimodal emotion evaluation: A physiological model for cost-effective emotion classification</t>
  </si>
  <si>
    <t>3510</t>
  </si>
  <si>
    <t>10.3390/s20123510</t>
  </si>
  <si>
    <t>https://www.scopus.com/inward/record.uri?eid=2-s2.0-85086756182&amp;doi=10.3390%2fs20123510&amp;partnerID=40&amp;md5=d7a92e6df0d3c5ec6df677c1c8b8d402</t>
  </si>
  <si>
    <t>Department of Electronics, Telecommunications and Informatics, University of Aveiro, Aveiro, 3810-193, Portugal; Institute of Electronics and Informatics Engineering of Aveiro (IEETA), Aveiro, 3810-193, Portugal; Department of Education and Psychology, University of Aveiro, Aveiro, 3810-193, Portugal; William James Center for Research, University of Aveiro, Aveiro, 3810-193, Portugal; Center for Health Technology and Services Research, University of Aveiro, Aveiro, 3810-193, Portugal</t>
  </si>
  <si>
    <t>Pinto, G., Department of Electronics, Telecommunications and Informatics, University of Aveiro, Aveiro, 3810-193, Portugal; Carvalho, J.M., Department of Electronics, Telecommunications and Informatics, University of Aveiro, Aveiro, 3810-193, Portugal, Institute of Electronics and Informatics Engineering of Aveiro (IEETA), Aveiro, 3810-193, Portugal; Barros, F., Department of Education and Psychology, University of Aveiro, Aveiro, 3810-193, Portugal, William James Center for Research, University of Aveiro, Aveiro, 3810-193, Portugal, Center for Health Technology and Services Research, University of Aveiro, Aveiro, 3810-193, Portugal; Soares, S.C., Department of Education and Psychology, University of Aveiro, Aveiro, 3810-193, Portugal, William James Center for Research, University of Aveiro, Aveiro, 3810-193, Portugal, Center for Health Technology and Services Research, University of Aveiro, Aveiro, 3810-193, Portugal; Pinho, A.J., Department of Electronics, Telecommunications and Informatics, University of Aveiro, Aveiro, 3810-193, Portugal, Institute of Electronics and Informatics Engineering of Aveiro (IEETA), Aveiro, 3810-193, Portugal; Brás, S., Department of Electronics, Telecommunications and Informatics, University of Aveiro, Aveiro, 3810-193, Portugal, Institute of Electronics and Informatics Engineering of Aveiro (IEETA), Aveiro, 3810-193, Portugal</t>
  </si>
  <si>
    <t>Emotional responses are associated with distinct body alterations and are crucial to foster adaptive responses, well-being, and survival. Emotion identification may improve peoples’ emotion regulation strategies and interaction with multiple life contexts. Several studies have investigated emotion classification systems, but most of them are based on the analysis of only one, a few, or isolated physiological signals. Understanding how informative the individual signals are and how their combination works would allow to develop more cost-effective, informative, and objective systems for emotion detection, processing, and interpretation. In the present work, electrocardiogram, electromyogram, and electrodermal activity were processed in order to find a physiological model of emotions. Both a unimodal and a multimodal approach were used to analyze what signal, or combination of signals, may better describe an emotional response, using a sample of 55 healthy subjects. The method was divided in: (1) signal preprocessing; (2) feature extraction; (3) classification using random forest and neural networks. Results suggest that the electrocardiogram (ECG) signal is the most effective for emotion classification. Yet, the combination of all signals provides the best emotion identification performance, with all signals providing crucial information for the system. This physiological model of emotions has important research and clinical implications, by providing valuable information about the value and weight of physiological signals for emotional classification, which can critically drive effective evaluation, monitoring and intervention, regarding emotional processing and regulation, considering multiple contexts. © 2020 by the authors.</t>
  </si>
  <si>
    <t>Affective computing; Feature extraction; Multimodal; Neural network; Random forest</t>
  </si>
  <si>
    <t>Biomedical signal processing; Classification (of information); Clinical research; Cost effectiveness; Decision trees; Electrocardiography; Physiology; Electrocardiogram signal; Electrodermal activity; Emotion classification; Emotion classification systems; Emotion identifications; Emotional classification; Physiological model of emotions; Physiological signals; Physiological models; biological model; cost benefit analysis; electrocardiography; electromyography; emotion; human; physiology; Cost-Benefit Analysis; Electrocardiography; Electromyography; Emotions; Humans; Models, Biological; Neural Networks, Computer</t>
  </si>
  <si>
    <t>Scherer, K.R., What are emotions? And how can they be measured? (2005) Soc. Sci. Inf, 44, pp. 695-729. , [CrossRef]; Dolan, R.J., Emotion, cognition, and behavior (2002) Science, 298, pp. 1191-1194. , [CrossRef] [PubMed]; Tooby, J., Cosmides, L., The evolutionary psychology of the emotions and their relationship to internal regulatory variables (2008) Handbook of Emotions, pp. 114-137. , 3rd ed.; Lewis, M., Haviland-Jones, J.M., Barrett, L.F., Eds.; The Guilford Press: New York, NY, USA; DeSteno, D., Gross, J.J., Kubzansky, L., Affective science and health: The importance of emotion and emotion regulation (2013) Heal. Psychol, 32, pp. 474-486. , [CrossRef] [PubMed]; Consedine, N.S., Moskowitz, J.T., The role of discrete emotions in health outcomes: A critical review (2007) Appl. Prev. Psychol, 12, pp. 59-75. , [CrossRef]; Mauss, I.B., Robinson, M.D., Measures of emotion: A review (2009) Cogn. Emot, 23, pp. 209-237. , [CrossRef] [PubMed]; Calvo, R., D’Mello, S., Affect detection: An interdisciplinary review of models, methods, and their applications (2010) Affect. Comput. IEEE Trans, 1, pp. 18-37. , [CrossRef]; Shu, L., Yu, Y., Chen, W., Hua, H., Li, Q., Jin, J., Xu, X., Wearable Emotion Recognition Using Heart Rate Data from a Smart Bracelet (2020) Sensors, 20, p. 718. , [CrossRef] [PubMed]; Dzedzickis, A., Kaklauskas, A., Bucinskas, V., Human emotion recognition: Review of sensors and methods (2020) Sensors, 20, p. 592. , [CrossRef] [PubMed]; Romeo, L., Cavallo, A., Pepa, L., Berthouze, N., Pontil, M., Multiple instance learning for emotion recognition using physiological signals (2019) IEEE Trans. Affect. Comput, , [CrossRef]; Cacioppo, J.T., Tassinary, L.G., Berntson, G., (2007) Handbook of Psychophysiology, , Cambridge University Press: New York, NY, USA; Ferreira, J., Brás, S., Silva, C.F., Soares, S.C., An automatic classifier of emotions built from entropy of noise (2017) Psychophysiology, 54, pp. 620-627. , [CrossRef] [PubMed]; Brás, S., Ferreira, J.H.T., Soares, S.C., Pinho, A.J., Biometric and Emotion Identification: An ECG Compression Based Method (2018) Front. Psychol, 9, p. 467. , [CrossRef] [PubMed]; Cai, J., Liu, G., Hao, M., The research on emotion recognition from ECG signal (2009) Proceedings of the 2009 International Conference on Information Technology and Computer Science, 1, pp. 497-500. , Kiev, Ukraine, 25–26 July; Bird, J.J., Manso, L.J., Ribeiro, E.P., Ekart, A., Faria, D.R., A Study on Mental State Classification using EEG-based Brain-Machine Interface Proceedings of the 9th International Conference on Intelligent Systems 2018: Theory, Research and Innovation in Applications, pp. 795-800. , IS, Madeira, Portugal, 25–27 September 2018; Rigas, G., Katsis, C.D., Ganiatsas, G., Fotiadis, D.I., A user independent, biosignal based, emotion recognition method (2007) Lect. Notes Comput. Sci, 4511, pp. 314-318; Mokhayeri, F., Akbarzadeh-T, M.R., Toosizadeh, S., Mental stress detection using physiological signals based on soft computing techniques Proceedings of the 2011 18th Iran. Conf. Biomed. Eng. ICBME 2011, pp. 232-237. , Tehran, Iran, 14–16 December 2011; Gouizi, K., Reguig, F.B., Maaoui, C., Analysis physiological signals for emotion recognition (2011) Proceedings of the 7th International Workshop on Systems, Signal Processing and their Applications, , Tipaza, Algeria, 9–11 May; James, S.L., Abate, D., Abate, K.H., Abay, S.M., Abbafati, C., Abbasi, N., Abdollahpour, I., Global, regional, and national incidence, prevalence, and years lived with disability for 354 diseases and injuries for 195 countries and territories, 1990–2017: A systematic analysis for the Global Burden of Disease Study 2017 (2018) Lancet, 392, pp. 1789-1858. , [CrossRef]; Wang, C., Pan, R., Wan, X., Tan, Y., Xu, L., Ho, C.S., Ho, R.C., Immediate psychological responses and associated factors during the initial stage of the 2019 Coronavirus Disease (COVID-19) epidemic among the general population in China (2020) Int. J. Environ. Res. Public Health, 17, p. 1729. , [CrossRef] [PubMed]; Torales, J., O’Higgins, M., Castaldelli-Maia, J.M., Ventriglio, A., The outbreak of COVID-19 coronavirus and its impact on global mental health (2020) Int. J. Soc. Psychiatry, 66, pp. 317-320. , [CrossRef] [PubMed]; Berntson, Q.K.S., Lozano, D., (2007) Cardiovascular Psychophysiology, , Cambridge University Press: New York, NY, USA; Carvalho, J.M., Brás, S., Pratas, D., Ferreira, J., Soares, S.C., Pinho, A.J., Extended-alphabet finite-context models (2018) Pattern Recognit. Lett, 112, pp. 49-55. , [CrossRef]; Torrado, J.C., Gomez, J., Montoro, G., Emotional self-regulation of individuals with autism spectrum disorders: Smartwatches for monitoring and interaction (2017) Sensors, 17, p. 1359. , [CrossRef] [PubMed]</t>
  </si>
  <si>
    <t>2-s2.0-85086756182</t>
  </si>
  <si>
    <t>Multimodal emotion evaluation: a physiological model for cost-effective emotion classification</t>
  </si>
  <si>
    <t>Cordeiro A.F.D.S., Nääs I.D.A., Oliveira S.R.D.M., Violaro F., De Almeida A.C.M.</t>
  </si>
  <si>
    <t>55321584100;57211115618;7102961338;6506146662;55321588200;</t>
  </si>
  <si>
    <t>Efficiency of distinct data mining algorithms for classifying stress level in piglets from their vocalization</t>
  </si>
  <si>
    <t>Engenharia Agricola</t>
  </si>
  <si>
    <t>208</t>
  </si>
  <si>
    <t>216</t>
  </si>
  <si>
    <t>10.1590/S0100-69162012000200001</t>
  </si>
  <si>
    <t>https://www.scopus.com/inward/record.uri?eid=2-s2.0-84864301346&amp;doi=10.1590%2fS0100-69162012000200001&amp;partnerID=40&amp;md5=7921f702824ed88c4251b13dfb405f98</t>
  </si>
  <si>
    <t>Faculdade de Engenharia Agrícola, Brazil; Faculdade de Engenharia Elétrica, Brazil</t>
  </si>
  <si>
    <t>Cordeiro, A.F.D.S., Faculdade de Engenharia Agrícola, Brazil; Nääs, I.D.A., Faculdade de Engenharia Agrícola, Brazil; Oliveira, S.R.D.M., Faculdade de Engenharia Agrícola, Brazil; Violaro, F., Faculdade de Engenharia Agrícola, Brazil; De Almeida, A.C.M., Faculdade de Engenharia Elétrica, Brazil</t>
  </si>
  <si>
    <t>Among the challenges of pig farming in today's competitive market, there is factor of the product traceability that ensures, among many points, animal welfare. Vocalization is a valuable tool to identify situations of stress in pigs, and it can be used in welfare records for traceability. The objective of this work was to identify stress in piglets using vocalization, calling this stress on three levels: no stress, moderate stress, and acute stress. An experiment was conducted on a commercial farm in the municipality of Holambra, São Paulo State, where vocalizations of twenty piglets were recorded during the castration procedure, and separated into two groups: without anesthesia and local anesthesia with lidocaine base. For the recording of acoustic signals, a unidirectional microphone was connected to a digital recorder, in which signals were digitized at a frequency of 44,100 Hz. For evaluation of sound signals, Praat® software was used, and different data mining algorithms were applied using Weka® software. The selection of attributes improved model accuracy, and the best attribute selection was used by applying Wrapper method, while the best classification algorithms were the k-NN and Naive Bayes. According to the results, it was possible to classify the level of stress in pigs through their vocalization.</t>
  </si>
  <si>
    <t>Level of pain; Pig; Vocal expression; Well-being</t>
  </si>
  <si>
    <t>Animalia; Gallirallus australis; Suidae</t>
  </si>
  <si>
    <t>Cordeiro, A.F.S., Pereira, E.M., Nääs, I.A., Silva, W.T., Moura, D.J., Medida de vocalização de suínos (Sus scrofa) como um indicador de gasto energético (2009) Revista Brasileira de Engenharia de Biosistemas, Campinas, 2 (2), pp. 143-152; Dupjan, S., Schön, P.-C., Puppe, B., Tuchscherer, A., Manteuffel, G., Differential vocal responses to physical and mental stressors in domestic pigs (Sus scrofa) (2008) Applied Animal Behaviour Science, Londres, 114 (1), pp. 105-115; Fitzpatrick, J., Scott, M., Nolan, A., Assessment of pain and welfare in sheep (2006) Small Ruminants Research, Amsterdam, 62 (1), pp. 55-61; Han, J., Kamber, M., (2006) Data mining - concepts and techniques. 2nd ed, , Nova York: Morgan Kaufmann; Kranendonk, G., Hopster, H., Fillerup, M., Ekkel, E.D., Mulder, E.D., Cortisol administration to pregnant sows affects novelty-induced locomotion, aggressive behaviour, and blunts gender differences in their offspring (2006) Hormones and Behaviour, Amsterdam, 49 (5), pp. 663-672; Leidig, M.S., Hertrampf, B., Failing, K., Schumann, A., Reiner, G., Pain and discomfort in male piglets during surgical castration with and without local anesthesia as determined by vocalization and defense behaviour (2009) Applied Animal Behaviour Science, Amsterdam, 116 (2-4), pp. 174-178; Marx, G., Horn, T., Thielebein, J., Knubel, B., Borell, E., Analysis of pain-related vocalization in young pigs, Journal of Sound and Vibration (2003) Amsterdam, 266 (3), pp. 687-698; Nääs, I.A., Campos, L.S.L., Baracho, M.S., Tolon, Y.B., Uso de redes neurais artificiais na identificação de vocalização de suínos (2008) Engenharia Agrícola, Jaboticabal, 28 (2), pp. 204-216; Puppe, B., Schön, P.C., Tuchscherer, A., Manteuffel, G., Castration- induced vocalization in domestic piglets, Sus scrofa: Complex and specific alterations of the vocal quality (2005) Applied Animal Behaviour Science, Amsterdam, 95 (1-2), pp. 67-78; Risi, N., (2010) Uso da vocalização como indicador patológico em leitões na fase de maternidade. 2010. 93f., , Dissertação - Escola Superior de Agricultura "Luiz de Queiroz", Piracicaba; Silva, M., Ferrari, S., Costa, A., Aerts, J.M., Guarino, M., Berckmans, D., Cough localization for the detection of respiratory diseases in pig houses (2008) Computers and Electronics in Agriculture, Amsterdam, 64 (2), pp. 286-292; White, R.G., Deshazer, J.A., Tressler, C.J., Borcher, G.M., Davey, S., Waninge, A., Parkhurst, A.M., Clemens, E.T., Vocalization and physiological response of pigs during castration with of without a local anesthetic, Journal of Animal Science (1995) Champaign, 73, pp. 381-386</t>
  </si>
  <si>
    <t>Sociedade Brasileira de Engenharia Agricola</t>
  </si>
  <si>
    <t>01006916</t>
  </si>
  <si>
    <t>Eng. Agric.</t>
  </si>
  <si>
    <t>2-s2.0-84864301346</t>
  </si>
  <si>
    <t>Alola U.V., Atsa'am D.D.</t>
  </si>
  <si>
    <t>57195962410;57202001254;</t>
  </si>
  <si>
    <t>Measuring employees' psychological capital using data mining approach</t>
  </si>
  <si>
    <t>Journal of Public Affairs</t>
  </si>
  <si>
    <t>e2050</t>
  </si>
  <si>
    <t>10.1002/pa.2050</t>
  </si>
  <si>
    <t>https://www.scopus.com/inward/record.uri?eid=2-s2.0-85074824266&amp;doi=10.1002%2fpa.2050&amp;partnerID=40&amp;md5=b1a7b844a47565d56a0f883b6396ed1c</t>
  </si>
  <si>
    <t>Faculty of Economics, Administrative and Social Sciences, Istanbul Gelisim University, Turkey; School of Economics and Management, South Ural State University, Lenin prospect 76, Chelyabinsk, 454080, Russian Federation; Department of Mathematics, Statistics and Computer Science, University of Agriculture, Makurdi, Nigeria</t>
  </si>
  <si>
    <t>Alola, U.V., Faculty of Economics, Administrative and Social Sciences, Istanbul Gelisim University, Turkey, School of Economics and Management, South Ural State University, Lenin prospect 76, Chelyabinsk, 454080, Russian Federation; Atsa'am, D.D., Department of Mathematics, Statistics and Computer Science, University of Agriculture, Makurdi, Nigeria</t>
  </si>
  <si>
    <t>In this research, the logistic regression model was employed to develop a classifier that measures psychological capital of workers in organization. Psychological capital (PsyCap) is the positive state of an individual, comprising of self-efficacy, optimism, hope, and resilience. Employees with high psychological capital contribute positively to objectives and business strategy of an organization. An experimental dataset comprising of the psychological capital information of 329 employees in an organization was used to fit a data mining classification model. To ensure model accuracy, 220 observations were used as training set, whereas 109 were set aside to validate the model. Various statistical tests for goodness of fit and predictive accuracy were deployed to test model performance. The model has the ability to classify an individual's psychological capital into either high or low class with a predictive accuracy of 93%. The classification model is expected to serve as a tool in human resource management when measuring psychological capital of employees during recruitment interviews and promotion appraisals. © 2019 John Wiley &amp; Sons, Ltd.</t>
  </si>
  <si>
    <t>Agarwal, S., Pandey, G.N., Tiwari, M.D., Data mining in education: Data classification and decision tree approach (2012) International Journal of e-Education, e-Business, e-Management and e-Learning, 2 (2), p. 140; Alarcon, G.M., Bowling, N.A., Khazon, S., Great expectations: A meta-analytic examination of optimism and hope (2013) Personality and Individual Differences, 54 (7), pp. 821-827; Algur, S.P., Bhat, P., Kulkarni, N., Educational data mining: Classification techniques for recruitment analysis (2016) International Journal of Modern Education and Computer Science, 8 (2), p. 59; Ali, A., Senan, N., (2017) The effect of normalization in violence video classification performance, 226. , August)., IOP Conference Series Materials Science and Engineering, (, 1, p. 012082). IOP Publishing; Alola, U., Avci, T., Ozturen, A., Organization sustainability through human resource capital: The impacts of supervisor incivility and self-efficacy (2018) Sustainability, 10 (8), p. 2610; Alola, U.V., Alola, A.A., Can resilience help? Coping with job stressor (2018) Acad. J. Econ. Stud, 4, pp. 141-152; Alola, U.V., Olugbade, O.A., Avci, T., Öztüren, A., Customer incivility and employees' outcomes in the hotel: Testing the mediating role of emotional exhaustion (2019) Tourism Management Perspectives, 29, pp. 9-17; Al-Radaideh, Q.A., Al Nagi, E., Using data mining techniques to build a classification model for predicting employees performance (2012) International Journal of Advanced Computer Science and Applications, 3 (2), pp. 144-151; Antunes, A.C., Caetano, A., Cunha, M.P., Reliability and construct validity of the Portuguese version of the psychological capital questionnaire (2017) Psychological Reports, 120, pp. 520-536. , https://doi.org/10.1177/0033294116686742; Atsa'am, D.D., Kuset Bodur, E., Knowledge mining on the association between psychological capital and educational qualifications among hospitality employees (2019) Current Issues in Tourism, pp. 1-5. , https://doi.org/10.1080/13683500.2019.1597026; Avey, J.B., Luthans, F., Jensen, S.M., Psychological capital: A positive resource for combating employee stress and turnover (2009) Human Resource Management, 48 (5), pp. 677-693; Avey, J.B., Luthans, F., Youssef, C.M., The additive value of positive psychological capital in predicting work attitudes and behaviors (2010) Journal of Management, 36 (2), pp. 430-452; Avey, J.B., Reichard, R.J., Luthans, F., Mhatre, K.H., Meta-analysis of the impact of positive psychological capital on employee attitudes, behaviors, and performance (2011) Human Resource Development Quarterly, 22 (2), pp. 127-152; Bandura, A., On the functional properties of perceived self-efficacy revisited (2012) Journal of Management, 38 (1), pp. 9-44; Beugelsdijk, S., Strategic human resource practices and product innovation (2008) Organization Studies, 29 (6), pp. 821-847; Bouckenooghe, D., Zafar, A., Raja, U., How ethical leadership shapes employees' job performance: The mediating roles of goal congruence and psychological capital (2015) Journal of Business Ethics, 129 (2), pp. 251-264; Breaugh, J.A., Employee recruitment (2013) Annual Review of Psychology, 64, pp. 389-416. , https://doi.org/10.1146/annurev-psych-113011-143757; Breevaart, K., Bakker, A.B., Demerouti, E., Daily self-management and employee work engagement (2014) Journal of Vocational Behavior, 84 (1), pp. 31-38; Brown, K.M., Hoye, R., Nicholson, M., Self-esteem, self-efficacy, and social connectedness as mediators of the relationship between volunteering and well-being (2012) Journal of Social Service Research, 38 (4), pp. 468-483; Cabello-Medina, C., López-Cabrales, Á., Valle-Cabrera, R., Leveraging the innovative performance of human capital through HRM and social capital in Spanish firms (2011) The International Journal of Human Resource Management, 22 (4), pp. 807-828; Carver, C.S., Scheier, M.F., Control processes and self-organization as complementary principles underlying behavior (2002) Personality and Social Psychology Review, 6 (4), pp. 304-315; Chang, H.H., Chuang, S.S., Social capital and individual motivations on knowledge sharing: Participant involvement as a moderator (2011) Information &amp; Management, 48 (1), pp. 9-18; Chen, C.J., Huang, J.W., Strategic human resource practices and innovation performance—The mediating role of knowledge management capacity (2009) Journal of Business Research, 62 (1), pp. 104-114; Cho, H.J., Pucik, V., Relationship between innovativeness, quality, growth, profitability, and market value (2005) Strategic Management Journal, 26 (6), pp. 555-575; Damanpour, F., Walker, R.M., Avellaneda, C.N., Combinative effects of innovation types and organizational performance: A longitudinal study of service organizations (2009) Journal of Management Studies, 46 (4), pp. 650-675; van Dinther, M., Dochy, F., Segers, M., Factors affecting students' self-efficacy in higher education (2011) Educational Research Review, 6 (2), pp. 95-108; Feltz, D.L., Short, S.E., Sullivan, P.J., (2008) Self-efficacy in sport: Research and strategies for working with athletes, team, and coaches, , Champaign, IL, Human Kinetics; Fox, J., (1997) Applied regression analysis, linear models, and related methods, , Thousand Oaks, CA, Sage Publications; Han, J., Kamber, M., (2000) Data mining: Concepts and techniques, , Massachusetts, Morgan Kaufmann Publishers; Hausman, J., McFadden, D., Specification texts for the multinomial logit model (1984) Econometrics, 52 (5), pp. 1219-1240; Hopley, L., Schalkwyk, J., (2011) The magnificent ROC, , http://www.anaesthetist.com/mnm/stats/roc/Findex.htm, &amp;, Retrieved February 25, 2018, from; Hosmer, D.W., Jr., Lemeshow, S.A., Sturdivant, R.X., (2013) Applied logistic regression, , 3rd ed., Hoboken, NJ, Wiley; Huang, L., Luthans, F., Toward better understanding of the learning goal orientation–creativity relationship: The role of positive psychological capital (2015) Applied Psychology, 64 (2), pp. 444-472; Hult, G.T.M., Ketchen, D.J., Slater, S.F., Market orientation and performance: An integration of disparate approaches (2005) Strategic Management Journal, 26 (12), pp. 1173-1181; Johnston, J., DiNardo, J., (1997) Econometric method, , 4th ed., New York, NY, The McGraw-Hill Companies, Inc; Kappagoda, U.W.M.R., Othman, P., Zainul, H., Alwis, G., (2014) Psychological capital and job performance: The mediating role of work attitudes, , Dr. Hohd. Zainul and Alwis, Gamini, Psychological Capital and Job Performance The Mediating Role of Work Attitudes (June 27, 2014). Journal of Human Resource and Sustainability Studies; Kleinbaum, D.G., Klei, M., (2010) Logistics regression: A self-learning text, , New York, Springer; Kobau, R., Seligman, M.E., Peterson, C., Diener, E., Zack, M.M., Chapman, D., Thompson, W., Mental health promotion in public health: Perspectives and strategies from positive psychology (2011) American Journal of Public Health, 101 (8), pp. 1-9; Li, S., Yen, D.C., Lu, W., Wang, C., Identifying the signs of fraudulent accounts using data mining techniques (2012) Computers in Human Behavior, 28, pp. 1002-1013; Liu, D., Li, T., Liang, D., Incorporating logistic regression to decision-theoretic rough sets for classifications (2013) International Journal of Approximate Reasoning, 55, pp. 197-210; Long, J.S., Freese, J., (1997) Regression models for categorical and limited dependent variables, , Sage; Lorenz, T., Beer, C., Putz, J., Henitz, K., Measuring psychological capital: Construction and validation of the compound PsyCap scale (CPC-12) (2016) PLoS ONE, 11 (4); Lu, X., Xie, B., Guo, Y., The trickle-down of work engagement from leader to follower: The roles of optimism and self-efficacy (2018) Journal of Business Research, 84, pp. 186-195; Luthans, F., The need for and meaning of positive organizational behavior (2002) Journal of Organizational Behavior, 23 (6), pp. 695-706; Luthans, F., Avolio, B.J., Avey, J.B., Norman, S.M., Positive psychological capital: Measurement and relationship with performance and satisfaction (2007) Personnel Psychology, 60 (3), pp. 541-572; Luthans, F., Norman, S.M., Avolio, B.J., Avey, J.B., The mediating role of psychological capital in the supportive organizational climate—Employee performance relationship (2008) Journal of Organizational Behavior, 29 (2), pp. 219-238; Luthans, F., Youssef, C.M., Avolio, B.J., Psychological capital: Investing and developing positive organizational behavior (2007) Positive Organizational Behavior, 1 (2), pp. 9-24; Luthans, F., Youssef, C.M., Avolio, B.J., (2007) Psychological capital, , New York, Oxford University Press; Luthans, F., Youssef, C.M., Avolio, B.J., (2015) Psychological capital and beyond, , USA, Oxford University Press; Luthans, F., Youssef-Morgan, C.M., Psychological capital: An evidence-based positive approach (2017) Annual Review of Organizational Psychology and Organizational Behavior, 4, pp. 339-366; McKenny, A.F., Short, J.C., Payne, G.T., Using computer-aided text analysis to elevate constructs: An illustration using psychological capital (2013) Organizational Research Methods, 16 (1), pp. 152-184; Montano, J.J., Gervilla, E., Cajal, B., Palmer, A., Data mining classification techniques: An application to tobacco consumption in teenagers (2014) Annals of Psychology, 30 (2), pp. 633-641; Norouzi, M., Souri, A., Zamini, M.S., A data mining classification approach for behavioral malware detection (2016) Journal of Computer Networks and Communications, 2016, pp. 1-9; Ottenbacher, M.C., Innovation management in the hospitality industry: Different strategies for achieving success (2007) Journal of Hospitality &amp; Tourism Research, 31 (4), pp. 431-454; Paek, S., Schuckert, M., Kim, T.T., Lee, G., Why is hospitality employees' psychological capital important? The effects of psychological capital on work engagement and employee morale (2015) International Journal of Hospitality Management, 50, pp. 9-26; Paterson, T.A., Luthans, F., Jeung, W., Thriving at work: Impact of psychological capital and supervisor support (2014) Journal of Organizational Behavior, 35 (3), pp. 434-446; Rawlings, J.O., Pantula, S.G., Dickey, D.A., (1998) Applied regression analysis: A research tool, , New York, Springer; Salam, A., Tufail, S., Competitiveness and comparative advantage of important food and industrial crops in Punjab: Application of policy analysis matrix (2014) Journal of International Agricultural Trade and Development, 10 (1), p. 81; Salanova, M., Llorens, S., Cifre, E., Martínez, I.M., We need a hero! Toward a validation of the healthy and resilient organization (HERO) model (2012) Group &amp; Organization Management, 37 (6), pp. 785-822; Snyder, C.R., Harris, C., Anderson, J.R., Holleran, S.A., Irving, L.M., Sigmon, S.T., Harney, P., The will and the ways: Development and validation of an individual-differences measure of hope (1991) Journal of Personality and Social Psychology, 60 (4), pp. 570-585. , https://doi.org/10.1037//0022-3514.60.4.570; Sperandei, S., Understanding logistic regression analysis (2013) Biochemia Medica, 24 (1), pp. 12-18; Stajkovic, A.D., Luthans, F., Self-efficacy and work-related performance: A meta-analysis (1998) Psychological Bulletin, 124 (2), p. 240; Sumathi, K., Kannan, S., Nagarajan, K., Data mining: Analysis of student database using classification techniques (2016) International Journal of Computer Applications, 141 (8), pp. 22-27; Tugade, M.M., Fredrickson, B.L., Feldman Barrett, L., Psychological resilience and positive emotional granularity: Examining the benefits of positive emotions on coping and health (2004) Journal of Personality, 72 (6), pp. 1161-1190. , https://doi.org/10.1111/j.1467-6494.2004.00294.x; Wu, L., Production adoption rate prediction in a competitive market (2017) IEEE Transactions on Knowledge and Data Engineering, 30 (2), pp. 325-338; Wu, X., Data mining with big data (2013) IEEE Transactions on Knowledge and Data Engineering, 26 (1), pp. 97-107; Yussuf, H., Mohamad, N., Ngah, U.K., Yahaya, A.S., Breast cancer analysis using logistic regression (2012) International Journal of Recent Research and Applied Studies, 10 (1), pp. 14-22; Zmiri, D., Shahar, Y., Taieb-Maimon, M., Classification of patients by severity grades during triage in the emergency department using data mining methods (2012) Journal of Evaluation in Clinical Practice, 18, pp. 378-388</t>
  </si>
  <si>
    <t>John Wiley and Sons Ltd</t>
  </si>
  <si>
    <t>14723891</t>
  </si>
  <si>
    <t>J. Public Aff.</t>
  </si>
  <si>
    <t>2-s2.0-85074824266</t>
  </si>
  <si>
    <t>Camcı B., Ersoy C., Kaynak H.</t>
  </si>
  <si>
    <t>57170910500;6701485879;6603174019;</t>
  </si>
  <si>
    <t>Abnormal respiratory event detection in sleep: A prescreening system with smart wearables</t>
  </si>
  <si>
    <t>Journal of Biomedical Informatics</t>
  </si>
  <si>
    <t>95</t>
  </si>
  <si>
    <t>103218</t>
  </si>
  <si>
    <t>10.1016/j.jbi.2019.103218</t>
  </si>
  <si>
    <t>https://www.scopus.com/inward/record.uri?eid=2-s2.0-85066619800&amp;doi=10.1016%2fj.jbi.2019.103218&amp;partnerID=40&amp;md5=c14fe964bd80a88cafa6cb484a25195f</t>
  </si>
  <si>
    <t>NETLAB, Computer Networks Research Laboratory, Department of Computer Engineering, Bogazici University, Istanbul, 34342, Turkey; Uykum Sleeping Center, Istanbul, 34365, Turkey</t>
  </si>
  <si>
    <t>Camcı, B., NETLAB, Computer Networks Research Laboratory, Department of Computer Engineering, Bogazici University, Istanbul, 34342, Turkey; Ersoy, C., NETLAB, Computer Networks Research Laboratory, Department of Computer Engineering, Bogazici University, Istanbul, 34342, Turkey; Kaynak, H., Uykum Sleeping Center, Istanbul, 34365, Turkey</t>
  </si>
  <si>
    <t>Sleeping is an important activity to monitor since it has a crucial role in the overall health and well-being of the people and society. In order to diagnose the problems in sleep, different monitoring systems are developed in the literature. The unobtrusiveness, reduced cost, objectiveness, protection of privacy and user-friendliness are the main design considerations and the proposed system design achieves those objectives by utilizing smart wearables, smart watch and smart phone. The accelerometer and heart rate monitor sensors on smart watch and the sound level sensor on the smart phone are activated. The experiments with this system are performed with 17 subjects in a sleep clinic. The data collected from these subjects is used to generate various combinations by employing varied feature extraction, feature selection and sampling approaches. Five different machine learning algorithms are implemented and the classification results are generated using the various combinations of data, training and scoring strategies. The system performance is measured in two ways, the accuracy rate of distinguishing abnormal respiratory events is 85.95% and the classification success of subjects according to the problems in their respiration is one misclassification among 17 subjects. With all the methodology utilized in this study, the proposed system is a novel prescreening tool which recognizes the severity of problems in respiration during sleep. © 2019 Elsevier Inc.</t>
  </si>
  <si>
    <t>Machine learning; Pervasive health; Prescreening system; Respiratory event in sleep; Smart phone; Smart watch</t>
  </si>
  <si>
    <t>Data mining; Feature extraction; Learning algorithms; Learning systems; Machine learning; Patient monitoring; Smartphones; Watches; Wearable computers; Wearable sensors; Classification results; Design considerations; Heart-rate monitors; Misclassifications; Pervasive healths; Prescreening; Protection of privacy; Respiratory event in sleep; Sleep research; adult; aged; apnea hypopnea index; Article; breathing; classification algorithm; correlational study; experimental study; female; heart rate; human; human experiment; learning algorithm; male; middle aged; priority journal; respiratory event; respiratory tract parameters; sleep; algorithm; breathing disorder; devices; electrodiagnosis; electronic device; machine learning; oximetry; pathophysiology; physiology; polysomnography; procedures; signal processing; sleep; snoring; Adult; Aged; Algorithms; Electrodiagnosis; Female; Humans; Machine Learning; Male; Middle Aged; Oximetry; Polysomnography; Respiration; Respiration Disorders; Signal Processing, Computer-Assisted; Sleep; Snoring; Wearable Electronic Devices</t>
  </si>
  <si>
    <t>Samsung</t>
  </si>
  <si>
    <t>http://www.who.int/en, WHO, Technical Meeting on Sleep and Health, accessed at July 2017. URL; Pona, A.A., The Impact of Sleep Quality on Energy Intake, Eating Behavior, and Physical Activity (2015), University of Missouri-Kansas City; Bano, M., Chiaromanni, F., Corrias, M., Turco, M., De Rui, M., Amodio, P., Merkel, C., Costa, R., The influence of environmental factors on sleep quality in hospitalized medical patients (2014) Front. Neurol., 5; http://www.nhlbi.nih.gov, NHLBI, Why Is Sleep Important?, accessed at July 2017. URL; Miwa, H., Sasahara, S.-I., Matsui, T., Roll-over detection and sleep quality measurement using a wearable sensor (2007), pp. 1507-1510. , Engineering in Medicine and Biology Society, 2007. EMBS 2007. 29th Annual International Conference of the IEEE; http://www.nhtsa.gov/people/injury/drowsy_driving1/Drowsy.html, NCSDR-NHTSA, Drowsy Driving and Automobile Crashes, accessed at July 2017. URL; http://sleep.stanford.edu/sleep-disorders, Stanford-Medicine, Sleep Disorders, accessed at July 2017. URL; https://sleepfoundation.org/sleep-disorders-problems, NationalSleepFoundation, Sleep Disorders, accessed at July 2017. URL; Alqassim, S., Ganesh, M., Khoja, S., Zaidi, M., Aloul, F., Sagahyroon, A., Sleep apnea monitoring using mobile phones (2012), pp. 443-446. , 2012 IEEE 14th International Conference on e-Health Networking, Applications and Services (Healthcom); Nakano, H., Hirayama, K., Sadamitsu, Y., Toshimitsu, A., Fujita, H., Shin, S., Tanigawa, T., Monitoring sound to quantify snoring and sleep apnea severity using a smartphone: proof of concept (2014) J. Clin. Sleep Med.: JCSM: Off. Publ. Am. Acad. Sleep Med., 10 (1), p. 73; Sun, X., Lu, Z., Hu, W., Cao, G., Symdetector: detecting sound-related respiratory symptoms using smartphones, in (2015) Proceedings of the 2015 ACM International Joint Conference on Pervasive and Ubiquitous Computing, pp. 97-108. , ACM; Tseng, M.-H., Hsu, H.-C., Chang, C.-C., Ting, H., Wu, H.-C., Tang, P.-H., Development of an intelligent app for obstructive sleep apnea prediction on android smartphone using data mining approach (2012) 2012 9th International Conference on Ubiquitous Intelligence &amp; Computing and 9th International Conference on Autonomic &amp; Trusted Computing (UIC/ATC), pp. 774-779. , IEEE; Behar, J., Roebuck, A., Shahid, M., Daly, J., Hallack, A., Palmius, N., Stradling, J., Clifford, G.D., Sleepap: An automated obstructive sleep apnoea screening application for smartphones (2015) IEEE J. Biomed. Health Informat., 19 (1), pp. 325-331; Al-Mardini, M., Aloul, F., Sagahyroon, A., Al-Husseini, L., Classifying obstructive sleep apnea using smartphones (2014) J. Biomed. Informat., 52, pp. 251-259; Han, T.-Y., Min, S.-D., Nam, Y., A real-time sleep monitoring system with a smartphone (2015) 2015 9th International Conference on Innovative Mobile and Internet Services in Ubiquitous Computing (IMIS), pp. 458-461. , IEEE; Bernardeschi, C., Cimino, M.G., Domenici, A., Vaglini, G., Using smartwatch sensors to support the acquisition of sleep quality data for supervised machine learning (2016) International Conference on Wireless Mobile Communication and Healthcare, pp. 251-259. , Springer; Sun, X., Qiu, L., Wu, Y., Tang, Y., Cao, G., Sleepmonitor: Monitoring respiratory rate and body position during sleep using smartwatch (2017) Proc. ACM Interact., Mobile, Wearable Ubiquit. Technol., 1 (3), p. 104; (2017), https://www.nhlbi.nih.gov/health/health-topics/topics/sleepapnea/, NHLBI, What Is Sleep Apnea?, accessed at July; Kawano, Y., Tamura, A., Watanabe, T., Kadota, J., Influence of the severity of obstructive sleep apnea on heart rate (2010) J. Cardiol., 56 (1), pp. 27-34; Camcı, B., Kahveci, A.Y., Arnrich, B., Ersoy, C., Sleep apnea detection via smart phones (2017) Signal Processing and Communications Applications Conference (SIU), 2017 25th, pp. 1-4. , IEEE; Deutsch, P.A., Simmons, M.S., Wallace, J.M., Cost-effectiveness of split-night polysomnography and home studies in the evaluation of obstructive sleep apnea syndrome (2006) J. Clin. Sleep Med., 2 (2), pp. 145-153; Berry, R.B., Budhiraja, R., Gottlieb, D.J., Gozal, D., Iber, C., Kapur, V.K., Marcus, C.L., Quan, S.F., Rules for scoring respiratory events in sleep: update of the 2007 aasm manual for the scoring of sleep and associated events: deliberations of the sleep apnea definitions task force of the american academy of sleep medicine (2012) J. Clin. Sleep Med.: JCSM: Off. Publ. Am. Acad. Sleep Med., 8 (5), p. 597; Wolkove, N., Baltzan, M., Kamel, H., Dabrusin, R., Palayew, M., Long-term compliance with continuous positive airway pressure in patients with obstructive sleep apnea (2008) Can. Respirat. J., 15 (7), pp. 365-369; (2017), http://www.samsung.com/global/galaxy/gear-s3, SamsungInc., Samsung Galaxy Gear S3, accessed at July; (2017), http://recorder.smartmobdev.com/, SmartmobDevelopment, Smart Voice Recorder, accessed at July; (2017), http://www.carefusion.com/our-products/respiratory-care/sleep-diagnostics-and-therapy/somnostar-z4, CareFusion, SomnoStar, accessed at July; Alvarez-Estevez, D., (2017), http://www.edfplus.info/, European Data Format, accessed at July; Gonçalves, L., Subtil, A., Oliveira, M.R., Bermudez, P., Roc curve estimation: An overview (2014) REVSTAT–Statist. J., 12 (1), pp. 1-20; Rachim, V.P., Li, G., Chung, W.-Y., Sleep apnea classification using ecg-signal wavelet-pca features (2014) Bio-medical Mater. Eng., 24 (6), pp. 2875-2882; Pale, U., Thürk, F., Kaniusas, E., Heart rate variability analysis using different wavelet transformations (2016) 2016 39th International Convention on Information and Communication Technology, Electronics and Microelectronics (MIPRO), pp. 1649-1654. , IEEE; Kheder, G., Kachouri, A., Taleb, R., Ben Messaoud, M., Samet, M., Feature extraction by wavelet transforms to analyze the heart rate variability during two meditation techniques (2009) Advances in Numerical Methods, pp. 379-387. , Springer; Várady, P., Micsik, T., Benedek, S., Benyó, Z., A novel method for the detection of apnea and hypopnea events in respiration signals (2002) IEEE Trans. Biomed. Eng., 49 (9), pp. 936-942; Fukuda, O., Nagata, Y., Homma, K., Tsuji, T., Evaluation of heart rate variability by using wavelet transform and a recurrent neural network (2001) Engineering in Medicine and Biology Society, 2001. Proceedings of the 23rd Annual International Conference of the IEEE, 2, pp. 1769-1772. , IEEE; Andreao, R.V., Dorizzi, B., Boudy, J., Ecg signal analysis through hidden markov models (2006) IEEE Trans. Biomed. Eng., 53 (8), pp. 1541-1549; Isa, S.M., Fanany, M.I., Jatmiko, W., Arymurthy, A.M., Sleep apnea detection from ecg signal: analysis on optimal features, principal components, and nonlinearity;; (2011) (iCBBE)2011 5th International Conference on Bioinformatics and Biomedical Engineering, pp. 1-4. , IEEE; Lemaıˇtre, G., Nogueira, F., Aridas, C.K., Imbalanced-learn: A python toolbox to tackle the curse of imbalanced datasets in machine learning (2017) J. Machine Learn. Res., 18 (17), pp. 1-5</t>
  </si>
  <si>
    <t>15320464</t>
  </si>
  <si>
    <t>JBIOB</t>
  </si>
  <si>
    <t>J. Biomed. Informatics</t>
  </si>
  <si>
    <t>2-s2.0-85066619800</t>
  </si>
  <si>
    <t>Abnormal respiratory event detection in sleep: a prescreening system with smart wearables</t>
  </si>
  <si>
    <t>Ma H., Zhang Z., Li W., Lu S.</t>
  </si>
  <si>
    <t>57211759236;57222657080;24544580700;7404227917;</t>
  </si>
  <si>
    <t>Unsupervised Human Activity Representation Learning with Multi-task Deep Clustering</t>
  </si>
  <si>
    <t>3448074</t>
  </si>
  <si>
    <t>10.1145/3448074</t>
  </si>
  <si>
    <t>https://www.scopus.com/inward/record.uri?eid=2-s2.0-85103629515&amp;doi=10.1145%2f3448074&amp;partnerID=40&amp;md5=de2fda001564b0e9f2f4c6acfd3cc0bd</t>
  </si>
  <si>
    <t>State Key Laboratory for Novel Software Technology, Nanjing University, Nanjing, Jiangsu, 210023, China</t>
  </si>
  <si>
    <t>Ma, H., State Key Laboratory for Novel Software Technology, Nanjing University, Nanjing, Jiangsu, 210023, China; Zhang, Z., State Key Laboratory for Novel Software Technology, Nanjing University, Nanjing, Jiangsu, 210023, China; Li, W., State Key Laboratory for Novel Software Technology, Nanjing University, Nanjing, Jiangsu, 210023, China; Lu, S., State Key Laboratory for Novel Software Technology, Nanjing University, Nanjing, Jiangsu, 210023, China</t>
  </si>
  <si>
    <t>Human activity recognition (HAR) based on sensing data from wearable and mobile devices has become an active research area in ubiquitous computing, and it envisions a wide range of application scenarios in mobile social networking, environmental context sensing, health and well-being monitoring, etc. However, activity recognition based on manually annotated sensing data is manpower-expensive, time-consuming, and privacy-sensitive, which prevents HAR systems from being really deployed in scale. In this paper, we address the problem of unsupervised human activity recognition, which infers activities from unlabeled datasets without the need of domain knowledge. We propose an end-to-end multi-task deep clustering framework to solve the problem. Taking the unlabeled multi-dimensional sensing signals as input, we firstly apply a CNN-BiLSTM autoencoder to form a compressed latent feature representation. Then we apply a K-means clustering algorithm based on the extracted features to partition the dataset into different groups, which produces pseudo labels for the instances. We further train a deep neural network (DNN) with the latent features and pseudo labels for activity recognition. The tasks of feature representation, clustering, and classification are integrated into a uniform multi-task learning framework and optimized jointly to achieve unsupervised activity classification. We conduct extensive experiments based on three public datasets. It is shown that the proposed approach outperforms shallow unsupervised learning approaches, and it performs close to the state-of-the-art supervised approaches by fine-tuning with a small number of labeled data. The proposed approach significantly reduces the cost of human-based data annotation and narrows down the gap between unsupervised and supervised human activity recognition. © 2021 ACM.</t>
  </si>
  <si>
    <t>deep clustering; Human activity recognition; multi-task learning; unsupervised learning</t>
  </si>
  <si>
    <t>Deep learning; Deep neural networks; Learning systems; Mobile telecommunication systems; Multi-task learning; Pattern recognition; Privacy by design; Social sciences computing; Ubiquitous computing; Activity classifications; Activity recognition; Application scenario; Environmental contexts; Feature representation; Human activities; Human activity recognition; Multi dimensional; K-means clustering</t>
  </si>
  <si>
    <t>Ackerman, M., Dasgupta, S., Incremental clustering: The case for extra clusters (2014) Advances in Neural Information Processing Systems., pp. 307-315; Almaslukh, B., AlMuhtadi, J., Artoli, A., An efective deep autoencoder approach for online smartphone-based human activity recognition (2017) Int. J. Comput. Sci. Netw. Secur, 17 (4), pp. 160-165. , 2017; Alsheikh, M.A., Selim, A., Niyato, D., Doyle, L., Lin, S., Tan, H.-P., Deep activity recognition models with triaxial accelerometers (2016) Workshops at the Thirtieth Aaai Conference on Artifcial Intelligence; Bakar, U., Ghayvat, H., Hasanm, S.F., Chandra Mukhopadhyay, S., Activity and anomaly detection in smart home: A survey (2016) Next Generation Sensors and Systems, pp. 191-220. , Springer; Bao, L., Intille, S.S., (2004) Activity Recognition from User-Annotated Acceleration Data, pp. 1-17. , Springer; Bengio, Y., Deep learning of representations: Looking forward (2013) International Conference on Statistical Language and Speech Processing(SLSP'13), pp. 1-37. , (2013). Springer; Bhattacharya, S., Nurmi, P., Hammerla, N., Plötz, T., Using unlabeled data in a sparse-coding framework for human activity recognition (2014) Pervasive and Mobile Computing, 15, pp. 242-262. , 2014; Bulling, A., Ward, J.A., Gellersen, H., Troster, G., Eye movement analysis for activity recognition using electrooculography (2011) Ieee Transactions on Pattern Analysis and Machine Intelligence, 33 (4), pp. 741-753. , 2011; Cardoso, H.L., Mendes-Moreira, J., Human activity recognition by means of online semi-supervised learning. 17th ieee (2016) International Conference on Mobile Data Management (MDM), 2, pp. 75-77; Caron, M., Bojanowski, P., Joulin, A., Douze, M., Deep clustering for unsupervised learning of visual features (2018) Proceedings of the European Conference on Computer Vision (ECCV'18)., pp. 132-149; Caruana, R., Multitask learning (1997) Machine Learning, 28 (1), pp. 41-75. , 1997; Doherty, A., Jackson, D., Hammerla, N., Plötz, T., Olivier, P., Granat, M., White, T., Wareham, N., Large scale population assessment of physical activity using wrist worn accelerometers: The uk biobank study (2017) PLoS One, 12. , 2017; Edel, M., Köppe, E., Binarized-blstm-rnn based human activity recognition (2016) 2016 International Conference on Indoor Positioning and Indoor Navigation (IPIN), pp. 1-7; Figo, D., Diniz, P.C., Ferreira, D.R., Cardoso, J.M.P., Preprocessing techniques for context recognition from accelerometer data (2010) Personal and Ubiquitous Computing, 14, pp. 645-662. , 2010; Gao, S., Li, W., Song, L.J., Zhang, X., Lin, M., Lu, S., Personalitysensing: A multi-view multi-task learning approach for personality detection based on smartphone usage (2020) Proceedings of the 28th Acm International Conference on Multimedia, , 2020); Ghazvininejad, M., Rabiee, H.R., Pourdamghani, N., Khanipour, P., Hmm based semi-supervised learning for activity recognition (2011) Proceedings of the 2011 International Workshop on Situation Activity &amp; Goal Awareness., pp. 95-100; Guan, Y., Plötz, T., Ensembles of deep lstm learners for activity recognition using wearables (2017) Proceedings of the Acm on Interactive, Mobile, Wearable and Ubiquitous Technologies, 1, pp. 1-28. , 2017; Gujral, A., Chaspari, T., Timmons, A.C., Kim, Y., Barrett, S., Margolin, G., Population-specifc detection of couples' interpersonal confict using multi-task learning (2018) Proceedings of the 20th Acm International Conference on Multimodal Interaction, , 2018; Guo, X., Liu, X., Zhu, E., Zhu, X., Li, M., Xu, X., Yin, J., Adaptive self-paced deep clustering with data augmentation (2019) Ieee Transactions on Knowledge and Data Engineering, , 2019; Ha, S., Yun, J.-M., Choi, S., Multi-modal convolutional neural networks for activity recognition (2015) 2015 Ieee International Conference on Systems, Man, and Cybernetics, pp. 3017-3022; Hammerla, N.Y., Fisher, J., Andras, P., Rochester, L., Walker, R., Plötz, T., Pd disease state assessment in naturalistic environments using deep learning (2015) Twenty-Ninth Aaai Conference on Artifcial Intelligence; Hammerla, N.Y., Halloran, S., Plötz, T., Deep, convolutional, and recurrent models for human activity recognition using wearables (2016) Proceedings of the Twenty-Fifth International Joint Conference on Artifcial Intelligence (New York, New York, USA) (IJCAI'16), pp. 1533-1540. , AAAI Press; Hammerla, N.Y., Kirkham, R., Andras, P., Ploetz, T., On preserving statistical characteristics of accelerometry data using their empirical cumulative distribution (2013) Proceedings of the 2013 International Symposium on Wearable Computers., pp. 65-68; Haresamudram, H., Anderson, D., Plötz, T., On the role of features in human activity recognition (2019) Proceedings of the 23rd International Symposium on Wearable Computers, , 2019; Huynh, T., Fritz, M., Schiele, B., Discovery of activity patterns using topic models (2008) Proceedings of the 10th International Conference on Ubiquitous Computing., pp. 10-19; Inoue, M., Inoue, S., Nishida, T., Deep recurrent neural network for mobile human activity recognition with high throughput (2018) Artifcial Life and Robotics, 23 (2), pp. 173-185. , 2018; Jiang, W., Yin, Z., Human activity recognition using wearable sensors by deep convolutional neural networks (2015) Proceedings of the 23rd Acm International Conference on Multimedia., pp. 1307-1310; Kamper, H., Jansen, A., Goldwater, S., A segmental framework for fully-unsupervised large-vocabulary speech recognition (2017) Comput. Speech Lang., 46, pp. 154-174. , 2017; Rezaul Karim, M., Beyan, O., Zappa, A., Costa, I.G., Rebholz-Schuhmann, D., Cochez, M., Decker, S., Deep learning-based clustering approaches for bioinformatics (2020) Briefngs in Bioinformatics, , 2020); Khan, A., Mellor, S., Berlin, E., Thompson, R., McNaney, R., Olivier, P., Plötz, T., Beyond activity recognition: Skill assessment from accelerometer data (2015) Proceedings of the 2015 Acm International Joint Conference on Pervasive and Ubiquitous Computing., pp. 1155-1166; Kohlsdorf, D., Mason, C., Herzing, D., Starner, T., Probabilistic extraction and discovery of fundamental units in dolphin whistles (2014) Ieee International Conference on Acoustics, Speech and Signal Processing (ICASSP'14), pp. 8242-8246. , 2014; Kwon, Y., Kang, K., Bae, C., Unsupervised learning for human activity recognition using smartphone sensors (2014) Expert Systems with Applications, 41 (14), pp. 6067-6074. , 2014; Lara, O.D., Labrador, M., A survey on human activity recognition using wearable sensors (2012) Ieee Communications Surveys &amp; Tutorials, 15 (3), pp. 1192-1209. , 2012; LeCun, Y., Bengio, Y., Hinton, G., Deep learning (2015) Nature, 521 (7553), pp. 436-444. , https://doi.org/10.1038/nature14539, 27 5 2015); Li, Y., Shi, D., Ding, B., Liu, D., Unsupervised feature learning for human activity recognition using smartphone sensors (2014) Mining Intelligence and Knowledge Exploration, pp. 99-107. , Springer; Ma, H., Li, W., Zhang, X., Gao, S., Lu, S., Attnsense: Multi-level attention mechanism for multimodal human activity recognition (2019) The 28th International Joint Conference on Artifcial Intelligence (IJCAI'19); Ma, Y., Ghasemzadeh, H., Labelforest: Non-parametric semi-supervised learning for activity recognition (2019) Proceedings of the Aaai Conference on Artifcial Intelligence, 33, pp. 4520-4527; Maaten, L.V.D., Hinton, G.E., Visualizing data using t-sne (2008) Journal of Machine Learning Research, 9, pp. 2579-2605. , 2008; Madiraju, N.S., Sadat, S.M., Fisher, D., Karimabadi, H., (2018) Deep Temporal Clustering: Fully Unsupervised Learning of Time-Domain Features, , arXiv preprint, (2018); Maekawa, T., Nakai, D., Ohara, K., Namioka, Y., Toward practical factory activity recognition: Unsupervised understanding of repetitive assembly work in a factory (2016) Proceedings of the 2016 Acm International Joint Conference on Pervasive and Ubiquitous Computing., pp. 1088-1099; Malekzadeh, M., Clegg, R.G., Cavallaro, A., Haddadi, H., Protecting sensory data against sensitive inferences (2018) Proceedings of the 1st Workshop on Privacy by Design in Distributed Systems., pp. 1-6; Micucci, D., Mobilio, M., Napoletano, P., Unimib shar: A dataset for human activity recognition using acceleration data from smartphones (2017) Applied Sciences, 7 (10), p. 1101. , 2017; Min, E., Guo, X., Liu, Q., Zhang, G., Cui, J., Long, J., A survey of clustering with deep learning: From the perspective of network architecture (2018) Ieee Access, 6, pp. 39501-39514. , 2018; Minnen, D., Starner, T., Essa, I., Isbell, C., Discovering characteristic actions from on-body sensor data. In (2006) Ieee 10th International Symposium on Wearable Computers., pp. 11-18. , https://doi.org/10.1109/ISWC.2006.286337; Javier, F., Morales, O., Roggen, D., Deep convolutional feature transfer across mobile activity recognition domains, sensor modalities and locations (2016) Iswc ', 16; Javier Ordonez, F., Roggen, D., Deep convolutional and lstm recurrent neural networks for multimodal wearable activity recognition (2016) Sensors, 16, p. 1. , https://doi.org/10.3390/s16010115, 2016; Peng, L., Chen, L., Ye, Z., Zhang, Y., Aroma: A deep multi-task learning based simple and complex human activity recognition method using wearable sensors (2018) Proceedings of the Acm on Interactive Mobile Wearable and Ubiquitous Technologies, 2 (2), pp. 1-16. , 2018; Plötz, T., Hammerla, N.Y., Olivier, P., Feature learning for activity recognition in ubiquitous computing (2011) Proceedings of the Twenty-Second International Joint Conference on Artifcial Intelligence (Barcelona, Catalonia, Spain) (IJCAI'11), pp. 1729-1734. , https://doi.org/10.5591/978-1-57735-516-8/IJCAI11-290, AAAI Press; Qian, H., Pan, S.J., Miao, C., Sensor-based activity recognition via learning from distributions (2018) Thirty-Second Aaai Conference on Artifcial Intelligence; Qingxin, X., Wada, A., Korpela, J., Maekawa, T., Namioka, Y., Unsupervised factory activity recognition with wearable sensors using process instruction information (2019) Proceedings of the Acm on Interactive, Mobile, Wearable and Ubiquitous Technologies, 3 (2), pp. 1-23. , 2019; Saeed, A., Ozcelebi, T., Lukkien, J., Multi-task self-supervised learning for human activity detection (2019) Proceedings of the Acm on Interactive Mobile Wearable and Ubiquitous Technologies, 3 (2), pp. 1-30. , 2019; Spathis, D., Rodríguez, S., Farrahi, K., Mascolo, C., Rentfrow, J., Sequence multi-task learning to forecast mental wellbeing from sparse self-reported data (2019) Proceedings of the 25th Acm Sigkdd International Conference on Knowledge Discovery &amp; Data Mining, , 2019; Stikic, M., Larlus, D., Ebert, S., Schiele, B., Weakly supervised recognition of daily life activities with wearable sensors (2011) Ieee Transactions on Pattern Analysis and Machine Intelligence, 33 (12), pp. 2521-2537. , 2011; Stisen, A., Blunck, H., Bhattacharya, S., Baun Prentow, M., Dey, A., Sonne, T., Møller Jensen, M., Smart devices are diferent: Assessing and mitigatingmobile sensing heterogeneities for activity recognition Proceedings of the 13th Acm Conference on Embedded Networked Sensor Systems (SenSys'15), pp. 127-140. , [n.d.], (2015). ACM; Sun, X., Kashima, H., Ueda, N., Large-scale personalized human activity recognition using online multitask learning (2013) Ieee Transactions on Knowledge and Data Engineering, 25, pp. 2551-2563. , 2013; Tanha, J., Van Someren, M., Afsarmanesh, H., Semi-supervised self-training for decision tree classifers (2017) International Journal of Machine Learning and Cybernetics, 8 (1), pp. 355-370. , 2017; Tavakoli, N., Siami-Namini, S., Khanghah, M.A., Soltani, F.M., Siami Namin, A., (2020) Clustering Time Series Data through Autoencoder-based Deep Learning Models, , arXiv preprint, 2020); Taylor, S., Jaques, N., Nosakhare, E., Sano, A., Picard, R.W., Personalized multitask learning for predicting tomorrow's mood, stress, and health (2020) Ieee Transactions on Afective Computing, 11, pp. 200-213. , 2020); Uriarte-Arcia, A.V., López-Yáñez, I., Yáñez-Márquez, C., One-hot vector hybrid associative classifer for medical data classifcation (2014) PLoS One, 9. , 2014; Wang, A., Chen, G., Shang, C., Zhang, M., Liu, L., Human activity recognition in a smart home environment with stacked denoising autoencoders (2016) International Conference on Web-Age Information Management, pp. 29-40. , Springer; Wang, J., Chen, Y., Hao, S., Peng, X., Hu, L., Deep learning for sensor-based activity recognition: A survey (2018) Pattern Recognition Letters, , 2018; Wawrzyniak, S., Niemiro, W., Clustering approach to the problem of human activity recognition using motion data (2015) 2015 Federated Conference on Computer Science and Information Systems (FedCSIS), pp. 411-416; Xie, J., Girshick, R., Farhadi, A., Unsupervised deep embedding for clustering analysis (2016) International Conference on Machine Learning (ICML'16)., pp. 478-487; Xu, D., Tian, Y., A comprehensive survey of clustering algorithms (2015) Annals of Data Science, 2 (2), pp. 165-193. , 2015; Yang, B., Fu, X., Sidiropoulos, N.D., Hong, M., Towards k-means-friendly spaces: Simultaneous deep learning and clustering (2017) International Conference on Machine Learning (ICML'17). Pmlr, pp. 3861-3870; Yang, J., Nguyen, M.N., San, P.P., Li, X., Krishnaswamy, S., Deep convolutional neural networks on multichannel time series for human activity recognition (2015) Ijcai; Yao, L., Nie, F., Sheng, Q.Z., Gu, T., Li, X., Wang, S., Learning from less for better: Semi-supervised activity recognition via shared structure discovery (2016) Proceedings of the 2016 Acm International Joint Conference on Pervasive and Ubiquitous Computing., pp. 13-24; Zeng, M., Gao, H., Yu, T., Mengshoel, O., Langseth, H., Lane, I., Liu, X., Understanding and improving recurrent networks for human activity recognition by continuous attention (2018) Proceedings of the 2018 Acm International Symposium on Wearable Computers, , 2018; Zeng, M., Nguyen, L.T., Yu, B., Mengshoel, O.J., Zhu, J., Wu, P., Zhang, J., Convolutional neural networks for human activity recognition using mobile sensors (2014) 6th International Conference on Mobile Computing, Applications and Services, pp. 197-205; Zha, H., He, X., Ding, C., Gu, M., Simon, H.D., Spectral relaxation for k-means clustering (2002) Advances in Neural Information Processing Systems., pp. 1057-1064; Zhou, F., Torre, F., Generalized time warping for multi-modal alignment of human motion (2012) 2012 Ieee Conference on Computer Vision and Pattern Recognition, pp. 1282-1289. , 2012</t>
  </si>
  <si>
    <t>2-s2.0-85103629515</t>
  </si>
  <si>
    <t>Unsupervised human activity representation learning with multi-task deep clustering</t>
  </si>
  <si>
    <t>Zhigalov A., Heinilä E., Parviainen T., Parkkonen L., Hyvärinen A.</t>
  </si>
  <si>
    <t>35760024700;57204242131;8524530600;57222517835;7007182085;</t>
  </si>
  <si>
    <t>Decoding attentional states for neurofeedback: Mindfulness vs. wandering thoughts</t>
  </si>
  <si>
    <t>185</t>
  </si>
  <si>
    <t>565</t>
  </si>
  <si>
    <t>574</t>
  </si>
  <si>
    <t>10.1016/j.neuroimage.2018.10.014</t>
  </si>
  <si>
    <t>https://www.scopus.com/inward/record.uri?eid=2-s2.0-85055037319&amp;doi=10.1016%2fj.neuroimage.2018.10.014&amp;partnerID=40&amp;md5=96b036b4989e19facdfe5786bf701138</t>
  </si>
  <si>
    <t>Department of Computer Science, University of Helsinki, Finland; Centre for Interdisciplinary Brain Research, Department of Psychology, University of Jyväskylä, Finland; Department of Neuroscience and Biomedical Engineering, Aalto University, Finland; Gatsby Computational Neuroscience Unit, University College London, United Kingdom</t>
  </si>
  <si>
    <t>Zhigalov, A., Department of Computer Science, University of Helsinki, Finland, Department of Neuroscience and Biomedical Engineering, Aalto University, Finland; Heinilä, E., Centre for Interdisciplinary Brain Research, Department of Psychology, University of Jyväskylä, Finland; Parviainen, T., Centre for Interdisciplinary Brain Research, Department of Psychology, University of Jyväskylä, Finland; Parkkonen, L., Department of Neuroscience and Biomedical Engineering, Aalto University, Finland; Hyvärinen, A., Department of Computer Science, University of Helsinki, Finland, Gatsby Computational Neuroscience Unit, University College London, United Kingdom</t>
  </si>
  <si>
    <t>Neurofeedback requires a direct translation of neuronal brain activity to sensory input given to the user or subject. However, decoding certain states, e.g., mindfulness or wandering thoughts, from ongoing brain activity remains an unresolved problem. In this study, we used magnetoencephalography (MEG) to acquire brain activity during mindfulness meditation and thought-inducing tasks mimicking wandering thoughts. We used a novel real-time feature extraction to decode the mindfulness, i.e., to discriminate it from the thought-inducing tasks. The key methodological novelty of our approach is usage of MEG power spectra and functional connectivity of independent components as features underlying mindfulness states. Performance was measured as the classification accuracy on a separate session but within the same subject. We found that the spectral- and connectivity-based classification approaches allowed discriminating mindfulness and thought-inducing tasks with an accuracy around 60% compared to the 50% chance-level. Both classification approaches showed similar accuracy, although the connectivity approach slightly outperformed the spectral one in a few cases. Detailed analysis showed that the classification coefficients and the associated independent components were highly individual among subjects and a straightforward transfer of the coefficients over subjects provided near chance-level classification accuracy. Thus, discriminating between mindfulness and wandering thoughts seems to be possible, although with limited accuracy, by machine learning, especially on the subject-level. Our hope is that the developed spectral- and connectivity-based decoding methods can be utilized in real-time neurofeedback to decode mindfulness states from ongoing neuronal activity, and hence, provide a basis for improved, individualized mindfulness training. © 2018 Elsevier Inc.</t>
  </si>
  <si>
    <t>Machine learning; Magnetoencephalography; Mindfulness; Neurofeedback</t>
  </si>
  <si>
    <t>adult; article; controlled study; feature extraction; functional connectivity; human; magnetoencephalography; meditation; mindfulness; neurofeedback; attention; brain; brain mapping; female; machine learning; magnetoencephalography; male; neurofeedback; physiology; procedures; Adult; Attention; Brain; Brain Mapping; Female; Humans; Machine Learning; Magnetoencephalography; Male; Meditation; Mindfulness; Neurofeedback</t>
  </si>
  <si>
    <t>Andrews-Hanna, J.R., Smallwood, J., Spreng, R.N., The default network and self-generated thought: component processes, dynamic control, and clinical relevance (2014) Ann. N. Y. Acad. Sci., 1316, pp. 29-52. , https://doi.org/10.1111/nyas.12360; Baldwin, C.L., Roberts, D.M., Barragan, D., Lee, J.D., Lerner, N., Higgins, J.S., Detecting and quantifying mind wandering during simulated driving (2017) Front. Hum. Neurosci., 11, p. 406. , https://doi.org/10.3389/fnhum.2017.00406; Blankertz, B., Lemm, S., Treder, M., Haufe, S., Müller, K.-R., Single-trial analysis and classification of ERP components — a tutorial (2011) Neuroimage, 56, pp. 814-825. , https://doi.org/10.1016/j.neuroimage.2010.06.048; Braboszcz, C., Delorme, A., Lost in thoughts: neural markers of low alertness during mind wandering (2011) Neuroimage, 54, pp. 3040-3047. , https://doi.org/10.1016/j.neuroimage.2010.10.008; Brookes, M.J., Woolrich, M., Luckhoo, H., Price, D., Hale, J.R., Stephenson, M.C., Barnes, G.R., Morris, P.G., Investigating the electrophysiological basis of resting state networks using magnetoencephalography (2011) Proc. Natl. Acad. Sci. U. S. A, 108, pp. 16783-16788. , https://doi.org/10.1073/pnas.1112685108; Christoff, K., Gordon, A.M., Smallwood, J., Smith, R., Schooler, J.W., Experience sampling during fMRI reveals default network and executive system contributions to mind wandering (2009) Proc. Natl. Acad. Sci. Unit. States Am., 106, pp. 8719-8724. , https://doi.org/10.1073/pnas.0900234106; Haufe, S., Meinecke, F., Görgen, K., Dähne, S., Haynes, J.-D., Blankertz, B., Bießmann, F., On the interpretation of weight vectors of linear models in multivariate neuroimaging (2014) Neuroimage, 87, pp. 96-110. , https://doi.org/10.1016/j.neuroimage.2013.10.067; Hyvärinen, A., Ramkumar, P., Parkkonen, L., Hari, R., Independent component analysis of short-time Fourier transforms for spontaneous EEG/MEG analysis (2010) Neuroimage, 49, pp. 257-271. , https://doi.org/10.1016/j.neuroimage.2009.08.028; Jas, M., Engemann, D.A., Bekhti, Y., Raimondo, F., Gramfort, A., Autoreject: automated artifact rejection for MEG and EEG data (2017) Neuroimage, 159, pp. 417-429. , https://doi.org/10.1016/j.neuroimage.2017.06.030; Jayaram, V., Alamgir, M., Altun, Y., Scholkopf, B., Grosse-Wentrup, M., Transfer Learning in Brain-Computer Interfaces Abstract∖uFFFDThe performance of brain-computer interfaces (BCIs) improves with the amount of avail (2016) IEEE Comput. Intell. Mag., 11, pp. 20-31. , https://doi.org/10.1109/MCI.2015.2501545; Kauppi, J.-P., Parkkonen, L., Hari, R., Hyvärinen, A., Decoding magnetoencephalographic rhythmic activity using spectrospatial information (2013) Neuroimage, 83, pp. 921-936. , https://doi.org/10.1016/j.neuroimage.2013.07.026; Kerr, C.E., Sacchet, M.D., Lazar, S.W., Moore, C.I., Jones, S.R., Mindfulness starts with the body: somatosensory attention and top-down modulation of cortical alpha rhythms in mindfulness meditation (2013) Front. Hum. Neurosci., 7, p. 12. , https://doi.org/10.3389/fnhum.2013.00012; Kia, S.M., Pedregosa, F., Blumenthal, A., Passerini, A., Group-level spatio-temporal pattern recovery in MEG decoding using multi-task joint feature learning (2017) J. Neurosci. Methods, 285, pp. 97-108. , https://doi.org/10.1016/j.jneumeth.2017.05.004; Kucyi, A., Just a thought: how mind-wandering is represented in dynamic brain connectivity (2017) Neuroimage, , https://doi.org/10.1016/j.neuroimage.2017.07.001; Lemm, S., Blankertz, B., Dickhaus, T., Müller, K.-R., Introduction to machine learning for brain imaging (2011) Neuroimage, 56, pp. 387-399. , https://doi.org/10.1016/j.neuroimage.2010.11.004; Lotte, F., Congedo, M., Lécuyer, A., Lamarche, F., Arnaldi, B., A review of classification algorithms for EEG-based brain–computer interfaces (2007) J. Neural. Eng., 4, pp. R1-R13. , https://doi.org/10.1088/1741-2560/4/2/R01; Navarro Gil, M., Escolano Marco, C., Montero-Marín, J., Minguez Zafra, J., Shonin, E., García Campayo, J., Efficacy of neurofeedback on the increase of mindfulness-related capacities in healthy individuals: a controlled trial (2018) Mindfulness (N. Y)., 9, pp. 303-311. , https://doi.org/10.1007/s12671-017-0775-1; Nesvold, A., Fagerland, M.W., Davanger, S., Ellingsen, Ø., Solberg, E.E., Holen, A., Sevre, K., Atar, D., Increased heart rate variability during nondirective meditation (2012) Eur. J. Prev. Cardiol., 19, pp. 773-780. , https://doi.org/10.1177/1741826711414625; Olofsson, J.K., Nordin, S., Sequeira, H., Polich, J., Affective picture processing: an integrative review of ERP findings (2008) Biol. Psychol., 77, pp. 247-265. , https://doi.org/10.1016/j.biopsycho.2007.11.006; Pedregosa, F., Varoquaux, G., Gramfort, A., Michel, C., Thirion, B., Grisel, O., Blondel, M., Cournapeau, D., Scikit-learn: machine learning in Python (2011) J. Mach. Learn. Res., , https://doi.org/10.1007/s13398-014-0173-7.2; Ros, T., Théberge, J., Frewen, P.A., Kluetsch, R., Densmore, M., Calhoun, V.D., Lanius, R.A., Mind over chatter: plastic up-regulation of the fMRI salience network directly after EEG neurofeedback (2013) Neuroimage, 65, pp. 324-335. , https://doi.org/10.1016/j.neuroimage.2012.09.046; Scheeringa, R., Fries, P., Petersson, K.-M., Oostenveld, R., Grothe, I., Norris, D.G., Hagoort, P., Bastiaansen, M.C.M., Neuronal dynamics underlying high- and low-frequency EEG oscillations contribute independently to the human BOLD signal (2011) Neuron, 69, pp. 572-583. , https://doi.org/10.1016/J.NEURON.2010.11.044; Schmidt, E.A., Schrauf, M., Simon, M., Fritzsche, M., Buchner, A., Kincses, W.E., Drivers’ misjudgement of vigilance state during prolonged monotonous daytime driving (2009) Accid. Anal. Prev., 41, pp. 1087-1093. , https://doi.org/10.1016/j.aap.2009.06.007; Smith, S.M., Nichols, T.E., Statistical challenges in “big data” human neuroimaging (2018) Neuron, 97, pp. 263-268. , https://doi.org/10.1016/j.neuron.2017.12.018; Tang, Y.-Y., Posner, M.I., Rothbart, M.K., Meditation improves self-regulation over the life span (2014) Ann. N. Y. Acad. Sci., 1307, pp. 104-111. , https://doi.org/10.1111/nyas.12227; Taulu, S., Kajola, M., Simola, J., Suppression of interference and artifacts by the signal space separation method (2004) Brain Topogr., 16, pp. 269-275; van Lutterveld, R., Houlihan, S.D., Pal, P., Sacchet, M.D., McFarlane-Blake, C., Patel, P.R., Sullivan, J.S., Brewer, J.A., Source-space EEG neurofeedback links subjective experience with brain activity during effortless awareness meditation (2017) Neuroimage, 151, pp. 117-127. , https://doi.org/10.1016/j.neuroimage.2016.02.047; Wolpaw, J., Birbaumer, N., McFarland, D., Pfurtscheller, G., Vaughan, T., Brain-computer interfaces for communication and control (2002) Clin. Neurophysiol.</t>
  </si>
  <si>
    <t>2-s2.0-85055037319</t>
  </si>
  <si>
    <t>Decoding attentional states for neurofeedback: mindfulness vs. wandering thoughts</t>
  </si>
  <si>
    <t>Saeed A., Ozcelebi T., Lukkien J.</t>
  </si>
  <si>
    <t>57201255062;6507481211;6701399604;</t>
  </si>
  <si>
    <t>Synthesizing and reconstructing missing sensory modalities in behavioral context recognition</t>
  </si>
  <si>
    <t>2967</t>
  </si>
  <si>
    <t>10.3390/s18092967</t>
  </si>
  <si>
    <t>https://www.scopus.com/inward/record.uri?eid=2-s2.0-85053118961&amp;doi=10.3390%2fs18092967&amp;partnerID=40&amp;md5=a6fe7d03ad148ccf4ee9575ee486afaa</t>
  </si>
  <si>
    <t>Department of Mathematics and Computer Science, Eindhoven University of Technology, Eindhoven, Netherlands</t>
  </si>
  <si>
    <t>Saeed, A., Department of Mathematics and Computer Science, Eindhoven University of Technology, Eindhoven, Netherlands; Ozcelebi, T., Department of Mathematics and Computer Science, Eindhoven University of Technology, Eindhoven, Netherlands; Lukkien, J., Department of Mathematics and Computer Science, Eindhoven University of Technology, Eindhoven, Netherlands</t>
  </si>
  <si>
    <t>Detection of human activities along with the associated context is of key importance for various application areas, including assisted living and well-being. To predict a user’s context in the daily-life situation a system needs to learn from multimodal data that are often imbalanced, and noisy with missing values. The model is likely to encounter missing sensors in real-life conditions as well (such as a user not wearing a smartwatch) and it fails to infer the context if any of the modalities used for training are missing. In this paper, we propose a method based on an adversarial autoencoder for handling missing sensory features and synthesizing realistic samples. We empirically demonstrate the capability of our method in comparison with classical approaches for filling in missing values on a large-scale activity recognition dataset collected in-the-wild. We develop a fully-connected classification network by extending an encoder and systematically evaluate its multi-label classification performance when several modalities are missing. Furthermore, we show class-conditional artificial data generation and its visual and quantitative analysis on context classification task; representing a strong generative power of adversarial autoencoders. © 2018 by the authors. Licensee MDPI, Basel, Switzerland.</t>
  </si>
  <si>
    <t>Adversarial learning; Autoencoders; Context detection; Human activity recognition; Imputation; Sensor analytics</t>
  </si>
  <si>
    <t>Classification (of information); Learning systems; Pattern recognition; Adversarial learning; Autoencoders; Context detection; Human activity recognition; Imputation; Sensor analytics; Behavioral research; human; human activities; unsupervised machine learning; Human Activities; Humans; Unsupervised Machine Learning</t>
  </si>
  <si>
    <t>Rashidi, P., Mihailidis, A., A survey on ambient-assisted living tools for older adults (2013) IEEE J. Biomed. Health Inform., 17, pp. 579-590; Nahum-Shani, I., Smith, S.N., Tewari, A., Witkiewitz, K., Collins, L.M., Spring, B., Murphy, S., (2014) Just in Time Adaptive Interventions (Jitais): An Organizing Framework for Ongoing Health Behavior Support; Methodology Center Technical Report, pp. 14-126. , The Methodology Center: University Park, PA, USA; Avci, A., Bosch, S., Marin-Perianu, M., Marin-Perianu, R., Havinga, P., Activity recognition using inertial sensing for healthcare, wellbeing and sports applications: A survey Proceedings of the 23Th International Conference on Architecture of Computing Systems, pp. 1-10. , Hannover, Germany, 22–23 February 2010; Rabbi, M., Aung, M.H., Zhang, M., Choudhury, T., MyBehavior: Automatic personalized health feedback from user behaviors and preferences using smartphones Proceedings of the 2015 ACM International Joint Conference on Pervasive and Ubiquitous Computing, pp. 707-718. , Osaka, Japan, 7–11 September 2015; Althoff, T., Hicks, J.L., King, A.C., Delp, S.L., Leskovec, J., Large-scale physical activity data reveal worldwide activity inequality (2017) Nature, 547, pp. 336-339; Joshua, L., Varghese, K., Accelerometer-based activity recognition in construction (2010) J. Comput. Civ. Eng., 25, pp. 370-379; Dey, A.K., Wac, K., Ferreira, D., Tassini, K., Hong, J.H., Ramos, J., Getting closer: An empirical investigation of the proximity of user to their smart phones (2011) Proceedings of the 13Th International Conference on Ubiquitous Computing, pp. 163-172. , Beijing, China, 17–21 September; Vaizman, Y., Ellis, K., Lanckriet, G., Recognizing Detailed Human Context in the Wild from Smartphones and Smartwatches (2017) IEEE Pervas. Comput., 16, pp. 62-74; Kang, H., The prevention and handling of the missing data (2013) Korean J. Anesthesiol., 64, pp. 402-406; Gelman, A., Hill, J., Missing-data imputation (2006) Data Analysis Using Regression and Multilevel/Hierarchical Models; Analytical Methods for Social Research, pp. 529-544. , Cambridge University Press: Cambridge, UK; Bengio, Y., Courville, A., Vincent, P., Representation learning: A review and new perspectives (2013) IEEE Trans. Pattern Anal. Mach. Intell., 35, pp. 1798-1828; Srivastava, N., Hinton, G., Krizhevsky, A., Sutskever, I., Salakhutdinov, R., Dropout: A simple way to prevent neural networks from overfitting (2014) J. Mach. Learn. Res., 15, pp. 1929-1958; Vincent, P., Larochelle, H., Lajoie, I., Bengio, Y., Manzagol, P.A., Stacked denoising autoencoders: Learning useful representations in a deep network with a local denoising criterion (2010) J. Mach. Learn. Res., 11, pp. 3371-3408; Goodfellow, I., Pouget-Abadie, J., Mirza, M., Xu, B., Warde-Farley, D., Ozair, S., Courville, A., Bengio, Y., Generative adversarial nets (2014) Advances in Neural Information Processing Systems 27, Proceedings of the Annual Conference on Neural Information Processing Systems, pp. 2672-2680. , Montreal, QC, Canada, 8–13 December 2014; NIPS: La Jolla, CA, USA; Makhzani, A., Shlens, J., Jaitly, N., Goodfellow, I., Frey, B., (2015) Adversarial Autoencoders; Guiry, J.J., van de Ven, P., Nelson, J., Multi-sensor fusion for enhanced contextual awareness of everyday activities with ubiquitous devices (2014) Sensors, 14, pp. 5687-5701; Wang, A., Chen, G., Shang, C., Zhang, M., Liu, L., Human activity recognition in a smart home environment with stacked denoising autoencoders (2016) Proceedings of the International Conference on Web-Age Information Management, pp. 29-40. , Nanchang, China, 3–5 June; Li, Y., Shi, D., Ding, B., Liu, D., Unsupervised feature learning for human activity recognition using smartphone sensors (2014) Mining Intelligence and Knowledge Exploration, pp. 99-107. , Springer: Berlin, Germany; Plötz, T., Hammerla, N.Y., Olivier, P., Feature learning for activity recognition in ubiquitous computing (2011) Proceedings of the IJCAI Proceedings—International Joint Conference on Artificial Intelligence, 22, p. 1729. , Barcelona, Spain, 16–22 July; Wang, J., Chen, Y., Hao, S., Peng, X., Hu, L., (2017) Deep Learning for Sensor-Based Activity Recognition: A Survey; Ding, M., Fan, G., Multilayer Joint Gait-Pose Manifolds for Human Gait Motion Modeling (2015) IEEE Trans. Cybern., 45, pp. 2413-2424; Zhang, X., Ding, M., Fan, G., Video-based human walking estimation using joint gait and pose manifolds (2017) IEEE Trans. Circuits Syst. Video Technol., 27, pp. 1540-1554; Chen, C., Jafari, R., Kehtarnavaz, N., A survey of depth and inertial sensor fusion for human action recognition (2017) Multimedia Tools Appl, 76, pp. 4405-4425; Vaizman, Y., Weibel, N., Lanckriet, G., Context Recognition In-the-Wild: Unified Model for Multi-Modal Sensors and Multi-Label Classification (2018) Proc. ACM Interact. Mob. Wearable Ubiquitous Technol, 1, p. 168; Thompson, B.B., Marks, R., El-Sharkawi, M.A., On the contractive nature of autoencoders: Application to missing sensor restoration (2003) Proceedings of the International Joint Conference on Neural Networks, 4, pp. 3011-3016. , Portland, OR, USA, 20–24 July; Nelwamondo, F.V., Mohamed, S., Marwala, T., (2007) Missing Data: A Comparison of Neural Network and Expectation Maximization Techniques; Duan, Y., Lv, Y., Kang, W., Zhao, Y., A deep learning based approach for traffic data imputation (2014) Proceedings of the 17Th International IEEE Conference on Intelligent Transportation Systems (ITSC), pp. 912-917. , Qingdao, China, 8–11 October; Beaulieu-Jones, B.K., Moore, J.H., Missing data imputation in the electronic health record using deeply learned autoencoders (2017) Proceedings of the Pacific Symposium on Biocomputing 2017, pp. 207-218. , Big Island of Hawaii, HI, USA, 3–7 January 2017; World Scientific: Singapore; Jaques, N., Taylor, S., Sano, A., Picard, R., Multimodal Autoencoder: A Deep Learning Approach to Filling in Missing Sensor Data and Enabling Better Mood Prediction (2017) Proceedings of the International Conference on Affective Computing and Intelligent Interaction (ACII), , San Antonio, TX, USA, 23–26 October; Li, J., Struzik, Z., Zhang, L., Cichocki, A., Feature learning from incomplete EEG with denoising autoencoder (2015) Neurocomputing, 165, pp. 23-31; Miotto, R., Li, L., Kidd, B.A., Dudley, J.T., Deep patient: An unsupervised representation to predict the future of patients from the electronic health records (2016) Sci. Rep., 6, p. 26094; Martinez, H.P., Bengio, Y., Yannakakis, G.N., Learning deep physiological models of affect (2013) IEEE Comput. Intell. Mag., 8, pp. 20-33; Deng, J., Xu, X., Zhang, Z., Frühholz, S., Schuller, B., Universum autoencoder-based domain adaptation for speech emotion recognition (2017) IEEE Signal Process. Lett., 24, pp. 500-504; Kuchaiev, O., (2017) Ginsburg, B. Training Deep Autoencoders for Collaborative Filtering; Yu, L., Zhang, W., Wang, J., Yu, Y., SeqGAN: Sequence Generative Adversarial Nets with Policy Gradient (2017) Proceedings of the AAAI, pp. 2852-2858. , San Francisco, CA, USA, 4–9 February; Choi, E., Biswal, S., Malin, B., Duke, J., Stewart, W.F., Sun, J., (2017) Generating Multi-Label Discrete Electronic Health Records Using Generative Adversarial Networks; Esteban, C., Hyland, S.L., Rätsch, G., (2017) Real-Valued (Medical) Time Series Generation with Recurrent Conditional Gans; Hinton, G.E., Salakhutdinov, R.R., Reducing the dimensionality of data with neural networks (2006) Science, 313, pp. 504-507; Nam, J., Kim, J., Mencía, E.L., Gurevych, I., Fürnkranz, J., Large-scale multi-label text classification–revisiting neural networks (2014) Proceedings of the Joint European Conference on Machine Learning and Knowledge Discovery in Databases, pp. 437-452. , Nancy, France, 15–19 September 2014; Springer: Berlin, Germany; Abadi, M., Barham, P., Chen, J., Chen, Z., Davis, A., Dean, J., Devin, M., Isard, M., TensorFlow: A System for Large-Scale Machine Learning (2016) OSDI, 16, pp. 265-283; Glorot, X., Bengio, Y., Understanding the difficulty of training deep feedforward neural networks (2010) Proceedings of the Thirteenth International Conference on Artificial Intelligence and Statistics, pp. 249-256. , Sardinia, Italy, 13–15 May; Kingma, D.P., Ba, J., (2014) Adam: A Method for Stochastic Optimization; Abadi, M., Chu, A., Goodfellow, I., McMahan, H.B., Mironov, I., Talwar, K., Zhang, L., Deep learning with differential privacy (2016) Proceedings of the 2016 ACM SIGSAC Conference on Computer and Communications Security, pp. 308-318. , Vienna, Austria, 24–28 October</t>
  </si>
  <si>
    <t>2-s2.0-85053118961</t>
  </si>
  <si>
    <t>Kim B., Koopmanschap I., Mehrizi M.H.R., Huysman M., Ranschaert E.</t>
  </si>
  <si>
    <t>57221845821;57221847277;57073896900;6603074344;57191017885;</t>
  </si>
  <si>
    <t>How does the radiology community discuss the benefits and limitations of artificial intelligence for their work? A systematic discourse analysis</t>
  </si>
  <si>
    <t>European Journal of Radiology</t>
  </si>
  <si>
    <t>136</t>
  </si>
  <si>
    <t>109566</t>
  </si>
  <si>
    <t>10.1016/j.ejrad.2021.109566</t>
  </si>
  <si>
    <t>https://www.scopus.com/inward/record.uri?eid=2-s2.0-85100403266&amp;doi=10.1016%2fj.ejrad.2021.109566&amp;partnerID=40&amp;md5=1fc8709f5796677f23d68e3138542ec6</t>
  </si>
  <si>
    <t>KIN Center for Digital Innovation, School of Business and Economics, Vrije Universiteit Amsterdam, De Boelelaan 1105, VU Main Building A-wing, 5th Floor, Amsterdam, 1081 HV, Netherlands; Department of Anthropology, Faculty of Social and Behavioral Sciences, University of Amsterdam, Roeterseiland Campus, Nieuwe Achtergracht 166, Amsterdam, 1018 WV, Netherlands; KIN Center for Digital Innovation, School of Business and Economics, Vrije Universiteit Amsterdam, Netherlands; Department of Radiology, Elisabeth-Tweesteden Hospital (ETZ), Doctor Deelenlaan 5, Tilburg, 5042 AD, Netherlands; Ghent University, St. Pietersnieuwstraat 33, Gent, 9000, Belgium</t>
  </si>
  <si>
    <t>Kim, B., KIN Center for Digital Innovation, School of Business and Economics, Vrije Universiteit Amsterdam, De Boelelaan 1105, VU Main Building A-wing, 5th Floor, Amsterdam, 1081 HV, Netherlands; Koopmanschap, I., Department of Anthropology, Faculty of Social and Behavioral Sciences, University of Amsterdam, Roeterseiland Campus, Nieuwe Achtergracht 166, Amsterdam, 1018 WV, Netherlands; Mehrizi, M.H.R., KIN Center for Digital Innovation, School of Business and Economics, Vrije Universiteit Amsterdam, Netherlands; Huysman, M., KIN Center for Digital Innovation, School of Business and Economics, Vrije Universiteit Amsterdam, Netherlands; Ranschaert, E., Department of Radiology, Elisabeth-Tweesteden Hospital (ETZ), Doctor Deelenlaan 5, Tilburg, 5042 AD, Netherlands, Ghent University, St. Pietersnieuwstraat 33, Gent, 9000, Belgium</t>
  </si>
  <si>
    <t>Purpose: We aimed to systematically analyse how the radiology community discusses the concept of artificial intelligence (AI), perceives its benefits, and reflects on its limitations. Methods: We conducted a qualitative, systematic discourse analysis on 200 social-media posts collected over a period of five months (April–August 2020). Results: The discourse on AI is active, albeit often referring to AI as an umbrella term and lacking precision on the context (e.g. research, clinical) and the temporal focus (e.g. current AI, future AI). The discourse is also somewhat split between optimism and pessimism. The latter considers a wider range of social, ethical and legal factors than the former, which tends to focus on concrete technologies and their functionalities. Conclusions: Further precision in the discourse could lead to more constructive conversations around AI. The split between optimism and pessimism calls for a constant exchange and synthesis between the two perspectives. Practical conversations (e.g. business models) remain rare, but may be crucial for an effective implementation of AI in clinical practice. © 2021 The Author(s)</t>
  </si>
  <si>
    <t>Artificial intelligence; Deep learning; Discourse; Machine learning; Perceived benefits and limitations; Social media</t>
  </si>
  <si>
    <t>article; artificial intelligence; clinical practice; conversation; deep learning; discourse analysis; human; optimism; pessimism; radiology; social media; synthesis; forecasting; radiography; Artificial Intelligence; Forecasting; Humans; Radiography; Radiology</t>
  </si>
  <si>
    <t>Rezazade Mehrizi, M.H., van Ooijen, P., Homan, M., Applications of artificial intelligence (AI) in diagnostic radiology: a technography study (2020) Eur. Radiol.; West, E., Mutasa, S., Zhu, Z., Ha, R., Global trend in artificial intelligence–based publications in radiology from 2000 to 2018 (2019) Am. J. Roentgenol., 213, pp. 1204-1206; Huisman, M., Ranschaert, E., Parker, W., An International Survey on AI in Radiology in 1,041 Radiologists and Radiology Residents Part 2: Expectations, Hurdles to Implementation and Education (2021); Ranschaert, E.R., Van Ooijen, P.M.A., McGinty, G.B., Parizel, P.M., Radiologists’ usage of social media: results of the RANSOM survey (2016) J. Digit. Imaging, 29, pp. 443-449; Potter, J., Wetherell, M., Discourse and Social Psychology: Beyond Attitudes and Behaviour (1987); Leonardi, P.M., Barley, S.R., What's under construction here? Social action, materiality, and power in constructivist studies of technology and organizing (2010) Acad. Manag. Ann., 4, pp. 1-51; Stevens, M., Wehrens, R., de Bont, A., Conceptualizations of Big Data and their epistemological claims in healthcare: a discourse analysis (2018) Big Data Soc., 5. , 2053951718816727; Driver, C.N., Bowles, B.S., Bartholmai, B.J., Greenberg-Worisek, A.J., Artificial intelligence in radiology: a call for thoughtful application (2020) Clin. Transl. Sci., 13, pp. 216-218; Borup, M., Brown, N., Konrad, K., Van Lente, H., The sociology of expectations in science and technology (2006) Technol. Anal. Strateg. Manag., 18, pp. 285-298; Raisch, S., Krakowski, S., Artificial intelligence and management: the automation-augmentation paradox (2020) AMRO; Parker, I., Discourse Dynamics: Critical Analysis for Social and Individual Psychology (1992), Taylor &amp; Frances/Routledge Florence, KY, US; Cheek, J., At the margins? Discourse analysis and qualitative research (2004) Qual. Health Res., 14, pp. 1140-1150; van Dijk, T.A., Editorial: analysing discourse analysis (1997) Discourse Soc., 8, pp. 5-6; Kozinets, R.V., Netnography (2007) The Blackwell Encyclopedia of Sociology, pp. 1-2. , G. Ritzer John Wiley &amp; Sons, Ltd Oxford, UK; Boyatzis, R.E., Transforming Qualitative Information: Thematic Analysis and Code Development (1998); Allen, M., The SAGE Encyclopedia of Communication Research Methods (2017), SAGE Publications; Rajpurkar, P., Irvin, J., Zhu, K., CheXNet: Radiologist-Level Pneumonia Detection on Chest X-Rays with Deep Learning (2017), arXiv [cs.CV]; Gupta, S., Kattapuram, T.M., Patel, T.Y., Social media's role in the perception of radiologists and artificial intelligence (2020) Clin. Imaging, 68, pp. 158-160; Sovacool, B.K., Hess, D.J., Ordering theories: typologies and conceptual frameworks for sociotechnical change (2017) Soc. Stud. Sci., 47, pp. 703-750</t>
  </si>
  <si>
    <t>0720048X</t>
  </si>
  <si>
    <t>EJRAD</t>
  </si>
  <si>
    <t>Eur. J. Radiol.</t>
  </si>
  <si>
    <t>2-s2.0-85100403266</t>
  </si>
  <si>
    <t>How does the radiology community discuss the benefits and limitations of artificial intelligence for their work? a systematic discourse analysis</t>
  </si>
  <si>
    <t>Shuang K., Gu M., Li R., Loo J., Su S.</t>
  </si>
  <si>
    <t>23089235800;57215826905;57211173105;36652697900;7402030114;</t>
  </si>
  <si>
    <t>Interactive POS-aware network for aspect-level sentiment classification</t>
  </si>
  <si>
    <t>420</t>
  </si>
  <si>
    <t>181</t>
  </si>
  <si>
    <t>196</t>
  </si>
  <si>
    <t>10.1016/j.neucom.2020.08.013</t>
  </si>
  <si>
    <t>https://www.scopus.com/inward/record.uri?eid=2-s2.0-85092335288&amp;doi=10.1016%2fj.neucom.2020.08.013&amp;partnerID=40&amp;md5=d1257a0b84c223095d4bc9167566255f</t>
  </si>
  <si>
    <t>State Key Laboratory of Networking &amp; Switching Technology, Beijing University of Posts and Telecommunications, Beijing, 100876, China; School of Computing and Engineering, University of West LondonW55RF, United Kingdom</t>
  </si>
  <si>
    <t>Shuang, K., State Key Laboratory of Networking &amp; Switching Technology, Beijing University of Posts and Telecommunications, Beijing, 100876, China; Gu, M., State Key Laboratory of Networking &amp; Switching Technology, Beijing University of Posts and Telecommunications, Beijing, 100876, China; Li, R., State Key Laboratory of Networking &amp; Switching Technology, Beijing University of Posts and Telecommunications, Beijing, 100876, China; Loo, J., School of Computing and Engineering, University of West LondonW55RF, United Kingdom; Su, S., State Key Laboratory of Networking &amp; Switching Technology, Beijing University of Posts and Telecommunications, Beijing, 100876, China</t>
  </si>
  <si>
    <t>Existing aspect-level sentiment-classification models completely rely on the learning from given datasets. However, these are easily misled by biased samples, resulting in learning some ill-suited rules that limit their potential. The information of some specific part-of-speech (POS) categories often indicates the word sentiment polarity, which can be introduced as prior knowledge to facilitate prediction of the model. Accordingly, we propose an interactive POS-aware network (IPAN) that explicitly introduces the POS information as reliable guidance to assist the model in accurately predicting sentiment polarity. We distinguish the information of different POS categories using a POS-filter gate and reinforce the features extracted from adjectives, adverbs, and verbs via a POS-highlighting attention mechanism. This enables the model to concentrate on the words that contain significant sentiment orientations and to obtain the most practical learning experience. To emphasize the target information, we construct a target-context gate that enables the interaction of the target information with contexts; consequently, the model considerably focuses on target-related sentiment features. The experiments on SemEval2014 and Twitter datasets verify that our IPAN consistently outperforms the current state-of-the-art methods. © 2020 Elsevier B.V.</t>
  </si>
  <si>
    <t>Aspect-level sentiment classification; Attention mechanism; Gating mechanism; Part-of-speech</t>
  </si>
  <si>
    <t>Learning systems; Predictive analytics; Attention mechanisms; Learning experiences; Part Of Speech; Prior knowledge; Sentiment classification; Sentiment features; State-of-the-art methods; Target information; Classification (of information); accuracy; affect; affective computing; Article; aspect level sentiment analysis; aspect level sentiment classification; association; attention; Bayesian learning; bidirectional long short term memory; big data; book; classification; classification algorithm; computer model; convolutional neural network; data analysis; decision making; decision tree; deep learning; embedding layer; emotional intelligence; emotional orientation; emotionality; fuzzy clustering; gated linear unit; gated recurrent unit; gated ReLU unit; gated Tanh Relu unit; grammar; human; interactive part of speech aware network; knowledge; language development; language network; logistic regression analysis; multi grained attention network; natural language processing; online social network; ontology; orientation; part of speech filter gate mechanism; part of speech highlighting attention mechanism; pre trained language model; prediction; priority journal; psychologic assessment; psychological model; recurrent neural network; reliability; sarcasm detection; semantic feature extraction layer; semantic orientation; semantics; sentiment expression; sentiment lexicon; social data analysis; software; statistical analysis; statistical bias; statistical model; statistical parameters; support vector machine; target context gating mechanism; task performance; thinking; transfer capsule network; trend study; validity; word emotion association; word processing; word sense disambiguation; word sentiment polarity</t>
  </si>
  <si>
    <t>ConceptNet; EmoSenticNet; OntoSenticNet; OpinionFinder; Python; SenticNet; SentiWordNet; WordNet</t>
  </si>
  <si>
    <t>Liu, B., Sentiment analysis and opinion mining (2012) Synthesis Lectures on Human Language Technologies, 5 (1), pp. 1-167; Pang, B., Lee, L., Opinion mining and sentiment analysis (2008) Foundations and Trends® in Information Retrieval, 2 (1-2), pp. 1-135; Tang, D., Qin, B., Feng, X., Liu, T., Effective lstms for target-dependent sentiment classification, arXiv preprint arXiv:1512.01100; Wang, Y., Huang, M., Zhao, L., Attention-based lstm for aspect-level sentiment classification (2016) Proceedings of the 2016 Conference on Empirical Methods in Natural Language Processing, pp. 606-615; Ma, D., Li, S., Zhang, X., Wang, H., Interactive attention networks for aspect-level sentiment classification, arXiv preprint arXiv:1709.00893; Gu, S., Zhang, L., Hou, Y., Song, Y., A position-aware bidirectional attention network for aspect-level sentiment analysis (2018) Proceedings of the 27th International Conference on Computational Linguistics, pp. 774-784; Fan, F., Feng, Y., Zhao, D., Multi-grained attention network for aspect-level sentiment classification (2018) Proceedings of the 2018 Conference on Empirical Methods in Natural Language Processing, pp. 3433-3442; Kroeger, P.R., Analyzing Grammar: An Introduction (2005), Cambridge University Press; Wiebe, J., Learning subjective adjectives from corpora (2000) Aaai/iaai, 20; Hatzivassiloglou, V., Effects of adjective orientation and gradability on sentence subjectivity (2000) Proceedings of Coling, 30 (3), pp. 299-305; Hatzivassiloglou, V., McKeown, K.R., Predicting the semantic orientation of adjectives (1997), pp. 174-181. , Proceedings of the 35th Annual Meeting of the Association for Computational Linguistics and Eighth Conference of the European Chapter of the Association for Computational Linguistics, Association for Computational Linguistics; Hu, M., Liu, B., Mining opinion features in customer reviews (2004), 4, pp. 755-760. , AAAI; Chesley, P., Vincent, B., Xu, L., Srihari, R.K., Using verbs and adjectives to automatically classify blog sentiment (2006) Training, 580 (263), p. 233; Yi, J., Nasukawa, T., Bunescu, R., Niblack, W., Sentiment analyzer: Extracting sentiments about a given topic using natural language processing techniques (2003), pp. 427-434. , Third IEEE International Conference on Data Mining, IEEE; Riloff, E., Wiebe, J., Wilson, T., Learning subjective nouns using extraction pattern bootstrapping (2003), pp. 25-32. , Proceedings of the Seventh Conference on Natural Language Learning at HLT-NAACL 2003-Volume 4, Association for Computational Linguistics; Benamara, F., Cesarano, C., Picariello, A., Reforgiato, D., Subrahmanian, V.S., Sentiment analysis: adjectives and adverbs are better than adjectives alone (2007) Proceedings of the International Conference on Weblogs and Social Media (ICWSM), , short paper; Nicholls, C., Song, F., Improving sentiment analysis with part-of-speech weighting (2009), 3, pp. 1592-1597. , 2009 International Conference on Machine Learning and Cybernetics, IEEE; Khong, W.-H., Soon, L.-K., Goh, H.-N., Haw, S.-C., Leveraging part-of-speech tagging for sentiment analysis in short texts and regular texts (2018), pp. 182-197. , Joint International Semantic Technology Conference, Springer; Fei, G., Liu, B., Hsu, M., Castellanos, M., Ghosh, R., A dictionary-based approach to identifying aspects implied by adjectives for opinion mining (2012), pp. 309-318. , Proceedings of COLING 2012: Posters; Brody, S., Elhadad, N., An unsupervised aspect-sentiment model for online reviews (2010) Human Language Technologies: The 2010 Annual Conference of the North American Chapter of the Association for Computational Linguistics, pp. 804-812. , Association for Computational Linguistics; Pang, B., Lee, L., Vaithyanathan, S., (2002), pp. 79-86. , Thumbs up?: sentiment classification using machine learning techniques, in: Proceedings of the ACL-02 Conference on Empirical Methods in Natural Language Processing-Volume 10, Association for Computational Linguistics; Pei, S., Wang, L., Shen, T., Ning, Z., Da-bert: Enhancing part-of-speech tagging of aspect sentiment analysis using bert (2019), pp. 86-95. , International Symposium on Advanced Parallel Processing Technologies, Springer; Cambria, E., Poria, S., Gelbukh, A., Thelwall, M., Sentiment analysis is a big suitcase (2017) IEEE Intelligent Systems, 32 (6), pp. 74-80; Dragoni, M., Poria, S., Cambria, E., Ontosenticnet: a commonsense ontology for sentiment analysis (2018) IEEE Intelligent Systems, 33 (3), pp. 77-85; Tao, J., Tan, T., Affective computing: a review (2005), pp. 981-995. , International Conference on Affective Computing and Intelligent Interaction, Springer; Glorot, X., Bordes, A., Bengio, Y., Domain adaptation for large-scale sentiment classification: a deep learning approach (2011), ICML; Socher, R., Perelygin, A., Wu, J., Chuang, J., Manning, C.D., Ng, A.Y., Potts, C., Recursive deep models for semantic compositionality over a sentiment treebank (2013) Proceedings of the 2013 Conference on Empirical Methods in Natural Language Processing, pp. 1631-1642; Lau, R.Y., Xia, Y., Ye, Y., A probabilistic generative model for mining cybercriminal networks from online social media (2014) IEEE Computational Intelligence Magazine, 9 (1), pp. 31-43; Cambria, E., Affective computing and sentiment analysis (2016) IEEE Intelligent Systems, 31 (2), pp. 102-107; Cambria, E., Hussain, A., Sentic computing (2012) Marketing, 59 (2), pp. 557-577; Xia, Y., Cambria, E., Hussain, A., Zhao, H., Word polarity disambiguation using bayesian model and opinion-level features (2015) Cognitive Computation, 7 (3), pp. 369-380; Dragoni, M., Tettamanzi, A.G., da Costa Pereira, C., A fuzzy system for concept-level sentiment analysis (2014) Semantic Web Evaluation Challenge, pp. 21-27. , Springer; Araújo, M., Gonçalves, P., Cha, M., Benevenuto, F., ifeel: a system that compares and combines sentiment analysis methods (2014) Proceedings of the 23rd International Conference on World Wide Web, pp. 75-78; Chenlo, J.M., Losada, D.E., An empirical study of sentence features for subjectivity and polarity classification (2014) Information Sciences, 280, pp. 275-288; (2014), pp. 379-420. , J. K.-C. Chung, C.-E. Wu, R. T.-H. Tsai, Improve polarity detection of online reviews with bag-of-sentimental-concepts,in: Proceedings of the 11th ESWC. Semantic Web Evaluation Challenge, Crete. Springer; Bravo-Marquez, F., Mendoza, M., Poblete, B., Meta-level sentiment models for big social data analysis (2014) Knowledge-Based Systems, 69, pp. 86-99; Gezici, G., Dehkharghani, R., Yanikoglu, B., Tapucu, D., Saygin, Y., Su-sentilab: A classification system for sentiment analysis in twitter (2013), 2, pp. 471-477. , Proceedings of the Seventh International Workshop on Semantic Evaluation (SemEval 2013) Second Joint Conference on Lexical and Computational Semantics (* SEM); Recupero, D.R., Presutti, V., Consoli, S., Gangemi, A., Nuzzolese, A.G., Sentilo: frame-based sentiment analysis (2015) Cognitive Computation, 7 (2), pp. 211-225; Ortony, A., Clore, G.L., Collins, A., The Cognitive Structure of Emotions (1990), Cambridge University Press; Wiebe, J., Wilson, T., Cardie, C., Annotating expressions of opinions and emotions in language (2005) Language Resources and Evaluation, 39 (2-3), pp. 165-210; Strapparava, C., Valitutti, A., (2004), 4, p. 40. , Wordnet affect: an affective extension of wordnet., in: Lrec, Citeseer; Esuli, A., Sebastiani, F., (2006), 6, pp. 417-422. , Sentiwordnet: A publicly available lexical resource for opinion mining., in: LREC, Citeseer; Cambria, E., Olsher, D., Rajagopal, D., Senticnet 3: a common and common-sense knowledge base for cognition-driven sentiment analysis (2014), Twenty-eighth AAAI Conference on Artificial Intelligence; Stevenson, R.A., Mikels, J.A., James, T.W., Characterization of the affective norms for english words by discrete emotional categories (2007) Behavior Research Methods, 39 (4), pp. 1020-1024; Somasundaran, S., Wiebe, J., Ruppenhofer, J., Discourse level opinion interpretation; Rao, D., Ravichandran, D., Semi-supervised polarity lexicon induction (2009), pp. 675-682. , Proceedings of the 12th Conference of the European Chapter of the ACL (EACL 2009); Sapountzi, A., Psannis, K.E., Social networking data analysis tools &amp; challenges (2018) Future Generation Computer Systems, 86, pp. 893-913; Oneto, L., Bisio, F., Cambria, E., Anguita, D., Statistical learning theory and elm for big social data analysis (2016) IEEE CompUTATionAl inTelliGenCe mAGAzine, 11 (3), pp. 45-55; Cambria, E., Rajagopal, D., Olsher, D., Das, D., Big social data analysis (2013) Big Data Computing, 13, pp. 401-414; Cambria, E., Schuller, B., Liu, B., Wang, H., Havasi, C., Knowledge-based approaches to concept-level sentiment analysis (2013) IEEE Intelligent Systems, 28 (2), pp. 12-14; Cambria, E., Schuller, B., Liu, B., Wang, H., Havasi, C., Statistical approaches to concept-level sentiment analysis (2013) IEEE Intelligent Systems, 28 (3), pp. 6-9; Gangemi, A., Presutti, V., Recupero, D.R., Frame-based detection of opinion holders and topics: a model and a tool (2014) IEEE Computational Intelligence Magazine, 9 (1), pp. 20-30; Poria, S., Cambria, E., Gelbukh, A., Bisio, F., Hussain, A., Sentiment data flow analysis by means of dynamic linguistic patterns (2015) IEEE Computational Intelligence Magazine, 10 (4), pp. 26-36; Tang, D., Wei, F., Yang, N., Zhou, M., Liu, T., Qin, B., Learning sentiment-specific word embedding for twitter sentiment classification (2014), pp. 1555-1565. , Proceedings of the 52nd Annual Meeting of the Association for Computational Linguistics (Volume 1: Long Papers); Tang, D., Wei, F., Qin, B., Liu, T., Zhou, M., Coooolll: A deep learning system for twitter sentiment classification (2014), pp. 208-212. , Proceedings of the 8th International Workshop on Semantic Evaluation (SemEval 2014); Dos Santos, C., Gatti, M., Deep convolutional neural networks for sentiment analysis of short texts (2014) Proceedings of COLING 2014, the 25th International Conference on Computational Linguistics: Technical Papers, pp. 69-78; Turney, P.D., Littman, M.L., Measuring praise and criticism: inference of semantic orientation from association (2003) ACM Transactions on Information Systems (TOIS), 21 (4), pp. 315-346; Yang, S.-C., Liu, M.-J., Ysc-dsaa: an approach to disambiguate sentiment ambiguous adjectives based on saaol (2010) Proceedings of the 5th International Workshop on Semantic Evaluation, pp. 440-443; Ding, X., Liu, B., Yu, P.S., A holistic lexicon-based approach to opinion mining (2008) Proceedings of the 2008 International Conference on Web Search and Data Mining, pp. 231-240; Qiu, L., Zhang, W., Hu, C., Zhao, K., Selc: a self-supervised model for sentiment classification (2009) Proceedings of the 18th ACM Conference on Information and Knowledge Management, pp. 929-936; Wilson, T., Wiebe, J., Hoffmann, P., Recognizing contextual polarity in phrase-level sentiment analysis (2005) Proceedings of Human Language Technology Conference and Conference on Empirical Methods in Natural Language Processing, pp. 347-354; Lu, B., Tsou, B.K., Cityu-dac: disambiguating sentiment-ambiguous adjectives within context (2010) Proceedings of the 5th International Workshop on Semantic Evaluation, pp. 292-295; Pak, A., Paroubek, P., Twitter based system: using twitter for disambiguating sentiment ambiguous adjectives (2010) Proceedings of the 5th International Workshop on Semantic Evaluation, pp. 436-439; Wu, Y., Wen, M., Disambiguating dynamic sentiment ambiguous adjectives (2010), pp. 1191-1199. , Proceedings of the 23rd International Conference on Computational Linguistics (coling 2010); Duque, A., Stevenson, M., Martinez-Romo, J., Araujo, L., Co-occurrence graphs for word sense disambiguation in the biomedical domain (2018) Artificial Intelligence in Medicine, 87, pp. 9-19; Bevilacqua, M., Navigli, R., Breaking through the 80% glass ceiling: Raising the state of the art in word sense disambiguation by incorporating knowledge graph information (2020) Proceedings of the 58th Annual Meeting of the Association for Computational Linguistics, pp. 2854-2864; Bharti, S.K., Babu, K.S., Jena, S.K., Parsing-based sarcasm sentiment recognition in twitter data (2015), pp. 1373-1380. , 2015 IEEE/ACM International Conference on Advances in Social Networks Analysis and Mining (ASONAM), IEEE; Davidov, D., Tsur, O., Rappoport, A., Semi-supervised recognition of sarcasm in twitter and amazon (2010) Proceedings of the Fourteenth Conference on Computational Natural Language Learning, pp. 107-116; Tsur, O., Davidov, D., Rappoport, A., Icwsm—a great catchy name: semi-supervised recognition of sarcastic sentences in online product reviews (2010) Fourth International AAAI Conference on Weblogs and Social Media; Kreuz, R., Caucci, G., Lexical influences on the perception of sarcasm (2007), pp. 1-4. , Proceedings of the Workshop on computational approaches to Figurative Language; Reyes, A., Rosso, P., Veale, T., A multidimensional approach for detecting irony in twitter (2013) Language Resources and Evaluation, 47 (1), pp. 239-268; Bamman, D., Smith, N.A., Contextualized sarcasm detection on twitter (2015), Ninth International AAAI Conference on Web and Social Media; Mukherjee, S., Bala, P.K., Sarcasm detection in microblogs using naïve bayes and fuzzy clustering (2017) Technology in Society, 48, pp. 19-27; Amir, S., Wallace, B.C., Lyu, H., Silva, P.C.M.J., Modelling context with user embeddings for sarcasm detection in social media, arXiv preprint arXiv:1607.00976; Ghosh, A., Veale, T., Fracking sarcasm using neural network (2016), pp. 161-169. , Proceedings of the 7th Workshop on Computational Approaches to Subjectivity, Sentiment and Social Media Analysis; Majumder, N., Poria, S., Peng, H., Chhaya, N., Cambria, E., Gelbukh, A., Sentiment and sarcasm classification with multitask learning (2019) IEEE Intelligent Systems, 34 (3), pp. 38-43; Wiebe, J., Riloff, E., Creating subjective and objective sentence classifiers from unannotated texts (2005) International Conference on Intelligent Text Processing and Computational Linguistics, pp. 486-497. , Springer; Cambria, E., Poria, S., Bajpai, R., Schuller, B., Senticnet 4: a semantic resource for sentiment analysis based on conceptual primitives (2016) Proceedings of COLING 2016, the 26th International Conference on Computational Linguistics: Technical papers, pp. 2666-2677; Liu, H., Singh, P., Conceptnet—a practical commonsense reasoning tool-kit (2004) BT Technology Journal, 22 (4), pp. 211-226; Poria, S., Gelbukh, A., Cambria, E., Hussain, A., Huang, G.-B., Emosenticspace: a novel framework for affective common-sense reasoning (2014) Knowledge-Based Systems, 69, pp. 108-123; Xu, F., Yu, J., Xia, R., Instance-based domain adaptation via multiclustering logistic approximation (2018) IEEE Intelligent Systems, 33 (1), pp. 78-88; Rao, Y., Contextual sentiment topic model for adaptive social emotion classification (2015) IEEE Intelligent Systems, 31 (1), pp. 41-47; Yang, Q., Rao, Y., Xie, H., Wang, J., Wang, F.L., Chan, W.H., Cambria, E.C., Segment-level joint topic-sentiment model for online review analysis (2019) IEEE Intelligent Systems, 34 (1), pp. 43-50; Jin, H., Huang, M., Zhu, X., Sentiment analysis with multi-source product reviews (2012), pp. 301-308. , International Conference on Intelligent Computing, Springer; Qiu, G., Liu, B., Bu, J., Chen, C., Opinion word expansion and target extraction through double propagation (2011) Computational Linguistics, 37 (1), pp. 9-27; Zhao, W.X., Jiang, J., Yan, H., Li, X., Jointly modeling aspects and opinions with a maxent-lda hybrid (2010), pp. 56-65. , Proceedings of the 2010 Conference on Empirical Methods in Natural Language Processing, Association for Computational Linguistics; Turney, P.D., Thumbs up or thumbs down?: semantic orientation applied to unsupervised classification of reviews (2002), pp. 417-424. , Proceedings of the 40th Annual Meeting on Association for Computational Linguistics, Association for Computational Linguistics; Devlin, J., Chang, M.-W., Lee, K., Toutanova, K., (1810), Bert: Pre-training of deep bidirectional transformers for language understanding, arXiv preprint arXiv04805; Tran, T.U., Hoang, H.T.-T., Huynh, H.X., Bidirectional independently long short-term memory and conditional random field integrated model for aspect extraction in sentiment analysis (2020) Frontiers in Intelligent Computing: Theory and Applications, pp. 131-140. , Springer; Weichselbraun, A., Gindl, S., Fischer, F., Vakulenko, S., Scharl, A., Aspect-based extraction and analysis of affective knowledge from social media streams (2017) IEEE Intelligent Systems, 32 (3), pp. 80-88; Mitchell, M., Aguilar, J., Wilson, T., (2013), pp. 1643-1654. , B. Van Durme, Open domain targeted sentiment, in: Proceedings of the 2013 Conference on Empirical Methods in Natural Language Processing; Hochreiter, S., Schmidhuber, J., Long short-term memory (1997) Neural Computation, 9 (8), pp. 1735-1780; Chung, J., Gulcehre, C., Cho, K., Bengio, Y., Empirical evaluation of gated recurrent neural networks on sequence modeling, arXiv preprint arXiv:1412.3555; Hinton, G.E., Krizhevsky, A., Wang, S.D., Transforming auto-encoders (2011) International Conference on Artificial Neural Networks, pp. 44-51. , Springer; Sabour, S., Frosst, N., Hinton, G.E., Dynamic routing between capsules (2017), pp. 3856-3866. , Advances in Neural Information Processing Systems; Tang, D., Qin, B., Liu, T., Aspect level sentiment classification with deep memory network, arXiv preprint arXiv:1605.08900; Yang, T., Yin, Q., Yang, L., Wu, O., Aspect-based sentiment analysis with new target representation and dependency attention, IEEE Transactions on Affective Computing; Yang, M., Yin, W., Qu, Q., Tu, W., Shen, Y., Chen, X., Neural attentive network for cross-domain aspect-level sentiment classification, IEEE Transactions on Affective Computing; Wang, Y., Sun, A., Huang, M., Zhu, X., Aspect-level sentiment analysis using as-capsules (2019), pp. 2033-2044. , The World Wide Web Conference; Chen, Z., Qian, T., Transfer capsule network for aspect level sentiment classification (2019) Proceedings of the 57th Annual Meeting of the Association for Computational Linguistics, pp. 547-556; Peters, M.E., Neumann, M., Iyyer, M., Gardner, M., Clark, C., Lee, K., Zettlemoyer, L., (1802), Deep contextualized word representations, arXiv preprint arXiv05365; Radford, A., Narasimhan, K., Salimans, T., Sutskever, I., https://s3-us-west-2.amazonaws.com/openai-assets/researchcovers/languageunsupervised/language understanding paper.pdf, Improving language understanding by generative pre-training; Sun, C., Huang, L., Qiu, X., (1903), Utilizing bert for aspect-based sentiment analysis via constructing auxiliary sentence, arXiv preprint arXiv09588; Xu, H., Liu, B., Shu, L., Yu, P.S., (1904), Bert post-training for review reading comprehension and aspect-based sentiment analysis, arXiv preprint arXiv02232; Liu, X., He, P., Chen, W., Gao, J., (1901), Multi-task deep neural networks for natural language understanding, arXiv preprint arXiv11504; Song, Y., Wang, J., Liang, Z., Liu, Z., Jiang, T., (2002), Utilizing bert intermediate layers for aspect based sentiment analysis and natural language inference, arXiv preprint arXiv04815; Jozefowicz, R., Vinyals, O., Schuster, M., Shazeer, N., Wu, Y., Exploring the limits of language modeling, arXiv preprint arXiv:1602.02410; Dauphin, Y.N., Fan, A., Auli, M., Grangier, D., Language modeling with gated convolutional networks (2017), pp. 933-941. , Proceedings of the 34th International Conference on Machine Learning-Volume 70, JMLR. org; Gehring, J., Auli, M., Grangier, D., Yarats, D., Dauphin, Y.N., Convolutional sequence to sequence learning (2017), pp. 1243-1252. , Proceedings of the 34th International Conference on Machine Learning-Volume 70, JMLR. org; Zhang, M., Zhang, Y., Vo, D.-T., Gated neural networks for targeted sentiment analysis (2016), Thirtieth AAAI Conference on Artificial Intelligence; Liu, J., Zhang, Y., Attention modeling for targeted sentiment (2017), 2, pp. 572-577. , Proceedings of the 15th Conference of the European Chapter of the Association for Computational Linguistics: Short Papers; Xue, W., Li, T., (1805), Aspect based sentiment analysis with gated convolutional networks, arXiv preprint arXiv07043; Pennington, J., Socher, R., Manning, C., Glove: Global vectors for word representation (2014) Proceedings of the 2014 Conference on Empirical Methods in Natural Language Processing (EMNLP), pp. 1532-1543; Abadi, M., Barham, P., Chen, J., Chen, Z., Davis, A., Dean, J., Devin, M., Isard, M., (2016), pp. 265-283. , Tensorflow: a system for large-scale machine learning, in: 12th {USENIX} Symposium on Operating Systems Design and Implementation ({OSDI} 16); Kingma, D.P., Ba, J., Adam: a method for stochastic optimization, arXiv preprint arXiv:1412.6980; Pontiki, M., Galanis, D., Pavlopoulos, J., Papageorgiou, H., Androutsopoulos, I., Manandhar, S., Semeval-2014 task 4: aspect based sentiment analysis (2014) Proceedings of International Workshop on Semantic Evaluation at, pp. 27-35; Dong, L., Wei, F., Tan, C., Tang, D., Zhou, M., Xu, K., Adaptive recursive neural network for target-dependent twitter sentiment classification (2014), 2, pp. 49-54. , Proceedings of the 52nd Annual Meeting of the Association for Computational linguistics L(volume 2: Short papers); Chen, P., Sun, Z., Bing, L., Yang, W., Recurrent attention network on memory for aspect sentiment analysis (2017) Proceedings of the 2017 Conference on Empirical Methods in Natural Language Processing, pp. 452-461; Li, X., Bing, L., Lam, W., Shi, B., (1805), Transformation networks for target-oriented sentiment classification, arXiv preprint arXiv01086; Kalchbrenner, N., Espeholt, L., Simonyan, K., A. v. d. Oord, A. Graves, K. Kavukcuoglu, Neural machine translation in linear time, arXiv preprint arXiv:1610.10099; Zou, Y., Gui, T., Zhang, Q., Huang, X., A lexicon-based supervised attention model for neural sentiment analysis (2018), pp. 868-877. , Proceedings of the 27th International Conference on Computational Linguistics, Association for Computational Linguistics, Santa Fe, New Mexico, USA</t>
  </si>
  <si>
    <t>2-s2.0-85092335288</t>
  </si>
  <si>
    <t>Interactive pos-aware network for aspect-level sentiment classification</t>
  </si>
  <si>
    <t>Hamed A., Kursa M.B.</t>
  </si>
  <si>
    <t>18835306400;57221192389;</t>
  </si>
  <si>
    <t>Inter-individual differences in serotonin and glutamate co-transmission reflect differentiation in context-induced conditioned 50-kHz USVs response after morphine withdrawal</t>
  </si>
  <si>
    <t>Brain Structure and Function</t>
  </si>
  <si>
    <t>223</t>
  </si>
  <si>
    <t>3149</t>
  </si>
  <si>
    <t>3167</t>
  </si>
  <si>
    <t>10.1007/s00429-018-1683-4</t>
  </si>
  <si>
    <t>https://www.scopus.com/inward/record.uri?eid=2-s2.0-85047163936&amp;doi=10.1007%2fs00429-018-1683-4&amp;partnerID=40&amp;md5=6b97f3075ac3f846517f7c85162eb0cd</t>
  </si>
  <si>
    <t>Laboratory of Spatial Memory, Department of Cellular and Molecular Biology, Nencki Institute of Experimental Biology, Polish Academy of Sciences, 3 Pasteur Street, Warsaw, 02-093, Poland; Interdisciplinary Centre for Mathematical and Computational Modelling, University of Warsaw, Pawinskiego 5A, Warsaw, 02-106, Poland</t>
  </si>
  <si>
    <t>Hamed, A., Laboratory of Spatial Memory, Department of Cellular and Molecular Biology, Nencki Institute of Experimental Biology, Polish Academy of Sciences, 3 Pasteur Street, Warsaw, 02-093, Poland; Kursa, M.B., Interdisciplinary Centre for Mathematical and Computational Modelling, University of Warsaw, Pawinskiego 5A, Warsaw, 02-106, Poland</t>
  </si>
  <si>
    <t>A growing body of research provides compelling evidence that in rats 50-kHz USVs are a form of expression of positive emotions. Context-induced 50-kHz USVs emission is variable among rats, indicating individual differences in contextual response bound up with pharmacological reward. The aims of this study were to: extract the most important neurotransmitters related to context-induced conditioned 50-kHz USVs response; find biological basis of existing inter-individual differences in context-induced conditioned 50-kHz USVs response; create a model of all-to-all neurotransmitters correlations. The data collected here confirms that re-exposure to the context of morphine administration after the withdrawal period increases the level of 50-kHz USVs and this contextual response is associated with elevated serotonin concentrations in amygdala, hippocampus and mPFC and with increased Glu/Gln ratio in nucleus accumbens. The concentration of serotonin increases simultaneously in amygdala, nucleus accumbens and hippocampus. Moreover, 5-HT concentration in amygdala is bound up with glutamate level in this structure as well as in hippocampus. Furthermore, Glu/Gln ratio in nucleus accumbens has strong associations with Glu/Gln ratio simultaneously in VTA, amygdala, striatum and hippocampus. All-to-all-analysis indicate that concentration of glutamate in hippocampus is proportional to glutamate in VTA and GABA concentration in the hippocampus. We have also demonstrated that Glu/GABA ratio in VTA and amygdala was elevated after post withdrawal re-exposure to the pharmacological reward paired context. Presented analysis indicates a strong correlation between serotonergic and glutamatergic systems in context-induced conditioned response. The strength of this co-transmission correlates with the number of 50-kHz USVs emitted in response to morphine-paired context. © 2018, The Author(s).</t>
  </si>
  <si>
    <t>5-HT; Amygdala; Co-transmission; Context conditioning; Context-induced; GABA; Glu/Gln ratio; Glutamate; Incubation of craving; Inter-individual differences;; Machine learning; Morphine; Neurochemistry; Nucleus accumbens; Reward; Serotonin; Ultrasonic vocalization; USVs</t>
  </si>
  <si>
    <t>3 o methyldopamine; 3,4 dihydroxyphenylacetic acid; 4 aminobutyric acid; 4 hydroxy 3 methoxyphenylethylene glycol; 5 hydroxyindoleacetic acid; alanine; dopamine; glutamic acid; glutamine; homovanillic acid; morphine; noradrenalin; serotonin; taurine; 4 aminobutyric acid; glutamic acid; serotonin; adult; amino acid transport; amygdala; animal experiment; Article; conditioned reflex; controlled study; corpus striatum; hippocampus; male; medial prefrontal cortex; nonhuman; nucleus accumbens; priority journal; rat; reward; separation-induced ultrasonic vocalization test; serotoninergic transmission; animal; animal behavior; brain; conditioning; disease model; metabolism; opiate addiction; pathophysiology; psychology; Sprague Dawley rat; synaptic transmission; time factor; ultrasound; vocalization; withdrawal syndrome; Animals; Behavior, Animal; Brain; Conditioning (Psychology); Disease Models, Animal; gamma-Aminobutyric Acid; Glutamic Acid; Male; Morphine; Opioid-Related Disorders; Rats, Sprague-Dawley; Reward; Serotonin; Substance Withdrawal Syndrome; Synaptic Transmission; Time Factors; Ultrasonic Waves; Vocalization, Animal</t>
  </si>
  <si>
    <t>3 o methyldopamine, 554-52-9; 3,4 dihydroxyphenylacetic acid, 102-32-9; 4 aminobutyric acid, 28805-76-7, 56-12-2; 4 hydroxy 3 methoxyphenylethylene glycol, 534-82-7; 5 hydroxyindoleacetic acid, 1321-73-9, 54-16-0; alanine, 56-41-7, 6898-94-8; dopamine, 51-61-6, 62-31-7; glutamic acid, 11070-68-1, 138-15-8, 56-86-0, 6899-05-4; glutamine, 56-85-9, 6899-04-3; homovanillic acid, 306-08-1; morphine, 52-26-6, 57-27-2; noradrenalin, 1407-84-7, 51-41-2; serotonin, 50-67-9; taurine, 107-35-7; gamma-Aminobutyric Acid; Glutamic Acid; Morphine; Serotonin</t>
  </si>
  <si>
    <t>Abdolahi, A., Acosta, G., Breslin, F.J., Hemby, S.E., Lynch, W.J., Incubation of nicotine seeking is associated with enhanced protein kinase A-regulated signaling of dopamine- and cAMP-regulated phosphoprotein of 32 kDa in the insular cortex (2010) Eur J Neurosci, 31, pp. 733-741. , PID: 20384816; Abrams, D.B., Monti, P.M., Carey, K.B., Pinto, R.P., Jacobus, S.I., Reactivity to smoking cues and relapse: two studies of discriminant validity (1988) Behav Res Ther, 26, pp. 225-233. , PID: 3408457; Ahrens, A.M., Ma, S.T., Maier, E.Y., Duvauchelle, C.L., Schallert, T., Repeated intravenous amphetamine exposure: rapid and persistent sensitization of 50-kHz ultrasonic trill calls in rats (2009) Behav Brain Res, 197 (1), pp. 205-209. , PID: 18809437; Akirav, I., Richter-Levin, G., Priming stimulation in the basolateral amygdala modulates synaptic plasticity in the rat dentate gyrus (1999) Neurosci Lett, 270, pp. 83-86. , PID: 10462103; Bechtholt-Gompf, A.J., Walther, H.V., Adams, M.A., Carlezon, W.A., Jr., Ongür, D., Cohen, B.M., Blockade of astrocytic glutamate uptake in rats induces signs of anhedonia and impaired spatial memory (2010) Neuropsychopharmacology, 35 (10), pp. 2049-2059. , PID: 20531459; Benjamini, Y., Hochberg, Y., Controlling the false discovery rate: a practical and powerful approach to multiple testing (1995) J R Stat Soc Ser B, 57 (1), pp. 289-300; Berridge, K.C., The debate over dopamine’s role in reward: the case for incentive salience (2007) Psychopharmacology, 191, pp. 391-431. , PID: 17072591; Bosker, F.J., Cremers, T.I., Jongsma, M.E., Westerink, B.H., Wikström, H.V., den Boer, J.A., Acute and chronic effects of citalopram on postsynaptic 5-hydroxytryptamine(1A) receptor-mediated feedback: a microdialysis study in the amygdala (2001) J Neurochem, 76 (6), pp. 1645-1653. , PID: 11259482; Breiman, L., Random forests (2001) Mach Learn, 45, pp. 5-32; Britt, J.P., Benaliouad, F., McDevitt, R.A., Stuber, G.D., Wise, R.A., Bonci, A., Synaptic and behavioral profile of multiple glutamatergic inputs to the nucleus accumbens (2012) Neuron, 76, pp. 790-803. , PID: 23177963; Bromberg-Martin, E.S., Matsumoto, M., Hikosaka, O., Dopamine in motivational control: rewarding, aversive, and alerting (2010) Neuron, 68 (5), pp. 815-834. , PID: 21144997; Brown, P., Molliver, M.E., Dual serotonin (5-HT) projections to the nucleus accumbens core and shell: relation of the 5-HT transporter to amphetamine-induced neurotoxicity (2000) J Neurosci, 20 (5), pp. 1952-1963. , PID: 10684896; Brudzynski, S.M., Ethotransmission: communication of emotional states through ultrasonic vocalization in rats (2013) Curr Opin Neurobiol, 23, pp. 310-317. , PID: 23375168; Brudzynski, S.M., Ethotransmission: communication of emotional states through ultrasonic vocalization in rats (2013) Curr Opin Neurobiol, 23 (3), pp. 310-317. , PID: 23375168; Brudzynski, S.M., Pniak, A., Social contacts and production of 50-kHz short ultrasonic calls in adult rats (2002) J Comp Psychol, 116 (1), pp. 73-82. , PID: 11926686; Brudzynski, S.M., Silkstone, M., Komadoski, M., Scullion, K., Duffus, S., Burgdorf, J., Kroes, R.A., Panksepp, J., Effects of intraaccumbens amphetamine on production of 50kHz vocalizations in three lines of selectively bred Long–Evans rats (2011) Behav Brain Res, 217 (1), pp. 32-40. , PID: 20937325; Buck, C.L., Vendruscolo, L.F., Koob, G.F., George, O., Dopamine D1 and mu-opioid receptor antagonism blocks anticipatory 50kHz ultrasonic vocalizations induced by palatable food cues in Wistar rats (2014) Psychopharmacology, 231, pp. 929-937. , PID: 24221826; Bunzeck, N., Guitart-Masip, M., Dolan, R.J., Düzel, E., Contextual novelty modulates the neural dynamics of reward anticipation (2011) J Neurosci, 31 (36), pp. 12816-12822. , PID: 21900560; Burgdorf, J., Knutson, B., Panksepp, J., Anticipation of rewarding electrical brain stimulation evokes ultrasonic vocalization in rats (2000) Behav Neurosci, 114 (2), pp. 320-327. , PID: 10832793; Burgdorf, J., Knutson, B., Panksepp, J., Ikemoto, S., Nucleus accumbens amphetamine microinjections unconditionally elicit 50-kHz ultrasonic vocalization in rats (2001) Behav Neurosci, 115, pp. 940-944. , PID: 11508733; Burgdorf, J., Wood, P., Kroes, R., Moskal, J., Panksepp, J., Neurobiology of 50 kHz ultrasonic vocalization in rats: electrode mapping, lesion, and pharmacology studies (2007) Behav Brain Res, 182, pp. 274-283. , PID: 17449117; Burgdorf, J., Colechio, E.M., Stanton, P., Panksepp, J., Positive emotional learning induces resilience to depression: a role for NMDA receptor-mediated synaptic plasticity (2017) Curr Neuropharmacol, 15 (1), pp. 3-10. , PID: 27102428; Cohen, J.Y., Haesler, S., Vong, L., Lowell, B.B., Uchida, N., Neuron-type-specific signals for reward and punishment in the ventral tegmental area (2012) Nature, 482, pp. 85-88. , PID: 22258508; Conrad, K.L., Tseng, K.Y., Uejima, J.L., Reimers, J.M., Heng, L.J., Shaham, Y., Marinelli, M., Wolf, M.E., Formation of accumbens GluR2-lacking AMPA receptors mediates incubation of cocaine craving (2008) Nature, 454, pp. 118-121. , PID: 18500330; Costa, G., Morelli, M., Simola, N., Involvement of glutamate NMDA receptors in the acute, long-term, and conditioned effects of amphetamine on rat 50kHz ultrasonic vocalizations (2015) Int J Neuropsychopharmacol, 18 (11), p. pyv057. , PID: 25991653; Cremers, T.I., de Boer, P., Liao, Y., Bosker, F.J., den Boer, J.A., Westerink, B.H., Wikström, H.V., Augmentation with a 5-HT(1A), but not a 5-HT(1B) receptor antagonist critically depends on the dose of citalopram (2000) Eur J Pharmacol, 397 (1), pp. 63-74. , PID: 10844100; Dayan, P., Balleine, B.W., Reward, motivation, and reinforcement learning (2002) Neuron, 36, pp. 285-298. , PID: 12383782; Drummond, D.C., What does cue-reactivity have to offer clinical research? (2000) Addiction, 95, pp. 129-144; Drummond, D.C., Cooper, T., Glautier, S.P., Conditioned learning in alcohol dependence: implications for cue exposure treatment (1990) Br J Addict, 85, pp. 725-743. , PID: 2198966; French, S.J., Totterdell, S., Individual nucleus accumbens-projection neurons receive both basolateral amygdala and ventral subicular afferents in rats (2003) Neuroscience, 119 (1), pp. 19-31. , PID: 12763065; Friedman, D.P., Aggleton, J.P., Saunders, R.C., Comparison of hippocampal, amygdala, and perirhinal projections to the nucleus accumbens: combined anterograde and retrograde tracing study in the macaque brain (2002) J Comp Neurol, 450, pp. 345-365. , PID: 12209848; Fu, X.W., Brudzynski, S.M., High-frequency ultrasonic vocalization induced by intracerebral glutamate in rats (1994) Pharmacol Biochem Behav, 49 (4), pp. 835-841. , PID: 7886095; Funk, D., Coen, K., Tamadon, S., Hope, B.T., Shaham, Y., Lê, A., Role of central amygdala neuronal ensembles in incubation of nicotine (2016) Craving J Neurosci, 36 (33), pp. 8612-8623. , PID: 27535909; Gawin, F.H., Kleber, H.D., Abstinence symptomatology and psychiatric diagnosis in cocaine abusers. Clinical observations (1986) Arch Gen Psychiatry, 43, pp. 107-113. , PID: 3947206; George, M.S., Anton, R.F., Bloomer, C., Teneback, C., Drobes, D.J., Lorberbaum, J.P., Nahas, Z., Vincent, D.J., Activation of prefrontal cortex and anterior thalamus in alcoholic subjects on exposure to alcohol-specific cues (2001) Arch Gen Psychiatry, 58, pp. 345-352. , PID: 11296095; Gill, K.M., Grace, A.A., Heterogeneous processing of amygdala and hippocampal inputs in the rostral and caudal subregions of the nucleus accumbens (2011) Int J Neuropsychopharmacol, 14 (10), pp. 1301-1314. , PID: 21211108; Grimm, J.W., Hope, B.T., Wise, R.A., Shaham, Y., Neuroadaptation. Incubation of cocaine craving after withdrawal (2001) Nature, 412, pp. 141-142. , PID: 11449260; Grimm, J.W., Shaham, Y., Hope, B.T., Effect of cocaine and sucrose withdrawal period on extinction behavior, cue-induced reinstatement, and protein levels of the dopamine transporter and tyrosine hydroxylase in limbic and cortical areas in rats (2002) Behav Pharmacol, 13, pp. 379-388. , PID: 12394414; Groenewegen, H.J., Vermeulen-Van der Zee, E., te Kortschot, A., Witter, M.P., Organization of the projections from the subiculum to the ventral striatum in the rat. A study using anterograde transport of Phaseolus vulgaris leucoagglutinin (1987) Neuroscience, 23 (1), pp. 103-120. , PID: 3683859; Hall, J., Thomas, K.L., Everitt, B.J., Cellular imaging of zif268 expression in the hippocampus and amygdala during contextual and cued fear memory retrieval: selective activation of hippocampal CA1 neurons during the recall of contextual memories (2001) J Neurosci, 21, pp. 2186-2193. , PID: 11245703; Hamed, A., Jaroszewski, T., Maciejak, P., Szyndler, J., Lehner, M., Kamecka, I., Plaznik, A., The effects of buspirone and diazepam on aversive context- and social isolation-induced ultrasonic vocalization (2009) Physiol Behav, 98, pp. 474-480. , PID: 19660481; Hamed, A., Taracha, E., Szyndler, J., Krząścik, P., Lehner, M., Maciejak, P., Skórzewska, A., Płaźnik, A., The effects of morphine and morphine conditioned context on 50kHz ultrasonic vocalisation in rats (2012) Behav Brain Res, 229 (2), pp. 447-450. , PID: 22326697; Hamed, A., Szyndler, J., Taracha, E., Turzyńska, D., Sobolewska, A., Lehner, M., Krząścik, P., Daszczuk, P., κ-opioid receptor as a key mediator in the regulation of appetitive 50-kHz ultrasonic vocalizations (2015) Psychopharmacology, 232 (11), pp. 1941-1955. , PID: 25466704; Hamed, A., Daszczuk, P., Kursa, M.B., Turzyńska, D., Sobolewska, A., Lehner, M., Boguszewski, P.M., Szyndler, J., Non-parametric analysis of neurochemical effects and Arc expression in amphetamine-induced 50-kHz ultrasonic vocalization (2016) Behav Brain Res, 312, pp. 174-185. , PID: 27288591; Herberg, L.J., Rose, I.C., Excitatory amino acid pathways in brain-stimulation reward (1990) Behav Brain Res, 20 (3), pp. 230-239; Hernández-Rabaza, V., Hontecillas-Prieto, L., Velázquez-Sánchez, C., Ferragud, A., Pérez-Villaba, A., Arcusa, A., Barcia, J.A., Canales, J.J., The hippocampal dentate gyrus is essential for generating contextual memories of fear and drug-induced reward (2008) Neurobiol Learn Mem, 90, pp. 553-559. , PID: 18644245; Hertz, L., Functional interactions between neurons and astrocytes I. Turnover and metabolism of putative amino acid transmitters (1979) Prog Neurobiol, 13 (3), pp. 277-323. , PID: 42117; Hinton, D.J., Lee, M.R., Jacobson, T.L., Mishra, P.K., Frye, M.A., Mrazek, D.A., Macura, S.I., Doo-Sup, C., Ethanol withdrawal-induced brain metabolites and the pharmacological effects of acamprosate in mice lacking ENT1 (2012) Neuropharmacology, 62 (8), pp. 2480-2488. , PID: 22616110; Hnasko, T.S., Sotak, B.N., Palmiter, R.D., Morphine reward in dopamine-deficient mice (2005) Nature, 438 (7069), pp. 854-857. , PID: 16341013; Hnasko, T.S., Sotak, B.N., Palmiter, R.D., Cocaine-conditioned place preference by dopamine-deficient mice is mediated by serotonin (2007) J Neurosci, 27 (46), pp. 12484-12488. , PID: 18003826; Hollup, S.A., Molden, S., Donnett, J.G., Moser, M.B., Moser, E.I., Place fields of rat hippocampal pyramidal cells and spatial learning in the watermaze (2001) Eur J Neurosci, 13 (6), pp. 1197-1208. , PID: 11285017; Holm, S., A simple sequentially rejective multiple test procedure (1979) Scand J Stat, 6, pp. 65-70; Ikegaya, Y., Saito, H., Abe, K., Attenuated hippocampal longterm potentiation in basolateral amygdala-lesioned rats (1994) Brain Res, 656, pp. 157-164. , PID: 7804830; Ikegaya, Y., Saito, H., Abe, K., Dentate gyrus field potentials evoked by stimulation of the basolateral amygdaloid nucleus in anesthetized rats (1996) Brain Res, 718, pp. 53-60. , PID: 8773766; Ikegaya, Y., Saito, H., Abe, K., The basomedial and basolateral amygdaloid nuclei contribute to the induction of long-term potentiation in the dentate gyrus in vivo (1996) Eur J Neurosci, 8, pp. 1833-1839. , PID: 8921274; Ikemoto, S., Dopamine reward circuitry: two projection systems from the ventral midbrain to the nucleus accumbens–olfactory tubercle complex (2007) Brain Res Rev, 56, pp. 27-78. , PID: 17574681; Ito, R., Robbins, T.W., McNaughton, B.L., Everitt, B.J., Selective excitotoxic lesions of the hippocampus and basolateral amygdala have dissociable effects on appetitive cue and place conditioning based on path integration in a novel Y-maze procedure (2006) Eur J Neurosci, 23 (11), pp. 3071-3080. , PID: 16819997; Ito, R., Robbins, T.W., Pennartz, C.M., Everitt, B.J., Functional interaction between the hippocampus and nucleus accumbens shell is necessary for the acquisition of appetitive spatial context conditioning (2008) J Neurosci, 28 (27), pp. 6950-6959. , PID: 18596169; John, C.S., Smith, K.L., Van’t Veer, A., Gompf, H.S., Carlezon, W.A., Jr., Cohen, B.M., Öngür, D., Bechtholt-Gompf, A.J., Blockade of astrocytic glutamate uptake in the prefrontal cortex induces anhedonia (2012) Neuropsychopharmacology, 37 (11), pp. 2467-2475. , PID: 22739467; Johnson, S.W., North, R.A., Opioids excite dopamine neurons by hyperpolarization of local interneurons (1992) J Neurosci, 12 (2), pp. 483-488. , PID: 1346804; Johnson, L.R., Aylward, R.L., Hussain, Z., Totterdell, S., Input from the amygdala to the rat nucleus accumbens: its relationship with tyrosine hydroxylase immunoreactivity and identified neurons (1994) Neuroscience, 61 (4), pp. 851-865. , PID: 7530817; Kaneda, N., Asano, M., Nagatsu, T., Simple method for simultaneous determination of acetylcholine, choline, noradrenaline, dopamine and serotonin in brain tissue by high-performance liquid chromatography with electrochemical detection (1986) J Chromatogr, 36, pp. 211-218; Knutson, B., Burgdorf, J., Panksepp, J., Anticipation of play elicits high-frequency ultrasonic vocalizations in young rats (1998) J Comp Psychol, 112, pp. 65-73. , PID: 9528115; Knutson, B., Burgdorf, J., Panksepp, J., High-frequency ultrasonic vocalizations index conditioned pharmacological reward in rats (1999) Physiol Behav, 66 (4), pp. 639-643. , PID: 10386908; Koob, G.F., Drug of abuse: anatomy, pharmacology and function of reward pathways (1992) Trands Pharmacol Sci, 13, pp. 177-184; Kursa, M.B., Rudnicki, W.R., Feature selection with the Boruta Package (2010) J Stat Softw, 36 (11), pp. 1-13. , http://www.jstatsoft.org/v36/i11/; Lammel, S., Ion, D.I., Roeper, J., Malenka, R.C., Projection-specific modulation of dopamine neuron synapses by aversive and rewarding stimuli (2011) Neuron, 70, pp. 855-862. , PID: 21658580; Lammel, S., Ion, D.I., Roeper, J., Malenka, R.C., Projection-specific modulation of dopamine neuron synapses by aversive and rewarding stimuli (2011) Neuron, 70 (5), pp. 855-862. , PID: 21658580; Lammel, S., Lim, B.K., Ran, C., Huang, K.W., Betley, M.J., Tye, K.M., Deisseroth, K., Malenka, R.C., Input-specific control of reward and aversion in the ventral tegmental area (2012) Nature, 491, pp. 212-217. , PID: 23064228; Langleben, D.D., Ruparel, K., Elman, I., Busch-Winokur, S., Pratiwadi, R., Loughead, J., O’Brien, C.P., Childress, A.R., Acute effect of methadone maintenance dose on brain FMRI response to heroin-related cues (2008) Am J Psychiatry, 165, pp. 390-394. , PID: 18056224; Langleben, D.D., Ruparel, K., Elman, I., Loughead, J.W., Busch, E.L., Cornish, J., Lynch, K.G., O’Brien, C.P., Extended-release naltrexone modulates brain response to drug cues in abstinent heroin-dependent patients (2014) Addict Biol, 19, pp. 262-271. , PID: 22747521; LeDoux, J.E., Emotion circuits in the brain (2000) Annu Rev Neurosci, 23, pp. 155-184. , PID: 10845062; Lee, Y., Gaskins, D., Anand, A., Shekhar, A., Glia mechanisms in mood regulation: a novel model of mood disorders (2007) Psychopharmacology, 191 (1), pp. 55-65. , PID: 17225169; Lee, B.R., Ma, Y.Y., Huang, Y.H., Wang, X., Otaka, M., Ishikawa, M., Neumann, P.A., Dong, Y., Maturation of silent synapses in amygdala-accumbens projection contributes to incubation of cocaine craving (2013) Nat Neurosci, 16, pp. 1644-1651. , PID: 24077564; Li, Y.Q., Li, F.Q., Wang, X.Y., Wu, P., Zhao, M., Xu, C.M., Shaham, Y., Lu, L., Central amygdala extracellular signal-regulated kinase signaling pathway is critical to incubation of opiate craving (2008) J Neurosci, 28, pp. 13248-13257. , PID: 19052216; Li, Q., Wang, Y., Zhang, Y., Li, W., Yang, W., Zhu, J., Wu, N., Tian, J., Craving correlates with mesolimbic responses to heroin-related cues in short-term abstinence from heroin: an event-related fMRI study (2012) Brain Res, 1469, pp. 63-72. , PID: 22759909; Li, X., Zeric, T., Kambhampati, S., Bossert, J.M., Shaham, Y., The central amygdala nucleus is critical for incubation of methamphetamine craving (2015) Neuropsychopharmacology, 40 (5), pp. 1297-1306. , PID: 25475163; Li, Y., Zhong, W., Wang, D., Feng, Q., Liu, Z., Zhou, J., Jia, C., Luo, M., Serotonin neurons in the dorsal raphe nucleus encode reward signals (2016) Nat Commun, 7, p. 10503. , PID: 26818705; Li, Y., Zhong, W., Wang, D., Feng, Q., Liu, Z., Zhou, J., Jia, C., Luo, M., Serotonin neurons in the dorsal raphe nucleus encode reward signals (2016) Nat Commun, 7, p. 10503. , PID: 26818705; Lisman, J.E., Grace, A.A., The hippocampal-VTA loop: controlling the entry of information into long-term memory (2005) Neuron, 46 (5), pp. 703-713. , PID: 15924857; Liu, Z., Zhou, J., Li, Y., Hu, F., Lu, Y., Ma, M., Feng, Q., Luo, M., Dorsal raphe neurons signal reward through 5-HT and glutamate (2014) Neuron, 81 (6), pp. 1360-1374. , PID: 24656254; Lu, L., Hope, B.T., Dempsey, J., Liu, S.Y., Bossert, J.M., Shaham, Y., Central amygdala ERK signaling pathway is critical to incubation of cocaine craving (2005) Nat Neurosci, 8 (2), pp. 212-219. , PID: 15657599; Lu, L., Uejima, J.L., Gray, S.M., Bossert, J.M., Shaham, Y., Systemic and central amygdala injections of the mGluR(2/3) agonist LY379268 attenuate the expression of incubation of cocaine craving (2007) Biol Psychiatry, 61 (5), pp. 591-598. , PID: 16893525; Luo, A.H., Tahsili-Fahadan, P., Wise, R.A., Lupica, C.R., Aston-Jones, G., Linking context with reward: a functional circuit from hippocampal CA3 to ventral tegmental area (2011) Science, 15 (6040), pp. 353-357; Luo, M., Zhou, J., Liu, Z., Reward processing by the dorsal raphe nucleus: 5-HT and beyond (2015) Learn Mem, 22 (9), pp. 452-460. , PID: 26286655; Luo, M., Li, Y., Zhong, W., Do dorsal raphe 5-HT neurons encode “beneficialness”? (2016) Neurobiol Learn Mem, 135, pp. 40-49. , PID: 27544850; Ma, Y.Y., Lee, B.R., Wang, X., Guo, C., Liu, L., Cui, R., Lan, Y., Dong, Y., Bidirectional modulation of incubation of cocaine craving by silent synapse-based remodeling of prefrontal cortex to accumbens projections (2014) Neuron, 83, pp. 1453-1467. , PID: 25199705; Malvaez, M., Greenfield, V.Y., Wang, A.S., Yorita, A.M., Feng, L., Linker, K.E., Monbouquette, H.G., Wassum, K.M., Basolateral amygdala rapid glutamate release encodes an outcome-specific representation vital for reward-predictive cues to selectively invigorate reward-seeking actions (2015) Sci Rep, 5, p. 12511. , PID: 26212790; Maren, S., Fanselow, M.S., Synaptic plasticity in the basolateral amygdala induced by hippocampal formation stimulation in vivo (1995) J Neurosci, 15 (11), pp. 7548-7564. , PID: 7472506; Matthews, G.A., Nieh, E.H., Vander Weele, C.M., Halbert, S.A., Pradhan, R.V., Yosafat, A.S., Glober, G.F., Tye, K.M., Dorsal raphe dopamine neurons represent the experience of social isolation (2016) Cell, 164 (4), pp. 617-631. , PID: 26871628; McDonald, A.J., Topographical organization of amygdaloid projections to the caudatoputamen, nucleus accumbens, and related striatal-like areas of the rat brain (1991) Neuroscience, 44 (1), pp. 15-33. , PID: 1722890; Mei, W., Zhang, J.X., Xiao, Z., Acute effects of sublingual buprenorphine on brain responses to heroin-related cues in early-abstinent heroin addicts: an uncontrolled trial (2010) Neuroscience, 170, pp. 808-815. , PID: 20678551; Mello, L.E., Tan, A.M., Finch, D.M., GABAergic synaptic transmission in projections from the basal forebrain and hippocampal formation to the amygdala: an in vivo iontophoretic study (1992) Brain Res, 31, pp. 41-48; Mello, L.E., Tan, A.M., Finch, D.M., Convergence of projections from the rat hippocampal formation, medial geniculate and basal forebrain onto single amygdaloid neurons: an in vivo extra- and intracellular electrophysiological study (1992) Brain Res, 31, pp. 24-40; Murphy, A., Lubman, D.I., McKie, S., Bijral, P.S., Peters, L.A., Faiz, Q., Holmes, S.E., Elliott, R., Time-dependent neuronal changes associated with craving in opioid dependence: an fMRI study (2017) Addict Biol; Nagai, T., Yamada, K., Yoshimura, M., Ishikawa, K., Miyamoto, Y., Hashimoto, K., Noda, Y., Nabeshima, T., The tissue plasminogen activator-plasmin system participates in the rewarding effect of morphine by regulating dopamine release (2004) Proc Natl Acad Sci USA, 101 (10), pp. 3650-3655. , PID: 14988509; Nakao, K., Matsuyama, K., Matsuki, N., Ikegaya, Y., Amygdala stimulation modulates hippocampal synaptic plasticity (2004) Proc Natl Acad Sci USA, 101 (39), pp. 14270-14275. , PID: 15381775; Ntamati, N.R., Lüscher, C., VTA projection neurons releasing GABA and glutamate in the dentate gyrus (2016) eNeuro 3(4); O’Donnell, P., Grace, A.A., Synaptic interactions among excitatory afferents to nucleus accumbens neurons: hippocampal gating of prefrontal cortical input (1995) J Neurosci, 15 (5), pp. 3622-3639. , PID: 7751934; Opiol, H., Pavlovski, I., Michalik, M., Mistlberger, R.E., Ultrasonic vocalizations in rats anticipating circadian feeding schedules (2015) Behav Brain Res, 284, pp. 42-50. , PID: 25677650; Panksepp, J., Burgdorf, J., Laughing” rats and the evolutionary antecedents of human joy? (2003) Physiol Behav, 79 (3), pp. 533-547. , PID: 12954448; Pascoli, V., Terrier, J., Espallergues, J., Valjent, E., O’Connor, E.C., Lüscher, C., Contrasting forms of cocaine-evoked plasticity control components of relapse (2014) Nature, 509 (7501), pp. 459-464. , PID: 24848058; Paxinos, G., Watson, C., (1998) The rat brain in stereotaxic coordinates, , Academic Press, San Diego; Petrovich, G.D., Risold, P.Y., Swanson, L.W., Organization of projections from the basomedial nucleus of the amygdala: a PHAL study in the rat (1996) J Comp Neurol, 374 (3), pp. 387-420. , PID: 8906507; Phillipson, O.T., Griffiths, A.C., The topographic order of inputs to nucleus accumbens in the rat (1985) Neuroscience, 16 (2), pp. 275-296. , PID: 4080159; Purgianto, A., Scheyer, A.F., Loweth, J.A., Ford, K.A., Tseng, K.Y., Wolf, M.E., Different adaptations in AMPA receptor transmission in the nucleus accumbens after short vs long access cocaine self-administration regimens (2013) Neuropsychopharmacology, 38 (9), pp. 1789-1797. , PID: 23546386; Qi, J., Zhang, S., Wang, H.L., Wang, H., de Jesus Aceves Buendia, J., Hoffman, A.F., Lupica, C.R., Morales, M., A glutamatergic reward input from the dorsal raphe to ventral tegmental area dopamine neurons (2014) Nat Commun, 5, p. 5390. , PID: 25388237; Core Team, R., (2017) R: a language and environment for statistical computing, , http://www.R-project.org/, R Foundation for Statistical Computing, Vienna; Rowley, H.L., Martin, K.F., Marsden, C.A., Determination of in vivo amino acid neurotransmitters by high-performance liquid chromatography with o-phthalaldehyde-sulphite derivatisation (1995) J Neurosci Methods, 57, pp. 93-99. , PID: 7791370; Sadananda, M., Natusch, C., Karrenbauer, B., Schwarting, R.K., 50-kHz calls in rats: effects of MDMA and the 5-HT(1A) receptor agonist 8-OH-DPAT (2012) Pharmacol Biochem Behav, 10, pp. 258-264; Savicky, P., Spearman’s rank correlation test R package version, p. 3. , https://CRAN.R-project.org/package=pspearman, (2014) pspearman; Schultz, W., Dayan, P., Montague, P.R., A neural substrate of prediction and reward (1997) Science, 275, pp. 1593-1599. , PID: 9054347; Scofield, M.D., Kalivas, P.W., Astrocytic dysfunction and addiction: consequences of impaired glutamate homeostasis (2014) Neuroscientist, 20 (6), pp. 610-622. , PID: 24496610; Scoville, W.B., Milner, B., Loss of recent memory after bilateral hippocampal lesions (1957) J Neurol Neurosurg Psychiatry, 20, pp. 11-21. , PID: 13406589; Sengupta, A., Bocchio, M., Bannerman, D.M., Sharp, T., Capogna, M., Control of amygdala circuits by 5-HT neurons via 5-HT and glutamate cotransmission (2017) J Neurosci, 37 (7), pp. 1785-1796. , PID: 28087766; Sesack, S.R., Grace, A.A., Cortico-basal ganglia reward network: microcircuitry (2010) Neuropsychopharmacology, 35 (1), pp. 27-47. , PID: 19675534; Shalev, U., Morales, M., Hope, B., Yap, J., Shaham, Y., Time-dependent changes in extinction behavior and stress-induced reinstatement of drug seeking following withdrawal from heroin in rats (2001) Psychopharmacology, 156, pp. 98-107. , PID: 11465640; Shepard, J.D., Bossert, J.M., Liu, S.Y., Shaham, Y., The anxiogenic drug yohimbine reinstates methamphetamine seeking in a rat model of drug relapse (2004) Biol Psychiatry, 55, pp. 1082-1089. , PID: 15158427; Shinonaga, Y., Takada, M., Mizuno, N., Topographic organization of collateral projections from the basolateral amygdaloid nucleus to both the prefrontal cortex and nucleus accumbens in the rat (1994) Neuroscience, 58 (2), pp. 389-397. , PID: 8152545; Simola, N., Fenu, S., Costa, G., Pinna, A., Plumitallo, A., Morelli, M., Pharmacological characterization of 50-kHz ultrasonic vocalizations in rats: comparison of the effects of different psychoactive drugs and relevance in drug-induced reward (2012) Neuropharmacology, 63, pp. 224-234. , PID: 22465816; Sladeczek, F., Pin, J.P., Recasens, M., Bockaert, J., Weiss, S., Glutamate stimulates inositol phosphate formation in striatal neurones (1985) Nature, 317, pp. 717-719. , PID: 2865680; Stefaniuk, M., Beroun, A., Lebitko, T., Markina, O., Leski, S., Meyza, K., Grzywacz, A., Kaczmarek, L., Matrix metalloproteinase-9 and synaptic plasticity in the central amygdala in control of alcohol-seeking behavior (2017) Biol Psychiatry, 81 (11), pp. 907-917. , PID: 28190519; Stuber, G.D., Sparta, D.R., Stamatakis, A.M., van Leeuwen, W.A., Hardjoprajitno, J.E., Cho, S., Tye, K.M., Bonci, A., Excitatory transmission from the amygdala to nucleus accumbens facilitates reward seeking (2011) Nature, 475, pp. 377-380. , PID: 21716290; Szyndler, J., Maciejak, P., Turzyńska, D., Sobolewska, A., Lehner, M., Taracha, E., Walkowiak, J., Plaznik, A., Changes in the concentration of amino acids in the hippocampus of pentylenetetrazole-kindled rats (2008) Neurosci Lett, 439, pp. 245-249. , PID: 18534751; Szyndler, J., Maciejak, P., Turzyńska, D., Sobolewska, A., Bidziński, A., Plaznik, A., Time course of changes in the concentrations of monoamines in the brain structures of pentylenetetrazole-kindled rats (2010) J Neural Transm, 117, pp. 707-718. , PID: 20449617; Tani, H., Dulla, C.G., Farzampour, Z., Taylor-Weiner, A., Huguenard, J.R., Reimer, R.J., A local glutamate-glutamine cycle sustains synaptic excitatory transmitter release (2014) Neuron, 19 (4), pp. 888-900; Taracha, E., Hamed, A., Krząścik, P., Lehner, M., Skórzewska, A., Płaźnik, A., Chrapusta, S.J., Inter-individual diversity and intra-individual stability of amphetamine-induced sensitization of frequency-modulated 50-kHz vocalization in Sprague–Dawley rats (2012) Psychopharmacology, 222 (4), pp. 619-632. , PID: 22354555; Thompson, B., Leonard, K.C., Brudzynski, S.M., Amphetamine-induced 50 kHz calls from rat nucleus accumbens: a quantitative mapping study and acoustic analysis (2006) Behav Brain Res, 168 (1), pp. 64-73. , PID: 16343652; Tran, L., Lasher, B.K., Young, K.A., Keele, N.B., Depletion of serotonin in the basolateral amygdala elevates glutamate receptors and facilitates fear-potentiated startle (2013) Transl Psychiatry, 3. , PID: 24002084; Uejima, J.L., Bossert, J.M., Poles, G.C., Lu, L., Systemic and central amygdala injections of the mGluR2/3 agonist LY379268 attenuate the expression of incubation of sucrose craving in rats (2007) Behav Brain Res, 181 (2), pp. 292-296. , PID: 17537525; Van Bockstaele, E.J., Pickel, V.M., Ultrastructure of serotonin-immunoreactive terminals in the core and shell of the rat nucleus accumbens: cellular substrates for interactions with catecholamine afferents (1993) J Comp Neurol, 334 (4), pp. 603-617. , PID: 8408768; Wang, H., Liang, S., Burgdorf, J., Wess, J., Yeomans, J., Ultrasonic vocalizations induced by sex and amphetamine in M2, M4, M5 muscarinic and D2 dopamine receptor knockout mice (2008) PLoS One, 3 (4). , PID: 18382674; Wintink, A.J., Brudzynski, S.M., The related roles of dopamine and glutamate in the initiation of 50-kHz ultrasonic calls in adult rats (2001) Pharmacol Biochem Behav, 70 (2-3), pp. 317-323. , PID: 11701203; Wöhr, M., Rippberger, H., Schwarting, R.K., van Gaalen, M.M., Critical involvement of 5-HT2C receptor function in amphetamine-induced 50-kHz ultrasonic vocalizations in rats (2015) Psychopharmacology, 232 (10), pp. 1817-1829. , PID: 25417553; Wolf, M.E., Synaptic mechanisms underlying persistent cocaine craving (2016) Nat Rev Neurosci, 17, pp. 351-365. , PID: 27150400; Wolf, M.E., Tseng, K.Y., Calcium-permeable AMPA receptors in the VTA and nucleus accumbens after cocaine exposure: when, how, and why? (2012) Front Mol Neurosci, 5, p. 72. , PID: 22754497; Wright, M.N., Ziegler, A., ranger: a fast implementation of random forests for high dimensional data in C++ and R (2017) J Stat Softw, 77 (1), pp. 1-17; Wright, J.M., Gourdon, J.C., Clarke, P.B., Identification of multiple call categories within the rich repertoire of adult rat 50-kHz ultrasonic vocalizations: effects of amphetamine and social context (2010) Psychopharmacology, 211 (1), pp. 1-13. , PID: 20443111; Wright, J.M., Dobosiewicz, M.R., Clarke, P.B., α- and β-adrenergic receptors differentially modulate the emission of spontaneous and amphetamine-induced 50-kHz ultrasonic vocalizations in adult rats (2012) Neuropsychopharmacology, 37 (3), pp. 808-821. , PID: 22030713; Wright, J.M., Deng, L., Clarke, P.B., Failure of rewarding and locomotor stimulant doses of morphine to promote adult rat 50-kHz ultrasonic vocalizations (2012) Psychopharmacology (Berl), 224 (4), pp. 477-487; Wright, J.M., Dobosiewicz, M.R., Clarke, P.B., The role of dopaminergic transmission through D1-like and D2-like receptors in amphetamine-induced rat ultrasonic vocalizations (2013) Psychopharmacology, 225 (4), pp. 853-868. , PID: 23052567; Zink, M., Vollmayr, B., Gebicke-Haerter, P.J., Henn, F.A., Reduced expression of glutamate transporters vGluT1, EAAT2 and EAAT4 in learned helpless rats, an animal model of depression (2010) Neuropharmacology, 58 (2), pp. 465-473. , PID: 19747495; Zink, M., Rapp, S., Donev, R., Gebicke-Haerter, P.J., Thome, J., Fluoxetine treatment induces EAAT2 expression in rat brain (2011) J Neural Transm, 118 (6), pp. 849-855. , PID: 21161710; Zweifel, L.S., Fadok, J.P., Argilli, E., Garelick, M.G., Jones, G.L., Dickerson, T.M., Allen, J.M., Palmiter, R.D., (2011) Activation of dopamine neurons is critical for aversive conditioning and prevention of generalized anxiety, 14 (5), pp. 620-626</t>
  </si>
  <si>
    <t>18632653</t>
  </si>
  <si>
    <t>Brain Struct. Funct.</t>
  </si>
  <si>
    <t>2-s2.0-85047163936</t>
  </si>
  <si>
    <t>Inter-individual differences in serotonin and glutamate co-transmission reflect differentiation in context-induced conditioned 50-khz usvs response after morphine withdrawal</t>
  </si>
  <si>
    <t>Chen N., Yao S., Wang C., Du W.</t>
  </si>
  <si>
    <t>7401911971;57209261210;55847062300;36720313300;</t>
  </si>
  <si>
    <t>A method for urban flood risk assessment and zoning considering road environments and terrain</t>
  </si>
  <si>
    <t>2734</t>
  </si>
  <si>
    <t>10.3390/su11102734</t>
  </si>
  <si>
    <t>https://www.scopus.com/inward/record.uri?eid=2-s2.0-85067055491&amp;doi=10.3390%2fsu11102734&amp;partnerID=40&amp;md5=c8d78b8f4ffabda419b47d3f1afcd61b</t>
  </si>
  <si>
    <t>State Key Laboratory of Information Engineering in Surveying, Mapping and Remote Sensing, Wuhan University, Wuhan, 430079, China; Collaborative Innovation Center of Geospatial Technology, 129 Luoyu Road, Wuhan, 430079, China</t>
  </si>
  <si>
    <t>Chen, N., State Key Laboratory of Information Engineering in Surveying, Mapping and Remote Sensing, Wuhan University, Wuhan, 430079, China, Collaborative Innovation Center of Geospatial Technology, 129 Luoyu Road, Wuhan, 430079, China; Yao, S., State Key Laboratory of Information Engineering in Surveying, Mapping and Remote Sensing, Wuhan University, Wuhan, 430079, China; Wang, C., State Key Laboratory of Information Engineering in Surveying, Mapping and Remote Sensing, Wuhan University, Wuhan, 430079, China; Du, W., State Key Laboratory of Information Engineering in Surveying, Mapping and Remote Sensing, Wuhan University, Wuhan, 430079, China</t>
  </si>
  <si>
    <t>Floods have been severely threatening social development worldwide. The occurrence of floods has multiple factors, and the flood risk considering road environments needs comprehensive analysis from meteorology, underlying surface, and urban road network. Thus, this study proposes an integrated method and constructs a road risk zoning model (RRZM). In the RRZM, submerged depth was obtained by the Soil Conservation Service (SCS) model, and the degree of road importance was obtained by the analytical hierarchy process (AHP) method. These two parts were used to characterize road vulnerability. Then the flood risk grade was evaluated based on the optimized artificial neural network (ANN). Finally, the results of flood risk assessment were obtained by road vulnerability and flood risk grade. The RRZM was applied to the Chang-Zhu-Tan Urban Agglomeration (CZTUA), China. The results showed that the spatial distributions of flood risk and the extent of road damage varied remarkably in different cities. Changsha was the most sensitive city to floods in the CZTUA. The flood risk zones were classified into six levels, and the vulnerable road sections identified from the risk zones at level 6 in the maps carried more traffic volume than others. By comparing with existing methods, it was found that the RRZM effectively reflected the spatial characteristics of flood risk considering road environments. It provides a new perspective for urban flood risk assessment and disaster response decision-making. © 2019 by the authors.</t>
  </si>
  <si>
    <t>Chang-Zhu-Tan urban agglomeration; Flood risk assessment; Road environments; Road risk zoning model; Urban flood</t>
  </si>
  <si>
    <t>agglomeration; analytical hierarchy process; artificial neural network; decision making; disaster management; flood; flood damage; model; risk assessment; road; social development; terrain; vulnerability; Changsha; China; Hunan</t>
  </si>
  <si>
    <t>Jha, A.K., Bloch, R., Lamond, J., (2012) Cities and Flooding: A Guide to Integrated Urban Flood Risk Management for the 21st Century, , The World Bank: Washington, DC, USA; Beiler, M.R.O., Treat, C., Integrating GIS and AHP to Prioritize Transportation Infrastructure Using Sustainability Metrics (2015) J. Infrastruct. Syst, 21; Kundzewicz, Z.W., Kanae, S., Seneviratne, S.I., Handmer, J., Nicholls, N., Peduzzi, P., Mechler, R., Mach, K., Flood risk and climate change: Global and regional perspectives (2014) Hydrol. Sci. J, 59, pp. 1-28; Lu, X.X., Ran, L.S., China flood havoc highlights poor urban planning (2011) Nat. Hazards, 56, pp. 575-576; Zheng, Z.P., Qi, S.Z., Xu, Y.T., Questionable frequent occurrence of urban flood hazards in modern cities of China (2013) Nat. Hazards, 65, pp. 1009-1010; Huong, H.T.L., Pathirana, A., Urbanization and climate change impacts on future urban flooding in Can Tho city, Vietnam (2013) Hydrol. Earth Syst. Sci, 17, pp. 379-394; Karlsson, C.S.J., Kalantari, Z., Mortberg, U., Olofsson, B., Lyon, S.W., Natural Hazard Susceptibility Assessment for Road Planning Using Spatial Multi-Criteria Analysis (2017) Environ. Manag, 60, pp. 823-851; Kalantari, Z., Folkeson, L., Road Drainage in Sweden: Current Practice and Suggestions for Adaptation to Climate Change (2013) J. Infrastruct. Syst, 19, pp. 147-156; Papaioannou, G., Efstratiadis, A., Vasiliades, L., Loukas, A., Papalexiou, S.M., Koukouvinos, A., Tsoukalas, I., Kossieris, P., An Operational Method for Flood Directive Implementation in Ungauged Urban Areas (2018) Hydrology, 5, p. 24; Bouvier, C., Bouchenaki, L., Tramblay, Y., Comparison of SCS and Green-Ampt Distributed Models for Flood Modelling in a Small Cultivated Catchment in Senegal (2018) Geosciences, 8, p. 122; Salman, A.M., Li, Y., Flood Risk Assessment, Future Trend Modeling, and Risk Communication: A Review of Ongoing Research (2018) Nat. Hazards Rev, 19, p. 3; Wu, Y.N., Zhong, P.A., Zhang, Y., Xu, B., Ma, B., Yan, K., Integrated flood risk assessment and zonation method: A case study in Huaihe River basin, China (2015) Nat. Hazards, 78, pp. 635-651; Glas, H., Deruyter, G., De Maeyer, P., Mandal, A., James-Williamson, S., Analyzing the sensitivity of a flood risk assessment model towards its input data (2016) Nat. Hazard Earth Syst, 16, pp. 2529-2542; Qi, H.L., Tian, W.P., Li, J.C., Regional Risk Evaluation of Flood Disasters for the Trunk-Highway in Shaanxi, China (2015) Int. J. Env. Res. Public Health, 12, pp. 13861-13870; Yin, J., Yu, D.P., Yin, Z., Liu, M., He, Q., Evaluating the impact and risk of pluvial flash flood on intra-urban road network: A case study in the city center of Shanghai, China (2016) J. Hydrol, 537, pp. 138-145; Rahman, M.R., Saha, S., Flood hazard zonation-A GIS aided multi criteria evaluation (MCE) approach with remotely sensed data (2007) Int. J. Geoinf, 3, pp. 25-35; Urban hydrology for small watersheds (1986) Tech. Rel, 55, pp. 2-6; Yao, L., Wei, W., Yu, Y., Xiao, J., Chen, L.D., Rainfall-runoff risk characteristics of urban function zones in Beijing using the SCS-CN model (2018) J. Geogr. Sci, 28, pp. 656-668; Su, X.U., Zhang, Y., Dou, M., Hua, R., Zhou, Y., Spatial distribution of land use change in the Yangtze River Basin and the impact on runoff (2017) Prog. Geogr, 36, p. 4; Wang, Z.L., Lai, C.G., Chen, X.H., Yang, B., Zhao, S.W., Bai, X.Y., Flood hazard risk assessment model based on random forest (2015) J. Hydrol, 527, pp. 1130-1141; Wang, H., Wang, X., Xi, W., SCS-CN-based approach for estimating collectable rainwater in waterrshed-scale (2012) Trans. Chin. Soc. Agric. Eng, 28, pp. 86-91; Michielsen, A., Kalantari, Z., Lyon, S.W., Liljegren, E., Predicting and communicating flood risk of transport infrastructure based on watershed characteristics (2016) J. Environ. Manag, 182, pp. 505-518; Cheng, S.P., Cao, S.L., Zhang, W., Analysis and application of urban road network structure system (2017) Urban Roads Bridges Flood Control, 5, pp. 1-5. , (In Chinese); Saaty, T.L., A scaling method for priorities in hierarchical structures (1977) J. Math. Psychol, 15, pp. 234-281; Duan, L.Q., Liu, L.G., Guo, L., Zhang, Y.J., Applying the AHP Method to the Weighted Values Determination of the Road Attributes (2004) Hydrogr. Surv. Charting, 3, p. 13; Bartier, P.M., Keller, C.P., Multivariate interpolation to incorporate thematic surface data using inverse distance weighting (IDW) (1996) Comput. Geosci, 22, pp. 795-799; Chidthong, Y., Tanaka, H., Supharatid, S., Developing a hybrid multi-model for peak flood forecasting (2009) Hydrol. Process, 23, pp. 1725-1738; Sudheer, K.P., Jain, A., Explaining the internal behaviour of artificial neural network river flow models (2004) Hydrol. Process, 18, pp. 833-844; Dixon, B., Applicability of neuro-fuzzy techniques in predicting ground-water vulnerability: A GIS-based sensitivity analysis (2005) J. Hydrol, 309, pp. 17-38; Kia, M.B., Pirasteh, S., Pradhan, B., Mahmud, A.R., Sulaiman, W.N.A., Moradi, A., An artificial neural network model for flood simulation using GIS: Johor River Basin, Malaysia (2012) Environ. Earth Sci, 67, pp. 251-264; Chen, C.-S., Chen, B.P.-T., Chou, F.N.-F., Yang, C.-C., Development and application of a decision group Back-Propagation Neural Network for flood forecasting (2010) J. Hydrol, 385, pp. 173-182; Rumelhart, D.E., Mcclelland, J.L., (1986) Parallel Distributed Processing: Explorations in the Microstructure of Cognition. Foundations, 1, p. 564. , MIT Press: Cambridge, MA, USA; Tayfur, G., Moramarco, T., Singh, V.P., Predicting and forecasting flow discharge at sites receiving significant lateral inflow (2007) Hydrol. Process, 21, pp. 1848-1859; Wardah, T., Abu Bakar, S.H., Bardossy, A., Maznorizan, M., Use of geostationary meteorological satellite images in convective rain estimation for flash-flood forecasting (2008) J. Hydrol, 356, pp. 283-298; Jiao, L.C., Wang, L., A novel genetic algorithm based on immunity (2000) IEEE T. Syst. Man. Cy. A, 30, pp. 552-561; Li, H.H., Li, M., A New Method of Image Compression Based on Quantum Neural Network (2010) Proceedings of the 2010 International Conference of Information Science and Management Engineering, pp. 567-570. , Xi'an, China, 7-8 August; Yan, T., An Improved Genetic Algorithm and Its Blending Application with Neural Network (2010) Proceedings of the 2010 2nd International Workshop on Intelligent Systems and Applications, pp. 1-4. , Wuhan, China, 22-23 May; Ouma, Y.O., Tateishi, R., Urban Flood Vulnerability and Risk Mapping Using Integrated Multi-Parametric AHP and GIS: Methodological Overview and Case Study Assessment (2014) Water, 6, pp. 1515-1545; Dha, U., (1992) Internationally Agreed Glossary of Basic Terms Related to Disaster Management, , UN DHA: Geneva, Switzerland; Crichton, D., Mounsey, C., How the Insurance IndustryWill Use Its Flood Research (1996) Proceedings of the Third MAFF Conference of Coastal and River Engineers, pp. 131-134. , Newcastle, UK, 3-5 July; Jenks, G.F., Caspall, F.C., Error on Choroplethic Maps-Definition, Measurement, Reduction (1971) Ann. Assoc. Am. Geogr, 61, pp. 217-244; Wu, Y.N., Zhong, P.A., Xu, B., Zhu, F.L., Ma, B., Changing of flood risk due to climate and development in Huaihe River basin, China (2017) Stoch. Env. Res. Risk A, 31, pp. 935-948; Dawod, G.M., Mirza, M.N., Al-Ghamdi, K.A., GIS-based estimation of flood hazard impacts on road network in Makkah city, Saudi Arabia (2012) Environ. Earth Sci, 67, pp. 2205-2215; Jongman, B., Kreibich, H., Apel, H., Barredo, J.I., Bates, P.D., Feyen, L., Gericke, A., Ward, P.J., Comparative flood damage model assessment: Towards a European approach (2012) Nat. Hazard Earth Syst, 12, pp. 3733-3752</t>
  </si>
  <si>
    <t>2-s2.0-85067055491</t>
  </si>
  <si>
    <t>Shafiei S.B., Lone Z., Elsayed A.S., Hussein A.A., Guru K.A.</t>
  </si>
  <si>
    <t>56577959100;57208745826;55615772000;56883871500;15725274500;</t>
  </si>
  <si>
    <t>Identifying mental health status using deep neural network trained by visual metrics</t>
  </si>
  <si>
    <t>Translational Psychiatry</t>
  </si>
  <si>
    <t>430</t>
  </si>
  <si>
    <t>10.1038/s41398-020-01117-5</t>
  </si>
  <si>
    <t>https://www.scopus.com/inward/record.uri?eid=2-s2.0-85098475786&amp;doi=10.1038%2fs41398-020-01117-5&amp;partnerID=40&amp;md5=01f9b6971b2d0f466d4f2a6474c9d8e7</t>
  </si>
  <si>
    <t>Applied Technology Laboratory for Advanced Surgery (ATLAS), Roswell Park Comprehensive Cancer Center, Buffalo, NY, United States; Department of Urology, Roswell Park Comprehensive Cancer Center, Buffalo, NY, United States</t>
  </si>
  <si>
    <t>Shafiei, S.B., Applied Technology Laboratory for Advanced Surgery (ATLAS), Roswell Park Comprehensive Cancer Center, Buffalo, NY, United States, Department of Urology, Roswell Park Comprehensive Cancer Center, Buffalo, NY, United States; Lone, Z., Applied Technology Laboratory for Advanced Surgery (ATLAS), Roswell Park Comprehensive Cancer Center, Buffalo, NY, United States, Department of Urology, Roswell Park Comprehensive Cancer Center, Buffalo, NY, United States; Elsayed, A.S., Applied Technology Laboratory for Advanced Surgery (ATLAS), Roswell Park Comprehensive Cancer Center, Buffalo, NY, United States, Department of Urology, Roswell Park Comprehensive Cancer Center, Buffalo, NY, United States; Hussein, A.A., Applied Technology Laboratory for Advanced Surgery (ATLAS), Roswell Park Comprehensive Cancer Center, Buffalo, NY, United States, Department of Urology, Roswell Park Comprehensive Cancer Center, Buffalo, NY, United States; Guru, K.A., Applied Technology Laboratory for Advanced Surgery (ATLAS), Roswell Park Comprehensive Cancer Center, Buffalo, NY, United States, Department of Urology, Roswell Park Comprehensive Cancer Center, Buffalo, NY, United States</t>
  </si>
  <si>
    <t>Mental health is an integral part of the quality of life of cancer patients. It has been found that mental health issues, such as depression and anxiety, are more common in cancer patients. They may result in catastrophic consequences, including suicide. Therefore, monitoring mental health metrics (such as hope, anxiety, and mental well-being) is recommended. Currently, there is lack of objective method for mental health evaluation, and most of the available methods are limited to subjective face-to-face discussions between the patient and psychotherapist. In this study we introduced an objective method for mental health evaluation using a combination of convolutional neural network and long short-term memory (CNN-LSTM) algorithms learned and validated by visual metrics time-series. Data were recorded by the TobiiPro eyeglasses from 16 patients with cancer after major oncologic surgery and nine individuals without cancer while viewing18 artworks in an in-house art gallery. Pre-study and post-study questionnaires of Herth Hope Index (HHI; for evaluation of hope), anxiety State-Trait Anxiety Inventory for Adults (STAI; for evaluation of anxiety) and Warwick-Edinburgh Mental Wellbeing Scale (WEMWBS; for evaluation of mental well-being) were completed by participants. Clinical psychotherapy and statistical suggestions for cutoff scores were used to assign an individual’s mental health metrics level during each session into low (class 0), intermediate (class 1), and high (class 2) levels. Our proposed model was used to objectify evaluation and categorize HHI, STAI, and WEMWBS status of individuals. Classification accuracy of the model was 93.81%, 94.76%, and 95.00% for HHI, STAI, and WEMWBS metrics, respectively. The proposed model can be integrated into applications for home-based mental health monitoring to be used by patients after oncologic surgery to identify patients at risk. © 2020, The Author(s).</t>
  </si>
  <si>
    <t>Article; cancer patient; cancer surgery; clinical article; controlled study; convolutional neural network; data analysis software; deep neural network; eye movement; Hert Hope Index; human; mental health; psychological rating scale; psychological well-being; questionnaire; risk assessment; short term memory; State Trait Anxiety Inventory; time series analysis; Warwick Edinburgh Mental Wellbeing Scale; adult; benchmarking; health status; psychometry; quality of life; Adult; Benchmarking; Health Status; Humans; Neural Networks, Computer; Psychometrics; Quality of Life; Surveys and Questionnaires</t>
  </si>
  <si>
    <t>TobiiPro eyeglasses</t>
  </si>
  <si>
    <t>Andersen, B.L., Psychological interventions for cancer patients to enhance the quality of life (1999) Cancerpatients and Their Families: Readings on Disease Course, Coping, and Psychological Interventions, pp. 131-162. , https://doi.org/10.1037/10338-006, . In R. M. Suinn &amp; G. R. VandenBos (Eds.), (p,). American Psychological Association, (,); Andersen, B.L., Distress reduction from a psychological intervention contributes to improved health for cancer patients (2007) Brain, Behav., Immun., 21, pp. 953-961; Cella, D.F., The relationship of psychological distress, extent of disease, and performance status in patients with lung cancer (1987) Cancer, 60, pp. 1661-1667. , COI: 1:STN:280:DyaL2szgtFejsA%3D%3D, PID: 3621136; Vickberg, S.M., Bovbjerg, D.H., DuHamel, K.N., Currie, V., Redd, W.H., Intrusive thoughts and psychological distress among breast cancer survivors: Global meaning as a possible protective factor (2000) Behav. Med., 25, pp. 152-160. , COI: 1:STN:280:DC%2BD3c3kvFCqtQ%3D%3D, PID: 10789021; Passik, S.D., Breitbart, W.S., Depression in patients with pancreatic carcinoma: diagnostic and treatment issues (1996) Cancer, 78, pp. 615-626. , COI: 1:STN:280:DyaK28zgtVegsQ%3D%3D, PID: 8681300; Anguiano, L., Mayer, D.K., Piven, M.L., Rosenstein, D., A literature review of suicide in cancer patients (2012) Cancer Nurs., 35, pp. E14-E26. , PID: 21946906; Misono, S., Weiss, N.S., Fann, J.R., Redman, M., Yueh, B., Incidence of suicide in persons with cancer (2008) J. Clin. Oncol., 26, p. 4731. , PID: 18695257; Brunault, P., Major depressive disorder, personality disorders, and coping strategies are independent risk factors for lower quality of life in non‐metastatic breast cancer patients (2016) Psycho‐Oncology, 25, pp. 513-520. , PID: 26356037; Hann, D., Winter, K., Jacobsen, P., Measurement of depressive symptoms in cancer patients: evaluation of the Center for Epidemiological Studies Depression Scale (CES-D) (1999) J. Psychosom. Res., 46, pp. 437-443. , COI: 1:STN:280:DyaK1Mzjt1GmtQ%3D%3D, PID: 10404478; Manne, S., Schnoll, R., Measuring cancer patients’ psychological distress and well-being: a factor analytic assessment of the Mental Health Inventory (2001) Psychol. Assess., 13, pp. 99-109. , COI: 1:STN:280:DC%2BD3MzjvFKrtw%3D%3D, PID: 11281043; Cassileth, B.R., A psychological analysis of cancer patients and their next-of-kin (1985) Cancer, 55, pp. 72-76. , COI: 1:STN:280:DyaL2M%2Fntl2rsg%3D%3D, PID: 3965087; Mystakidou, K., Tsilika, E., Parpa, E., Galanos, A., Vlahos, L., Brief cognitive assessment of cancer patients: evaluation of the Mini-Mental State Examination (MMSE) psychometric properties (2007) Psychooncology, 16, pp. 352-357. , PID: 16991106; Baker, F., Denniston, M., Zabora, J., Polland, A., Dudley, W.N.A., A POMS short form for cancer patients: psychometric and structural evaluation (2002) Psychooncology, 11, pp. 273-281. , PID: 12203741; Mastoras, R.E., Touchscreen typing pattern analysis for remote detection of the depressive tendency (2019) Sci. Rep., 9. , PID: 31527640, COI: 1:CAS:528:DC%2BC1MXhvVSrsrvI; Holland, C., Komogortsev, O.V., Biometric identification via eye movement scanpaths in reading (2011) 2011 International Joint Conference on Biometrics (IJCB)., pp. 1-8. , https://doi.org/10.1109/IJCB.2011.6117536, Washington, DC; Vidal, M., Turner, J., Bulling, A., Gellersen, H., Wearable eye tracking for mental health monitoring (2012) Comput. Commun., 35, pp. 1306-1311; Crawford, T.J., Inhibitory control of saccadic eye movements and cognitive impairment in Alzheimer’s disease (2005) Biol. psychiatry, 57, pp. 1052-1060. , PID: 15860346; Ramat, S., Leigh, R.J., Zee, D.S., Optican, L.M., What clinical disorders tell us about the neural control of saccadic eye movements (2006) Brain, 130, pp. 10-35. , PID: 17121745; Cogan, D.G., Chu, F.C., Reingold, D.B., Ocular signs of cerebellar disease (1982) Arch. Ophthalmol., 100, pp. 755-760. , COI: 1:STN:280:DyaL383gsFGjtA%3D%3D, PID: 7082205; Sharpe, J., Wong, A.M., Anatomy and physiology of ocular motor systems (2005) Walsh Hoyt’s Clin. Neuro-Ophthalmol., 1, pp. 809-885; Sharpee, T.O., Adaptive filtering enhances information transmission in visual cortex (2006) Nature, 439, p. 936. , COI: 1:CAS:528:DC%2BD28Xhs1Kjtr8%3D, PID: 16495990; Schwabe, L., Obermayer, K., Rapid adaptation and efficient coding (2002) Biosystems, 67, pp. 239-244. , PID: 12459304; Wainwright, M.J., Visual adaptation as optimal information transmission (1999) Vis. Res., 39, pp. 3960-3974. , COI: 1:STN:280:DC%2BD3c3ht1CitA%3D%3D, PID: 10748928; Vinje, W.E., Gallant, J.L., Sparse coding and decorrelation in primary visual cortex during natural vision (2000) Science, 287, pp. 1273-1276. , COI: 1:CAS:528:DC%2BD3cXhtlOqsbo%3D, PID: 10678835; Rosenhall, U., Johansson, E., Gillberg, C., Oculomotor findings in autistic children (1988) J. Laryngol. Otol., 102, pp. 435-439. , COI: 1:STN:280:DyaL1c3osF2rsA%3D%3D, PID: 3397639; Kuskowski, M.A., Eye movements in progressive cerebral neurological disease (2013) Neuropsychology of Eye Movement, pp. 159-188. , Psychology Press; White, O.B., Saint-Cyr, J.A., Tomlinson, R.D., Sharpe, J.A., Ocular motor deficits in Parkinson’s disease: II. Control of the saccadic and smooth pursuit systems (1983) Brain, 106, pp. 571-587. , PID: 6640270; Fletcher, W.A., Sharpe, J.A., Smooth pursuit dysfunction in Alzheimer’s disease (1988) Neurology, 38, p. 272. , COI: 1:STN:280:DyaL1c7itlSqtA%3D%3D, PID: 3340292; Kaufman, L.D., Pratt, J., Levine, B., Black, S.E., Antisaccades: a probe into the dorsolateral prefrontal cortex in Alzheimer’s disease. A critical review (2010) J. Alzheimer’s Dis., 19, pp. 781-793; Pierrot-Deseilligny, C., Milea, D., Müri, R.M., Eye movement control by the cerebral cortex (2004) Curr. Opin. Neurol., 17, pp. 17-25. , PID: 15090873; Noris, B., Benmachiche, K., Meynet, J., Thiran, J.P., Billard, A.G., Analysis of head-mounted wireless camera videos for early diagnosis of autism (2007) Computer Recognition Systems, 2, pp. 663-670. , Springer; Boraston, Z., Blakemore, S.J., The application of eye‐tracking technology in the study of autism (2007) J. Physiol., 581, pp. 893-898. , COI: 1:CAS:528:DC%2BD2sXnslyjur0%3D, PID: 17430985; Costa, L., Bauer, L.O., Smooth pursuit eye movement dysfunction in substance-dependent patients: mediating effects of antisocial personality disorder (1998) Neuropsychobiology, 37, pp. 117-123. , COI: 1:STN:280:DyaK1c3lvF2mtw%3D%3D, PID: 9597667; Davidson, P.R., Parker, K.C., Eye movement desensitization and reprocessing (EMDR): a meta-analysis (2001) J. Consulting Clin. Psychol., 69, p. 305. , COI: 1:STN:280:DC%2BD3MzhvV2mug%3D%3D; Ross, R.J., Rapid eye movement sleep disturbance in posttraumatic stress disorder (1994) Biol. Psychiatry, 35, pp. 195-202. , COI: 1:STN:280:DyaK2c3islWrtA%3D%3D, PID: 8173020; Jackson, D.C., Now you feel it, now you don’t: Frontal brain electrical asymmetry and individual differences in emotion regulation (2003) Psychological Sci., 14, pp. 612-617; Yamada, Y., Kobayashi, M., Detecting mental fatigue from eye-tracking data gathered while watching video: evaluation in younger and older adults (2018) Artif. Intell. Med., 91, pp. 39-48. , PID: 30026049; Eckstein, M.K., Guerra-Carrillo, B., Singley, A.T., Bunge, S.A., Beyond eye gaze: What else can eyetracking reveal about cognition and cognitive development? (2017) Dev. Cogn. Neurosci., 25, pp. 69-91. , PID: 27908561; Wu, C., Eye-tracking metrics predict perceived workload in robotic surgical skills training (2019) Hum. Factors, 62, pp. 1365-1386; Di Stasi, L.L., Antolí, A., Gea, M., Cañas, J.J., A neuroergonomic approach to evaluating mental workload in hypermedia interactions (2011) Int. J. Ind. Ergonomics, 41, pp. 298-304; Jyotsna, C., Amudha, J., Eye Gaze as an Indicator for Stress Level Analysis in Students (2018) 2018 International Conference on Advances in Computing, Communications and Informatics (ICACCI), , IEEE; Hoehl, S., Striano, T., Neural processing of eye gaze and threat‐related emotional facial expressions in infancy (2008) Child Dev., 79, pp. 1752-1760. , PID: 19037947; Peters, C., Asteriadis, S., Karpouzis, K., Sevin, E., Towards a real-time gaze-based shared attention for a virtual agent (2008) International Conference on Multimodal Interfaces; Bradley, M.M., Miccoli, L., Escrig, M.A., Lang, P.J., The pupil as a measure of emotional arousal and autonomic activation (2008) Psychophysiology, 45, pp. 602-607. , PID: 18282202; Oh, S.L., Ng, E.Y., San Tan, R., Acharya, U.R., Automated diagnosis of arrhythmia using combination of CNN and LSTM techniques with variable length heart beats (2018) Comput. Biol. Med., 102, pp. 278-287. , PID: 29903630; Tan, J.H., Application of stacked convolutional and long short-term memory network for accurate identification of CAD ECG signals (2018) Comput. Biol. Med., 94, pp. 19-26. , PID: 29358103; Yıldırım, Ö., Pławiak, P., Tan, R.S., Acharya, U.R., Arrhythmia detection using deep convolutional neural network with long duration ECG signals (2018) Comput. Biol. Med., 102, pp. 411-420. , PID: 30245122; Hüsken, M., Stagge, P., Recurrent neural networks for time series classification (2013) Neurocomputing, 50, pp. 223-235; Hochreiter, S., Schmidhuber, J., Long short-term memory (1997) Neural Comput., 9, pp. 1735-1780. , COI: 1:STN:280:DyaK1c%2FhvVahsQ%3D%3D, PID: 9377276; LeCun, Y., Bengio, Y., Convolutional networks for images, speech, and time series (1995) Handb. Brain Theory Neural Netw., 3361, p. 1995; Friedrich, M., The arts of healing (1999) JAMA, 281, pp. 1779-1781. , COI: 1:STN:280:DyaK1M3ntVWluw%3D%3D, PID: 10340344; Lankston, L., Cusack, P., Fremantle, C., Isles, C., Visual art in hospitals: case studies and review of the evidence (2010) J. R. Soc. Med., 103, pp. 490-499. , PID: 21127332; Poggi, E., (2006) Beyond Traditional Treatment: Establishing Art as Therapy, , Healthcare Design Magazine; Herth, K., Abbreviated instrument to measure hope: development and psychometric evaluation (1992) J. Adv. Nurs., 17, pp. 1251-1259. , COI: 1:STN:280:DyaK3s%2FlsF2huw%3D%3D, PID: 1430629; Dembo, J.S., Clemens, N.A., The ethics of providing hope in psychotherapy (2013) J. Psychiatr. Pract.®, 19, pp. 316-322; Duggleby, W., Ghosh, S., Cooper, D., Dwernychuk, L., Hope in newly diagnosed cancer patients (2013) J. Pain. Symptom Manag., 46, pp. 661-670; Kvaal, K., Ulstein, I., Nordhus, I.H., Engedal, K., The Spielberger state‐trait anxiety inventory (STAI): the state scale in detecting mental disorders in geriatric patients (2005) Int. J. Geriatr. psychiatry.: A J. psychiatry. late life allied Sci., 20, pp. 629-634; (2008) Warwick-Edinburgh Mental Well-Being Scale (WEMWBS) User Guide; Stranges, S., Samaraweera, P.C., Taggart, F., Kandala, N.B., Stewart-Brown, S., Major health-related behaviours and mental well-being in the general population: the Health Survey for England (2014) BMJ open, 4. , PID: 25239293; Donahue, J., Long-term recurrent convolutional networks for visual recognition and description (2015) Proceedings of the IEEE Conference on Computer Vision and Pattern Recognition (CVPR); LeCun, Y., Bengio, Y., Hinton, G., Deep learning (2015) nature, 521, pp. 436-444. , COI: 1:CAS:528:DC%2BC2MXht1WlurzP, PID: 26017442; Cui, Z., Chen, W., Chen, Y., (2016) Multi-Scale Convolutional Neural Networks for Time Series Classification, , https://arxiv.org/abs/1603.06995; Le Guennec, A., Malinowski, S., Tavenard, R., Data augmentation for time series classification using convolutional neural networks (2016) In ECML/PKDD Workshop on Advanced Analytics and Learning on Temporal Data; Um, T.T., Data augmentation of wearable sensor data for parkinson’s disease monitoring using convolutional neural networks (2017) Proceedings of the 19Th ACM International Conference on Multimodal Interaction, pp. 216-220; Li, M., Zhang, T., Chen, Y., Smola, A.J., Efficient mini-batch training for stochastic optimization (2014) Proc. 20Th ACM SIGKDD International Conference on Knowledge Discovery and Data Mining. (ACM; Kingma, D.P., Ba, J., (2014) Adam: A Method for Stochastic Optimization., , https://arxiv.org/abs/1412.6980; Zhai, J., Barreto, A., Stress recognition using non-invasive technology (2006) Proceedings of the 19Th International Florida Artificial Intelligence Research Society Conference FLAIRS, pp. 395-400; Alghowinem, S., Multimodal depression detection: fusion analysis of paralinguistic, head pose and eye gaze behaviors (2016) IEEE Trans. Affect. Comput., 9, pp. 478-490</t>
  </si>
  <si>
    <t>Springer Nature</t>
  </si>
  <si>
    <t>21583188</t>
  </si>
  <si>
    <t>Transl. Psychiatry</t>
  </si>
  <si>
    <t>2-s2.0-85098475786</t>
  </si>
  <si>
    <t>Maroto-Gómez M., Castro-González Á., Castillo J.C., Malfaz M., Salichs M.A.</t>
  </si>
  <si>
    <t>57203536791;36655483500;7202601719;8613265500;6603829011;</t>
  </si>
  <si>
    <t>A bio-inspired motivational decision making system for social robots based on the perception of the user</t>
  </si>
  <si>
    <t>2691</t>
  </si>
  <si>
    <t>10.3390/s18082691</t>
  </si>
  <si>
    <t>https://www.scopus.com/inward/record.uri?eid=2-s2.0-85052123123&amp;doi=10.3390%2fs18082691&amp;partnerID=40&amp;md5=109039027eb9dbf31a8bd5881f9f124c</t>
  </si>
  <si>
    <t>Department of Systems Engineering and Automation, Universidad Carlos III de Madrid, Madrid, 28911, Spain</t>
  </si>
  <si>
    <t>Maroto-Gómez, M., Department of Systems Engineering and Automation, Universidad Carlos III de Madrid, Madrid, 28911, Spain; Castro-González, Á., Department of Systems Engineering and Automation, Universidad Carlos III de Madrid, Madrid, 28911, Spain; Castillo, J.C., Department of Systems Engineering and Automation, Universidad Carlos III de Madrid, Madrid, 28911, Spain; Malfaz, M., Department of Systems Engineering and Automation, Universidad Carlos III de Madrid, Madrid, 28911, Spain; Salichs, M.A., Department of Systems Engineering and Automation, Universidad Carlos III de Madrid, Madrid, 28911, Spain</t>
  </si>
  <si>
    <t>Nowadays, many robotic applications require robots making their own decisions and adapting to different conditions and users. This work presents a biologically inspired decision making system, based on drives, motivations, wellbeing, and self-learning, that governs the behavior of the robot considering both internal and external circumstances. In this paper we state the biological foundations that drove the design of the system, as well as how it has been implemented in a real robot. Following a homeostatic approach, the ultimate goal of the robot is to keep its wellbeing as high as possible. In order to achieve this goal, our decision making system uses learning mechanisms to assess the best action to execute at any moment. Considering that the proposed system has been implemented in a real social robot, human-robot interaction is of paramount importance and the learned behaviors of the robot are oriented to foster the interactions with the user. The operation of the system is shown in a scenario where the robot Mini plays games with a user. In this context, we have included a robust user detection mechanism tailored for short distance interactions. After the learning phase, the robot has learned how to lead the user to interact with it in a natural way. © 2018 by the authors. Licensee MDPI, Basel, Switzerland.</t>
  </si>
  <si>
    <t>Decision making; Drives; Homeostasis; HRI; Machine learning; Motivation; RGB-D; Social robots; User detection</t>
  </si>
  <si>
    <t>Decision making; Drives; Learning systems; Machine design; Motivation; Biologically inspired; Decision-making systems; Distance interaction; Homeostasis; Learning mechanism; Robotic applications; Social robots; User detection; Human robot interaction; decision making; human; learning; motivation; perception; procedures; robotics; Decision Making; Humans; Learning; Motivation; Perception; Robotics</t>
  </si>
  <si>
    <t>Magrini, E., De Luca, A., Human-robot coexistence and contact handling with redundant robots (2017) Proceedings of the 2017 IEEE/RSJ International Conference on Intelligent Robots and Systems (IROS), pp. 4611-4617. , Vancouver, BC, Canada, 24-28 September; Sciutti, A., Mara, M., Tagliasco, V., Sandini, G., Humanizing Human-Robot Interaction: On the Importance of Mutual Understanding (2018) IEEE Technol. Soc. Mag, 37, pp. 22-29; Pfeifer, R., Lungarella, M., Iida, F., The Challenges Ahead for Bio-inspired ‘Soft’ Robotics (2012) Commun. ACM, 55, pp. 76-87; Pfeifer, R., Lungarella, M., Iida, F., Self-Organization, Embodiment, and Biologically Inspired Robotics (2007) Science, 318, pp. 1088-1093; Kandel, E., Schwartz, J., Jessell, T., (1991) Principles of Neural Science, , Elsevier: New York, NY, USA; Veldhuis, A., (2011) Reviewing Decision Making: From Awareness to Social Decision Making, , Master’s Thesis, University Utrech, Utrecht, The Netherlands; Bear, M., Connors, B., Paradiso, M., (2001) Neuroscience: Exploring the Brain, , Lippincott Williams &amp; Wilkin: Philadelphia, PA, USA; Berridge, K.C., Motivation concepts in behavioral neuroscience (2004) Physiol. Behav, 81, pp. 179-209; Hull, C.L., (1943) Principles of Behavior: An Introduction to Behavior Theory, , Appleton-Century: Oxford, UK; Cherry, K., Drive-Reduction Theory and Human Behavior Biological Need Motivates Behavior, , https://www.verywellmind.com/drive-reduction-theory-2795381, (accessed on 15 August 2018); Hull, C., The conflicting psychologies of learning—A way out (1935) Psychol. Rev, 42, pp. 491-516; Schultz, D.P., Schultz, S.E., (2005) A History of Modern Psychology, pp. 1-512. , Thomson/Wadsworth: Belmont, CA, USA; Santa-Cruz, J., Tobal, J.M., Vindel, A.C., Fernndez, E.G., (1989) Introduccin a La Psicologa; Facultad De Psicologa, , Universidad Complutense de Madrid: Madrid, Spain; Olds, J., Milner, P., Positive reinforcement produced by electrical stimulation of septal area and other regions of rat brain (1954) J. Comp. Physiol. Psychol., 47, p. 419; Deutsch, J., Howarth, C., Some tests of a theory of intracranial self-stimulation (1963) Psychol. Rev, 70, p. 444; Velásquez, J.D., Modeling Emotions and Other Motivations in Synthetic Agents (1997) Proceedings of the Fourteenth National Conference on Artificial Intelligence, p. 10. , Providence, RI, USA, 27-31 July; Arkin, R.C., Ali, K., Weitzenfeld, A., Cervantes-Perez, F., Behavioral models of the praying mantis as a basis for robotic behavior (2000) Robot. Auton. Syst, 32, pp. 39-60; Arkin, R.C., Fujita, M., Tagaki, T., Hasegawa, R., An Ethological and Emotional Basis for Human-Robot Interaction (2002) Proceedings of the IEEE/RSJ International Conference on Intelligent Robots and Systems (IROS 2002), 42, pp. 191-201. , Lausanne, Switzerland, 30 September-4 October; Stoytchev, A., Arkin, R.C., Incorporating Motivation in a Hybrid Robot Architecture (2004) J. Adv. Comput. Intell. Intell. Inform, 8, pp. 269-274; Cañamero, D., Designing Emotions for Activity Selection (2003) Emotions in Humans and Artifacts, pp. 115-148. , MIT Press: Cambridge, MA, USA; Canamero, D., A hormonal model of emotions for behavior control (2006) VUB Ai-Lab Memo, 1997, pp. 1-10; Breazeal, C.L., (2004) Designing Sociable Robots, , MIT Press: Cambridge, MA, USA; Parisi, D., Internal robotics (2004) Connect. Sci, 16, pp. 325-338; Vouloutsi, V., Lallée, S., Verschure, P., Modulating behaviors using allostatic control (2013) Lect. Notes Comput. Sci, pp. 287-298; Cao, H.L., Gómez Esteban, P., Albert, D.B., Simut, R., Van De Perre, G., Lefeber, D., Vanderborght, B.A., Collaborative Homeostatic-Based Behavior Controller for Social Robots in Human—Robot Interaction Experiments (2017) Int. J. Soc. Robot, 9, pp. 675-690; Hieida, C., Horii, T., Nagai, T., Decision-Making in Emotion Model (2018) Proceedings of the Companion of the 2018 ACM/IEEE International Conference on Human-Robot Interaction, pp. 127-128. , Chicago, IL, USA, 5-8 March 2018; ACM: New York, NY, USA; Balkenius, C., (1995) Natural Intelligence in Artificial Creatures, , Ph.D. Thesis, Lund University, Lund, Sweden; Avila-Garcia, O., Cañamero, L., Using Hormonal Feedback to Modulate Action Selection in a Competitive Scenario (2004) Proceedings of the 8Th International Conference on Simulation of Adaptive Behavior (SAB’04), , Los Angeles, CA, USA; Lorenz, K., Leyhausen, P., (1973) Motivation Ofhuman and Animal Behaviour, 19. , An Ethological View; VanNostrand-Reinhold: New York, NY, USA; Blumberg, B.M., Todd, P.M., Maes, P., (1996) No Bad Dogs: Ethological Lessons for Learning in Hamsterdam, 1463, pp. 295-304. , Collection; MIT Press: Cambridge, MA, USA; Cañamero, L., Modeling Motivations and Emotions as a Basis for Intelligent Behavior (1997) Proceedings of the First International Symposium on Autonomous Agents (Agents’97), pp. 148-155. , Marina del Rey, CA, USA, 5-8 February 1997; ACM Press: New York, NY, USA; Sutton, R.S., Barto, A.G., Bach, F., (1998) Reinforcement Learning: An Introduction, , MIT Press: Cambridge, MA, USA; Man-Systems Integration Standards, , https://msis.jsc.nasa.gov/sections/Section03.htm, (accessed on 15 August 2018); Viola, P., Jones, M.J., Robust real-time face detection (2004) Int. J. Comput. Vis, 57, pp. 137-154; Alonso-Martin, F., Castro-Gonzalez, A., Gorostiza, J.F., Salichs, M.A., Multidomain Voice Activity Detection during Human-Robot Interaction (2013) Social Robotics. ICSR 2013. Lecture Notes in Computer Science, 8239, pp. 64-73. , Herrmann, G., Pearson, M.J., Lenz, A., Bremner, P., Spiers, A., Leonards, U., Eds.; Springer: Cham, Switzerland; Castro-Gonzalez, A., Malfaz, M., Salichs, M.A., Learning the Selection of Actions for an Autonomous Social Robot by Reinforcement Learning Based on Motivations (2011) Int. J. Soc. Robot, 3, pp. 427-441; Castro-Gonzalez, A., Malfaz, M., Salichs, M.A., An Autonomous Social Robot in Fear (2013) IEEE Trans. Auton. Mental Dev, 5, pp. 135-151; Castro-Gonzalez, A., Malfaz, M., Gorostiza, J.F., Salichs, M.A., Learning Behaviors by an Autonomous Social Robot with Motivations (2014) Cybern. Syst, 45, pp. 568-598; Cercignani, C., The boltzmann equation (1988) The Boltzmann Equation and Its Applications, pp. 40-103. , org/media/media_89995.html, Springer: Berlin/Heidelberg, Germany, (accessed on 8 December 2016)</t>
  </si>
  <si>
    <t>2-s2.0-85052123123</t>
  </si>
  <si>
    <t>Shan S., Ju X., Wei Y., Wang Z.</t>
  </si>
  <si>
    <t>25930125300;57223822635;55906829100;57217093961;</t>
  </si>
  <si>
    <t>Effects of pm2.5 on people’s emotion: A case study of weibo (chinese twitter) in beijing</t>
  </si>
  <si>
    <t>5422</t>
  </si>
  <si>
    <t>10.3390/ijerph18105422</t>
  </si>
  <si>
    <t>https://www.scopus.com/inward/record.uri?eid=2-s2.0-85106174093&amp;doi=10.3390%2fijerph18105422&amp;partnerID=40&amp;md5=892edaba8b716902509c03b462126a32</t>
  </si>
  <si>
    <t>School of Economics and Management, Beihang University, Beijing, 100191, China; Beijing Key Laboratory of Emergency Support Simulation Technologies for City Operation, Beijing, 100191, China</t>
  </si>
  <si>
    <t>Shan, S., School of Economics and Management, Beihang University, Beijing, 100191, China, Beijing Key Laboratory of Emergency Support Simulation Technologies for City Operation, Beijing, 100191, China; Ju, X., School of Economics and Management, Beihang University, Beijing, 100191, China, Beijing Key Laboratory of Emergency Support Simulation Technologies for City Operation, Beijing, 100191, China; Wei, Y., School of Economics and Management, Beihang University, Beijing, 100191, China, Beijing Key Laboratory of Emergency Support Simulation Technologies for City Operation, Beijing, 100191, China; Wang, Z., School of Economics and Management, Beihang University, Beijing, 100191, China, Beijing Key Laboratory of Emergency Support Simulation Technologies for City Operation, Beijing, 100191, China</t>
  </si>
  <si>
    <t>PM2.5 not only harms physical health but also has negative impacts on the public’s wellbeing and cognitive and behavioral patterns. However, traditional air quality assessments may fail to provide comprehensive, real-time monitoring of air quality because of the sparse distribution of air quality monitoring stations. Overcoming some key limitations of traditional surface monitoring data, Web-based social media platforms, such as Twitter, Weibo, and Facebook, provide a promising tool and novel perspective for environmental monitoring, prediction, and evaluation. This study aims to investigate the relationship between PM2.5 levels and people’s emotional intensity by observing social media postings. This study defines the “emotional intensity” indicator, which is measured by the number of negative posts on Weibo, based on Weibo data related to haze from 2016 and 2017. This study estimates sentiment polarity using a recurrent neural networks model based on LSTM (Long Short-Term Memory) and verifies the correlation between high PM2.5 levels and negative posts on Weibo using a Pearson correlation coefficient and multiple linear regression model. This study makes the following observations: (1) Taking the two-year data as an example, this study recorded the significant influence of PM2.5 levels on netizens’ posting behavior. (2) Air quality, meteorological factors, the seasons, and other factors have a strong influence on netizens’ emotional intensity. (3) From a quantitative viewpoint, the level of PM2.5 varies by 1 unit, and the number of negative Weibo posts fluctuates by 1.0168 units. Thus, it can be concluded that netizens’ emotional intensity is significantly positively affected by levels of PM2.5 . The high correlation between PM2.5 levels and emotional intensity and the sensitivity of social media data shows that social media data can be used to provide a new perspective on the assessment of air quality. © 2021 by the authors. Licensee MDPI, Basel, Switzerland.</t>
  </si>
  <si>
    <t>Machine learning; PM2.5; Sentiment analysis; Social media data</t>
  </si>
  <si>
    <t>air quality; atmospheric pollution; correlation; environmental monitoring; machine learning; particulate matter; pollution monitoring; social media; air quality; article; China; correlation coefficient; emotion; haze; human; human experiment; particulate matter 2.5; recurrent neural network; season; short term memory; social media; air pollutant; China; emotion; environmental monitoring; particulate matter; Beijing [China]; China; Indicator indicator; Air Pollutants; Beijing; China; COVID-19; Emotions; Environmental Monitoring; Humans; Particulate Matter; SARS-CoV-2; Social Media</t>
  </si>
  <si>
    <t>Air Pollutants; Particulate Matter</t>
  </si>
  <si>
    <t>Tan, C.H., Zhao, T.L., Cui, C.G., Luo, B.L., Zhang, L., Bai, Y.Q., Characterization of haze pollution over Central China during the past 50 years (2015) China Environ. Sci, 35, pp. 2272-2280; Brook, R.D., Cardiovascular effects of air pollution (2009) Nat. Clin. Pr. Cardiovasc. Med, 115, pp. 36-44. , [CrossRef] [PubMed]; Zhang, J.-J., Cui, M.-M., Fan, D., Zhang, D.-S., Lian, H.-X., Yin, Z.-Y., Li, J., Relationship between haze and acute cardiovascular, cerebrovascular, and respiratory diseases in Beijing (2015) Environ. Sci. Pollut. Res, 22, pp. 3920-3925. , [CrossRef] [PubMed]; Guan, D., Su, X., Zhang, Q., Peters, G.P., Liu, Z., Lei, Y., He, K., The socioeconomic drivers of China’s primary PM2.5 emissions (2014) Environ. Res. Lett, 9, p. 024010. , [CrossRef]; Levinson, A., Valuing public goods using happiness data: The case of air quality (2012) J. Public Econ, 96, pp. 869-880. , [CrossRef]; Huang, R.J., Zhang, Y., Bozzetti, C., Ho, K.F., Cao, J.J., Han, Y., Canonaco, F., High secondary aerosol contribution to particulate pollution during haze events in China (2014) Nature, 514, pp. 218-222. , [CrossRef]; Su, Z.Y., Influences of fog-Haze on external insulation of transmission and distribution equipments Power System (2013) Technology, 37, pp. 2284-2290; Wang, Z., Fang, C., Guang, X.U., Pan, Y., Spatial-temporal characteristics of the PM(2.5) in China in 2014 (2015) Acta Geogr. Sin, 70, pp. 1720-1734; Song, L.F., Concerning environmental protection monitoring air pollution monitoring stations in the layout (2012) Friend Sci. Amat, 17, pp. 24-25; Liu, Y., Liu, X., Gao, S., Gong, L., Kang, C., Zhi, Y., Shi, L., Social Sensing: A New Approach to Underst. Our Socioeconomic Environments (2015) Ann. Assoc. Am. Geogr, 105, pp. 512-530. , [CrossRef]; Mayer-Schönberger, V., Cukier, K., (2013) Big Data: A Revolution That Will Transform How We Live, Work, and Think, , Houghton Mifflin Harcourt: Boston, MA, USA; Chen, C., Wu, K., Srinivasan, V., Zhang, X., Battling the internet water army: Detection of hidden paid posters Proceedings of the 2013 IEEE/ACM International Conference on Advances in Social Networks Analysis and Mining (ASONAM 2013), pp. 116-120. , Niagara Falls, ON, Canada, 25–28 August 2013; [CrossRef]; Asur, S., Huberman, B.A., Predicting the Future with Social Media (2010) Proceedings of the 2010 IEEE/WIC/ACM International Conference on Web Intelligence and Intelligent Agent Technology, 1, pp. 492-499. , Toronto, ON, Canada, 31 August–3 September [CrossRef]; Starbird, K., Palen, L., Hughes, A.L., Vieweg, S., Chatter on the red: What hazards threat reveals about the social life of microblogged information Proceedings of the CSCW’10, pp. 241-250. , Savannah, GA, USA, 6–10 February 2010; [CrossRef]; Yang, S.H., Kolcz, A., Schlaikjer, A., Large-scale high-precision topic modeling on twitter Proceedings of the 20th ACM SIGKDD International Conference on Knowledge Discovery and Data Mining, pp. 1907-1916. , New York, NY, USA, 24–27 August 2014; [CrossRef]; Achrekar, H., Gandhe, A., Lazarus, R., Yu, S.H., Liu, B., Twitter improves seasonal influenza prediction Proceedings of the International Conference on Health Informatics (HEALTHINF-2012), pp. 61-70. , Vilamoura, Algarve, Portugal, 1–4 February 2012; [CrossRef]; Popescu, A.M., Pennacchiotti, M., Detecting controversial events from twitter Proceedings of the 19th ACM International Conference on Information and Knowledge Management, pp. 1873-1876. , Toronto, ON, Canada, 26–30 October 2010; [CrossRef]; Xu, Y., Liu, Z., Zhao, J., Su, C., Weibo sentiments and stock return: A time-frequency view (2017) PLoS ONE, 12, p. e0180723. , [CrossRef] [PubMed]; Zhou, Z., Xu, K., Zhao, J., Tales of emotion and stock in China: Volatility, causality and prediction (2017) World Wide Web-Internet Web Inf. Syst, 3, pp. 1-24. , [CrossRef]; Shan, S., Peng, J., Wei, Y., Environmental Sustainability assessment 2.0: The value of social media data for determining the emotional responses of people to river pollution—A case study of Weibo (Chinese Twitter) (2020) Socio-Econ. Plan. Sci, p. 100868. , [CrossRef]; Shan, S., Zhao, F., Wei, Y., Liu, M., Disaster management 2.0: A real-time disaster damage assessment model based on mobile social media data—A case study of Weibo (Chinese Twitter) (2019) Saf. Sci, 115, pp. 393-413. , [CrossRef]; Yury, K., Chen, H., Nick, O., Esteban, M., Pascal, V.H., James, F., Manuel, C., Rapid assessment of disaster damage using social media activity (2016) Sci. Adv, 2, p. e1500779; Tsou, M.-H., Yang, J.-A., Lusher, D., Han, S., Spitzberg, B., Gawron, J.M., An, L., Mapping social activities and concepts with social media (Twitter) and web search engines (Yahoo and Bing): A case study in 2012 US Presidential Election (2013) Cartogr. Geogr. Inf. Sci, 40, pp. 337-348. , [CrossRef]; Wang, S., Paul, M.J., Dredze, M., Social Media as a Sensor of Air Quality and Public Response in China (2015) J. Med. Internet Res, 17, p. e22. , [CrossRef]; Mei, S., Li, H., Fan, J., Zhu, X., Inferring air pollution by sniffing social media Proceedings of the 2014 IEEE/ACM International Conference on Advances in Social Networks Analysis and Mining (ASONAM 2014), pp. 534-539. , Beijing, China, 17–20 August 2014; [CrossRef]; Ni, X.Y., Huang, H., Du, W.P., Relevance analysis and short-term prediction of PM2.5 concentrations in Beijing based on multi-source data (2017) Atmos. Environ, 150, pp. 146-161. , [CrossRef]; Li, Z., Folmer, H., Xue, J., To what extent does air pollution affect happiness? The case of the Jinchuan mining area, China (2014) Ecol. Econ, 99, pp. 88-99. , [CrossRef]; Chen, P.H., Lin, C.J., Schölkopf, B., A tutorial on $ν$-support vector machines (2005) Appl. Stoch. Models Bus. Ind, 21, pp. 111-136. , [CrossRef]; Sánchez, A, Advanced support vector machines and kernel methods (2003) Neurocomputing, 55, pp. 5-20. , V.D. [CrossRef]; Qian, Q., Huang, M., Lei, J., (2016) Linguistically Regularized LSTMs for Sentiment Classification, , arXiv arXiv:1611.03949; Oseledets, I.V., Tyrtyshnikov, E.E., Breaking the curse of dimensionality, or how to use SVD in many dimensions (2009) SIAM J. Sci. Comput, 31, pp. 3744-3759. , [CrossRef]; Mikolov, T., Chen, K., Corrado, G., (2013) Efficient Estimation of Word Representations in Vector Space, , arXiv arXiv:1301.3781; Kanhabua, N., Ren, H., Moeslund, T.B., (2016) Learning Dynamic Classes of Events using Stacked Multilayer Perceptron Networks, , arXiv arXiv:1606.07219; Tang, D., Qin, B., Feng, X., (2015) Effective LSTMs for Target-Dependent Sentiment Classification, , arXiv arXiv:1512.01100; Welsch, H., Environment and happiness: Valuation of air pollution using life satisfaction data (2006) Ecol. Econ, 58, pp. 801-813. , [CrossRef]; Ferreira, S., Moro, M., On the use of subjective well-being data for environmental valuation (2010) Environ. Resour. Econ, 46, pp. 249-273. , [CrossRef]; Ijzerman, H., Semin, G.R., The Thermometer of Social Relations: Mapping Social Proximity on Temperature (2010) Psychol. Sci, 20, pp. 1214-1220. , [CrossRef]; Zheng, S.Q., Wang, J.H., Sun, C., Zhang, X.N., Kahn, M.E., Air pollution lowers Chinese urbanites’ expressed happiness on social media (2019) Nat. Hum. Behav, 3, pp. 237-243. , [CrossRef] [PubMed]; Yi, C.L., Wang, J.Q., Weather, seasonal emotional disorder and stock returns—Based on the Study of Shanghai stock composite index (2005) Stat. Decis, pp. 79-82; Zhang, X., Zhang, X., Chen, X., Happiness in the air: How does a dirty sky affect mental health and subjective well-being? (2017) J. Environ. Econ. Manag, 85, pp. 81-94. , [CrossRef]; Zheng, S.Q., Zhang, X.N., Song, Z.D., Sun, C., Influence of air pollution on urban residents’ outdoor activity: Empirical study based on dining-out data from the Dianping website (2016) J. Tsinghua Univ, 56, pp. 89-96. , [CrossRef]; Zijlema, W.L., Wolf, K., Emeny, R., Ladwig, K.H., Peters, A., Kongsgard, H., The association of air pollution and depressed mood in 70,928 individuals from four European cohorts (2016) Int. J. Hyg. Environ. Health, 219, pp. 212-219. , [CrossRef] [PubMed]; He, F., The effect of air humidity on human health (1992) Guangxi Qixiang, 1, p. 64; Helliwell, J.F., Wang, S., How was the weekend? How the social context underlies weekend effects in happiness and other emotions for us workers (2015) PLoS ONE, 10, p. e0145123. , [CrossRef] [PubMed]; Schachter, S., Singer, J.E., Cognitive, social, and psychological determinants of emotional state (1962) Psychol. Rev, 69, p. 379. , [CrossRef]; Zhu, X.L., Zhang, Y.H., Zeng, L.M., Wang, W., Source identification of ambient PM2. 5 in Beijing (2005) Res. Environ. Sci, 18, pp. 1-5</t>
  </si>
  <si>
    <t>2-s2.0-85106174093</t>
  </si>
  <si>
    <t>Effects of pm2.5 on people’s emotion: a case study of weibo (chinese twitter) in beijing</t>
  </si>
  <si>
    <t>Pérez-Benito F.J., Villacampa-Fernández P., Conejero J.A., García-Gómez J.M., Navarro-Pardo E.</t>
  </si>
  <si>
    <t>57197793699;57191829052;57219968950;7004099515;23992654400;</t>
  </si>
  <si>
    <t>A happiness degree predictor using the conceptual data structure for deep learning architectures</t>
  </si>
  <si>
    <t>Computer Methods and Programs in Biomedicine</t>
  </si>
  <si>
    <t>168</t>
  </si>
  <si>
    <t>59</t>
  </si>
  <si>
    <t>68</t>
  </si>
  <si>
    <t>10.1016/j.cmpb.2017.11.004</t>
  </si>
  <si>
    <t>https://www.scopus.com/inward/record.uri?eid=2-s2.0-85034833368&amp;doi=10.1016%2fj.cmpb.2017.11.004&amp;partnerID=40&amp;md5=b6c1e84d751b167a1486ef5505db97f2</t>
  </si>
  <si>
    <t>Biomedical Data Science Lab. Instituto de Aplicaciones de las Tecnologías de la Información y de las Comunicaciones Avanzadas (ITACA), Universitat Politécnica de Valéncia, Camino de Vera s/n, Valencia, 46022, Spain; Instituto Universitario de Matemática Pura y Aplicada, Universitat Politécnica de Valéncia, Camino de Vera s/n, Valencia, 46022, Spain; Departamento de Psicología Evolutiva y de la Educación, Universitat de Valéncia, Avenida Blasco Ibáñez, 21, Valencia, 46010, Spain</t>
  </si>
  <si>
    <t>Pérez-Benito, F.J., Biomedical Data Science Lab. Instituto de Aplicaciones de las Tecnologías de la Información y de las Comunicaciones Avanzadas (ITACA), Universitat Politécnica de Valéncia, Camino de Vera s/n, Valencia, 46022, Spain; Villacampa-Fernández, P., Instituto Universitario de Matemática Pura y Aplicada, Universitat Politécnica de Valéncia, Camino de Vera s/n, Valencia, 46022, Spain, Departamento de Psicología Evolutiva y de la Educación, Universitat de Valéncia, Avenida Blasco Ibáñez, 21, Valencia, 46010, Spain; Conejero, J.A., Instituto Universitario de Matemática Pura y Aplicada, Universitat Politécnica de Valéncia, Camino de Vera s/n, Valencia, 46022, Spain; García-Gómez, J.M., Biomedical Data Science Lab. Instituto de Aplicaciones de las Tecnologías de la Información y de las Comunicaciones Avanzadas (ITACA), Universitat Politécnica de Valéncia, Camino de Vera s/n, Valencia, 46022, Spain; Navarro-Pardo, E., Departamento de Psicología Evolutiva y de la Educación, Universitat de Valéncia, Avenida Blasco Ibáñez, 21, Valencia, 46010, Spain</t>
  </si>
  <si>
    <t>Background and Objective: Happiness is a universal fundamental human goal. Since the emergence of Positive Psychology, a major focus in psychological research has been to study the role of certain factors in the prediction of happiness. The conventional methodologies are based on linear relationships, such as the commonly used Multivariate Linear Regression (MLR), which may suffer from the lack of representative capacity to the varied psychological features. Using Deep Neural Networks (DNN), we define a Happiness Degree Predictor (H-DP) based on the answers to five psychometric standardized questionnaires. Methods: A Data-Structure driven architecture for DNNs (D-SDNN) is proposed for defining a HDP in which the network architecture enables the conceptual interpretation of psychological factors associated to happiness. Four different neural network configurations have been tested, varying the number of neurons and the presence or absence of bias in the hidden layers. Two metrics for evaluating the influence of conceptual dimensions have been defined and computed: one quantifies the influence weight of the conceptual dimension in absolute terms and the other one pinpoints the direction (positive or negative) of the influence. Materials: A cross-sectional survey targeting non-institutionalized adult population residing in Spain was completed by 823 cases. The total of 111 elements of the survey are grouped by socio-demographic data and by five psychometric scales (Brief COPE Inventory, EPQR-A, GHQ-28, MOS-SSS and SDHS) measuring several psychological factors acting one as the outcome (SDHS) and the four others as predictors. Results: Our D-SDNN approach provided a better outcome (MSE: 1.46·10−2) than MLR (MSE: 2.30·10−2), hence improving by 37% the predictive accuracy, and allowing to simulate the conceptual structure. Conclusions: We observe a better performance of Deep Neural Networks (DNN) with respect to traditional methodologies. This demonstrates its capability to capture the conceptual structure for predicting happiness degree through psychological variables assessed by standardized questionnaires. It also permits to estimate the influence of each factor on the outcome without assuming a linear relationship. © 2017</t>
  </si>
  <si>
    <t>Data-structure driven deep neural network (D-SDNN); Deep learning; Happiness; Happiness-Degree Predictor (H-DP)</t>
  </si>
  <si>
    <t>Data structures; Deep learning; Network architecture; Surveys; Cross-sectional surveys; Happiness; Happiness-Degree Predictor (H-DP); Multivariate linear regressions; Neural network configurations; Psychological features; Psychological research; Psychological variables; Deep neural networks; adult; demography; female; happiness; human; learning; linear regression analysis; major clinical study; male; nerve cell; outcome assessment; psychological aspect; questionnaire; Spain; algorithm; coping behavior; cross-sectional study; emotion; medical informatics; mental stress; multivariate analysis; predictive value; psychological model; psychometry; social support; software; Adaptation, Psychological; Algorithms; Cross-Sectional Studies; Deep Learning; Emotions; Female; Happiness; Humans; Male; Medical Informatics; Models, Psychological; Multivariate Analysis; Predictive Value of Tests; Psychometrics; Social Support; Software; Stress, Psychological; Surveys and Questionnaires</t>
  </si>
  <si>
    <t>Nations, U., (2012), http://www.un.org/en/ga/search/view, Resolution adopted by the General Assembly on 28 June 2012 66/281. International Day of Happiness. URL doc.asp?symbol=%20A/RES/66/281; Day, I., http://www.dayofhappiness.net/#join, of Happiness. [link].URL; Nations, U., (2015), http://www.unfoundation.org/news-and-media/press-releases/2015/Pharrell-Williams-Tells-the-World-A-Happy-Planet-Happy-People.html?referrer=https://www.google.es/, Foundation, Pharrel Williams tells the world: A Happy Planet = Happy People URL; Nations, U., http://www.un.org/en/events/happinessday/index.shtml, International Day of Happiness. URL; Nations, U., http://www.un.org/sustainabledevelopment/development-agenda/, Sustainable Development Goals. URL; Seligman, M., Csikszentmihalyi, M., Positive psychology: an introduction (2000) Am. Psychol., 55 (1), pp. 5-14; Myers, D.G., The funds, friends, and faith of happy people (2000) Am. Psychol., 55 (1), p. 56; Diener, E., The science of happiness and a proposal for a national index (2000) Am. Psychol., 55 (1), pp. 34-43; Csikszentmihalyi, M., If we are so rich, why aren't we happy? (1999) Am. Psychol., 54 (10), p. 821; Lyubomirsky, S., King, L., Diener, E., (2005), The benefits of frequent positive affect: does happiness lead to success?; Costanza, R., Fisher, B., Ali, S., Beer, C., Bond, L., Boumans, R., Danigelis, N.L., Farley, J., Quality of life: an approach integrating opportunities, human needs, and subjective well-being (2007) Ecol. Econ., 61 (2), pp. 267-276; Schueller, S.M., Seligman, M.E., Pursuit of pleasure, engagement, and meaning: relationships to subjective and objective measures of well-being (2010) J. Posit. Psychol., 5 (4), pp. 253-263; Sin, N.L., Lyubomirsky, S., Enhancing well-being and alleviating depressive symptoms with positive psychology interventions: a practice-friendly meta-analysis (2009) J. Clin. Psychol., 65 (5), pp. 467-487; Seligman, M.E., Positive health (2008) Appl. Psychol., 57 (s1), pp. 3-18; Joseph, S., Lewis, C.A., The depression–happiness scale: reliability and validity of a bipolar self-report scale (1998) J. Clin. Psychol., 54 (4), pp. 537-544; Joseph, S., Linley, P.A., Harwood, J., Lewis, C.A., McCollam, P., Rapid assessment of well-being: the short depression-happiness scale (sdhs) (2004) Psychol. Psychother., 77 (4), pp. 463-478; Rantanen, M., Mauno, S., Kinnunen, U., Rantanen, J., Do individual coping strategies help or harm in the work–family conflict situation? Examining coping as a moderator between work–family conflict and well-being (2011) Int. J. Stress Manage., 18 (1), p. 24; Ojala, M., How do children cope with global climate change? Coping strategies, engagement, and well-being (2012) J. Environ. Psychol., 32 (3), pp. 225-233; Lu, L., Shih, J., Lin, Y., Ju, L., Personal and environmental correlates of happiness (1997) Pers. Individ. Differ., 23 (3), pp. 453-462; Chan, Y., Lee, R.P., Network size, social support and happiness in later life: a comparative study of Beijing and Hong Kong (2006) J. Happiness Stud., 7 (1), pp. 87-112; Gülaçtı, F., The effect of perceived social support on subjective well-being (2010) Procedia-Soc. Behav. Sci., 2 (2), pp. 3844-3849; Siedlecki, K.L., Salthouse, T.A., Oishi, S., Jeswani, S., The relationship between social support and subjective well-being across age (2014) Soc. Indic. Res., 117 (2), pp. 561-576; Furnham, A., Brewin, C.R., Personality and happiness (1990) Pers. Individ. Differ., 11 (10), pp. 1093-1096; Brebner, J., Donaldson, J., Kirby, N., Ward, L., Relationships between happiness and personality (1995) Pers. Individ. Differ., 19 (2), pp. 251-258; Pishva, N., Ghalehban, M., Moradi, A., Hoseini, L., Personality and happiness (2011) Procedia-Soc. Behav. Sci., 30, pp. 429-432; Lu, L., Shih, J., Personality and happiness: is mental health a mediator? (1997) Pers. Individ. Differ., 22 (2), pp. 249-256; Campos, D., Cebolla, A., Quero, S., Bretón-López, J., Botella, C., Soler, J., García-Campayo, J., Baños, R.M., Meditation and happiness: mindfulness and self-compassion may mediate the meditation–happiness relationship (2016) Pers. Individ. Differ., 93, pp. 80-85; Schmidt, E.M., Kim, Y.E., Learning emotion-based acoustic features with deep belief networks (2011) Applications of Signal Processing to Audio and Acoustics (WASPAA), 2011 IEEE Workshop on, pp. 65-68. , IEEE; Han, K., Yu, D., Tashev, I., Speech emotion recognition using deep neural network and extreme learning machine (2014) Interspeech, pp. 223-227; Yin, Z., Zhao, M., Wang, Y., Yang, J., Zhang, J., Recognition of emotions using multimodal physiological signals and an ensemble deep learning model (2017) Comput. Methods Programs Biomed., 140, pp. 93-110; Chen, T., Borth, D., Darrell, T., Chang, S.-F., (2014), Deepsentibank: visual sentiment concept classification with deep convolutional neural networks, arXiv preprint; Kim, Y., (2014), Convolutional neural networks for sentence classification, arXiv preprint; You, Q., Luo, J., Jin, H., Yang, J., (2015), Robust image sentiment analysis using progressively trained and domain transferred deep networks, arXiv preprint; Cambria, E., Schuller, B., Xia, Y., White, B., New avenues in knowledge bases for natural language processing (2016) Knowl. Based Syst., 108, pp. 1-4. , New Avenues in Knowledge Bases for Natural Language Processing. doi:; Cambria, E., Howard, N., Xia, Y., Chua, T.S., Computational intelligence for big social data analysis [guest editorial] (2016) IEEE Comput. Intell. Mag., 11 (3), pp. 8-9; Cambria, E., Affective computing and sentiment analysis (2016) IEEE Intell. Syst., 31 (2), pp. 102-107; Poria, S., Cambria, E., Gelbukh, A.F., Deep convolutional neural network textual features and multiple kernel learning for utterance-level multimodal sentiment analysis (2015) EMNLP, pp. 2539-2544; Dos Santos, C.N., Gatti, M., Deep convolutional neural networks for sentiment analysis of short texts (2014) COLING, pp. 69-78; Lin, H., Jia, J., Guo, Q., Xue, Y., Li, Q., Huang, J., Cai, L., Feng, L., User-level psychological stress detection from social media using deep neural network (2014) Proceedings of the 22nd ACM International Conference on Multimedia, pp. 507-516. , ACM; Li, X., Hu, B., Sun, S., Cai, H., Eeg-based mild depressive detection using feature selection methods and classifiers (2016) Comput. Methods Programs Biomed., 136, pp. 151-161; Argyle, M., 18 causes and correlates of happiness (2003) Well-Being: The Foundations of Hedonic Psychology, 353; Bland, J.M., Altman, D.G., Statistics notes: Cronbach's alpha (1997) Br. Med. J., 314 (7080), p. 572; Carver, C.S., You want to measure coping but your protocols too long: consider the brief cope (1997) Int. J. Behav. Med., 4 (1), pp. 92-100; Francis, L.J., Brown, L.B., Philipchalk, R., The development of an abbreviated form of the revised Eysenck personality questionnaire (epqr-a): its use among students in England, Canada, the USA and Australia (1992) Pers. Individ. Differ., 13 (4), pp. 443-449; Goldberg, D., Manual of the ghq (1978), NFER: Windsor; Sherbourne, C.D., Stewart, A.L., The mos social support survey (1991) Soc. Sci. Med., 32 (6), pp. 705-714; Bonilla, V., (2006), 2. , Confiabilidad, en el boletín informativo ineva en acción; Lucero, I., Meza, S., Validación de instrumentos para medir conocimientos (2002), FACENA: Facultad de Ciencias Exactas y Naturales y Agrimesura de la UNNE; Anastasi, A., (1968), Psychological testing; Oliva, T.A., Oliver, R.L., MacMillan, I.C., A catastrophe model for developing service satisfaction strategies (1992) J. Mark., pp. 83-95; Bryant, R., Symbolic boolean manipulation with ordered binary-decision diagrams (1992) ACM Comput. Surv. (CSUR), 24 (3), pp. 293-318; Garavaglia, S., Sharma, A., A smart guide to dummy variables: four applications and a macro (1998) Proceedings of the Northeast SAS Users Group Conference, p. 43; Tu, J.V., Advantages and disadvantages of using artificial neural networks versus logistic regression for predicting medical outcomes (1996) J. Clin. Epidemiol., 49 (11), pp. 1225-1231; Zhou, Z., Wu, J., Tang, W., Ensembling neural networks: many could be better than all (2002) Artif. Intell., 137 (1-2), pp. 239-263; Geman, S., Bienenstock, E., Doursat, R., Neural networks and the bias/variance dilemma (1992) Neural Comput., 4 (1), pp. 1-58; Jordan, M.I., (1995), Why the logistic function? A tutorial discussion on probabilities and neural networks; Wilamowski, B.M., Neural network architectures and learning algorithms (2009) IEEE Ind. Electron. Mag., 3 (4); Lawrence, S., Giles, C., Tsoi, A.C., Lessons in neural network training: overfitting may be harder than expected (1997), pp. 540-545; Eerola, T., Lartillot, O., Toiviainen, P., Prediction of multidimensional emotional ratings in music from audio using multivariate regression models (2009) The International Society of Music Information Retrieval, pp. 621-626; Valdez, P., Mehrabian, A., Effects of color on emotions (1994) J. Exp. Psychol., 123 (4), p. 394; Goldin, P.R., Hutcherson, C.A., Ochsner, K.N., Glover, G.H., Gabrieli, J.D., Gross, J.J., The neural bases of amusement and sadness: a comparison of block contrast and subject-specific emotion intensity regression approaches (2005) Neuroimage, 27 (1), pp. 26-36; Van Campen, C., Iedema, J., Are persons with physical disabilities who participate in society healthier and happier? Structural equation modelling of objective participation and subjective well-being (2007) Qual. Life Res., 16 (4), p. 635; Zhang, J., Miao, D., Sun, Y., Xiao, R., Ren, L., Xiao, W., Peng, J., The impacts of attributional styles and dispositional optimism on subject well-being: a structural equation modelling analysis (2014) Soc. Indic. Res., 119 (2), pp. 757-769; Warner, R.M., Rasco, D., Structural equation models for prediction of subjective well-being: modeling negative affect as a separate outcome (2014) J. Happiness Well-Being, 2 (1), pp. 34-50</t>
  </si>
  <si>
    <t>01692607</t>
  </si>
  <si>
    <t>CMPBE</t>
  </si>
  <si>
    <t>Comput. Methods Programs Biomed.</t>
  </si>
  <si>
    <t>2-s2.0-85034833368</t>
  </si>
  <si>
    <t>Fernández-Martínez E., López-Alonso A.I., Marqués-Sánchez P., Martínez-Fernández M.C., Sánchez-Valdeón L., Liébana-Presa C.</t>
  </si>
  <si>
    <t>57222406388;57191500512;55220164700;57214914550;57204520039;16444445600;</t>
  </si>
  <si>
    <t>Emotional intelligence, sense of coherence, engagement and coping: A cross-sectional study of university students' health</t>
  </si>
  <si>
    <t>6953</t>
  </si>
  <si>
    <t>10.3390/SU11246953</t>
  </si>
  <si>
    <t>https://www.scopus.com/inward/record.uri?eid=2-s2.0-85079497149&amp;doi=10.3390%2fSU11246953&amp;partnerID=40&amp;md5=24b8eea13484abb02ef1649ed5957a9d</t>
  </si>
  <si>
    <t>Salbis Research Group, Faculty of Health Sciences, Universidad de León, León, 24071, Spain; Transplante Research Group, Faculty of Health Sciences, Universidad de León, León, 24071, Spain</t>
  </si>
  <si>
    <t>Fernández-Martínez, E., Salbis Research Group, Faculty of Health Sciences, Universidad de León, León, 24071, Spain; López-Alonso, A.I., Transplante Research Group, Faculty of Health Sciences, Universidad de León, León, 24071, Spain; Marqués-Sánchez, P., Salbis Research Group, Faculty of Health Sciences, Universidad de León, León, 24071, Spain; Martínez-Fernández, M.C., Salbis Research Group, Faculty of Health Sciences, Universidad de León, León, 24071, Spain; Sánchez-Valdeón, L., Salbis Research Group, Faculty of Health Sciences, Universidad de León, León, 24071, Spain; Liébana-Presa, C., Salbis Research Group, Faculty of Health Sciences, Universidad de León, León, 24071, Spain</t>
  </si>
  <si>
    <t>It is important to consider university settings as sustainable environments that promote student well-being. Our aim in this study was to determine how the variables of engagement, emotional intelligence, sense of coherence, and coping influence the health of students at a Spanish university. This was a descriptive, cross-sectional study. The instruments of measures administered were: The General Health Questionnaire, Trait Meta-Mood Scale, UterchWork Engagement Scale, sense of coherence and brief coping scale to 463 students. The results showed that better-perceived health was associated with higher scores for dedication, vigor, clarity, repair, sense of coherence, active coping, positive reframing, and humor. Conversely, poorer perceived health was associated with higher scores for attention, instrumental support, self-distraction, venting, religion, denial, self-blaming, emotional support, and behavioral disengagement. In addition, the variables analyzed presented differences by sex. Our proposed predictive model of health and the associations between variables indicate the need to cultivate emotional skills, such as mood repair, a sense of coherence, and coping strategies, in order to promote student health. Facilitating students' acquisition of knowledge and resources by analyzing these and other variables can contribute to individual well-being and help university students to cope with present and future academic challenges. © 2019 by the authors.</t>
  </si>
  <si>
    <t>Coping; Emotional intelligence; Engagement; Health; Nursing student; Organizational environments; Sense of coherence</t>
  </si>
  <si>
    <t>academic performance; artificial intelligence; behavioral response; health care; knowledge; organizational change; questionnaire survey; student; university sector</t>
  </si>
  <si>
    <t>Esteban, M., Bernardo, A., Tuero, E., Cervero, A., Casanova, J., Variables influyentes en progreso académico y permanencia en la universidad (2017) Eur. J. Educ. Psychol, 10, pp. 75-81; Ramos-Díaz, E., Rodríguez-Fernández, A., Revuelta, L., Axpe, I., El rol mediador de la implicación escolar sobre el apoyo del profesorado y la satisfacción con la vida (2016) Eur. J. Investig. Health Psychol. Educ, 6, pp. 151-165; Di Fabio, A., The psychology of sustainability and sustainable development for well-being in organizations (2017) Front. Psychol, 8, p. 1534; Di Fabio, A., Positive healthy organizations: Promoting well-being, meaningfulness, and sustainability in organizations (2017) Front. Psychol, 8, p. 1938; Waite, R., McKinney, N., Sahl, M., Nguyen, P., Schneider, A., Strengthening emotional and social competence: Undergraduate health professions students (2015) Int. J. Health Prof, 2, pp. 84-92; Arribas, J., Hacia un modelo causal de las dimensiones del estrés académico en estudiantes de Enfermería (2013) Rev. Educ, 360, pp. 533-556; González-Cabanach, R., Souto, A., Freire, C., Ferradás, M.M., Relaciones entre autoestima y estresores percibidos en estudiantes universitarios (2014) Eur. J. Educ. Psychol, 7, pp. 43-57; Vizoso, C.M., Arias, O., Engagement, burnout y rendimiento académico en estudiantes universitarios y su relación con la prioridad en la elección de la carrera (2016) Rev. Psicol. Y Educ, 11, pp. 45-60; Karadag, G., Guner, I., Cuhadar, D., Ucan, O., Self-esteem at the Gaziantep university health school for nursing students (2008) Firat Saglik Hizmetleri Derg, 3, pp. 29-42; Por, J., Barriball, L., Fitzpatrick, J., Roberts, J., Emotional intelligence: Its relationship to stress, coping, well-being and professional performance in nursing students (2011) Nurse Educ. Today, 31, pp. 855-860; Lazarus, R.S., Folkman, S., (1984) Stress, Appraisal and Coping;, , Springer: New York, NY, USA; Heiman, T., Examination of the salutogenic model, support resources, coping style, and stressors among Israeli university students (2004) J. Psychol, 138, pp. 505-520; Bruce, M., Omne-Pontén, N.M., Gustavsson, P.J., Active and emotional student engagement: A nationwide, prospective, longitudinal study of Swedish nursing students (2010) Int. J. Nurs. Educ. Scholarsh, 7; Schaufeli, W.B., Bakker, A.B., Job demands, job resources, and their relationship with burnout and engagement: A multi-sample study (2004) J. Organ. Behav, 25, pp. 293-315; Liu, J.Y., Liu, Y.H., Yang, J.P., Impact of Learning Adaptability and Time Management Disposition on Study Engagement Among Chinese Baccalaureate Nursing Students (2014) J. Prof. Nurs, 30, pp. 502-510; Cavazos, J., Encinas, F.C., Influencia del engagement académico en la lealtad de estudiantes de posgrado: Un abordaje a través de un modelo de ecuaciones estructurales (2016) Estud. Gerenc, 32, pp. 228-238; Serban-Oprescu, G.L., Dedu, S., Serban-Oprescu, A.T., An Integrative Approach to Assess Subjective Well-Being. A Case Study on Romanian University Students (2019) Sustainability, 11, p. 1639; Navarro-Abal, Y., Gómez-Salgado, J., López-López, M., Climent-Rodríguez, J., Organisational justice, burnout, and engagement in university students: A comparison between stressful aspects of labour and university organisation (2018) Int. J. Environ. Res. Public Health, 15, p. 2116; Mayer, J.D., Salovey, P., What is emotional intelligence? (1997) Emotional Development and Emotional Intelligence: Implications for Educators;, pp. 3-31. , In Salovey, P., Sluyter, D., Eds.; Basic Books: New York, NY, USA; Orak, R.J., Farahani, M.A., Kelishami, F.G., Seyedfatemi, N., Banihashemi, S., Havaei, F., Investigating the effect of emotional intelligence education on baccalaureate nursing students' emotional intelligence scores (2016) Nurse Educ. Pract, 20, pp. 64-69; Chen, Y., Peng, Y., Fang, P., Emotional Intelligence Mediates the Relationship between Age and Subjective Well-Being (2016) Int. J. Aging Hum. Dev, 83, pp. 91-107; Extremera, N., Rey, I., Ability emotional intelligence and life satisfaction: Positive and negative affect as mediators (2016) Personal. Individ. Differ, 102, pp. 98-101; García-Sancho, E., Salguero, J.M., Fernández-Berrocal, P., Relationship between emotional intelligence and aggression: A systematic review (2014) Aggress. Violent Behav, 19, pp. 584-591; Billings, C.E., Downey, L.A., Lomas, J.E., Lloyd, J., Stough, C., Emotional Intelligence and scholastic achievement in pre-adolescent children (2014) Personal. Individ. Differ, 65, pp. 14-18; Eriksson, M., Lindström, B., Lilja, J., A sense of coherence and health. Salutogenesis in a societal context: Aland, a special case? (2007) J. Epidemiol. Community Health, 61, pp. 684-688; Antonovsky, A., (1987) Unravelling the Mystery of Health: How People Manage Stress and Stay Well;, , Jossey-Bass: San Francisco, CA, USA; Chu, J.J., Khan, M.H., Jahn, H.J., Kraemer, A., Sense of coherence and associated factors among university students in China: Cross-sectional evidence (2016) BMC Public Health, 16, p. 336; Mato, M., Tsukasaki, K., Factors promoting sense of coherence among university students in urban areas of Japan: Individual-level social capital. self-efficacy. and mental health (2017) Glob. Health Promot, 26, pp. 60-68; Vega, M.C., Frías, A., Del Pino, R., Validez y confiabilidad de la escala de sentido de coherencia en estudiantes de grado de enfermería de una universidad española (2019) Gac. Sanit, 33, pp. 310-316; Goldberg, D., Williams, P., (1996) Cuestionario De Salud General GHQ (General Health Questionnarie);, , Masson: Barcelona, Spain; Fernández-Berrocal, P., Extremera, N., Ramos, N., Validity and reliability of the Spanish modified version of the Trait Meta-Mood Scale (2004) Psychol. Rep, 94, pp. 751-755; Schaufeli, W.B., Salanova, M., González-Roma, V., Bakker, A.B., The measurement of engagement and burnout and: A confirmative an analytic approach (2002) J. Happiness Stud, 3, pp. 71-92; Antonovsky, A., The structure and properties of the sense of coherence scale (1993) Soc. Sci. Med, 6, pp. 725-733; Carver, C.S., You want to measure coping but your proocol's too long: Consider the brief COPE (1997) Int. J. Behav. Med, 4, pp. 92-100; Hayes, A.F., (2018) Introduction to Mediation, Moderation, and Conditional Process Analysis A Regression-Based Approach;, , https://lccn.loc.gov/2017039263, Guilford Press: New York, NY, USA. (accessed on 18 October 2019); Nunnally, J.C., Bernstein, I.H., (1994) Psychometric Theory;, , McGraw-Hill: New York, NY, USA; Kim, J., Relationships between Nursing Practice Stress and Stress Coping of Nursing Students in Korea (2014) J. Digit. Converg, 12, pp. 409-415; Wolf, L., Stidham, A.W., Ross, R., Predictors of stress and coping strategies of US accelerated vs. generic Baccalaureate Nursing students: An embedded mixed methods study (2015) Nurse Educ. Today, 35, pp. 20120-20125; Alconero-Camarero, A.R., Sarabia-Cobo, C.M., González-Gómez, S., Ibáñez-Rementería, I., Lavín-Alconero, L., Sarabia-Cobo, A.B., Nursing students' emotional intelligence, coping styles and learning satisfaction in clinically simulated palliative care scenarios: An observational study (2018) Nurse Educ. Today, 61, pp. 94-100; Alzayyat, A., Al-Gamal, E., A review of the literature regarding stress among nursing students during their clinical education (2014) Int. Nurs. Rev, 61, pp. 406-415; Sánchez-Cardona, I., Rodríguez-Montalbán, R., Toro-Alfonso, J., Moreno-Velázquez, I., Propiedades psicométricas de la Utrecht Work Engagement Scale-Student (UWES-S) en universitarios de Puerto Rico (2016) Rev. Mex. Psicol, 33, pp. 121-134; Casuso-Holgado, M.J., Cuesta-Vargas, A.I., Moreno-Morales, N., Labajos-Manzanares, M.T., Barón-López, F.J., Vega-Cuesta, M., The association between academic engagement and achievement in health sciences students (2013) BMC Med. Educ, 13, p. 33; Currey, J., Oldlanda, E., Considine, J., Glanville, D., Storyd, I., Evaluation of postgraduate critical care nursing students' attitudes to and engagement with. Team-Based Learning: A descriptive study (2015) Intensive Crit. Care Nurs, 31, pp. 19-28; Liébana-Presa, C., Fernández-Martínez, E., Gándara, A., Muñoz-Villanueva, M.C., Vázquez-Casares, A.M., Rodríguez-Borrego, M.A., Psychological distress in health sciences college students and its relationship with academic engagement (2014) Revista Da Escola De Enfermagem Da USP, 48, pp. 715-722; Liébana-Presa, C., Fernández-Martínez, E., Vázquez-Casares, A., López-Alonso, A., Rodríguez-Borrego, A., Burnout y engagement en estudiantes universitarios de Enfermería (2018) Enfermería Glob, 17, pp. 142-152; Martos, M.C., Pérez-Fuentes, M., Molero, M.M., Gázquez, J.J., Simón, M.M., Barragán, A.B., Burnout y engagement en estudiantes de Ciencias de la Salud (2018) Eur. J. Investig. Health Psychol. Educ, 8, pp. 23-36; Marvos, C., Hale, F.B., Emotional intelligence and clinical performance/retention of nursing students (2015) Asia Pac. J. Oncol. Nurs, 2, pp. 63-71; Ghasemi, S.S., Farrokhi, S., Najafi, M., Shojaeimotlagh, V., Bozorgomid, A., Torabi, M., Yarahmadi, F., Emotional Intelligence and its relationship with demographic characteristics among nursing students (2018) J. Evol. Med. Dent. Sci. Jemds, 7, pp. 3419-3422; Fernández-Lasarte, O., Ramos-Díaz, E., Sáez, I.A., Rendimiento académico. apoyo social percibido e inteligencia emocional en la universidad (2019) Eur. J. Investig. Health Psychol. Educ, 9, pp. 39-49; Di Lorenzo, R., Venturelli, G., Spiga, G., Ferri, P., Emotional intelligence. empathy and alexithymia: A cross-sectional survey on emotional competence in a group of nursing students (2019) Acta Biomed, 90, pp. 32-43; Hajibabaee, F., Farahani, M.A., Ameri, Z., Salehi, T., Hosseini, F., The relationship between empathy and emotional intelligence among Iranian nursing students (2018) Int. J. Med. Educ, 9, pp. 239-243; Liébana-Presa, C., Fernández-Martínez, E., Morán-Astorga, C., Relación entre la inteligencia emocional y el burnout en estudiantes de enfermería (2017) Psychol. Soc. Educ, 9, pp. 335-345; Aradilla-Herrero, A., Tomás-Sábado, J., Gómez-Benito, J., Associations between emotional intelligence. depression and suicide risk in nursing students (2014) Nurse Educ. Today, 34, pp. 520-525; Štiglic, G., Cilar, L., Novak, Z., Vrbnjak, D., Stenhouse, R., Snowden, A., Pajnkihar, M., Emotional intelligence among nursing students: Findings from a cross-sectional study (2018) Nurse Educ. Today, 66, pp. 33-38; He, F.X., Lopez, V., Leigh, M.C., Perceived acculturative stress and sense of coherence in Chinese nursing students in Australia (2012) Nurse Educ. Today, 32, pp. 345-350; Gambetta-Tessini, K., Mariño, R., Morgan, M., Anderson, V., Coping strategies and the Salutogenic Model in future oral health professionals (2016) BMC Med. Educ, 16, p. 224; Londoño, M.E., Influencia de los factores Psicosociales en la Salud percibida, el Burnout y compromiso del personal (2017) ORP J, 4, pp. 2-12; Yildirim, N., Karaca, A., Cangur, S., Acikgoz, F., Akkus, D., The relationship between educational stress. stress coping. self-esteem. social support. and health status among nursing students in Turkey: A structural equation modeling approach (2017) Nurse Educ. Today, 48, pp. 33-39</t>
  </si>
  <si>
    <t>2-s2.0-85079497149</t>
  </si>
  <si>
    <t>Emotional intelligence, sense of coherence, engagement and coping: a cross-sectional study of university students' health</t>
  </si>
  <si>
    <t>Rappaport Z.H.</t>
  </si>
  <si>
    <t>35600561300;</t>
  </si>
  <si>
    <t>Robotics and artificial intelligence: Jewish ethical perspectives.</t>
  </si>
  <si>
    <t>Acta neurochirurgica. Supplement</t>
  </si>
  <si>
    <t>98</t>
  </si>
  <si>
    <t>10.1007/978-3-211-33303-7_2</t>
  </si>
  <si>
    <t>https://www.scopus.com/inward/record.uri?eid=2-s2.0-33750719439&amp;doi=10.1007%2f978-3-211-33303-7_2&amp;partnerID=40&amp;md5=530fd40a85ed81b95ba4c91db90b8ffb</t>
  </si>
  <si>
    <t>Department of Neurosurgery, Rabin Medical Center, University of Tel-Aviv Medical School, Petah-Tiqva, Israel</t>
  </si>
  <si>
    <t>Rappaport, Z.H., Department of Neurosurgery, Rabin Medical Center, University of Tel-Aviv Medical School, Petah-Tiqva, Israel</t>
  </si>
  <si>
    <t>In 16th Century Prague, Rabbi Loew created a Golem, a humanoid made of clay, to protect his community. When the Golem became too dangerous to his surroundings, he was dismantled. This Jewish theme illustrates some of the guiding principles in its approach to the moral dilemmas inherent in future technologies, such as artificial intelligence and robotics. Man is viewed as having received the power to improve upon creation and develop technologies to achieve them, with the proviso that appropriate safeguards are taken. Ethically, not-harming is viewed as taking precedence over promoting good. Jewish ethical thinking approaches these novel technological possibilities with a cautious optimism that mankind will derive their benefits without coming to harm.</t>
  </si>
  <si>
    <t>ethics; human; medical technology; religion; review; robotics; Biomedical Technology; Humans; Judaism; Robotics; MLCS; MLOWN</t>
  </si>
  <si>
    <t>00651419</t>
  </si>
  <si>
    <t>Acta Neurochir. Suppl.</t>
  </si>
  <si>
    <t>2-s2.0-33750719439</t>
  </si>
  <si>
    <t>Robotics and artificial intelligence: jewish ethical perspectives.</t>
  </si>
  <si>
    <t>Vila G., Godin C., Sakri O., Labyt E., Vidal A., Charbonnier S., Ollander S., Campagne A.</t>
  </si>
  <si>
    <t>57204011701;26648408600;57204016240;56226858400;35792879000;6603772241;57191503105;6602802500;</t>
  </si>
  <si>
    <t>Real-time monitoring of passenger's psychological stress</t>
  </si>
  <si>
    <t>Future Internet</t>
  </si>
  <si>
    <t>102</t>
  </si>
  <si>
    <t>10.3390/fi11050102</t>
  </si>
  <si>
    <t>https://www.scopus.com/inward/record.uri?eid=2-s2.0-85065917039&amp;doi=10.3390%2ffi11050102&amp;partnerID=40&amp;md5=dce8c703246163ee5942d561dde39743</t>
  </si>
  <si>
    <t>Univ. Grenoble Alpes and CEA, LETI, MINATEC Campus, Grenoble, F-38054, France; Gipsa-Lab, Univ. Grenoble Alpes and CNRS, Grenoble, F-38402, France; Univ. Grenoble Alpes, CNRS, LPNC, Grenoble, 38000, France</t>
  </si>
  <si>
    <t>Vila, G., Univ. Grenoble Alpes and CEA, LETI, MINATEC Campus, Grenoble, F-38054, France; Godin, C., Univ. Grenoble Alpes and CEA, LETI, MINATEC Campus, Grenoble, F-38054, France; Sakri, O., Univ. Grenoble Alpes and CEA, LETI, MINATEC Campus, Grenoble, F-38054, France; Labyt, E., Univ. Grenoble Alpes and CEA, LETI, MINATEC Campus, Grenoble, F-38054, France; Vidal, A., Univ. Grenoble Alpes and CEA, LETI, MINATEC Campus, Grenoble, F-38054, France; Charbonnier, S., Gipsa-Lab, Univ. Grenoble Alpes and CNRS, Grenoble, F-38402, France; Ollander, S., Univ. Grenoble Alpes and CEA, LETI, MINATEC Campus, Grenoble, F-38054, France; Campagne, A., Univ. Grenoble Alpes, CNRS, LPNC, Grenoble, 38000, France</t>
  </si>
  <si>
    <t>This article addresses the question of passengers' experience through different transportmodes. It presents the main results of a pilot study, for which stress levels experienced by a traveller were assessed and predicted over two long journeys. Accelerometer measures and several physiological signals (electrodermal activity, blood volume pulse and skin temperature) were recorded using a smart wristband while travelling from Grenoble to Bilbao. Based on user's feedback, three events of high stress and one period of moderate activity with low stress were identified offline. Over these periods, feature extraction and machine learning were performed from the collected sensor data to build a personalized regressive model, with user's stress levels as output. A smartphone application has been developed on its basis, in order to record and visualize a timely estimated stress level using traveler's physiological signals. This setting was put on test during another travel from Grenoble to Brussels, where the same user's stress levels were predicted in real time by the smartphone application. The number of correctly classified stress-less timewindows ranged from92.6%to 100%, depending on participant's level of activity. By design, this study represents a first step for real-life, ambulatory monitoring of passenger's stress while travelling. © 2019 by the authors.</t>
  </si>
  <si>
    <t>Affective computing; Human-machine interface; Physiology; Stress; Wearable sensors; Wellbeing</t>
  </si>
  <si>
    <t>Human computer interaction; Learning systems; Physiology; Smartphones; Stresses; Affective Computing; Ambulatory monitoring; Electrodermal activity; Human Machine Interface; Physiological signals; Psychological stress; Smart-phone applications; Wellbeing; Wearable sensors</t>
  </si>
  <si>
    <t>McEwen, B.S., The neurobiology of stress: from serendipity to clinical relevance (2000) Brain Res, 886, pp. 172-189; Lazarus, R.S., Folkman, S., Transactional theory and research on emotions and coping (1987) Eur. J. Personal, 1, pp. 141-169; (1984) The Journey from Home to the Workplace: The Impact on the Safety and Health of the Commuters/workers: Consolidated Report, , European Foundation for the Improvement of Living and Working Conditions: Dublin, Ireland; Legrain, A., Eluru, N., El-Geneidy, A.M., Am stressed, must travel: The relationship between mode choice and commuting stress (2015) Transp. Res. Part F Traffic Psychol. Behav, 34, pp. 141-151; Cox, T., Houdmont, J., Griffiths, A., Rail passenger crowding, stress, health and safety in Britain (2006) Transp. Res. Part Policy Pract, 40, pp. 244-258; Wener, R.E., Evans, G.W., Comparing stress of car and train commuters (2011) Transp. Res. Part F Traffic Psychol. Behav, 14, pp. 111-116; Greene, S., Thapliyal, H., Caban-Holt, A., A Survey of Affective Computing for Stress Detection: Evaluating technologies in stress detection for better health (2016) IEEE Consum. Electron. Mag, 5, pp. 44-56; Kim, H.-G., Cheon, E.-J., Bai, D.-S., Lee, Y.H., Koo, B.-H., Stress and Heart Rate Variability: A Meta-Analysis and Review of the Literature (2018) Psychiatry Invest, 15, pp. 235-245; Boucsein, W., (2012) Electrodermal Activity, , Springer Science &amp; Business Media: Berlin/Heidelberg, Germany; Healey, J.A., Picard, R.W., Detecting stress during real-world driving tasks using physiological sensors (2005) IEEE Trans. Intell. Transp. Syst, 6, pp. 156-166; Hovsepian, K., al'Absi, M., Ertin, E., Kamarck, T., Nakajima, M., Kumar, S., Stress: Towards a Gold Standard for Continuous Stress Assessment in the Mobile Environment (2015) Proc. ACM Int. Conf. Ubiquitous Comput. UbiComp Conf, 2015, pp. 493-504; Ollander, S., Godin, C., Campagne, A., Charbonnier, S., A comparison of wearable and stationary sensors for stress detection (2016) Proceedings of the 2016 IEEE International Conference on Systems, , Man, and Cybernetics (SMC), Budapest, Hungary, 9-12 October; Ollander, S., Godin, C., Charbonnier, S., Campagne, A., (2016) Feature and Sensor Selection for Detection of Driver Stress, pp. 115-122. , SCITEPRESS-Science and Technology Publications: Setúbal, Portugal; https://www.mathworks.com/help/signal/ug/prominence.html, (accessed on 25 April 2019)</t>
  </si>
  <si>
    <t>19995903</t>
  </si>
  <si>
    <t>2-s2.0-85065917039</t>
  </si>
  <si>
    <t>Hsu K.-C., Lin H.-C.K., Lin I.-L., Lin J.-W.</t>
  </si>
  <si>
    <t>56070679700;55738534900;15925460000;56129706300;</t>
  </si>
  <si>
    <t>The design and evaluation of an affective tutoring system</t>
  </si>
  <si>
    <t>Journal of Internet Technology</t>
  </si>
  <si>
    <t>533</t>
  </si>
  <si>
    <t>542</t>
  </si>
  <si>
    <t>10.6138/JIT.2014.15.4.04</t>
  </si>
  <si>
    <t>https://www.scopus.com/inward/record.uri?eid=2-s2.0-84906908442&amp;doi=10.6138%2fJIT.2014.15.4.04&amp;partnerID=40&amp;md5=787a5d674827471a92b68767d3ca216f</t>
  </si>
  <si>
    <t>Department of Information Management, Kun Shan University, Taiwan; Department of Information and Learning Technology, National University of Tainan, Taiwan; Department of Information Management, Yuanpei University, Taiwan</t>
  </si>
  <si>
    <t>Hsu, K.-C., Department of Information Management, Kun Shan University, Taiwan; Lin, H.-C.K., Department of Information and Learning Technology, National University of Tainan, Taiwan; Lin, I.-L., Department of Information Management, Yuanpei University, Taiwan; Lin, J.-W., Department of Information and Learning Technology, National University of Tainan, Taiwan</t>
  </si>
  <si>
    <t>Emotion recognition techniques in an affective tutoring system enhance the affective interface of an intelligent tutoring system. This study attempts to improve interest in learning by recognizing the emotional states of students during their learning processes and providing adequate feedback. Both the emotional recognition system and the tutoring strategy module are developed. The digital arts learning content module is then designed, along with the emotional feedback mechanism via the HCI design of interactive avatars. Next, the entire system is integrated and assessed via a two-stage evaluation. Analysis results indicate that the proposed affective interaction design can enhance learner motivation and interest, thus improving their learning performance. System satisfaction and student performance are evaluated first by prototype evaluation, in which experts combine a system usability scale (SUS) questionnaire and heuristic evaluation. Triangulation evaluation is then performed, including qualitative and quantitative approaches involving observations, questionnaires, and interviews. The following questions are raised using the above methods: Is the usability of ATS effective?; Are ATS users satisfed with the learning system?; Is the interactivity of ATS attractive to users?; Does ATS increase the learning motivation of digital art students?; and Does ATS vary in its impact on self-conscious learning achievement for users from different domains? Evaluation results demonstrate a high satisfaction among users with respect to system usability. Furthermore, in addition to its attractiveness to users, ATS increases learning motivation and self-conscious learning achievement.</t>
  </si>
  <si>
    <t>Affective computing; Affective tutoring system; Digital art; Emotional intelligence; Intelligent tutoring systems; Interaction design</t>
  </si>
  <si>
    <t>Sinica, A., (1993) Academia Sinica Balanced Corpus of Modern Chinese, , CKIP Technical Report 93-05; Ammara, M.B., Nejib, M., Alimia, A.M., Gouardères, G., The affective tutoring system (2010) Expert Systems with Applications, 37 (4), pp. 3013-3023; Brooke, J., SUS: A quick and dirty usability scale (1996) Usability Evaluation in Industry, p. 189194. , P. W. Jordan, B. Thomas, B. A. Weerdmeester and I. L. McClelland (eds.) Taylor &amp; Francis, London; Cheng, C.-J., (2008) Continuing use of Educational Simulation Game in Higher Education, , Master Thesis, National Kaohsiung First University of Science and Technology, Kaohsiung, Taiwan; Creswell, J.W., Educational research: Planning (2008) Conducting, and Evaluating Quantitative and Qualitative Research, , Pearson Education, Upper Saddle River, NJ; Creswell, J.W., Clark, V.L.P., (2007) Designing and Conducting Mixed Methods Research, , Sage, Thousand Oaks, CA; D'Mello, S.K., Craig, S.D., Gholson, B., Franklin, S., Picard, R., Graesser, A.C., Integrating affect sensors in an intelligent tutoring system (2005) Proceedings of Affective Interactions: The Computer in the Affective Loop Workshop at Intelligent User Interface 2005, pp. 7-13. , San Diego, CA, January; Ekman, P., Friesen, W.V., Constants across cultures in the face and emotion (1971) Journal of Personality and Social Psychology, 17 (2), pp. 124-129; Fan, R.-E., Chen, P.-H., Lin, C.-J., Working set selection using second order information for training support vector machines (2005) Journal of Machine Learning Research, 6, pp. 1889-1918; Ferreira, A., Atkinson, J., Designing a feedback component of an intelligent tutoring system for foreign language (2009) Knowledge-Based Systems, 22 (7), pp. 496-501; Gay, L.R., Mills, G.E., Airasian, P.W., (2009) Education Research: Competencies for Analysis and Applications, , (9th ed.), Prentice Hall, Upper Saddle River, NJ; Wu, T.-T., Huang, Y.-M., Chao, H.-C., Park, J.H., Personalized english reading sequencing based on learning portfolio analysis (2014) Information Sciences, 257, pp. 248-263; Graesser, A.C., D'Mello, S., Person, N., Meta-knowledge in tutoring (2009) Handbook of Metacognition in Education, pp. 361-382. , Douglas J. Hacker, John Dunlosky and Arthur C. Graesser (eds.) Routldge, New York; Graesser, A.C., Lu, S., Jackson, G.T., Mitchell, H.H., Ventura, M., Olney, A., Louwerse, M.M., Autotutor: A tutor with dialogue in natural language (2004) Behavioral Research Methods, Instrumentation, and Computers, 36 (2), pp. 180-193; Koedinger, K.R., Corbett, A., Cognitive tutors: Technology bringing learning science to the classroom (2006) The Cambridge Handbook of the Learning Sciences, pp. 61-77. , R. Keith Sawyer (ed.) Cambridge University Press, New York; Kort, B., Reilly, R., An affective model of interplay between emotions and learning: Reengineering educational pedagogy building a learning companion (2001) Proceedings IEEE International Conference on Advanced Learning Technology: Issues, Achievements and Challenges, pp. 43-48. , Madison, WI, August; Liao, L.-Y., Web curriculum design and evaluation of the digital arts contents in arts and humanities studies (2003) Journal of Digital Art Education, , http://www.aerc.nhcue.edu.tw/journal/journal3/1.pdf; Lin, H.-C.K., Tsai, I.-H., Sun, R.-T., An ontology-based affective tutoring system on digital arts (2011) Proc. of WACI 2011, , Paris, France, April DOI:10.1109/WACI.2011.5952985; Lin, P.-C., Fan, T.-H., A study of interactive concept, medium and aesthetics of digital arts (2004) Journal of National Taiwan College of Arts, (74), pp. 99-111; Lu, C.-H., An examination of the educational policy in arts and humanities learning domain and it's practice: The case of ching sing elementary school in yunlin county (2009) The Journal of Aesthetics and Visual Arts, (1), pp. 1-15; Manning, C.D., Schütze, H., (1999) Foundations of Statistical Natural Language Processing, , The MIT Press, London; Mao, X., Li, Z., Implementing emotion-based user-aware E-learning (2009) Proc. of CHI, pp. 3787-3792. , Boston, MA, April; Mao, X., Li, Z., Agent based affective tutoring systems: A pilot study (2010) Computers &amp; Education, 55 (1), pp. 202-208; Mitrovic, A., McGuigan, N., Martin, B., Suraweera, P., Milik, N., Holland, J., Authoring constraint-based tutors in ASPIRE: A case study of a capital investment tutor (2008) Proceedings of World Conference on Educational Multimedia, Hypermedia and Telecommunications, pp. 4607-4616. , Vienna, Austria, June/July; Nielsen, J., Heuristic evaluation (1994) Usability Inspection Methods, pp. 25-62. , Jakob Nielsen and Robert L. Mack (eds.) Wiley, New York; Norman, D.A., (2007) The Design of Future Things, , Basic Books, New York; Pérez, Y.H., Gamboa, R.M., Ibarra, O.M., Modeling affective responses in intelligent tutoring systems (2004) Proceedings of the IEEE International Conference on Advanced Learning Technologies (ICALT'04), , Joensuu, Finland, August/September DOI:10.1109/ICALT.2004.1357644; Picard, R.W., (1997) Affective Computing, , The MIT Press, Cambridge, MA; Pour, P.A., Sazzad Hussain, M., AlZoubi, O., D'Mello, S., Calvo, R.A., The impact of system feedback on learners' affective and physiological states (2010) Proc. of ITS, pp. 264-273. , Pittsburgh, PA, June; Quan, C., Ren, F., A blog emotion corpus for emotional expression analysis in Chinese (2010) Computer Speech &amp; Language, 24 (4), pp. 726-749; Sarrafzadeh, A., Alexander, S., Dadgostar, F., Fan, C., Bigdeli, A., "How do you know that I don't understand?" A look at the future of intelligent tutoring systems (2008) Computers in Human Behavior, 24 (4), pp. 1342-1363; Stankov, S., Glavinic, V., Rosic, M., On knowledge representation in an intelligent tutoring system (2000) Proc. of INES 2000, pp. 381-384. , Portoroz, Slovenia, September; Strauss, A., Corbin, J.M., (1990) Basic of Qualitative Research: Grounded Theory Procedures and Techniques, , Sage, Thousand Oaks, CA; Nguyen, T., Bass, I., Li, M., Sethi, I.K., Investigation of combining SVM and decision tree for emotion classification (2005) Proceedings of 7th IEEE International Symposium on Multimedia, pp. 540-544. , Irvine, CA, December; Thayer, R.E., (1989) The Biopsychology of Mood and Arousal, , Oxford University Press, New York; VanLehn, K., The behavior of tutoring systems (2006) International Journal of Artificial Intelligence in Education, 16 (3), pp. 227-265; Vesterinen, E., (2001) Affective Computing, , https://www.pervasive.jku.at/Teaching/_2009SS/ SeminarausPervasiveComputing/Begleitmaterial/Related%20Work%20(Readings)/ 2001_Affective%20computing_Vesterinen.pdf; Wang, W.-J., (2010) An Emotion Recognition Mechanism Based on Mutual Information and Semantic Clues, , Master Thesis, National University of Tainan, Tainan, Taiwan; Wang, C.-Y., Chen, G.-D., Liu, C.-C., Liu, B.-J., Design an empathic virtual human to encourage and persuade learners in E-learning systems (2009) Proc. of MTDL, pp. 27-32. , Beijing, China, October; Changhua Yang, K., Lin, H.-Y., Chen, H.-H., Emotion classification using web blog corpora, in web intelligence (2007) Proc. of IEEE/WIC/ACM International Conference, pp. 275-278. , Fremont, CA, November</t>
  </si>
  <si>
    <t>Taiwan Academic Network Management Committee</t>
  </si>
  <si>
    <t>16079264</t>
  </si>
  <si>
    <t>J. Internet Technol.</t>
  </si>
  <si>
    <t>2-s2.0-84906908442</t>
  </si>
  <si>
    <t>Kaur M., Dhalaria M., Sharma P.K., Park J.H.</t>
  </si>
  <si>
    <t>57220556130;57209273808;57191076911;55665406600;</t>
  </si>
  <si>
    <t>Supervised machine-learning predictive analytics for national quality of life scoring</t>
  </si>
  <si>
    <t>Applied Sciences (Switzerland)</t>
  </si>
  <si>
    <t>1613</t>
  </si>
  <si>
    <t>10.3390/app9081613</t>
  </si>
  <si>
    <t>https://www.scopus.com/inward/record.uri?eid=2-s2.0-85067091839&amp;doi=10.3390%2fapp9081613&amp;partnerID=40&amp;md5=55c6d24d7e9c87340e43552f71bc898e</t>
  </si>
  <si>
    <t>Computer Science and Engineering Department, Thapar Institute of Engineering and Technology (Deemed University), Patiala, 147004, India; Department of Computer Science and Engineering, Seoul National University of Science and Technology (SeoulTech), Seoul, 01811, South Korea</t>
  </si>
  <si>
    <t>Kaur, M., Computer Science and Engineering Department, Thapar Institute of Engineering and Technology (Deemed University), Patiala, 147004, India; Dhalaria, M., Computer Science and Engineering Department, Thapar Institute of Engineering and Technology (Deemed University), Patiala, 147004, India; Sharma, P.K., Department of Computer Science and Engineering, Seoul National University of Science and Technology (SeoulTech), Seoul, 01811, South Korea; Park, J.H., Department of Computer Science and Engineering, Seoul National University of Science and Technology (SeoulTech), Seoul, 01811, South Korea</t>
  </si>
  <si>
    <t>For many years there has been a focus on individual welfare and societal advancement. In addition to the economic system, diverse experiences and the habitats of people are crucial factors that contribute to the well-being and progress of the nation. The predictor of quality of life called the Better Life Index (BLI) visualizes and compares key elements-environment, jobs, health, civic engagement, governance, education, access to services, housing, community, and income-that contribute to well-being in different countries. This paper presents a supervised machine-learning analytical model that predicts the life satisfaction score of any specific country based on these given parameters. This work is a stacked generalization based on a novel approach that combines different machine-learning approaches to generate a meta-machine-learning model that further aids in maximizing prediction accuracy. The work utilized an Organization for Economic Cooperation and Development (OECD) regional statistics dataset with four years of data, from 2014 to 2017. The novel model achieved a high root mean squared error (RMSE) value of 0.3 with 10-fold cross-validation on the balanced class data. Compared to base models, the ensemble model based on the stacked generalization framework was a significantly better predictor of the life satisfaction of a nation. It is clear from the results that the ensemble model presents more precise and consistent predictions in comparison to the base learners. © 2019 by the authors.</t>
  </si>
  <si>
    <t>Bagging; Better Life Index; Ensemble learning; Machine-learning; Quality of life</t>
  </si>
  <si>
    <t>Estoque, R.C., Togawa, T., Ooba, M., Gomi, K., Nakamura, S., Hijioka, Y., Kameyama, Y., A review of quality of life (QOL) assessments and indicators: Towards a "QOL-Climate" assessment framework (2018) Ambio, pp. 1-20; Stone, A.A., Krueger, A.B., (2018) Understanding subjective well-being. In For Good Measure: Advancing Research on Well-Being Metrics Beyond GDP, p. 163. , Stiglitz, J.E., Fitoussi, J.-P., Durand, M., Eds.; OECD: Paris, France; Social Determinants of Health. How Social and Economic Factors Affect Health, , http://publichealth.lacounty.gov/epi/docs/SocialD_Final_Web.pdf, (accessed on 2 January 2019); Moore, S.M., Diener, E., Tan, K., Using multiple methods to more fully understand causal relations: Positive affect enhances social relationships (2018) Handbook of Well-Being Diener, , Oishi, S., Tay, L., Eds.; DEF Publishers: Salt Lake City, UT, USA; Michalos, A.C., Education, happiness and wellbeing (2017) Connecting the Quality of Life Theory to Health, Well-Being and Education, pp. 277-299. , Springer: Cham, Switzerland; Lamu, A.N., Olsen, J.A., The relative importance of health, income and social relations for subjective well-being: An integrative analysis (2016) Soc. Sci. Med, 152, pp. 176-185; Bakar, A.A., Osman, M.M., Bachok, S., Ibrahim, M., Mohamed, M.Z., Modelling economic wellbeing and social wellbeing for sustainability: A theoretical concept (2015) Procedia Environ. Sci, 28, pp. 286-296; Index, H.P., (2016) About the Happy Planet Index, , http://www.happyplanetindex.org/http://www.happyplanetindex.org/about, Repéré sur le Site de HPI, Section About the HPI. (accessed on 10 January 2019); https://countryeconomy.com/demography/world-happiness-index, (accessed on 8 January 2019); Ritu, V., Gross national happiness: Meaning, measure and degrowth in a living development alternative (2017) J. Political Ecol, 24, pp. 476-490; Jad, C., Irani, A., Khoury, A., The composite global well-being index (CGWBI): A new multi-dimensional measure of human development (2016) Soc. Indic. Res, 129, pp. 465-487; Somarriba, N., Pena, B., Synthetic indicators of quality of life in Europe (2009) Soc. Indic. Res, 94, pp. 115-133; Graham, A., (2015) Assessing the Environment Domain of the Canadian Index ofWellbeing: Potentials for Leveraging Policy, , Master's Thesis, University ofWaterloo,Waterloo, ON, Canada; Pesta, B.J., Mcdaniel, M.A., Bertsch, S., Toward an index of well-being for the fifty U.S (2010) States. Intelligence, 38, pp. 160-168; Greyling, T., (2015) A Composite Index of Quality of Life for the Gauteng City-Region: A Principal Component Analysis Approach, , http://hdl.handle.net/10539/17365, Wits Institutional Repository on DSpace (accessed on 12 January 2019); Balestra, C., Boarini, R., Tosetto, E., What matters most to people? Evidence from the OECD better life index users' responses (2018) Soc. Indic. Res, 136, pp. 907-930; Sirgy, M., Estes, J.R.J., Selian, A.N., How we measure well-being: The data behind the history of well-being (2017) The Pursuit of Human Well-Being, pp. 135-157. , Springer: Cham, Switzerland; (2015) How's Life?. Measuring Well-Being, , OECD: Paris, France; Durahim, A.O., Coşkun, M., I am happy because: Gross national happiness through twitter analysis and big data (2015) Technol. Forecast. Soc. Chang, 99, pp. 92-105; Li, J., Roy, S., Feng, J., Sim, T., Happiness level prediction with sequential inputs via multiple regressions (2016) Proceedings of the 18th ACM International Conference on Multimodal Interaction, , Tokyo, Japan, 12-16 November; Takashi, K., Swan, M., Machine learning and personal genome informatics contribute to happiness Sciences and wellbeing computing (2016) Proceedings of the AAAI Spring Symposium Series, , Palo Alto, CA, USA, 21-23 March; Aouadni, I., Rebai, A., Decision Support System Based on Genetic Algorithm and Multi-Criteria Satisfaction Analysis (MUSA) Method for Measuring Job Satisfaction (2016) Ann Open Res; Springer: Cham, Switzerland, 256, pp. 3-20; Yang, C., Srinivasan, P., Life satisfaction and the pursuit of happiness on Twitter (2016) PloS ONE, 11; Le Kern, M., Sap, M., Eichstaedt, J.C., Kapelner, A., Agrawal, M., Blanco, E., Dziurzynski, L., Kosinski, M., Predicting individual well-being through the language of social media (2016) Proceedings of the Pacific Symposium on Biocomputing, , Pauko, Hi, USA, 4-7 January; https://stats.oecd.org/index.aspx?.DataSetCode=BLI, (accessed on 14 January 2019); Mohammed, M., Mwambi, H., Omolo, B., Elbashir, M.K., Using stacking ensemble for microarray-based cancer classification (2018) Proceedings of the 2018 International Conference on Computer, , Control, Electrical, and Electronics Engineering (ICCCEEE) IEEE.1-8, Khartoum, Sudan, 12-14 August; Song, Y.-Y., Ying, L.U., Decision tree methods: Applications for classification and prediction (2015) Shanghai Arch. Psychiatry, 27, p. 130; Geoffrey, H., Vinyals, O., Dean, J., (2015) Distilling the Knowledge in a Neural Network, , arXiv; Hatem, M.N., Sarhan, S.S., Rashwan, M.A.A., Enhancing recurrent neural network-based language models by word tokenization (2018) Human Centric Comput. Inform. Sci, 8, pp. 1-13; Biau, G., Scornet, E., A random forest guided tour (2016) Test, 25, pp. 197-227; Aydadenta, H., A clustering approach for feature selection in microarray data classification using random forest (2018) J. Inform. Process. Syst, 14, pp. 1167-1175; Uçak, K., Gülay, Ö.G., An adaptive support vector regressor controller for nonlinear systems (2016) Soft Comput, 20, pp. 2531-2556; Kuhn, M., Weston, S., Keefer, C., Coulter, N., Quinlan, R., Cubist: Rule-and Instance-based Regression Modeling, , https://rdrr.io/rforge/Cubist/f/inst/doc/cubist.pdf, (accessed on 31 January 2019). R Package Version 0.0.18; Pregibon, D., Hastie, T.J., Generalized linear models (2017) Statistical Models in S, pp. 195-247. , Momirovic, K., Mildner, V., Eds.; Routledge: London, UK; Zhang, Z., Lai, Z., Xu, Y., Shao, L., Wu, J., Xie, G., Discriminative elastic-net regularized linear regression (2017) IEEE Trans. Image Process, 26, pp. 1466-1481; Peng, R.D., (2015) R Programming for Data Science, , Lulu: Morrisville, NC, USA; Thirumalai, C., Kanimozhi, R., Vaishnavi, B., Data analysis using box plot on electricity consumption (2017) Proceedings of the International Conference of Electronics, , Communication and Aerospace Technology (ICECA), Coimbatore, India, 20-22 April; Davies, M.M., Van Der Laan, M.J., Optimal spatial prediction using ensemble machine learning (2016) Int. J. Biostat, 12, pp. 179-201</t>
  </si>
  <si>
    <t>20763417</t>
  </si>
  <si>
    <t>Appl. Sci.</t>
  </si>
  <si>
    <t>2-s2.0-85067091839</t>
  </si>
  <si>
    <t>Krall A., Finke D., Yang H.</t>
  </si>
  <si>
    <t>57193712802;7004626484;55197329400;</t>
  </si>
  <si>
    <t>Mosaic Privacy-Preserving Mechanisms for Healthcare Analytics</t>
  </si>
  <si>
    <t>9250511</t>
  </si>
  <si>
    <t>2184</t>
  </si>
  <si>
    <t>2192</t>
  </si>
  <si>
    <t>10.1109/JBHI.2020.3036422</t>
  </si>
  <si>
    <t>https://www.scopus.com/inward/record.uri?eid=2-s2.0-85098766635&amp;doi=10.1109%2fJBHI.2020.3036422&amp;partnerID=40&amp;md5=d8526cb272b653a6dfa2e484118f3cf1</t>
  </si>
  <si>
    <t>The Complex Systems Monitoring, Modeling and Control Lab, The Pennsylvania State University, University Park, PA  16802, United States; The Applied Research Lab, University Park, PA  16804, United States; The Complex Systems Monitoring, Modeling and Control Lab, The Pennsylvania State University, University Park, PA  16802, United States</t>
  </si>
  <si>
    <t>Krall, A., The Complex Systems Monitoring, Modeling and Control Lab, The Pennsylvania State University, University Park, PA  16802, United States; Finke, D., The Applied Research Lab, University Park, PA  16804, United States; Yang, H., The Complex Systems Monitoring, Modeling and Control Lab, The Pennsylvania State University, University Park, PA  16802, United States</t>
  </si>
  <si>
    <t>The Internet of Things (IoT) has propelled the evolution of medical sensing technologies to greater heights. Thus, traditional health systems have been transformed into new data-rich environments. This provides an unprecedented opportunity to develop new analytical methods and tools towards a new paradigm of smart and interconnected health systems. Nevertheless, there are risks pertinent to increasing levels of system connectivity and data accessibility. Cyber-attacks become more prevalent and complex, leading to greater likelihood of data breaches. These events bring sudden disruptions to routine operations and cause the loss of billions of dollars. Adversaries often attempt to leverage models to learn a target's sensitive attributes or extrapolate its inclusion within a database. As healthcare systems are critical to improving the wellbeing of our society, there is an urgent need to protect the privacy of patients and minimize the risk of model inversion attacks. This paper presents a new approach, named Mosaic Gradient Perturbation (MGP), to preserve privacy in the framework of predictive modeling, which meets the requirement of differential privacy while mitigating the risk of model inversion. MGP is flexible in fine-tuning the trade-offs between model performance and attack accuracy while being highly scalable for large-scale computing. Experimental results show that the proposed MGP method improves upon traditional gradient perturbation to mitigate the risk of model inversion while offering greater preservation of model accuracy. The MGP technique shows strong potential to circumvent paramount costs due to privacy breaches while maintaining the quality of existing decision-support systems, thereby ushering in a privacy-preserving smart health system. © 2013 IEEE.</t>
  </si>
  <si>
    <t>Differential privacy; health informatics; Internet of Things; machine learning; model inversion attack; mosaic gradient perturbation; predictive modeling</t>
  </si>
  <si>
    <t>Decision support systems; Economic and social effects; Health care; Internet of things; Network security; Predictive analytics; Data accessibility; Differential privacies; Internet of thing (IOT); Large-scale computing; Predictive modeling; Privacy preserving; Sensitive attribute; System connectivity; Privacy by design; adult; article; bioinformatics; computer model; cyberattack; decision support system; health care system; human; internet of things; machine learning; medical informatics; privacy; risk assessment; wellbeing; health care delivery; software; Delivery of Health Care; Humans; Internet of Things; Privacy; Software</t>
  </si>
  <si>
    <t>Kan, C., Chen, Y., Leonelli, F., Yang, H., Mobile sensing and network analytics for realizing smart automated systems towards health Internet of Things (2015) Proc. Ieee Int. Conf. Automat. Sci. Eng., pp. 1072-1077. , Aug; https://www.statista.com/statistics/607982/healthcare-wearable-device-revenue-worldwide-projection/, Projected size of the global market for wearable devices in the healthcare sector from 2015 to 2021 (in millions of U.S. dollars) 2019; Yang, H., Kan, C., Krall, A., Finke, D., Network modeling and internet of things for smart and connected health systems-A case study for smart health monitoring and management (2019) Iise Trans. Health Syst. Eng., pp. 1-28; Liu, L., Xu, J., Huan, Y., Zou, Z., Yeh, S., Zheng, L., A smart dental health-IoT platform based on intelligent hardware deep learning, and mobile terminal (2020) Ieee J. Biomed. Health Inf., 24 (3), pp. 898-906. , Mar; Zhou, H., Lv, H., Pang, Z., Huang, X., Yang, H., Yang, G., IoTenabled dual-arm motion capture and mapping for telerobotics in home care (2020) Ieee J. Biomed. Health Inf., 24, pp. 1541-1549; Cai, N., Kou, S., Econometrics with privacy preservation (2019) Oper. Res., 67 (4), pp. 905-926; Walker-Roberts, S., Hammoudeh, M., Dehghantanha, A., A systematic review of the availability and efficacy of countermeasures to internal threats in healthcare critical infrastructure (2018) Ieee Access, 6, pp. 25167-25177; Dwork, C., Roth, A., The algorithmic foundations of differential privacy (2014) Found. Trends Theor. Comput. Sci., 9 (3-4), pp. 211-407. , Aug; Fredrikson, M., Lantz, E., Jha, S., Lin, S., Page, D., Ristenpart, T., Privacy in pharmacogenetics: An end-to-end case study of personalized warfarin dosing (2014) Proc. Usenix Secur Symp, 2014, pp. 17-32. , Aug; Sweeney, L., Matching known patients to health records in Washington state data (2013) Data Privacy Lab., Harvard Univ., , White Paper 1089-1, Jun; Sweeney, L., Abu, A., Winn, J., Identifying participants in the personal Genome project by name (a re-identification experiment) (2013) Data Privacy Lab., Harvard Univ., , White Paper 1021-1, Apr; Chen, Y., Leonelli, F., Yang, H., Heterogeneous sensing and predictive modeling of postoperative outcomes (2016) Healthcare Analytics, pp. 463-501. , Hoboken, NJ, USA: John Wiley &amp;Sons, Ltd; Chaudhuri, K., Monteleoni, C., Privacy-preserving logistic regression (2008) Advances in Neural Information Processing Systems 21, pp. 289-296. , Vancouver, Dec; Zhang, J., Zhang, Z., Xiao, X., Yang, Y., Winslett, M., Functionalmechanism: Regression analysis under differential privacy (2012) Proc. Vldb Endow., 5 (11), pp. 1364-1375. , Jul; Wang, Y., Si, C., Wu, X., Regression model fitting under differential privacy and model inversion attack (2015) Proc. Presented Int. Joint Conf. Artif. Intell., pp. 1003-1009. , Buenos Aires; Li, N., Lyu, M., Su, D., Yang, W., Differential privacy: From theory to practice (2016) Synth. Lectures Inf. Secur., Privacy, Trust, 8, pp. 1-138; Raisaro, J.L., Protecting privacy and security of genomic data in i2b2 with homomorphic encryption and differential privacy (2018) IEEE/ACM Trans. Comput. Biol. Bioinf., 15 (5), pp. 1413-1426. , Sep; Almadhoun, N., Ayday, E., Ulusoy, Ö., Differential privacy under dependent tuples-The case of genomic privacy (2020) Bioinformatics, 36 (6), pp. 1696-1703. , Mar; Song, S., Chaudhuri, K., Sarwate, A.D., Stochastic gradient descent with differentially private updates (2013) Proc. Ieee Global Conf. Signal Inf. Proc., pp. 245-248. , Dec; Saeed, M., Multiparameter intelligent monitoring in intensive care II: A public-access intensive care unit database (2011) Crit Care Med, 39 (5), pp. 952-960. , May</t>
  </si>
  <si>
    <t>2-s2.0-85098766635</t>
  </si>
  <si>
    <t>Mosaic privacy-preserving mechanisms for healthcare analytics</t>
  </si>
  <si>
    <t>Lin R., Amith M., Liang C., Duan R., Chen Y., Tao C.</t>
  </si>
  <si>
    <t>57201747053;55806425500;7403280493;55975296400;56800475700;8245410000;</t>
  </si>
  <si>
    <t>Visualized Emotion Ontology: A model for representing visual cues of emotions</t>
  </si>
  <si>
    <t>BMC Medical Informatics and Decision Making</t>
  </si>
  <si>
    <t>64</t>
  </si>
  <si>
    <t>10.1186/s12911-018-0634-6</t>
  </si>
  <si>
    <t>https://www.scopus.com/inward/record.uri?eid=2-s2.0-85050818948&amp;doi=10.1186%2fs12911-018-0634-6&amp;partnerID=40&amp;md5=1aa69b672c1ee727e9c265a53891a704</t>
  </si>
  <si>
    <t>Krieger School of Arts and Sciences, Johns Hopkins University, Baltimore, MD, United States; School of Biomedical Informatics, University of Texas, Health Science Center, Houston, TX, United States; Health Informatics and Information Management, Louisiana Tech University, Ruston, LA, United States; Perelman School of Medicine, University of Pennsylvania, Philadelphia, PA, United States</t>
  </si>
  <si>
    <t>Lin, R., Krieger School of Arts and Sciences, Johns Hopkins University, Baltimore, MD, United States; Amith, M., School of Biomedical Informatics, University of Texas, Health Science Center, Houston, TX, United States; Liang, C., Health Informatics and Information Management, Louisiana Tech University, Ruston, LA, United States; Duan, R., Perelman School of Medicine, University of Pennsylvania, Philadelphia, PA, United States; Chen, Y., Perelman School of Medicine, University of Pennsylvania, Philadelphia, PA, United States; Tao, C., School of Biomedical Informatics, University of Texas, Health Science Center, Houston, TX, United States</t>
  </si>
  <si>
    <t>Background: Healthcare services, particularly in patient-provider interaction, often involve highly emotional situations, and it is important for physicians to understand and respond to their patients' emotions to best ensure their well-being. Methods: In order to model the emotion domain, we have created the Visualized Emotion Ontology (VEO) to provide a semantic definition of 25 emotions based on established models, as well as visual representations of emotions utilizing shapes, lines, and colors. Results: As determined by ontology evaluation metrics, VEO exhibited better machine-readability (z=1.12), linguistic quality (z=0.61), and domain coverage (z=0.39) compared to a sample of cognitive ontologies. Additionally, a survey of 1082 participants through Amazon Mechanical Turk revealed that a significantly higher proportion of people agree than disagree with 17 out of our 25 emotion images, validating the majority of our visualizations. Conclusion: From the development, evaluation, and serialization of the VEO, we have defined a set of 25 emotions using OWL that linked surveyed visualizations to each emotion. In the future, we plan to use the VEO in patient-facing software tools, such as embodied conversational agents, to enhance interactions between patients and providers in a clinical environment. © 2018 The Author(s).</t>
  </si>
  <si>
    <t>Crowdsourcing; Emotion; Graphical user interfaces; Human computer interaction; Knowledge engineering; Knowledge representation; Public healthcare; Semantic web; Software agents</t>
  </si>
  <si>
    <t>artificial intelligence; association; computer interface; crowdsourcing; emotion; female; health care delivery; human; male; semantics; software; Artificial Intelligence; Crowdsourcing; Cues; Delivery of Health Care; Emotions; Female; Humans; Male; Semantics; Software; User-Computer Interface</t>
  </si>
  <si>
    <t>McColl-Kennedy, J.R., Danaher, T.S., Gallan, A.S., Orsingher, C., Lervik-Olsen, L., Verma, R., How do you feel today? Managing patient emotions during health care experiences to enhance well-being (2017) J Bus Res, 79, pp. 259-274; Lerner, J.S., Li, Y., Valdesolo, P., Kassam, K.S., Emotion and decision making (2015) Annu Rev Psychol, 66, pp. 799-823. , 25251484; Fridja, N.H., (1993) Moods, Emotion Episodes, and Emotions. Handbook of Emotions, pp. 381-404. , The Guilford Press New York; Raghunathan, R., Pham, M.T., Corfman, K.P., Informational properties of anxiety and sadness, and displaced coping (2006) J Consum Res, 32 (4), pp. 596-601; Faulkner, M., Empowerment, disempowerment and the care of older people: Mark Faulkner considers the effects on patients' independence of nursing care that empowers, and the consequences of disempowering care, with reference to two key psychological theories: Learned mastery and learned helplessness (2001) Nurs Older People, 13 (5), pp. 18-20. , 12008615; Mor, S., Rabinovich-Einy, O., Relational malpractice (2012) Seton Hall L Rev, 42, p. 601; Fredrickson, B.L., Joiner, T., Positive emotions trigger upward spirals toward emotional well-being (2002) Psychol Sci, 13 (2), pp. 172-175. , 11934003; Gallan, A.S., Jarvis, C.B., Brown, S.W., Bitner, M.J., Customer positivity and participation in services: An empirical test in a health care context (2013) J Acad Mark Sci, 41 (3), pp. 338-356; Hatfield, E., Cacioppo, J.T., Rapson, R.L., Emotional contagion (1993) Curr Dir Psychol Sci, 2 (3), pp. 96-100; Harada, T., Hayashi, A., Sadato, N., Iidaka, T., Neural correlates of emotional contagion induced by happy and sad expressions (2016) J Psychophysiol, 30 (3), p. 114; Back, A.L., Arnold, R.M., Baile, W.F., Fryer-Edwards, K.A., Alexander, S.C., Barley, G.E., Efficacy of communication skills training for giving bad news and discussing transitions to palliative care (2007) Arch Intern Med, 167 (5), pp. 453-460. , 17353492; Back, A.L., Arnold, R.M., Baile, W.F., Tulsky, J.A., Barley, G.E., Pea, R.D., Faculty development to change the paradigm of communication skills teaching in oncology (2009) J Clin Oncol, 27 (7), pp. 1137-1141. , 19171703 4804341; Ekman, P., Friesen, W.V., Ellsworth, P., (1972) Emotion in the Human Face: Guide-lines for Research and An Integration of Findings: Guidelines for Research and An Integration of Findings, , Pergamon Elmsford, NY; Clore, G.L., Ortony, A., Psychological construction in the OCC model of emotion (2013) Emot Rev, 5 (4), pp. 335-343. , 25431620 4243519; Ortony, A., Clore, G.L., Collins, A., (1990) The Cognitive Structure of Emotions, , Cambridge university press Cambridge, UK; Lindquist, K.A., Wager, T.D., Kober, H., Bliss-Moreau, E., Barrett, L.F., The brain basis of emotion: A meta-analytic review (2012) Behav Brain Sci, 35 (3), pp. 121-143. , 22617651 4329228; Touroutoglou, A., Lindquist, K.A., Dickerson, B.C., Barrett, L.F., Intrinsic connectivity in the human brain does not reveal networks for 'basic'emotions (2015) Soc Cogn Affect Neurosci, 10 (9), pp. 1257-1265. , 25680990 4560947; Steunebrink, B.R., Dastani, M., Meyer, J.J.C., The OCC model revisited (2009) Proc. of the 4th Workshop on Emotion and Computing, , Association for the Advancement of Artificial Intelligence Palo Alto; Bar, M., Neta, M., Humans prefer curved visual objects (2006) Psychol Sci, 17 (8), pp. 645-648. , 16913943; Aronoff, J., Woike, B.A., Hyman, L.M., Which are the stimuli in facial displays of anger and happiness? Configurational bases of emotion recognition (1992) J Pers Soc Psychol, 62 (6), p. 1050; Larson, C.L., Aronoff, J., Steuer, E.L., Simple geometric shapes are implicitly associated with affective value (2012) Motiv Emot, 36 (3), pp. 404-413; Larson, C.L., Aronoff, J., Sarinopoulos, I.C., Zhu, D.C., Recognizing threat: A simple geometric shape activates neural circuitry for threat detection (2009) J Cogn Neurosci, 21 (8), pp. 1523-1535. , 18823242; Fetterman, A.K., Robinson, M.D., Meier, B.P., Anger as "seeing red": Evidence for a perceptual association (2012) Cogn Emot, 26 (8), pp. 1445-1458. , 22671854; Epps, H.H., Kaya, N., Color matching from memory (2004) AIC 2004 Color and Paints, Interim Meeting of the International Color Association, Proceedings, pp. 18-21. , Porto Alegre; Oberascher, L., Gallmetzer, M., Colour and emotion (2003) Proceedings of AIC 2003 Bangkok: Color Communication Management, pp. 370-374. , Bangkok; Stephen, I.D., Oldham, F.H., Perrett, D.I., Barton, R.A., Redness enhances perceived aggression, dominance and attractiveness in men's faces (2012) Evol Psychol, 10 (3); Wiedemann, D., Burt, D.M., Hill, R.A., Barton, R.A., Red clothing increases perceived dominance, aggression and anger (2015) Biol Lett, 11 (5), p. 20150166. , 25972401 4455742; Pravossoudovitch, K., Cury, F., Young, S.G., Elliot, A.J., Is red the colour of danger? Testing an implicit red-danger association (2014) Ergonomics, 57 (4), pp. 503-510. , 24588355; Elliot, A.J., Niesta, D., Romantic red: Red enhances men's attraction to women (2008) J Pers Soc Psychol, 95 (5), p. 1150. , 18954199; Moller, A.C., Elliot, A.J., Maier, M.A., Basic hue-meaning associations (2009) Emotion, 9 (6), p. 898. , 20001133; Lin, R., Amith, M.T., Liang, C., Tao, C., Designing an ontology for emotion-driven visual representations (2017) 2017 IEEE International Conference on Bioinformatics and Biomedicine (BIBM), , IEEE Kansas City; Grassi, M., Developing HEO human emotions ontology (2009) European Workshop on Biometrics and Identity Management, , Springer Berlin; https://www.w3.org/2005/Incubator/emotion/XGR-emotion-20070710, W, 3C Emotion Incubator Group Accessed 27 Jul 2017; Scherer, K.R., Schorr, A., Johnstone, T., (2001) Appraisal Processes in Emotion: Theory, Methods, Research, , Oxford University Press New York; Radulovic, F., Milikic, N., Smiley ontology (2009) Proceedings of the 1st International Workshop on Social Networks Interoperability (SNI 2009) in Conjuction with the 4th Asian Semantic Web Conference, , Shanghai; Vexo, F., Thalmann, D., Raouzaiou, A., Karpouzis, K., Kollias, S., Moccozet, L., Emotional face expression profiles supported by virtual human ontology (2006) Comput Animat Virtual Worlds, 17 (1-3), pp. 259-269; Strapparava, C., Valitutti, A., WordNet Affect: An Affective Extension of WordNet (2004) Proceedings of the International Conference on Language Resources and Evaluation, pp. 1083-1086. , Libson; Hastings, J., Ceusters, W., Smith, B., Mulligan, K., The emotion ontology: Enabling interdisciplinary research in the affective sciences (2011) International and Interdisciplinary Conference on Modeling and Using Context, , Springer Berlin; Smith, B., Grenon, P., The Cornucopia of Formal-Ontological Relations (2004) Dialectica, 58 (3), pp. 279-296; Grenon, P., Smith, B., Goldberg, L., (2004) Biodynamic Ontology: Applying BFO in the Biomedical Domain. Studies in Health Technology and Informatics., , IOS Press Amsterdam p 20-38; Ceusters, W., Smith, B., Foundations for a realist ontology of mental disease (2010) J Biomed Semant, 1 (1), p. 10; Hastings, J., Brass, A., Caine, C., Jay, C., Stevens, R., Evaluating the Emotion Ontology through use in the self-reporting of emotional responses at an academic conference (2014) J Biomed Semant, 5 (1), p. 38; Ståhl, A., Sundström, P., Höök, K., A foundation for emotional expressivity (2005) Proceedings of the 2005 Conference on Designing for User EXperience, , AIGA: American Institute of Graphic Arts San Francisco; Hupka, R.B., Zaleski, Z., Otto, J., Reidl, L., Tarabrina, N.V., The colors of anger, envy, fear, and jealousy: A cross-cultural study (1997) J Cross-Cult Psychol, 28 (2), pp. 156-171; Buhrmester, M., Kwang, T., Gosling, S.D., Amazon's Mechanical Turk: A new source of inexpensive, yet high-quality, data? (2011) Perspect Psychol Sci, 6 (1), pp. 3-5. , 26162106; Musen, M.A., The protégé project: A look back and a look forward (2015) AI Matters, 1 (4), pp. 4-12. , 27239556 4883684; Amith, M., Tao, C., A Web Application Towards Semiotic-based Evaluation of Biomedical Ontologies (2015) Proceedings of International Workshop on Biomedical Data Mining, Modeling, and Semantic Integration: A Promising Approach to Solving Unmet Medical Needs (BDM2I 2015). No 1428 in CEUR Workshop Proceedings, , http://ceur-ws.org/Vol-1428/BDM2I_2015_paper_5.pdf, Song D, Fermier A, Tao C, Schilder F, editors Accessed 28 Jan 2018; (2013) People Patient Male Icon, , http://www.iconarchive.com/show/medical-icons-by-icons-land/people-patient-male-icon.html, Icons-Land IconArchive.com. Free for non-commercial use Accessed 28 Jan 2018; (2013) Steampunk Robot Icon, , http://www.iconarchive.com/show/steampunk-icons-by-mirella-gabriele/Steampunk-Robot-icon.html, mirella design IconArchive.com. Free for non-commercial use Accessed 28 Jan 2018</t>
  </si>
  <si>
    <t>14726947</t>
  </si>
  <si>
    <t>BMC Med. Informatics Decis. Mak.</t>
  </si>
  <si>
    <t>2-s2.0-85050818948</t>
  </si>
  <si>
    <t>Visualized emotion ontology: a model for representing visual cues of emotions</t>
  </si>
  <si>
    <t>Gachet Páez D., de Buenaga Rodríguez M., Puertas Sánz E., Villalba M.T., Muñoz Gil R.</t>
  </si>
  <si>
    <t>6505803869;6506198701;22433431200;35093515100;41762107400;</t>
  </si>
  <si>
    <t>Healthy and wellbeing activities’ promotion using a Big Data approach</t>
  </si>
  <si>
    <t>Health Informatics Journal</t>
  </si>
  <si>
    <t>135</t>
  </si>
  <si>
    <t>10.1177/1460458216660754</t>
  </si>
  <si>
    <t>https://www.scopus.com/inward/record.uri?eid=2-s2.0-85046736927&amp;doi=10.1177%2f1460458216660754&amp;partnerID=40&amp;md5=b0b5a03493af1eec59b2354414ddf582</t>
  </si>
  <si>
    <t>Universidad Europea de Madrid, Spain</t>
  </si>
  <si>
    <t>Gachet Páez, D., Universidad Europea de Madrid, Spain; de Buenaga Rodríguez, M., Universidad Europea de Madrid, Spain; Puertas Sánz, E., Universidad Europea de Madrid, Spain; Villalba, M.T., Universidad Europea de Madrid, Spain; Muñoz Gil, R., Universidad Europea de Madrid, Spain</t>
  </si>
  <si>
    <t>The aging population and economic crisis specially in developed countries have as a consequence the reduction in funds dedicated to health care; it is then desirable to optimize the costs of public and private healthcare systems, reducing the affluence of chronic and dependent people to care centers; promoting healthy lifestyle and activities can allow people to avoid chronic diseases as for example hypertension. In this article, we describe a system for promoting an active and healthy lifestyle for people and to recommend with guidelines and valuable information about their habits. The proposed system is being developed around the Big Data paradigm using bio-signal sensors and machine-learning algorithms for recommendations. © 2016, © The Author(s) 2016.</t>
  </si>
  <si>
    <t>Big Data; cloud computing; elderly; Internet of things; sensors</t>
  </si>
  <si>
    <t>aging; confidentiality; electronic device; health promotion; human; procedures; self care; trends; Aging; Big Data; Confidentiality; Health Promotion; Humans; Self-Management; Wearable Electronic Devices</t>
  </si>
  <si>
    <t>(2011) Innovación TIC para las personas mayores. Situación, requerimientos y soluciones en la atención integral de la cronicidad y la dependencia, , http://www.vodafone.es/static/fichero/pro_ucm_mgmt_015568.pdf, accessed 1 February 2015; (2014) Physical activity and health, , http://www.cdc.gov/physicalactivity/everyone/health/index.html, accessed 30 May 2015; (2014) Health demographic change and wellbeing, , http://ec.europa.eu/programmes/horizon2020/en/h2020-section/health-demographic-change-and-wellbeing, accessed 1 April 2015; Canale, S., The bravehealth software architecture for the monitoring of patients affected by CVD, pp. 29-34. , The fifth international conference on ehealth, telemedicine, and social medicine, Nice, France, International Society for Telemedicine and eHealth, In; Fairbrother, P., McCloughan, L., Sheikh, A., The impact of telemonitoring COPD on continuities of care: a qualitative study Prim Care Respir J, 21 (3), pp. 322-328; Youm, S., Park, S.H., How the awareness of u-healthcare service and health conditions affect healthy lifestyle: an empirical analysis based on a u-healthcare service experience (2015) Telemed J E Health, 21 (4), pp. 286-295; Elderly friendly City services for active and healthy ageing, , http://www.city4ageproject.eu/, accessed 19 January 2016; My active and healthy aging, , http://www.activeageing.unito.it/, accessed 15 January 2016; http://www.esi.uem.es/ipHealth//, accessed 1 November 2014; Gachet Páez, D., Aparicio, F., de Buenaga, M., Big data and IoT for chronic patients monitoring: Ubiquitous Computing and Ambient Intelligence. Personalization and user adapted services, , 8th international conference, UCAMI, Belfast, In; https://humanapi.co/, accessed 1 March 2015; Prajapati, V., (2013) Big data analytics with R and Hadoop, , Birmingham, Packt Publishing Limited; Sahoo, S.S., Jayapandian, C., Garg, G., Heart beats in the cloud: distributed analysis of electrophysiological big data using cloud computing for epilepsy clinical research (2014) J Am Med Inform Assoc, 21 (2), pp. 263-271; Wireless Blood Pressure wrist monitor, , http://www.ihealthlabs.com/blood-pressure-monitors/wireless-blood-pressure-wrist-monitor/, accessed 15 January 2015; FitBit flex, , http://www.fitbit.com/es/flex, accessed 15 January 2015; Diaz, K.M., Krupka, D.J., Chang, M.J., Fitbit®: an accurate and reliable device for wireless physical activity tracking (2015) Int J Cardiol, 185, pp. 138-140; Denolle, T., Weber, J.-L., Calvez, C., Diagnosis of white coat hypertension in pregnant women with teletransmitted home blood pressure (2008) Hypertens Pregnancy, 27 (3), pp. 305-313; Bellazzi, R., Zupan, B., Predictive data mining in clinical medicine: current issues and guidelines (2008) Int J Med Inform, 77, pp. 81-97; Connolly, T.M., Boyle, E.A., MacArthur, E., A systematic literature review of empirical evidence on computer games and serious games (2012) Comput Educ, 59 (2), pp. 661-686; Ricci, F., Rokach, L., Shapira, B., (2011) Introduction to recommender systems handbook, pp. 257-297. , Berlin, Springer; Pattaraintakorn, P., Zaverucha, G., Cercone, N., Web based health recommender system using rough sets, survival analysis and rule-based expert systems, pp. 491-499. , 11th international conference of rough sets, fuzzy sets, data mining and granular computing, Toronto, ON, Canada, Berlin, Springer, In; Ghorai, K., Saha, S., Bakshi, A., An mhealth recommender for smoking cessation using case based reasoning, pp. 2695-2704. , 46th Hawaii international conference system sciences (HICSS), Wailea, HI, New York, IEEE, In; Wiesner, M., Pfeifer, D., (2010) Adapting recommender systems to the requirements of personal health record systems, , New York, ACM; Zanker, M., (2008) A collaborative constraint-based meta-level recommender, , New York, ACM; Elhadad, N., Pradhan, S., Gorman, S.L., SemEval-2015 task 14: analysis of clinical text (2015) Semeval Notes, 298 (133), p. 100; Li, Y., McLean, D., Bandar, Z., Sentence similarity based on semantic nets and corpus statistics (2006) IEEE T Knowl Data En, 18 (8), pp. 1138-1150; Gachet Páez, D., Aparicio, F., de Buenaga, M., Personalized health care system with virtual reality rehabilitation and appropriate information for seniors (2012) Sensors, 12 (5), pp. 5502-5516</t>
  </si>
  <si>
    <t>SAGE Publications Ltd</t>
  </si>
  <si>
    <t>14604582</t>
  </si>
  <si>
    <t>HIJEA</t>
  </si>
  <si>
    <t>Health Informatics J.</t>
  </si>
  <si>
    <t>2-s2.0-85046736927</t>
  </si>
  <si>
    <t>Healthy and wellbeing activities’ promotion using a big data approach</t>
  </si>
  <si>
    <t>Yetton B.D., Revord J., Margolis S., Lyubomirsky S., Seitz A.R.</t>
  </si>
  <si>
    <t>57003741100;57200631326;35435770700;7003922794;7006821341;</t>
  </si>
  <si>
    <t>Cognitive and physiological measures in well-being science: Limitations and lessons</t>
  </si>
  <si>
    <t>JULY</t>
  </si>
  <si>
    <t>1630</t>
  </si>
  <si>
    <t>10.3389/fpsyg.2019.01630</t>
  </si>
  <si>
    <t>https://www.scopus.com/inward/record.uri?eid=2-s2.0-85069434958&amp;doi=10.3389%2ffpsyg.2019.01630&amp;partnerID=40&amp;md5=fce4510882a093e55e537dd2bd327d10</t>
  </si>
  <si>
    <t>Cognitive Science Department, University of California, Irvine, Irvine, CA, United States; Cognitive Science Department, University of California, Riverside, Riverside, CA, United States</t>
  </si>
  <si>
    <t>Yetton, B.D., Cognitive Science Department, University of California, Irvine, Irvine, CA, United States; Revord, J., Cognitive Science Department, University of California, Riverside, Riverside, CA, United States; Margolis, S., Cognitive Science Department, University of California, Riverside, Riverside, CA, United States; Lyubomirsky, S., Cognitive Science Department, University of California, Riverside, Riverside, CA, United States; Seitz, A.R., Cognitive Science Department, University of California, Riverside, Riverside, CA, United States</t>
  </si>
  <si>
    <t>Social and personality psychology have been criticized for overreliance on potentially biased self-report variables. In well-being science, researchers have called for more "objective" physiological and cognitive measures to evaluate the efficacy of well-being-increasing interventions. This may now be possible with the recent rise of cost-effective, commercially available wireless physiological recording devices and smartphone-based cognitive testing. We sought to determine whether cognitive and physiological measures, coupled with machine learning methods, could quantify the effects of positive interventions. The current 2-part study used a college sample (N = 245) to contrast the cognitive (memory, attention, construal) and physiological (autonomic, electroencephalogram) effects of engaging in one of two randomly assigned writing activities (i.e., prosocial or "antisocial"). In the prosocial condition, participants described an interaction when they acted in a kind way, then described an interaction when they received kindness. In the "antisocial" condition, participants wrote instead about an interaction when they acted in an unkind way and received unkindness, respectively. Our study replicated previous research on the beneficial effects of recalling prosocial experiences as assessed by self-report. However, we did not detect an effect of the positive or negative activity intervention on either cognitive or physiological measures. More research is needed to investigate under what conditions cognitive and physiological measures may be applicable, but our findings lead us to conclude that they should not be unilaterally favored over the traditional self-report approach. © 2019 Yetton, Revord, Margolis, Lyubomirsky and Seitz.</t>
  </si>
  <si>
    <t>Cognition; EEG; Interventions; Negative affect; Physiology; Positive affect; Prosocial behavior; Well-being</t>
  </si>
  <si>
    <t>Algoe, S.B., Find, remind, and bind: the functions of gratitude in everyday relationships (2012) Soc. Personal. Psychol. Compass, 6, pp. 455-469; Bao, F.S., Liu, X., Zhang, C., PyEEG: an open source python module for EEG/MEG feature extraction (2011) Comput. Intell. Neurosci, 2011; Baumeister, R.F., Vohs, K.D., Funder, D.C., Psychology as the science of self-reports and finger movements: whatever happened to actual behavior? (2007) Perspect. Psychol. Sci, 2, pp. 396-403; Beaten, D.T., Bombardier, C., Guillemin, F., Ferraz, M.B., Guidelines for the process of cross cultural adaptation of self report mesures (2000) Spine, 25, pp. 3186-3191; Bolier, L., Haverman, M., Westerhof, G.J., Riper, H., Smit, F., Bohlmeijer, E., Positive psychology interventions: a meta-analysis of randomized controlled studies (2013) BMC Public Health, 13, p. 119; Bradley, M.M., Lang, P.J., (1999) Affective Norms for English words (ANEW): Instruction Manual and Affective Ratings, , Gainesville: University of Florida; Calvo, R.A., Mello, S.D., Affect detection: an interdisciplinary review of models, methods, and their applications (2015) IEEE Trans. Affect. Comput, 1, pp. 18-37; Calvo, R.A., Vella-Brodrick, D., Desmet, P., Ryan, R.M., Editorial for "positive computing: a new partnership between psychology, social sciences and technologists (2016) Psychol. Well Being, 6, p. 10; Chancellor, J., Margolis, S., Jacobs Bao, K., Lyubomirsky, S., Everyday prosociality in the workplace: the reinforcing benefits of giving, getting, and glimpsing (2018) Emotion, 18, pp. 507-517; Chanel, G., Kierkels, J.J.M., Soleymani, M., Pun, T., Short-term emotion assessment in a recall paradigm (2009) Int. J. Hum. Comp. Stud, 67, pp. 607-627; Chen, L., Gong, T., Kosinski, M., Stillwell, D., Davidson, R.L., Building a profile of subjective well-being for social media users (2017) PLoS One, 12; Coan, J.A., Allen, J.J.B., Frontal EEG asymmetry as a moderator and mediator of emotion (2004) Biol. Psychol, 67, pp. 7-50; Corinna, C., Vladimir, V., Support-vector networks (1995) Mach. Learn, 20, pp. 273-297; Davidson, R.J., Cerebral asymmetry and emotion: conceptual and methodological conundrums (1993) Cogn. Emot, 7, pp. 115-138; Davidson, R.J., What does the prefrontal cortex "do" in affect: perspectives on frontal EEG asymmetry research (2004) Biol. Psychol, 67, pp. 219-234; Debener, S., Minow, F., Emkes, R., Gandras, K., de Vos, M., How about taking a low-cost, small, and wireless EEG for a walk? (2012) Psychophysiology, 49, pp. 1617-1621; Denny, E.B., Hunt, R.R., Affective valence and memory in depression: dissociation of recall and fragment completion (1992) J. Abnorm. Psychol, 101, pp. 575-580; Derryberry, D., Reed, M.A., Anxiety and attentional focusing: trait, state and hemispheric influences (1998) Personal. Individ. Differ, 25, pp. 745-761; Diener, E., Subjective well-being: the science of happiness and a proposal for a national index (2000) Am. Psychol, 55, pp. 34-43; Diener, E., Pressman, S.D., Hunter, J., Delgadillo-Chase, D., If, why, and when subjective well-being influences health, and future needed research (2017) Appl. Psychol, 9, pp. 133-167; Diener, E., Suh, E.M., Lucas, R.E., Smith, H.L., Subjective well-being: three decades of progress (1999) Psychol. Bull, 125, pp. 276-302; D'mello, S.K., Kory, J., A review and meta-analysis of multimodal affect detection systems (2015) ACM Comput. Surv, 47, pp. 1-36; Dunn, E.W., Aknin, L.B., Norton, M.I., Spending money on others promotes happiness (2008) Science, 319, pp. 1687-1688; Dunning, D., Heath, C., Suls, J.M., Flawed self-assessment implications for health, education, and the workplace (2004) Psychol. Sci. Public Interest, 5, pp. 69-106; Step-by-Step Instructions to Rework Emotiv, , Build a Mobile Cap, and Join Both Together. V.26.07.2013; Ekman, P., Levenson, R.W., Friesen, W.V., Autonomic nervous system activity distinguishes among emotions (2013) Science, 221, pp. 1208-1210; Emmons, R.A., Diener, E., Personality correlates of subjective well-being (1985) Personal. Soc. Psychol. Bull, 11, pp. 89-97; Emmons, R.A., McCullough, M.E., Counting blessings versus burdens: experimental studies of gratitude and subjective well-being (2003) J. Personal. Soc. Psychol, 84, pp. 377-389; Finucane, A.M., Whiteman, M.C., Power, M.J., The effect of happiness and sadness on alerting, orienting, and executive attention (2010) J. Attent. Disord, 13, pp. 629-639; Fox, E., Russo, R., Bowles, R., Dutton, K., Do threatening stimuli draw or hold visual attention in subclinical anxiety? (2001) J. Exp. Psychol, 130, p. 681; Fredrickson, B.L., Cohn, M.A., Coffey, K.A., Pek, J., Finkel, S.M., Open hearts build lives: positive emotions, induced through loving-kindness meditation, build consequential personal resources (2008) J. Personal. Soc. Psychol, 95, pp. 1045-1062; Freund, Y., Schapire, R., A short introduction to boosting (1999) J. Jpn Soc. Artif. Intell, 14, pp. 771-780; Funder, D.C., Taking situations seriously: the situation construal model and the riverside situational Q-Sort (2016) Curr. Direc. Psychol. Sci, 25, pp. 203-208; Funder, D.C., Furr, R.M., Colvin, C.R., The riverside behavioral Q-sort: a tool for the description of social behavior (2000) J. Personal, 68, pp. 451-489; Gerritsen, J., TenVoorde, B.J., Dekker, J.M., Kingma, R., Kostense, P.J., Bouter, L.M., Measures of cardiovascular autonomic nervous function: agreement, reproducibility, and reference values in middle age and elderly subjects (2003) Diabetologia, 46, pp. 330-338; Gotlib, I.H., Krasnoperova, E., Yue, D.N., Joormann, J., Attentional biases for negative interpersonal stimuli in clinical depression (2004) J. Abnorm. Psychol, 113, pp. 127-135; Haiblum-Itskovitch, S., Czamanski-Cohen, J., Galili, G., Emotional response and changes in heart rate variability following art-making with three different art materials (2018) Front. Psychol, 9, p. 968; Haidt, J., 'Elevation and the positive psychology of morality, ' (2003) Flourishing: Positive Psychology and the Life Well-Lived, pp. 275-289. , eds C. L. M. Keyes and J. Haidt (Washington, DC: American Psychological Association); Harker, L., Keltner, D., Expressions of positive emotion in women's college yearbook pictures and their relationship to personality and life outcomes across adulthood (2001) J. Personal. Soc. Psychol, 80, pp. 112-124; Hinrichs, H., Machleidt, W., Basic emotions reflected in EEG-coherences (1992) Int. J. Psychophysiol, 13, pp. 225-232; Hunsinger, M., Livingston, R., Isbell, L., The impact of loving-kindness meditation on affective learning and cognitive control (2013) Mindfulness, 4, pp. 275-280; Jerritta, S., Murugappan, M., Nagarajan, R., Wan, K., "Physiological signals based human emotion recognition: a review, " (2011) in Proceedings of the 2011 IEEE 7th International Colloquium on Signal Processing and Its Applications, pp. 410-415. , (Penang); Kim, K.H., Bang, S.W., Kim, S.R., Emotion recognition system using short term monitoring of physiological signals (2004) Med. Biol. Eng. Comp, 42, pp. 419-427; King, L.A., The health benefits of writing about life goals (2001) Personal. Soc. Psychol. Bull, 27, pp. 798-807; Kleiner, M., Brainard, D., Pelli, D., Ingling, A., Murray, R., Broussard, C., What's new in psychtoolbox-3 (2007) Perception, 36, p. 1; Koelstra, S., Yazdani, A., Soleymani, M., Mühl, C., Lee, J.-S., Nijholt, A., 'Single trial classification of EEG and peripheral physiological signals for recognition of emotions induced by music videos, ' (2010) Brain Informatics, pp. 89-100. , eds Y. Yao, R. Sun, T. Poggio, J. Liu, N. Zhong, and J. Huang (Berlin: Springer); Kop, W.J., Synowski, S.J., Newell, M.E., Schmidt, L.A., Waldstein, S.R., Fox, N.A., Autonomic nervous system reactivity to positive and negative mood induction: the role of acute psychological responses and frontal electrocortical activity (2011) Biol. Psychol, 86, pp. 230-238; Lang, P.J., (2005) International Affective Picture System (IAPS): Affective Ratings of Pictures and Instruction Manual, , Technical Report A-8. Gainesville, FL: University of Florida; Layous, K., Lyubomirsky, S., (2014) The How, Why, What, When, and Who of Happiness: Mechanisms Underlying the Success of Positive Activity Interventions, pp. 473-495. , New York: Oxford University Press; Layous, K., Sweeny, K., Armenta, C., Na, S., Choi, I., Lyubomirsky, S., The proximal experience of gratitude (2017) PLoS One, 12; Lazarus, R.S., Progress on a cognitive-motivational-relational theory of emotion (1991) Am. Psychol, 46, pp. 819-834; Lee, J.Y., Self-enhancing bias in personality, subjective happiness, and perception of life-events: a replication in a Korean aged sample (2007) Aging Mental Health, 11, pp. 57-60; Lee, M.D., Wagenmakers, E.-J., (2014) Bayesian Cognitive Modeling: A Practical Course, , Cambridge: Cambridge university press; Liaw, A., Wiener, M., Classification and regression by random forest (2002) R News, 2, pp. 18-22; Lindsay, K.A., Widiger, T.A., Sex and gender bias in self-report personality disorder inventories: item analysis of the MCMI-II, MMPI, and PDQ-R (1995) J. Personal. Assess, 65, pp. 100-116; Lyubomirsky, S., Dickerhoof, R., Boehm, J.K., Sheldon, K.M., Becoming happier takes both a will and a proper way: an experimental longitudinal intervention to boost well-being (2011) Emotion, 11, pp. 391-402; Lyubomirsky, S., King, L., Diener, E., The benefits of frequent positive affect: does happiness lead to success? (2005) Psychol. Bull, 131, pp. 803-855; Lyubomirsky, S., Tucker, K.L., Implications of individual differences in subjective happiness for perceiving, interpreting, and thinking about life events (1998) Motiv. Emot, 22, pp. 155-186; Mather, M., Carstensen, L.L., Aging and attentional biases for emotional faces (2003) Psychol. Sci, 14, pp. 409-414; McCraty, R., Atkinson, M., Tiller, W.A., Rein, G., Watkins, A.D., The effects of emotions on short-term power spectrum analysis of heart rate variability (1995) Am. J. Cardiol, 76, pp. 1089-1093; McCullough, M.E., Emmons, R.A., Tsang, J.-A., The grateful disposition: a conceptual and empirical topography (2002) J. Personal. Soc. Psychol, 82, pp. 112-127; Mezulis, A.H., Abramson, L.Y., Hyde, J.S., Hankin, B.L., Is there a universal positivity bias in attributions? A meta-analytic review of individual, developmental, and cultural differences in the self-serving attributional bias (2004) Psychol. Bull, 130, pp. 711-747; Mirsky, A.F., Anthony, B.J., Duncan, C.C., Ahearn, M.B., Kellam, S.G., Analysis of the elements of attention: a neuropsychological approach (1991) Neuropsychol. Rev, 2, pp. 109-145; Naji, M., Firoozabadi, M., Azadfallah, P., Classification of music-induced emotions based on information fusion of forehead biosignals and electrocardiogram (2014) Cogn. Comput, 6, pp. 241-252; Nelson, S.K., Della Porta, M.D., Jacobs Bao, K., Lee, H.C., Choi, I., Lyubomirsky, S., 'It's up to you': experimentally manipulated autonomy support for prosocial behavior improves well-being in two cultures over six weeks (2015) J. Posit. Psychol, 10, pp. 463-476; Nelson, S.K., Layous, K., Cole, S.W., Lyubomirsky, S., Do unto others or treat yourself? the effects of prosocial and self-focused behavior on psychological flourishing (2016) Emotion, 16, pp. 850-861; Nelson, S.K., Lyubomirsky, S., 'Finding happiness. Tailoring positive activities for optimal well-being benefits, ' (2014) Handbook of Positive Emotions, pp. 275-293. , eds M. M. Tugade, M. N. Shiota, and L. D. Kirby (New York, NY: Guilford Press); Neshat-Doost, H.T., Moradi, A.R., Taghavi, M.R., Yule, W., Dalgleish, T., Lack of attentional bias for emotional information in clinically depressed children and adolescents on the dot probe task (2000) J. Child Psychol. Psychiatry Allied Discipl, 41, pp. 363-368; Nevin, J.A., Signal detection theory and operant behavior: a review of David M Green and John A. Swets' Signal detection theory and psychophysics1 (1969) J. Exp. Anal. Behav, 12, pp. 475-480; Ng, A.Y., (2004) Feature selection, L1 vs, , L2 regularization, and rotational invariance. ArXiv; O'Gorman, J.G., Horneman, C., Consistency of individual differences in non-specific electrodermal activity (1979) Biol. Psychol, 9, pp. 13-21; Oswald, A.J., Wu, S., Objective confirmation of subjective measures of human well-being: evidence from the U.S.A (2010) Science, 327, pp. 576-579; Otake, K., Shimai, S., Tanaka-Matsumi, J., Otsui, K., Fredrickson, B.L., Happy people become happier through kindness: a counting kindnesses intervention (2006) J. Happiness Stud, 7, pp. 361-375; Pe, M.L., Koval, P., Kuppens, P., Executive well-being: updating of positive stimuli in working memory is associated with subjective well-being (2013) Cognition, 126, pp. 335-340; Phelps, E.A., LeDoux, J.E., Contributions of the amygdala to emotion processing: from animal models to human behavior (2005) Neuron, 48, pp. 175-187; Pietro, C., Silvia, S., Giuseppe, R., The pursuit of happiness measurement: a psychometric model based on psychophysiological correlates (2014) Sci. World J, 2014; Pinna, G.D., Maestri, R., Torunski, A., Danilowicz-Szymanowicz, L., Szwoch, M., La Rovere, M.T., Heart rate variability measures: a fresh look at reliability (2007) Clin. Sci, 113, pp. 131-140; Prochaska, J.O., Evers, K.E., Castle, P.H., Johnson, J.L., Prochaska, J.M., Rula, E.Y., Enhancing multiple domains of well-being by decreasing multiple health risk behaviors: a randomized clinical trial (2012) Population Health Management, 15, pp. 276-286; Rainville, P., Bechara, A., Naqvi, N., Damasio, A.R., Basic emotions are associated with distinct patterns of cardiorespiratory activity (2006) Int. J. Psychophysiol, 61, pp. 5-18; Raz, A., Buhle, J., Typologies of attentional networks (2006) Nat. Rev. Neurosci, 7, pp. 367-379; Revord, J., Yetton, B.D., Margolis, S.M., Seitz, A.R., Lyubomirsky, S., (2019) The dissipating effects of recalling prosocial and antisocial events on well-being; Rosenberg, M., Rosenberg self-esteem scale (RSE) (1965) Acceptance and Commitment Therapy. Meas. Pack, 61, p. 52; Schachter, S., Singer, J.-E., Cognitive, social, and physiological determinants of emotional state (1962) Psychol. Rev, 65, pp. 379-399; Scheier, M.F., Carver, C.S., Optimism, coping, and health: assessment and implications of generalized outcome expectancies (1985) Health Psychology, 4, p. 219; Schmidt, L.A., Trainor, L.J., Frontal brain electrical activity (EEG) distinguishes valence and intensity of musical emotions (2001) Cogn. Emot, 15, pp. 487-500; Schmukle, S.C., Unreliability of the dot probe task (2005) Eur. J. Personal, 19, pp. 595-605; Schwarz, N., Self-reports: how the questions shape the answers (1999) Am. Psychol, 54, pp. 93-105; Segerstrom, S.C., Optimism and attentional bias for negative and positive stimuli (2001) Personal. Soc. Psychol. Bull, 27, pp. 1334-1343; Seidlitz, L., Diener, E., Memory for positive versus negative life events: theories for the differences between happy and unhappy persons (1993) J. Personal. Soc. Psychol, 64, pp. 654-664; Seidlitz, L., Wyer, R.S., Jr., Diener, E., Cognitive correlates of subjective well-being: the processing of valenced life events by happy and unhappy persons (1997) J. Res. Personal, 31, pp. 240-256; Seligman, M.E.P., Steen, T.A., Park, N., Peterson, C., Positive psychology progress: empirical validation of interventions (2005) Am. Psychol, 60, pp. 410-421; Sheldon, K.M., Hilpert, J.C., The balanced measure of psychological needs (BMPN) scale: an alternative domain general measure of need satisfaction (2012) Motiv. Emot, 36, pp. 439-451; Sheldon, K.M., Lyubomirsky, S., How to increase and sustain positive emotion: the effects of expressing gratitude and visualizing best possible selves (2006) J. Posit. Psychol, 1, pp. 73-82; Sin, N.L., Lyubomirsky, S., Enhancing well-being and alleviating depressive symptoms with positive psychology interventions: a practice-friendly meta-analysis (2009) J. Clin. Psychol, 65, pp. 467-487; Steger, M.F., Frazier, P., Oishi, S., Kaler, M., The meaning in life questionnaire: assessing the presence of and search for meaning in life (2006) J. Counsel. Psychol, 53, pp. 80-93; (2015) MATLAB, , Natick. Massachusetts, MA: The MathWorks Inc; Tomarken, A.J., Davidson, R.J., Wheeler, R.E., Doss, R.C., Individual-differences in anterior brain asymmetry and fundamental dimensions of emotion (1992) J. Personal. Soc. Psychol, 62, pp. 676-687; Van De Mortel, T.F., Faking it: social desirability response bias in self-report research (2008) Aust. J. Adv. Nurs, 25, pp. 40-48; Velicer, W., Prochaska, J., Rossi, J.S., Snow, M.G., Assessing outcome in smoking cessation studies (1992) Psychol. Bull, 111, pp. 23-41; Verma, G.K., Tiwary, U.S., Multimodal fusion framework: a multiresolution approach for emotion classification and recognition from physiological signals (2014) NeuroImage, 102, pp. 162-172; Wagner, J., Kim, J., Andre, E., "From physiological signals to emotions: implementing and comparing selected methods for feature extraction and classification, " (2005) in Proceedings of the 2005 IEEE International Conference on Multimedia and Expo, 1, pp. 941-944. , (Amsterdam); Walsh, L.C., Boehm, J.K., Lyubomirsky, S., Does happiness promote career success? Revisiting the evidence (2018) J. Career Assess, 26, pp. 199-219; Watkins, P.C., Grimm, D.L., Kolts, R., Counting your blessings: positive memories among grateful persons (2004) Curr. Psychol, 23, pp. 52-67; Wheeler, R.E., Davidson, R.J., Tomarken, A.J., Frontal brain asymmetry and emotional reactivity: a biological substrate of affective style (2007) Psychophysiology, 30, pp. 82-89; Yin, Z., Wang, Y., Zhang, W., Liu, L., Zhang, J., Han, F., Physiological feature based emotion recognition via an ensemble deep autoencoder with parsimonious structure (2017) IFAC-Papers, 50, pp. 6940-6945</t>
  </si>
  <si>
    <t>2-s2.0-85069434958</t>
  </si>
  <si>
    <t>Cognitive and physiological measures in well-being science: limitations and lessons</t>
  </si>
  <si>
    <t>Wu C.-H., Tzeng Y.-L., Huang Y.-M.</t>
  </si>
  <si>
    <t>55713072400;55336355300;8630348700;</t>
  </si>
  <si>
    <t>Measuring performance in leaning process of digital game-based learning and static E-learning</t>
  </si>
  <si>
    <t>Educational Technology Research and Development</t>
  </si>
  <si>
    <t>2237</t>
  </si>
  <si>
    <t>10.1007/s11423-020-09765-6</t>
  </si>
  <si>
    <t>https://www.scopus.com/inward/record.uri?eid=2-s2.0-85085348887&amp;doi=10.1007%2fs11423-020-09765-6&amp;partnerID=40&amp;md5=56cd7029c6cf7a15c19133d28f98759c</t>
  </si>
  <si>
    <t>Department of Digital Content and Technology, National Taichung University of Education, Taichung City, Taiwan; Department of Enginering Science, National Cheng Kung University, Tainan City, Taiwan</t>
  </si>
  <si>
    <t>Wu, C.-H., Department of Digital Content and Technology, National Taichung University of Education, Taichung City, Taiwan; Tzeng, Y.-L., Department of Digital Content and Technology, National Taichung University of Education, Taichung City, Taiwan; Huang, Y.-M., Department of Enginering Science, National Cheng Kung University, Tainan City, Taiwan</t>
  </si>
  <si>
    <t>This study investigated and compared the effectiveness of both digital game-based learning (DGBL) and static e-learning material for Newton’s laws of motion on students’ learning attention, affective experiences, cognitive load and academic achievement. Physiological signals and affective techniques were adopted to measure students’ learning affective states and cognitive load. After learning, a post-test was then conducted to discover the differences in academic achievement between DGBL and static e-learning. The results showed that the DGBL group displayed greater variance in positive emotion and attention than the traditional e-learning group during the learning process, as well as a greater cognitive load. Based on the timeline measurement of attention and positive emotion patterns in the DGBL and e-learning groups, the largest gap in both attention and positive emotion patterns was found when the DGBL group members were about to finish playing the game. The findings of this study revealed that emotional well-being and increased attention are the key advantages that DGBL learning provides when compared with traditional e-learning approaches. © 2020, Association for Educational Communications and Technology.</t>
  </si>
  <si>
    <t>Academic achievement; Affective computing technique; Affective experiences; Cognitive load; Digital game-based learning (DGBL); Learning attention; Learning performance; Physiological signal measurement</t>
  </si>
  <si>
    <t>Ak, O., Kutlu, B., Comparing 2D and 3D game-based learning environments in terms of learning gains and student perceptions (2015) British Journal of Educational Technology, 48, pp. 129-144. , . DOI: 10.1111/bjet.12346; Annetta, L.A., Minogue, J., Holmes, S.Y., Cheng, M.-T., Investigating the impact of video games on high school students’ engagement and learning about genetics (2009) Computers &amp; Education, 53 (1), pp. 74-85. , . DOI: 10.1016/j.compedu.2008.12.020; Baldaro, B., Tuozzi, G., Codispoti, M., Montebarocci, O., Barbagli, F., Trombini, E., Aggressive and non-violent videogames: Short-term psychological and cardiovascular effects on habitual players (2004) Stress and Health, 20 (4), pp. 203-208. , . DOI: 10.1002/smi.1015; Brunken, R., Plass, J., Leutner, D., Direct measurement of cognitive load in multimedia learning (2013) Educational Psychologist, 38 (1), pp. 37-41. , DOI: 10.1207/s15326985ep3801_7; Brunken, R., Plass, J.L., Leutner, D., Direct measurement of cognitive load in multimedia learning (2003) Educational Psychologist, 38 (1), pp. 53-61. , . DOI: 10.1207/S15326985EP3801_7; Chen, C.-M., Wang, H.-P., Using emotion recognition technology to assess the effects of different multimedia materials on learning emotion and performance (2011) Library &amp; Information Science Research, 33 (3), pp. 244-255; Cheon, J., Chung, S., Song, J., Kim, Y., An investigation of the effects of a graphic organizer in an online serious game on learning outcomes and attitudinal perceptions (2013) Interactive Learning Environments, 23 (4), pp. 437-452. , . DOI: 10.1080/10494820.2013.788030; Chin, K.-Y., Hong, Z.-W., Huang, Y.-M., Shen, W.-W., Lin, J.-M., Courseware development with animated pedagogical agents in learning system to improve learning motivation (2013) Interactive Learning Environments, 24, pp. 1-22. , DOI: 10.1080/10494820.2013.851089; Clark, D.B., Nelson, B.C., Chang, H.Y., Martinez-Garza, M., Slack, K., D’Angelo, C.M., Exploring Newtonian mechanics in a conceptually-integrated digital game: Comparison of learning and affective outcomes for students in Taiwan and the United States (2011) Computers &amp; Education, 57 (3), pp. 2178-2195. , DOI: 10.1016/j.compedu.2011.05.007; Connolly, T.M., Stansfield, M.H., Hainey, T., An application of games-based learning within software engineering (2007) British Journal of Educational Technology, 38 (3), pp. 416-428; Crookes, G., Schmidt, R.W., Motivation: Reopening the Research Agenda (1991) Language Learning, 41 (4), pp. 469-512. , DOI: 10.1111/j.1467-1770.1991.tb00690.x; Derbali, L., Frasson, C., Players’ motivation and EEG waves patterns in a serious game environment (2010) Intelligent tutoring systems, pp. 297-299. , Aleven V, Kay J, Mostow J, (eds), Springer, Berlin; Erhel, S., Jamet, E., Digital game-based learning: Impact of instructions and feedback on motivation and learning effectiveness (2013) Computers &amp; Education, 67, pp. 156-167. , . DOI: 10.1016/j.compedu.2013.02.019; Giannakos, M.N., Sharma, K., Pappas, I.O., Kostakos, V., Velloso, E., Multimodal data as a means to understand the learning experience (2019) International Journal of Information Management, 48, pp. 108-119. , . DOI: 10.1016/j.ijinfomgt.2019.02.003; Hess, T., Gunter, G., Serious game-based and nongame-based online courses: Learning experiences and outcomes (2013) British Journal of Educational Technology, 44 (3), pp. 372-385. , . DOI: 10.1111/bjet.12024; Hestenes, D., Halloun, I., Interpreting the FCI (1995) The Physics Teacher, 33, pp. 502-506; Holsanova, J., Holmberg, N., Holmqvist, K., Reading information graphics: the role of spatial contiguity and dual attentional guidance (2009) Applied Cognitive Psychology, 23, pp. 1215-1226; Huang, W.H., Evaluating learners’ motivational and cognitive processing in an online game-based learning environment (2011) Computers in Human Behavior, 27 (2), pp. 694-704. , . DOI: 10.1016/j.chb.2010.07.021; Huang, W.H., Huang, W.Y., Tschopp, J., Sustaining iterative game playing processes in DGBL: The relationship between motivational processing and outcome processing (2010) Computers &amp; Education, 55 (2), pp. 789-797. , . 10.1016/j.compedu.2010.03.011. DOI; Huang, Y.-M., Hwang, J.-P., Chen, S.Y., Matching/mismatching in web-based learning: A perspective based on cognitive styles and physiological factors (2014) Interactive Learning Environments, , 10.1080/10494820.2014.978791. DOI; Just, M.A., Carpenter, P.A., A theory of reading: From eye fixations to comprehension (1980) Psychological Review, 87 (4), pp. 329-354. , 10.1037/0033-295X.87.4.329. DOI; Ke, F., Xie, K., Xie, Y., Game-based learning engagement: A theory- and data-driven exploration (2015) British Journal of Educational Technology, 47, pp. 1183-1201. , . DOI: 10.1111/bjet.12314; Keller, J.M., An integrative theory of motivation, volition, and performance (2008) Technology, Instruction, Cognition, and Learning, 6, pp. 79-104; Liao, C.-W., Chen, C.-H., Shih, S.-J., The interactivity of video and collaboration for learning achievement, intrinsic motivation, cognitive load, and behavior patterns in a digital game-based learning environment (2019) Computers &amp; Education, 133, pp. 43-55. , . DOI: 10.1016/j.compedu.2019.01.013; Liarokapis, F., Debattista, K., Vourvopoulos, A., Petridis, P., Ene, A., Comparing interaction techniques for serious games through brain–computer interfaces: A user perception evaluation study (2014) Entertainment Computing, 5 (4), pp. 391-399. , . DOI: 10.1016/j.entcom.2014.10.004; Lieberman, M.D., Eisenberger, N.I., Crockett, M.J., Tom, S.M., Pfeifer, J.H., Way, B.M., Putting feelings into words (2007) Psychological Science, 18 (5), pp. 421-428. , . DOI: 10.1111/j.1467-9280.2007.01916.x; Lin, H.-C.K., Wu, C.-H., Hsueh, Y.-P., The influence of using affective tutoring system in accounting remedial instruction on learning performance and usability (2014) Computers in Human Behavior, 41, pp. 514-522. , . 10.1016/j.chb.2014.09.052. DOI; Lin, Y.-H., Hou, H.-T., Exploring young children's performance on and acceptance of an educational scenario-based digital game for teaching route-planning strategies: A case study (2015) Interactive Learning Environments, 24, pp. 1-14. , . DOI: 10.1080/10494820.2015.1073745; Liu, C.-C., Cheng, Y.-B., Huang, C.-W., The effect of simulation games on the learning of computational problem solving (2011) Computers &amp; Education, 57 (3), pp. 1907-1918. , . DOI: 10.1016/j.compedu.2011.04.002; Liu, T.-C., Fan, M.H.-M., Paas, F., Effects of digital dictionary format on incidental acquisition of spelling knowledge and cognitive load during second language learning (2014) Computers &amp; Education, 70 (C), pp. 9-20. , 10.1016/j.compedu.2013.08.001. DOI; Marina, P., Digital Game-Based Learning in high school Computer Science education: Impact on educational effectiveness and student motivation (2009) Computers &amp; Education, 52 (1), pp. 1-12. , (,), . 10.1016/j.compedu.2008.06.004. DOI; Mayer, I., Bekebrede, G., Harteveld, C., Warmelink, H., Zhou, Q., van Ruijven, T., The research and evaluation of serious games: Toward a comprehensive methodology (2014) British Journal of Educational Technology, 45 (3), pp. 502-527. , . DOI: 10.1111/bjet.12067; Paas, F., Tuovinen, J.E., Tabbers, H., van Gerven, P.W.M., Cognitive load measurement as a means to advance cognitive load theory (2003) Educational Psychologist, 38 (1), pp. 63-71. , . 10.1207/S15326985EP3801_8. DOI; Papastergiou, M., Digital game-based learning in high school computer science education: Impact on educational effectiveness and student motivation (2009) Computers &amp; Education, 52 (1), pp. 1-12. , (,), . 10.1016/j.compedu.2008.06.004. DOI; Pouw, W.T.J.L., Mavilidi, M.-F., Gog, T.V., Paasvan, F., Gesturing during mental problem solving reduces eye movements, especially for individuals with lower visual working memory capacity (2016) Cognitive Processing, 17 (3), pp. 269-327; Ravaja, N., Turpeinen, M., Saari, T., Puttonen, S., Keltikangas-Jarvinen, L., The psychophysiology of James Bond: Phasic emotional responses to violent video game events (2008) Emotion, 8 (1), pp. 114-120; Rayner, K., Eye movements in reading and information processing: 20 years of research (1998) Psychological Bulletin, 124 (3), pp. 372-422. , . 10.1037/0033-2909.124.3.372. DOI; Rayner, K., The thirty fifth Sir Frederick Bartlett lecture: eye movements and attention during reading, scene perception, and visual search (2009) Quarterly Journal of Experimental Psychology, 62, pp. 1457-1506; Rayner, K., Duffy, S.A., Lexical complexity and fixation times in reading: Effects of word frequency, verb complexity, and lexical ambiguity (1986) Memory &amp; Cognition, 14 (3), pp. 191-201. , . DOI: 10.3758/bf03197692; Simonsen, H., User consultation behaviour in internet dictionaries: An eye-tracking study (2017) HERMES - Journal of Language and Communication in Business, 24 (46), pp. 75-101. , . DOI: 10.7146/hjlcb.v24i46.97370; Skulmowski, A., Rey, G.D., Measuring cognitive load in embodied learning settings (2017) . Frontiers in Psychology, , 10.3389/fpsyg.2017.01191. DOI; Spann, C.A., Shute, V.J., Rahimi, S., D’Mello, S.K., The productive role of cognitive reappraisal in regulating affect during game-based learning (2019) Computers in Human Behavior, , . DOI: 10.1016/j.chb.2019.03.002; Tono, Y., Application of eye-tracking in Efl learners’ dictionary look-up process research (2011) International Journal of Lexicography, 24 (1), pp. 124-153. , . DOI: 10.1093/ijl/ecq043; Tüzün, H., Yılmaz-Soylu, M., Karakuş, T., İnal, Y., Kızılkaya, G., The effects of computer games on primary school students’ achievement and motivation in geography learning (2009) Computers &amp; Education, 52 (1), pp. 68-77. , . 10.1016/j.compedu.2008.06.008. DOI; Um, E.R., Song, H., Plass, J., (2007) The Effect of Positive Emotions on Multimedia Learning. Paper Presented at the The World Conference on Educational Mutlimedia, , Hypermedia and Telecommunications, Vancouver, Canada; Vasiljevic, G.A.M., de Miranda, L.C., The influence of graphical elements on user’s attention and control on a neurofeedback-based game (2019) Entertainment Computing, 29, pp. 10-19. , . 10.1016/j.entcom.2018.10.003. DOI; Vlachopoulos, D., Makri, A., The effect of games and simulations on higher education: A systematic literature review (2017) International Journal of Educational Technology in Higher Education, 14, p. 22. , . DOI: 10.1186/s41239-017-0062-1; Vogel, J.J., Greenwood-Ericksen, A., Cannon-Bowers, J., Bowers, C.A., Using virtual reality with and without gaming attributes for academic achievement (2006) Journal of Research on Technology in Education, 39, pp. 105-118; Vourvopoulos, A., Liarokapis, F., Evaluation of commercial brain–computer interfaces in real and virtual world environment: A pilot study (2014) Computers &amp; Electrical Engineering, 40 (2), pp. 714-729. , . 10.1016/j.compeleceng.2013.10.009. DOI; Wrzesien, M., Alcañiz Raya, M., Learning in serious virtual worlds: Evaluation of learning effectiveness and appeal to students in the E-Junior project (2010) Computers &amp; Education, 55 (1), pp. 178-187. , . 10.1016/j.compedu.2010.01.003. DOI; Wu, C.-H., Huang, Y.-M., Hwang, J.-P., Review of affective computing in education/learning: Trends and challenges (2015) British Journal of Educational Technology, 47, pp. 1304-1323. , . DOI: 10.1111/bjet.12324; Wu, C.-H., Tzeng, Y.-L., Huang, Y.M., Understanding the relationship between physiological signals and digital game-based learning outcome (2014) Journal of Computers in Education, 1 (1), pp. 81-97. , . 10.1007/s40692-014-0006-x. DOI; Wu, C.-H., Tzeng, Y.-L., Kuo, B.-C., Tzeng, G.-H., Integration of affective computing techniques and soft computing for developing a human affective recognition system for U-learning systems (2014) International Journal of Mobile Learning and Organisation, 8 (1), pp. 50-66; Wu, C.H., The Design of 6E Model for STEAM Game Development (2019) International Journal of e-Education, e-Business, e-Management and e-Learning, 9 (3), pp. 212-219; Yang, F.Y., Chang, C.Y., Chien, W.R., Chien, Y.T., Tseng, Y.H., Tracking learners' visual attention during a multimedia presentation in a real classroom (2013) Computers &amp; Education, 62, pp. 208-220. , . 10.1016/j.compedu.2012.10.009. DOI; Yang, Y.T.C., Building virtual cities, inspiring intelligent citizens: Digital games for developing students’ problem solving and learning motivation (2012) Computers &amp; Education, 59 (2), pp. 365-377. , . 10.1016/j.compedu.2012.01.012. DOI; Yeh, Y.-C., Chang, H.-L., Chen, S.-Y., Mindful learning: A mediator of mastery experience during digital creativity game-based learning among elementary school students (2019) Computers &amp; Education, 132, pp. 63-75. , . 10.1016/j.compedu.2019.01.001. DOI</t>
  </si>
  <si>
    <t>10421629</t>
  </si>
  <si>
    <t>Educ. Technol. Res. Dev.</t>
  </si>
  <si>
    <t>2-s2.0-85085348887</t>
  </si>
  <si>
    <t>Measuring performance in leaning process of digital game-based learning and static e-learning</t>
  </si>
  <si>
    <t>Samsonovich A.V., Kuznetsova K.</t>
  </si>
  <si>
    <t>8245577300;57201675574;</t>
  </si>
  <si>
    <t>Semantic-map-based analysis of insight problem solving</t>
  </si>
  <si>
    <t>Biologically Inspired Cognitive Architectures</t>
  </si>
  <si>
    <t>10.1016/j.bica.2018.07.017</t>
  </si>
  <si>
    <t>https://www.scopus.com/inward/record.uri?eid=2-s2.0-85050139996&amp;doi=10.1016%2fj.bica.2018.07.017&amp;partnerID=40&amp;md5=6b60949c07b5147c146b3ea74f6b7849</t>
  </si>
  <si>
    <t>National Research Nuclear University MEPhI, Kashirskoe shosse 31, Moscow, 115409, Russian Federation</t>
  </si>
  <si>
    <t>Samsonovich, A.V., National Research Nuclear University MEPhI, Kashirskoe shosse 31, Moscow, 115409, Russian Federation; Kuznetsova, K., National Research Nuclear University MEPhI, Kashirskoe shosse 31, Moscow, 115409, Russian Federation</t>
  </si>
  <si>
    <t>Intelligent agents and co-robots, or cobots, become increasingly popular today as assistants of creators of arts. They can be also expected to become popular in the near future as assistants in other creative work, including research and, in particular, insight problem solving. Arguably, the success of such tools is linked to their social-emotional intelligence. This work continues the previous study of the concept of a cobot-assistant of an insight problem solver (Kuznetsova &amp; Samsonovich, Procedia Computer Science 123:258-64, 2018). The concept is based on a semantic map, that represents cognitive and emotional states and attitudes. The previously constructed semantic map is used here to study the dynamics of human cognitive and emotional states during insight problem solving. It is found here that subjects solving an insight problem become more excited and try to take more radical approaches, and also become slightly more confident, as they approach the insight moment, regardless of whether they actually succeed. This finding should help to formulate rules and cognitive schemas to be tested in future studies of the proposed insight problem solver assistant. The expected impact is on the anticipated emergence of general-purpose virtual cobots-assistants, unleashing higher creativity in their users. © 2018 Elsevier B.V.</t>
  </si>
  <si>
    <t>Cognitive architecture; Creative assistant; Human-friendly AI; Self-regulated learning; Social-emotional intelligence</t>
  </si>
  <si>
    <t>Intelligent agents; Intelligent robots; Semantics; Cognitive architectures; Creative assistant; Human-friendly; Self-regulated learning; Social emotional intelligences; Problem solving</t>
  </si>
  <si>
    <t>Ascoli, G.A., Samsonovich, A.V., (2012) Semantic Cognitive Map, , US Patent No. 8,190,422 B2, issued on May 29, 2012. Washington, DC: U.S. Patent and Trademark Office; Azevedo, R., Beyond intelligent tutoring systems: Using computers as METAcognitive tools to enhance learning? (2002) Instructional Science, 30 (1), pp. 31-45; Campbell, K., Weihl, C., Cobots: Man and machine team up for workplace productivity; Industry leaders discuss how human-robot collaboration is shaping the future of manufacturing (2018) Welding Journal, 97 (5), pp. 34-39; Dawra, N., (2017) Simple Math Problems to Fool the Best, , https://www.youtube.com/watch?v=Db3CwFh7qng%26t=6s, August 25 Video posted on YouTube at; Desmarais, M.C., Baker, R., A review of recent advances in learner and skill modeling in intelligent learning environments (2012) User Modeling and User-Adapted Interaction, 22 (1-2), pp. 9-38; Eidlin, A.A., Samsonovich, A.V., A roadmap to emotionally intelligent creative virtual assistants (2018) Advances in Intelligent Systems and Computing, 636, pp. 47-56. , Springer Nature Cham, Switzerland; Goldstein, E.B., (2015) Cognitive Psychology: Connecting Mind, Research, and Everyday Experience, , 4th ed. Cengage Learning Stamford, CT; Hudlicka, E., Guidelines for designing computa-tional models of emotions (2011) International Journal of Synthetic Emotions, 2 (1), pp. 26-79; Jaeggi, S.M., Buschkuehl, M., Jonides, J., Perrig, W.J., Improving fluid intelligence with training on working memory (2008) Proceedings of the National Academy of Sciences of the United States of America, 105 (19), pp. 6829-6833; Korovkin, S.Y., Vladimirov, I.Y., Savinova, A.D., The dynamics of working memory load in insight problem solving (2014) Russian Journal of Cognitive Science, 1 (4), pp. 67-81; Kuznetsova, K., Samsonovich, A.V., Semantic-map-based approach to designing an insight problem solving assistant (2018) Procedia Computer Science, 123, pp. 258-264; Maier, N.R.F., Reasoning in humans: II. The solution of a problem and its appearance in consciousness (1931) Journal of Comparative Psychology, 12, pp. 181-194; Malekzadeh, M., Mustafa, M.B., Lahsasna, A., A review of emotion regulation in intelligent tutoring systems (2015) Educational Technology &amp; Society, 18 (4), pp. 435-445; Roscoe, R.D., Segedy, J.R., Sulcer, B., Jeong, H., Biswas, G., Shallow strategy development in a teachable agent environment designed to support self-regulated learning (2013) Computers &amp; Education, 62, pp. 286-297; Samsonovich, A.V., Emotional biologically inspired cognitive architecture (2013) Biologically Inspired Cognitive Architectures, 6, pp. 109-125; Samsonovich, A.V., On semantic map as a key component in socially-emotional BICA (2018) Biologically Inspired Cognitive Architectures, 23, pp. 1-6; Samsonovich, A.V., Ascoli, G.A., A simple neural network model of the hippocampus suggesting its pathfinding role in episodic memory retrieval (2005) Learning &amp; Memory, 12 (2), pp. 193-208; Samsonovich, A.V., De Jong, K.A., Kitsantas, A., Peters, E.E., Dabbagh, N., Kalbfleisch, M.L., Cognitive constructor: An intelligent tutoring system based on a biologically inspired cognitive architecture (BICA) (2008) Artificial General Intelligence, pp. 311-325. , P. Wang, B. Goertzel, S. Franklin; Samsonovich, A.V., Goldin, R.F., Ascoli, G.A., Toward a semantic general theory of everything (2010) Complexity, 15 (4), pp. 12-18; Shen, W., Yuan, Y., Liu, C., Luo, J., In search of the "aha!" experience: Elucidating the emotionality of insight problem solving (2016) British Journal of Psychology, 107, pp. 281-298; Spiridonov, V.F., (2006) The Psychology of Thinking: Problem Solving, , Genesis Moscow (Russian); Spiridonov, V.F., Lifanova, S.S., Insight and mental operators, or whether it is possible to solve an insight problem step-by-step. Psychology (2013) Journal of the Higher School of Economics, 10 (3), pp. 54-63; Timms, M.J., Letting artificial intelligence in education out of the box: Educational cobots and smart classrooms (2016) International Journal of Artificial Intelligence in Education, 26 (2), pp. 701-712; Veloso, M., Biswas, J., Coltin, B., Rosenthal, S., CoBots: Robust symbiotic autonomous mobile service robots (2015) IJCAI International Joint Conference on Artificial Intelligence, pp. 4423-4429. , January; Wen, M.C., Butler, L.T., Koutstaal, W., Improving insight and non-insight problem solving with brief interventions (2013) British Journal of Psychology, 104 (1), pp. 97-118; Winne, P.H., Nesbit, J.C., Supporting self-regulated learning with cognitive tools (2009) Handbook of Metacognition in Education, , D.J. Hacker, J. Dunlosky, A.C. Graesser, Erlbaum Mahwah, NJ; Zimmerman, B.J., Investigating self-regulation and motivation: Historical background, methodological developments, and future prospects (2008) American Educational Research Journal, 45 (1), pp. 166-183</t>
  </si>
  <si>
    <t>2212683X</t>
  </si>
  <si>
    <t>Biol. Inspired Cogn. Archit.</t>
  </si>
  <si>
    <t>2-s2.0-85050139996</t>
  </si>
  <si>
    <t>Ismail W.N., Hassan M.M., Alsalamah H.A.</t>
  </si>
  <si>
    <t>57194004570;57201949986;55155480300;</t>
  </si>
  <si>
    <t>Context-Enriched Regular Human Behavioral Pattern Detection from Body Sensors Data</t>
  </si>
  <si>
    <t>IEEE Access</t>
  </si>
  <si>
    <t>8664150</t>
  </si>
  <si>
    <t>33834</t>
  </si>
  <si>
    <t>33850</t>
  </si>
  <si>
    <t>10.1109/ACCESS.2019.2904122</t>
  </si>
  <si>
    <t>https://www.scopus.com/inward/record.uri?eid=2-s2.0-85063889412&amp;doi=10.1109%2fACCESS.2019.2904122&amp;partnerID=40&amp;md5=eaee993f457aed56f1d5d9705bf057e4</t>
  </si>
  <si>
    <t>Information Systems Department, College of Computer and Information Sciences, King Saud University, Riyadh, 11543, Saudi Arabia; College of Engineering and Architecture, Al Yamamah University, Riyadh, 11512, Saudi Arabia</t>
  </si>
  <si>
    <t>Ismail, W.N., Information Systems Department, College of Computer and Information Sciences, King Saud University, Riyadh, 11543, Saudi Arabia; Hassan, M.M., Information Systems Department, College of Computer and Information Sciences, King Saud University, Riyadh, 11543, Saudi Arabia; Alsalamah, H.A., Information Systems Department, College of Computer and Information Sciences, King Saud University, Riyadh, 11543, Saudi Arabia, College of Engineering and Architecture, Al Yamamah University, Riyadh, 11512, Saudi Arabia</t>
  </si>
  <si>
    <t>Extracting indicative characteristics from the sensor data provide diverse avenues for improving the well-being of the elderly people living alone in their homes through understanding and identifying their behavioral patterns while considering any environmental changes. In this paper, we present a new model to explore the challenges associated with mining patterns from the body sensor data and their potential use in discovering regular human routines through mining periodic patterns from a non-uniform temporal database. The non-uniform nature of the temporal database adds more challenges to the mining of periodic patterns as the items may have different periodicity and frequency occurrences. Another challenge is how to discover the correlation between the discovered patterns. In addition, we examine the context-enriched periodic patterns which provide more insights about residents' health. A new algorithm for the contextualized-correlated periodic pattern mining from a non-uniform temporal database is presented along with an extensive evaluation of its performance using a real-life dataset. © 2013 IEEE.</t>
  </si>
  <si>
    <t>Activity monitoring; Apriori; body sensors; FP growth; productive periodic frequent patterns; smart data; temporal database</t>
  </si>
  <si>
    <t>Behavioral research; Database systems; Pattern recognition; Wearable sensors; Activity monitoring; Apriori; Body sensors; FP growths; productive periodic frequent patterns; SMART datum; Temporal Database; Data mining</t>
  </si>
  <si>
    <t>Greco, L., Ritrovato, P., Xhafa, F., An edge-stream computing infrastructure for real-time analysis of wearable sensors data (2019) Future Gener. Comput. Syst., 93, pp. 515-528. , Apr; Suryadevara, N.K., Mukhopadhyay, S.C., Wireless sensor network based home monitoring system for wellness determination of elderly (2012) IEEE Sensors J., 12 (6), pp. 1965-1972. , Jun; Fortino, G., Galzarano, S., Gravina, R., Li, W., A framework for collaborative computing and multi-sensor data fusion in body sensor networks (2015) Inf. Fusion, 22, pp. 50-70. , Mar; Bassoli, M., Bianchi, V., Munari, I., A plug and play IoT Wi-Fi smart home system for human monitoring (2018) Electronics, 7 (9), p. 200. , Sep; Dawadi, P., Cook, D.J., Schmitter-Edgecombe, M., Smart home-based longitudinal functional assessment (2014) Proc. ACM Int. Joint Conf. Perva-sive Ubiquitous Comput. Adjunct Publication, pp. 1217-1224. , Sep; Althoff, T., Horvitz, E., White, R.W., Zeitzer, J., Harnessing the web for population-scale physiological sensing: A case study of sleep and performance (2017) Proc. 26th Int. Conf. World Wide Web, pp. 113-122. , Apr; Gravina, R., Alinia, P., Ghasemzadeh, H., Fortino, G., Multi-sensor fusion in body sensor networks: State-of-The-art and research challenges (2017) Inf. Fusion, 35, pp. 68-80. , May; Gravina, R., Fortino, G., Automatic methods for the detection of accelerative cardiac defense response (2016) IEEE Trans. Affect. Comput., 7 (3), pp. 286-298. , Jul./Sep; Kurashima, T., Althoff, T., Leskovec, J., Modeling interdependent and periodic real-world action sequences (2018) Proc. The. Int. World-Wide Web Conference. Int. [Online]. Available: Www Conf., pp. 803-812. , Apr; Pierson, E., Althoff, T., Leskovec, J., Modeling individual cyclic variation in human behavior (2018) Proc. World Wide Web Conf. World Wide Web, pp. 107-116. , Apr; Ghasemzadeh, H., Panuccio, P., Trovato, S., Fortino, G., Jafari, R., Power-aware activity monitoring using distributed wearable sensors (2014) IEEE Trans. Human-Mach. Syst., 44 (4), pp. 537-544. , Apr; Smart, G., Deligiannis, N., Surace, R., Loscri, V., Fortino, G., Andreopoulos, Y., Decentralized time-synchronized channel swapping for ad hoc wireless networks (2016) IEEE Trans. Veh. Technol., 65 (10), pp. 8538-8553. , Oct; Fucci, D., Scanniello, G., Romano, S., Juristo, N., Need for sleep: The impact of a night of sleep deprivation on novice developers' performance IEEE Trans. Softw. Eng, , to be published; Das Sarma, A., Gollapudi, S., Panigrahy, R., Zhang, L., Understanding cyclic trends in social choices (2012) Proc. 5th ACM Int. Conf. Web Search Data Mining, pp. 593-602. , Feb; Davison, B.D., Hirsh, H., Predicting sequences of user actions (1998) Proc. AAAI/ICMLWorkshop Predicting Future AI Approaches Time-Series Anal., pp. 5-12. , Jul; Drutsa, A., Gusev, G., Serdyukov, P., Periodicity in user engagement with a search engine and its application to online controlled experiments (2017) ACM Trans. Web (TWEB), 11 (2), p. 9. , May; Fortino, G., Parisi, D., Pirrone, V., Di Fatta, G., BodyCloud: A SaaS approach for community body sensor networks (2014) Future Gener. Comput. Syst., 35, pp. 62-79. , Jun; Cheng, J., Bernstein, M., Danescu-Niculescu-Mizil, C., Leskovec, J., Anyone can become a troll: Causes of trolling behavior in online discussions (2017) Proc. Conf. Comput.-Supported Cooperat. Work., p. 1217. , Feb. 2017; Mavroforakis, C., Valera, I., Rodriguez, M.G., (2016) Modeling the Dynamics of Online Learning Activity., , https://arxiv.org/abs/1610.05775; Kapoor, K., Subbian, K., Srivastava, J., Schrater, P., Just in time recommendations: Modeling the dynamics of boredom in activity streams (2015) Proc. 8th ACM Int. Conf. Web Search Data Mining, pp. 233-242. , Feb; Lago, P., Jiménez-Guarín, C., Roncancio, C., Contextualized behavior patterns for change reasoning in ambient assisted living: A formal model (2017) Expert Syst., 34 (2). , Apr; Lago, P., Roncancio, C., Jiménez-Guarín, C., Learning and managing context enriched behavior patterns in smart homes (2019) Future Gener. Com-put. Syst., 91, pp. 191-205. , Feb; Molano-Pulido, J., Jiménez-Guarín, C., Seabird: Sensor activity identi-cation from streams of data (2017) Advances in Computing, pp. 59-71. , New York, NY, USA: Springer; Anderson, A., Kumar, R., Tomkins, A., Vassilvitskii, S., The dynamics of repeat consumption (2014) Proc. 23rd Int. Conf. World Wide Web, pp. 419-430. , Apr; Baeza-Yates, R., Jiang, D., Silvestri, F., Harrison, B., Predicting the next app that you are going to use (2015) Proc. 8th ACM Int. Conf. Web Search Data Mining, pp. 285-294. , Feb; Benson, A.R., Kumar, R., Tomkins, A., Modeling user consumption sequences (2016) Proc. 25th Int. Conf. World Wide Web, pp. 519-529. , Apr; Koren, Y., Collaborative filtering with temporal dynamics (2009) Proc. 15th ACM SIGKDD Int. Conf. Knowl. Discovery Data Mining, pp. 447-456. , Jun; Kapoor, K., Sun, M., Srivastava, J., Ye, T., A hazard based approach to user return time prediction (2014) Proc. 20th ACMSIGKDD Int. Conf. Knowl. Discovery Data Mining, pp. 1719-1728. , Aug; Kooti, F., Lerman, K., Aiello, L.M., Grbovic, M., Djuric, N., Radosavljevic, V., Portrait of an online shopper: Understanding and predicting consumer behavior (2016) Proc. 9th ACM Int. Conf. Web Search Data Mining, pp. 205-214. , Feb; Ghayvat, H., Smart aging system: Uncovering the hidden wellness parameter for well-being monitoring and anomaly detection (2019) Sensors, 19 (4), p. 766. , Jan; Soulas, J., Lenca, P., Thépaut, A., Unsupervised discovery of activities of daily living characterized by their periodicity and variability (2015) Eng. Appl. Artif. Intell., 45, pp. 90-102. , Oct; Tsai, M.J., Context-aware activity prediction using human behavior pattern in real smart home environments (2016) Proc. IEEE Int. Conf. Autom. Sci. Eng. (CASE), pp. 168-173. , Aug; Nazerfard, E., Temporal features and relations discovery of activities from sensor data (2018) J. Ambient Intell. Humanized Comput., 66, pp. 1-16. , May; Fortino, G., Guerrieri, A., Bellifemine, F.L., Giannantonio, R., SPINE2: Developing BSN applications on heterogeneous sensor nodes (2009) Proc. SIES, pp. 128-131. , Jul; Elbayoudi, A., Lot, A., Langensiepen, C., The human behaviour indicator: A measure of behavioural evolution (2019) Expert Syst. Appl., 118, pp. 493-505. , Mar; Prakash, S.S., Agrawal, A., (2019) Walking and Transition Irregularity Detec-tion Using Ann Approach for Wireless Body Area Network, pp. 923-933. , New York, NY, USA: Springer; Kim, T.-Y., Cho, S.-B., Web Traffic anomaly detection using C-LSTM neural networks (2018) Expert Syst. Appl., 106, pp. 66-76. , Sep; Wang, H., Wang, K., Zhao, H., Yue, Y., Prediction of user behavior in smart home based on improved arima model (2018) Proc. IEEE Int. Conf. Mechatron. Autom. (ICMA), pp. 298-302. , Jun; Abdallah, Z.S., Gaber, M.M., Srinivasan, B., Krishnaswamy, S., Activity recognition with evolving data streams: A review (2018) ACM Comput. Surv. (CSUR), 51 (4), p. 71. , Jul; Gopalratnam, K., Cook, D.J., Online sequential prediction via incremental parsing: The active lezi algorithm (2007) IEEE Intell. Syst., 22 (1), pp. 52-58. , Feb; Cook, D.J., MavHome: An agent-based smart home (2003) Proc. 1st IEEE Int. Conf. Pervasive Comput. Commun., pp. 521-524. , Mar; Dufková, K., Le Boudec, J.-Y., Kencl, L., Bjelica, M., Predicting usercell association in cellular networks from tracked data (2009) Mobile Entity Localization Tracking GPS-less Environnments, pp. 19-33. , New York, NY, USA: Springer; Tapia, D.I., Abraham, A., Corchado, J.M., Alonso, R.S., Agents and ambient intelligence: Case studies (2010) J. Ambient Intell. Humanized Comput., 1 (2), pp. 85-93. , Jun; Mahmoud, S., Lot, A., Langensiepen, C., Behavioural pattern identification and prediction in intelligent environments (2013) Appl. Soft Comput., 13 (4), pp. 1813-1822. , Apr; Krishnan, N.C., Cook, D.J., Activity recognition on streaming sensor data (2014) Pervasive Mobile Comput., 10, pp. 138-154. , Feb; Minor, B., Cook, D.J., Forecasting occurrences of activities (2017) Pervas. Mobile Comput., 38, pp. 77-91. , Jul; Davison, B.D., Hirsh, H., Predicting sequences of user actions (1998) Proc. AAAI/ICMLWorkshop Predicting Future AI Approaches Time-Series Anal., pp. 5-12. , Sep; Gorniak, P., Poole, D., Predicting future user actions by observing unmodified applications (2000) Proc. AAAI/IAAI, pp. 217-222. , Jun; Agichtein, E., Brill, E., Dumais, S., Improving web search ranking by incorporating user behavior information (2006) Proc. 29th Annu. Int. ACM SIGIR Conf. Res. Develop. Inf. Retr., pp. 19-26. , Sep; Ashbrook, D., Starner, T., Using GPS to learn significant locations and predict movement across multiple users (2003) Pers. Ubiquitous Comput., 7 (5), pp. 275-286; Du, N., Dai, H., Trivedi, R., Upadhyay, U., Gomez-Rodriguez, M., Song, L., Recurrent marked temporal point processes: Embedding event history to vector (2016) Proc. 22nd ACM SIGKDD Int. Conf. Knowl. Discov-ery Data Mining, pp. 1555-1564. , Aug; Tapia, E.M., Intille, S.S., Larson, K., Activity recognition in the home using simple and ubiquitous sensors (2004) Proc. Int. Conf. Pervas. Comput, pp. 158-175. , New York, NY, USA: Springer; Bao, L., Intille, S.S., Activity recognition from user-annotated acceleration data (2004) Proc. Int. Conf. Pervas. Comput, pp. 1-17. , New York, NY, USA: Springer; Aztiria, A., Augusto, J.C., Basagoiti, R., Izaguirre, A., Cook, D.J., Learning frequent behaviors of the users in intelligent environments (2013) IEEE Trans. Syst., Man, Cybern., Syst., 43 (6), pp. 1265-1278. , Nov; Srinivasan, V., Moghaddam, S., Mukherji, A., Rachuri, K.K., Xu, C., Tapia, E.M., Mobileminer: Mining your frequent patterns on your phone (2014) Proc. ACM Int. Joint Conf. Pervas. Ubiquitous Comput., pp. 389-400. , Sep; Pei, J., Prexspan: Mining sequential patterns efficiently by prexprojected pattern growth (2001) Proc. ICCCN, pp. 215-224. , Apr; Ho, C.-C., Li, H.-F., Kuo, F.-F., Lee, S.-Y., Incremental mining of sequential patterns over a stream sliding window (2006) Proc. Sixth IEEE Int. Conf. Data Mining, pp. 677-681. , Dec; Krishna, B., Amarawat, G., Data mining in frequent pattern matching using improved apriori algorithm (2019) Emerging Technologies in Data Mining and Information Security, pp. 699-709. , New York, NY, USA: Springer; Soulas, J., Lenca, P., Thépaut, A., Unsupervised discovery of activities of daily living characterized by their periodicity and variability (2015) Eng. Appl. Artif. Intell., 45, pp. 90-102. , Oct; Rodner, T., Litz, L., Data-driven generation of rule-based behavior models for an ambient assisted living system (2013) Proc. IEEE 3rd Int. Conf. Consum. Electron., pp. 35-38. , Sep; Ismail, W.N., Hassan, M.M., Mining productive-associated periodicfrequent patterns in body sensor data for smart home care (2017) Sensors, 17 (5), p. 952. , Apr; Tanbeer, S.K., Hassan, M.M., Almogren, A., Zuair, M., Jeong, B.-S., Scalable regular pattern mining in evolving body sensor data (2017) Future Gener. Comput. Syst., 75, pp. 172-186. , Oct; Venkatesh, J., Kiran, R.U., Reddy, P.K., Kitsuregawa, M., Discovering periodic-correlated patterns in temporal databases (2018) Transactions on Large-Scale Data-and Knowledge-Centered Systems XXXVIII, pp. 146-172. , New York, NY, USA: Springer; Akther, S., Karim, M.R., Samiullah, M., Ahmed, C.F., Mining nonredundant closed flexible periodic patterns (2018) Eng. Appl. Artif. Intell., 69, pp. 1-23. , Mar; Tanbeer, S.K., Hassan, M.M., Alrubaian, M., Jeong, B.-S., Mining regularities in body sensor network data (2015) Proc. Int. Conf. Internet Distrib. Comput. Syst., pp. 88-99; Nofong, V.M., Fast and memory efficient mining of periodic frequent patterns (2018) Modern Approaches for Intelligent Information and Database Systems, pp. 223-232. , New York, NY, USA: Springer; Mwintieru, N.V., Discovering productive periodic frequent patterns in transactional databases (2016) Ann. Data Sci., 3 (3), pp. 235-249. , Sep; Ismail, W.N., Hassan, M.M., Alsalamah, H.A., Fortino, G., Mining productive-periodic frequent patterns in tele-health systems (2018) J. Netw. Comput. Appl., 115, pp. 33-47. , Aug; Ismail, W.N., Hassan, M.M., Alsalamah, H.A., Mining of productive periodic-frequent patterns for iot data analytics (2018) Future Gener. Comput. Syst., 88, pp. 512-523. , Nov; Rabatel, J., Bringay, S., Poncelet, P., Mining sequential patterns: A context-aware approach (2013) Advances in Knowledge Discovery and Man-agement, pp. 23-41. , New York, NY, USA: Springer; Aggarwal, C.C., Bhuiyan, M.A., Al Hasan, M., Frequent pattern mining algorithms: A survey (2014) Frequent Pattern Mining, pp. 19-64. , New York, NY, USA: Springer; Han, J., Pei, J., Yin, Y., Mining frequent patterns without candidate generation (2000) ACM SIGMOD Rec., 29 (2), pp. 1-12; Borah, A., Nath, B., Performance analysis of tree-based approaches for pattern mining (2019) Computational Intelligence in Data Mining, pp. 435-448. , New York, NY, USA: Springer; Webb, G.I., Self-sufficient itemsets: An approach to screening potentially interesting associations between items (2010) ACM Trans. Knowl. Discovery Data (TKDD), 4 (1), p. 3. , Jan; Hong, L., Luo, M., Wang, R., Lu, P., Lu, W., Lu, L., Big data in health care: Applications and challenges (2019) Data Inf. Manage., 1, pp. 19-25. , Jan; Alan, G., Ijaz, M.F., Syafrudin, M., Syaekhoni, M.A., Fitriyani, N.L., Rhee, J., Customer behavior analysis using real-time data processing: A case study of digital signage-based online stores (2019) Asia Pacific J. Market-ing Logistics, 31 (1), pp. 265-290. , Aug</t>
  </si>
  <si>
    <t>21693536</t>
  </si>
  <si>
    <t>2-s2.0-85063889412</t>
  </si>
  <si>
    <t>Context-enriched regular human behavioral pattern detection from body sensors data</t>
  </si>
  <si>
    <t>Martín-Hernández P., Gil-Lacruz M., Gil-Lacruz A.I., Azkue-Beteta J.L., Lira E.M., Cantarero L.</t>
  </si>
  <si>
    <t>57219052319;57193928720;36138657700;57371922900;23975127800;36845579700;</t>
  </si>
  <si>
    <t>Fostering university students’ engagement in teamwork and innovation behaviors through game-based learning (GBL)</t>
  </si>
  <si>
    <t>13573</t>
  </si>
  <si>
    <t>10.3390/su132413573</t>
  </si>
  <si>
    <t>https://www.scopus.com/inward/record.uri?eid=2-s2.0-85121129784&amp;doi=10.3390%2fsu132413573&amp;partnerID=40&amp;md5=5af2eeea273259fb8d7bac55a140de00</t>
  </si>
  <si>
    <t>Faculty of Social and Human Sciences, University of Zaragoza, Teruel, 40003, Spain; Faculty of Health Sciences, University of Zaragoza, Zaragoza, 50009, Spain; School of Engineering and Architecture, University of Zaragoza, Zaragoza, 50018, Spain; Faculty of Human Sciences and Education, University of Zaragoza, Huesca, 22003, Spain; Faculty of Social and Work Sciences, University of Zaragoza, Zaragoza, 50009, Spain</t>
  </si>
  <si>
    <t>Martín-Hernández, P., Faculty of Social and Human Sciences, University of Zaragoza, Teruel, 40003, Spain; Gil-Lacruz, M., Faculty of Health Sciences, University of Zaragoza, Zaragoza, 50009, Spain; Gil-Lacruz, A.I., School of Engineering and Architecture, University of Zaragoza, Zaragoza, 50018, Spain; Azkue-Beteta, J.L., Faculty of Health Sciences, University of Zaragoza, Zaragoza, 50009, Spain; Lira, E.M., Faculty of Human Sciences and Education, University of Zaragoza, Huesca, 22003, Spain; Cantarero, L., Faculty of Social and Work Sciences, University of Zaragoza, Zaragoza, 50009, Spain</t>
  </si>
  <si>
    <t>Higher Education Instituions (HEIs) should be the driving force behind the training of college students in terms of both hard and soft skills (for example, innovation and teamwork competencies), and they should also do so without neglecting their health and well-being, perhaps more than ever in these complex times of the SARS-CoV2 pandemic. Game-based learning (GBL) could be a powerful and useful tool in this regard. There is, however, some controversy surrounding the use of games for learning purposes in higher education institutions, and most of the research done about this issue corresponds to GBL through digital games. Under this background, the main objective of this study was to test the effect of GBL on the intrinsic motivation (IM), teamwork engagement (TWE), team building (TB), teamwork competence (TWC), and innovation behaviors (IWB) of 142 college students of Health Sciences and Social Work. After rehearsing in small groups, the game was tested (T2). Our results obtained through the differential analyses confirmed that undergraduates were more intrinsically motivated, experienced more TWE, TB, and TWC, and developed more IWB than before playing the game (T1). Therefore, the development of core personal skills might be promoted effectively by games in an efficient, engaging, and motivating way. © 2021 by the authors. Licensee MDPI, Basel, Switzerland.</t>
  </si>
  <si>
    <t>Engagement; Game-based learning; HEIs; Innovation behaviors; Team building; Teamwork competence</t>
  </si>
  <si>
    <t>educational development; game theory; higher education; innovation; machine learning</t>
  </si>
  <si>
    <t>West, M.A., Farr, J.L., (1999) Innovation and Creativity at Work: Psychological and Organizational Strategies, , Wiley: London, UK; Mtar, K., Belazreg, W., Causal Nexus Between Innovation, Financial Development, and Economic Growth: The Case of OECD Countries (2021) J. Knowl. Econ, 12, pp. 310-341. , [CrossRef]; Dahlke, J., Bogner, K., Becker, M., Schlaile, M.P., Pyka, A., Ebersberger, B., Crisis-driven innovation and fundamental human needs: A typological framework of rapid-response COVID-19 innovations (2021) Technol. Forecast. Soc. Chang, 169, p. 120799. , [CrossRef]; Filippetti, A., Archibugi, D., Innovation in times of crisis: National Systems of Innovation, structure, and demand (2011) Res. Policy, 40, pp. 179-192. , [CrossRef]; Ebersberger, B., Kuckertz, A., Hop to it! The impact of organization type on innovation response time to the COVID-19 crisis (2021) J. Bus. Res, 124, pp. 126-135. , [CrossRef]; Albort-Morant, G., Ariza-Montes, A., Leal-Rodríguez, A., Giorgi, G., How Does Positive Work-Related Stress Affect the Degree of Innovation Development? (2020) Int. J. Environ. Res. Public Health, 17, p. 520. , [CrossRef] [PubMed]; Darwish, S., Ahmed, U., Pahi, M.H., Innovative work behavior during COVID-19 for medical representative in the pharmaceutical industry: Test of a moderation model in bahrain (2020) Int. J. Pharm. Res, 12, pp. 1927-1934. , [CrossRef]; Koroglu, Ş., Ozmen, O., The mediating effect of work engagement on innovative work behavior and the role of psychological well-being in the job demands–resources (JD-R) model (2021) Asia-Pac. J. Bus. Adm, , ahead-of-print. [CrossRef]; (2015) Transforming Our World: The 2030 Agenda for Sustainable Development, , https://www.un.org/ga/search/view_doc.asp?symbol=A/RES/70/1&amp;Lang=E, (accessed on 19 July 2021); Schmidthuber, L., Wiener, M., Aiming for a sustainable future: Conceptualizing public open foresight (2018) Public Manag. Rev, 20, pp. 82-107. , [CrossRef]; Horan, W., O’Regan, B., Developing a Practical Framework of Sustainability Indicators Relevant to All Higher Education Institutions to Enable Meaningful International Rankings (2021) Sustainability, 13, p. 629. , [CrossRef]; Sibbel, A., Pathways towards sustainability through higher education (2009) Int. J. Sustain. High. Educ, 10, pp. 68-82. , [CrossRef]; Sánchez-Carracedo, F., Ruiz-Morales, J., Valderrama-Hernández, R., Muñoz-Rodríguez, J.M., Gomera, A., Analysis of the presence of sustainability in Higher Education Degrees of the Spanish university system (2021) Stud. High. Educ, 46, pp. 300-317. , [CrossRef]; González-Anta, B., Orengo, V., Zornoza, A., Peñarroja, V., Gamero, N., Sustainable Virtual Teams: Promoting Well-Being through Affect Management Training and Openness to Experience Configurations (2021) Sustainability, 13, p. 3491. , [CrossRef]; Weiss, M., Barth, M., Wiek, A., von Wehrden, H., Drivers and Barriers of Implementing Sustainability Curricula in Higher Education-Assumptions and Evidence (2021) High. Educ. Stud, 11, pp. 42-64. , [CrossRef]; Bailey, K., Breslin, D., The COVID-19 Pandemic: What can we learn from past research in organizations and management? (2021) Int. J. Manag. Rev, 23, pp. 3-6. , [CrossRef]; Biron, M., De Cieri, H., Fulmer, I., Lin, C.H., Mayrhofer, W., Nyfoudi, M., Sanders, K., Sun, J.M., Structuring for innovative responses to human resource challenges: A skunk works approach (2021) Hum. Resour. Manag. Rev, 31, p. 100768. , advance online publication. [CrossRef]; Rabenu, E., (2021) Twenty-First Century Workplace Challenges: Perspectives and Implications for Relationships in New Era Organizations, , Rowan &amp; Littlefield: London, UK; Villajos, E., Tordera, N., Peiró, J.M., Human Resource Practices, Eudaimonic Well-Being, and Creative Performance: The Mediating Role of Idiosyncratic Deals for Sustainable Human Resource Management (2019) Sustainability, 11, p. 6933. , [CrossRef]; Mulligan, R., Ramos, J., Martín, P., Zornoza, A., Inspiriting Innovation: The Effects of Leader-Member Exchange (LMX) on Innovative Behavior as Mediated by Mindfulness and Work Engagement (2021) Sustainability, 13, p. 5409. , [CrossRef]; Salanova, M., Work engagement: A key to HEROs–healthy and resilient organizations (2021) A Research Agenda for Employee Engagement in a Changing World of Work, pp. 53-66. , Meyer, J., Schneider, B., Eds.; Edward Elgar Publishing: Ghelthenham, UK, [CrossRef]; Shuffler, M.L., Salas, E., Rosen, M.A., The Evolution and Maturation of Teams in Organizations: Convergent Trends in the New Dynamic Science of Teams (2020) Front. Psychol, 11, p. 2128. , [CrossRef] [PubMed]; Gónzalez-Romá, V.M., Investigating employee engagement at multiple levels (2021) A Research Agenda for Employee Engagement in a Changing World of Work, pp. 193-208. , Meyer, J., Schneider, B., Eds.; Edward Elgar Publishing: Ghelthenham, UK, [CrossRef]; Deterding, S., Dixon, D., Khaled, R., Nacke, L., From game design elements to gamefulness: Defining “gamification” (2011) Proceedings of the 15th International Academic Mindtrek Conference: Envisioning Future Media Environments, pp. 9-15. , Tampere, Finland, 28–30 September Lugmayr, A., Ed.; ACM Publication: New York, NY, USA, 2011; [CrossRef]; Abt, C.C., (1987) Serious Games, , 2nd ed.; University Press of America: Lanham, MD, USA; Djaouti, D., Alvarez, J., Jessel, J.P., Rampnoux, O., Origins of Serious Games (2011) Serious Games and Edutainment Applications, pp. 25-43. , Ma, M., Oikonomou, A., Jain, L., Eds.; Springer: London, UK, [CrossRef]; Djaouti, D., Alvarez, J., Jessel, J.P., Classifying serious games: The G/P/S model (2011) Handbook of Research on Improving Learning and Motivation through Educational Games: Multidisciplinary Approaches, pp. 118-136. , Felicia, P., Ed.; IGI Global: Pennsylvania, PA, USA, [CrossRef]; Shpakova, A., Dörfler, V., MacBryde, J., Gamification and innovation: A mutually beneficial union (2016) Proceedings of the British Academy of Management Annual Conference: Thriving in Turbulent Times, pp. 1-18. , Newcastle, UK, 6–8 September; Pelling, N., The (Short) Prehistory of “Gamification” … (2011) Funding Startups (&amp; Other Impossibilities), , https://nanodome.wordpress.com/2011/08/09/the-shortprehistory-of-gamification/, (accessed on 16 September 2021); Sailer, M., Homner, L., The Gamification of Learning: A Meta-analysis (2020) Educ. Psychol. Rev, 32, pp. 77-112. , [CrossRef]; Deterding, S., Sicart, M., Nacke, L., O’Hara, K., Dixon, D., Gamification. using game-design elements in non-gaming contexts (2011) Proceedings of the CHI’11 Extended Abstracts on Human Factors in Computing Systems, pp. 2425-2428. , Vancouver, BC, Canada, 7–12 May; Hamari, J., Shernoff, D.J., Rowe, E., Coller, B., Asbell-Clarke, J., Edwards, T., Challenging games help students learn: An empirical study on engagement, flow and immersion in game-based learning (2016) Comput. Hum. Behav, 54, pp. 170-179. , [CrossRef]; Landers, R.N., Auer, E.M., Collmus, A.B., Armstrong, M.B., Gamification science, its history and future: Definitions and a research agenda (2018) Simul. Gaming, 49, pp. 315-337. , [CrossRef]; Landers, R.N., Developing a theory of gamified learning: Linking serious games and gamification of learning (2014) Simul. Gaming, 45, pp. 752-768. , [CrossRef]; Bakker, A.B., Oerlemans, W., Subjective psychological well-being in organization (2011) The Oxford Handbook of Positive Organizational Scholarship, pp. 178-189. , Cameron, K.S., Spreitzer, G.M., Eds.; Oxford University Press: New York, NY, USA, [CrossRef]; Ofosu-Ampong, K., Boateng, R., Anning-Dorson, T., Kolog, E.A., Are we ready for Gamification? An exploratory analysis in a developing country (2020) Educ. Inf. Technol, 25, pp. 1723-1742. , [CrossRef]; Vegt, N., Visch, V., de Ridder, H., Vermeeren, A., Designing Gamification to Guide Competitive and Cooperative Behavior in Teamwork (2015) Gamification in Education and Business, pp. 513-533. , Reiners, T., Wood, L., Eds.; Springer: Cham, Denmark, [CrossRef]; Subhash, S., Cudney, E.A., Gamified learning in higher education: A systematic review of the literature (2018) Comput. Hum. Behav, 87, pp. 192-206. , [CrossRef]; Bilro, R.G., Loureiro, S.M., Angelino, F.J., The Role of Creative Communications and Gamification in Student Engagement in Higher Education: A Sentiment Analysis Approach (2021) J. Create. Commun, , ahead-of-print. [CrossRef]; Sailer, M., Sailer, M., Gamification of in-class activities in flipped classroom lectures (2021) Br. J. Educ. Technol, 52, pp. 75-90. , [CrossRef]; Hammedi, W., Leclercq, T., Poncin, I., Alkire, L., Uncovering the dark side of gamification at work: Impacts on engagement and well-being (2021) J. Bus. Res, 122, pp. 256-269. , [CrossRef]; Zainuddin, Z., Chu, S.K., Shujahat, M., Perera, C.J., The impact of gamification on learning and instruction: A systematic review of empirical evidence (2020) Educ. Res. Rev, 30, p. 100326. , [CrossRef]; Ryan, R.M., Deci, E.L., Self-determination theory and the facilitation of intrinsic motivation, social development, and wellbeing (2000) Am. Psychol, 55, pp. 68-78. , [CrossRef]; Kwon, H.Y., Özpolat, K., The dark side of narrow gamification: Negative impact of assessment gamification on student perceptions and content knowledge (2021) INFORMS Trans. Educ, 21, pp. 67-81. , [CrossRef]; Hew, K.F., Huang, B., Chu, K.W., Chiu, D.K., Engaging asian students through game mechanics: Findings from two experiment studies (2016) Comput. Educ, , 92–93, 221–236, [CrossRef]; Hanus, M.D., Fox, J., Assessing the effects of gamification in the classroom: A longitudinal study on intrinsic motivation, social comparison, satisfaction, effort, and academic performance (2015) Comput. Educ, 80, pp. 152-161. , [CrossRef]; Csikszentmihalyi, M., (1990) Flow: The Psychology of Optimal Experience, , Harper &amp; Row: New York, NY, USA; Csikszentmihalyi, M., Toward a Psychology of Optimal Experience (2014) Flow and the Foundations of Positive Psychology, pp. 209-226. , Csikszentmihalyi, M., Ed.; Springer: Dordrecht, The Netherlands, [CrossRef]; Admiraal, W., Huizenga, J., Akkerman, S., Ten Dam, G., The concept of flow in collaborative game-based learning (2011) Comput. Hum. Behav, 27, pp. 1185-1194. , [CrossRef]; Huang, R., Ritzhaupt, A.D., Sommer, M., Zhu, J., Stephen, A., Valle, N., Hampton, J., Li, J., The impact of gamification in educational settings on student learning outcomes: A meta-analysis (2020) Educ. Technol. Res. Dev, 68, pp. 1875-1901. , [CrossRef]; Landers, R.N., Bauer, K.N., Callan, R.C., Armstrong, M.B., Psychological Theory and the Gamification of Learning (2015) Gamification in Education and Business, pp. 165-186. , Reiners, T., Wood, L., Eds.; Springer: Cham, Denmark, [CrossRef]; Kalogiannakis, M., Papadakis, S., Zourmpakis, A.-I., Gamification in Science Education. A Systematic Review of the Literature (2021) Educ. Sci, 11, p. 22. , [CrossRef]; Schaufeli, W.B., Salanova, M., González-Romá, V., Bakker, A.B., The measurement of engagement and burnout: A two sample confirmatory factor analytic approach (2002) J. Happiness Stud, 3, pp. 71-92. , [CrossRef]; Carmona-Halty, M., Salanova, M., Llorens, S., Schaufeli, W.B., Linking positive emotions and academic performance: The mediated role of academic psychological capital and academic engagement (2021) Curr. Psychol, 40, pp. 2938-2947. , [CrossRef]; Costa, P., Passos, A.M., Bakker, A., Empirical validation of the team work engagement construct (2014) J. Pers. Psychol, 13, pp. 34-45. , [CrossRef]; Qian, M., Clark, K.R., Game-based Learning and 21st century skills: A review of recent research (2016) Comput. Hum. Behav, 63, pp. 50-58. , [CrossRef]; Sousa, M.J., Rocha, Á., Leadership styles and skills developed through game-based learning (2019) J. Bus. Res, 94, pp. 360-366. , [CrossRef]; Ifenthaler, D., Eseryel, D., Ge, X., Assessment for game-based learning (2021) Assessment in Game-Based Learning, pp. 1-8. , Ifenthaler, D., Ed.; Springer: New York, NY, USA, [CrossRef]; Klein, C., Diaz Granados, D., Salas, E., Le, H., Burke, C.S., Lyons, R., Goodwin, G.F., Does team building work? (2009) Small Group Res, 40, pp. 181-222. , [CrossRef]; Vásquez, S., Peñafiel, M., Cevallos, A., Zaldumbide, J., Vásquez, D., Impact of Game-Based Learning on Students in Higher Education (2017) Proceedings of the 9th Annual International Conference on Education and New Learning Technologies (EDULEARN17), pp. 4356-4363. , Barcelona, Spain, 3–5 July Chova, L., López, A., Candel, I., Eds.; IATED Academy: Barcelona, Spain, 2017; Martín-Hernández, P., Gil-Lacruz, A.I., Gil-Lacruz, M., Tesán, A.C., Azkue, J.L., Working and Feeling as a team using gamification amongst university students (2020) EDULEARN20 Proceedings, Proceedings of the 12th Annual International Conference on Education and New Learning Technologies, pp. 1729-1735. , Palma de Mallorca, Spain, 6–7 July Chova, L., López, A., Candel, I., Eds.; IATED Academy: Palma de Mallorca, Spain, 2020; [CrossRef]; Becuwe, A., Work–Innovative Behavior at Work (2021) Innovation Economics, Engineering and Management Handbook 1: Main Themes, pp. 397-402. , Uzunidis, D., Kasmi, F., Adato, L., Eds.; John Wiley &amp; Sons: London, UK, [CrossRef]; Martín-Hernández, P., Juego serio “El grupo al rescate” (2018) Proyecto de innovación docente, La gamificación como herramienta de fomento del aprendizaje activo y la construcción de equipo (Team Building) PIIDUZ_17_159, , Vicerrectorado de Política Académica, Universidad de Zaragoza: Zaragoza, Spain, internal document; Martín-Hernández, P., Azkue, J.L., Agut, S., Game base learning in psychology education: Improving undergraduates competence for team working (2018) Proceedings of the 10th Annual International Conference on Education and New Learning Technologies (EDULEARN18), pp. 9728-9732. , Palma de Mallorca, Spain, 2–4 July Chova, L., López, A., Candel, I., Eds.; IATED Academy: Palma de Mallorca, Spain, 2018; [CrossRef]; Alcover, J.C., El entorno físico de los grupos (2008) Introducción a la Psicología de los Grupos, pp. 137-160. , Gil, F., Alcover, J.C., Eds.; Pirámide: Madrid, Spain; Alcover, J.C., El entorno personal y social de los grupos (2008) Introducción a la Psicología de los Grupos, pp. 161-190. , Gil, F., Alcover, J.C., Eds.; Pirámide: Madrid, Spain; García-Ael, C., Huici, C., Composición y estructura del grupo (2019) Psicología de los Grupos (Actualized Digital Edition), pp. 111-145. , Molero, F., Lois, D., García-Ael, C., Gómez, A., Eds.; UNED (Universidad Nacional de Educación a Distancia): Madrid, Spain; Gharaveis, A., Hamilton, D.K., Pati, D., The Impact of Environmental Design on Teamwork and Communication in Healthcare Facilities: A Systematic Literature Review (2018) HERD, 11, pp. 119-137. , [CrossRef] [PubMed]; Kozlowski, S.W., Bell, B.S., Work groups and teams in organizations (2013) Handbook of Psychology: Industrial and Organizational Psychology, pp. 412-469. , Schmitt, N.W., Highhouse, S., Weiner, I.B., Eds.; John Wiley &amp; Sons: London, UK; Moreland, R.L., Levine, J.M., Wingert, M.L., Creating the ideal group: Composition effects at work (1997) Understanding Group Behavior, Vol. 2: Small Group Processes and Interpersonal Relations, pp. 11-35. , Witte, E.H., Davis, J.H., Eds.; Lawrence Erlbaum Associates, Inc.: Hillsdale, NJ, USA; LePine, J.A., Buckman, B.R., Crawford, E.R., Methot, J.R., A review of research on personality in teams: Accounting for pathways spanning levels of theory and analysis (2011) HRMR, 21, pp. 311-330. , [CrossRef]; Coursey, L.E., Paulus, P.B., Williams, B.C., Kenworthy, J.B., The role of individual differences in group and team creativity (2018) Individual Creativity in the Workplace, pp. 311-338. , Reiter-Palmon, R., Kennel, Kaufman, J.C., Eds.; Academic Press: New York, NY, USA, [CrossRef]; Shaw, M.E., (2013) Dinámica de Grupo. Psicología de la Conducta de los Pequeños Grupos (Re-Edition), , Herder: Barcelona, Spain; Bell, S.T., Brown, S.G., Colaneri, A., Outland, N., Team composition and the ABCs of teamwork (2018) Am. Psychol, 73, pp. 349-362. , [CrossRef] [PubMed]; Salas, E., Reyes, D.L., McDaniel, S.H., The science of teamwork: Progress, reflections, and the road ahead (2018) Am. Psychol, 73, pp. 593-600. , [CrossRef]; Alonso, J.L., Martín-Albo, J., Navarro, J.G., Validación de la versión española de la Échelle de Motivation en Éducation (2005) Psicothema, 17, pp. 344-349; Vallerand, R.J., Blais, M.R., Briere, N.M., Pelletier, L.G., Construction et validation de l’Echelle de Motivation en Éducation (EME) (1989) Can. J. Behav. Sci, 21, pp. 323-349. , [CrossRef]; Field, A., (2012) Discovering Statistics Using IBM SPSS Statistics, , SAGE: London, UK, [CrossRef]; Salanova, M., Llorens, S., Cifre, E., Martínez, I.M., Schaufeli, W.B., Perceived collective efficacy, subjective well-being and task performance among electronic work groups: An experimental study (2003) Small Group Res, 34, pp. 43-73. , [CrossRef]; Costa, P.L., Passos, A.M., Bakker, A.B., The work engagement grid: Predicting engagement from two core dimensions (2016) J. Manag. Psychol, 31, pp. 774-789. , [CrossRef]; Rahmadani, V.G., Schaufeli, W.B., Stouten, J., Zhang, Z., Zulkarnain, Z., Engaging leadership and its implication for work engagement and job outcomes at the individual and team level: A multi-level longitudinal study (2020) Int. J. Environ. Res. Public Health, 17, p. 776. , [CrossRef]; Salas, E., Rozell, D., Mullen, B., Driskell, J.E., The effect of team building on performance: An integration (1999) Small Group Res, 30, pp. 309-329. , [CrossRef]; Aga, D.A., Noorderhaven, N., Vallejo, B., Transformational leadership and project success: The mediating role of team-building (2016) Int. J. Proj. Manag, 34, pp. 806-818. , [CrossRef]; Hultin, Y.X., Zhang, C., Hu, Y., (2017) Does Team Building Support the Creation of High-Performing Teams, , https://lup.lub.lu.se/luur/download?func=downloadFile&amp;recordOId=8926400&amp;fileOId=8926402, Master´s Thesis, School of Economics and Management, Lund university, Lund, Sweden, Program in Management. (accessed on 10 October 2021); Donia, M.B., O’Neill, T.A., Brutus, S., The longitudinal effects of peer feedback in the development and transfer of student teamwork skills (2018) Learn. Individ. Differ, 61, pp. 87-98. , [CrossRef]; Brutus, S., Donia, M., Improving the effectiveness of students in groups with a centralized peer evaluation system (2010) Acad. Manag. Learn. Educ, 9, pp. 652-662. , [CrossRef]; Janssen, O., Job demands, perceptions of effort-reward fairness and innovative work behaviour (2000) J. Occup. Organ. Psychol, 73, pp. 287-302. , [CrossRef]; Janssen, O., Innovative behaviour and job involvement at the price of conflict and less satisfactory relations with co-workers (2003) J. Occup. Organ. Psychol, 76, pp. 347-364. , [CrossRef]; Sheskin, D.J., (2011) Handbook of Parametric and Nonparametric Statistical Procedures, , 5th ed.; Chapman and Hall/CRC: Boca Raton, FL, USA, [CrossRef]; Verma, J.P., Non-parametric test for Psychological Data (2019) Statistics and Research Methods in Psychology with Excel, pp. 477-521. , Verma, J.P., Ed.; Springer: Singapore, [CrossRef]; Mishra, P., Pandey, C.M., Singh, U., Keshri, A., Sabaretnam, M., Selection of appropriate statistical methods for data analysis (2019) Ann. Card. Anaesth, 22, pp. 297-301. , [CrossRef]; Derrick, B., White, P., Toher, D., Parametric and non-parametric tests for the comparison of two samples which both include paired and unpaired observations (2019) J. Mod. Appl. Stat, 18, p. eP2847. , [CrossRef]; Cohen, J., Statistical Power Analysis (1992) Curr. Dir. Psychol. Sci, 1, pp. 98-101. , [CrossRef]; Cohen, J., (1988) Statistical Power Analysis for the Behavioral Sciences, , 2nd ed.; Lawrence Erlbaum Associates: Hillsdale, NJ, USA; Bozic, C., Dunlap, D., The Role of Innovation Education in Student Learning, Economic Development, and University Engagement (2013) JOTS, 39, pp. 102-111. , [CrossRef]; Jääskä, E., Aaltonen, K., Kujala, J., Game-Based Learning in Project Sustainability Management Education (2021) Sustainability, 13, p. 8204. , [CrossRef]; Spector, P.E., Method variance in organizational research: Truth or urban legend? (2006) Organ. Res. Methods, 9, pp. 221-232. , [CrossRef]; Van Zyl, L.E., van Oort, A., Rispens, S., Olckers, O., Work engagement and task performance within a global Dutch ICT-consulting firm: The mediating role of innovative work behaviors (2021) Curr. Psychol, 40, pp. 4012-4023. , [CrossRef]</t>
  </si>
  <si>
    <t>2-s2.0-85121129784</t>
  </si>
  <si>
    <t>Fostering university students’ engagement in teamwork and innovation behaviors through game-based learning (gbl)</t>
  </si>
  <si>
    <t>Alghwiri A.A., Almomani F., Alghwiri A.A., Whitney S.L.</t>
  </si>
  <si>
    <t>37041289500;13006857800;57212432069;7005076175;</t>
  </si>
  <si>
    <t>Predictors of sleep quality among university students: the use of advanced machine learning techniques</t>
  </si>
  <si>
    <t>Sleep and Breathing</t>
  </si>
  <si>
    <t>1119</t>
  </si>
  <si>
    <t>1126</t>
  </si>
  <si>
    <t>10.1007/s11325-020-02150-w</t>
  </si>
  <si>
    <t>https://www.scopus.com/inward/record.uri?eid=2-s2.0-85088463237&amp;doi=10.1007%2fs11325-020-02150-w&amp;partnerID=40&amp;md5=0fd6b894f7d50a33d3cddf454a59258f</t>
  </si>
  <si>
    <t>Department of physical therapy, School of Rehabilitation Sciences, The University of Jordan, Queen Rania Street, Amman, 11942, Jordan; Department of rehabilitation sciences, School of Applied Medical Sciences, Jordan University of Science and Technology, Irbid, Jordan; Office of the Provost, University of Pittsburgh, Pittsburgh, PA, United States; Department of physical therapy, School of Health and Rehabilitation Sciences, University of Pittsburgh, Pittsburgh, PA, United States</t>
  </si>
  <si>
    <t>Alghwiri, A.A., Department of physical therapy, School of Rehabilitation Sciences, The University of Jordan, Queen Rania Street, Amman, 11942, Jordan; Almomani, F., Department of rehabilitation sciences, School of Applied Medical Sciences, Jordan University of Science and Technology, Irbid, Jordan; Alghwiri, A.A., Office of the Provost, University of Pittsburgh, Pittsburgh, PA, United States; Whitney, S.L., Department of physical therapy, School of Health and Rehabilitation Sciences, University of Pittsburgh, Pittsburgh, PA, United States</t>
  </si>
  <si>
    <t>Purpose: To assess the prevalence of sleep disturbances among university students and investigate potential correlated factors and their relative importance in quantifying sleep quality using advanced machine learning techniques. Methods: A total of 1600 university students participated in this cross-sectional study. Sociodemographic information was collected, and the Pittsburgh Sleep Quality Index (PSQI) was administered to assess sleep quality among university students. Study variables were evaluated using logistic regression and advanced machine learning techniques. Study variables that were significant in the logistic regression and had high mean decrease in model accuracy in the machine learning technique were considered important predictors of sleep quality. Results: The mean (SD) age of the sample was 26.65 (6.38) and 57% of them were females. The prevalence of poor sleep quality in our sample was 70%. The most accurate and balanced predictive model was the random forest model with a 74% accuracy and a 95% specificity. Age and number of cups of tea per day were identified as protective factors for a better sleep quality, while electronics usage hours, headache, other systematic diseases, and neck pain were found risk factors for poor sleep quality. Conclusions: Six predictors of poor sleep quality were identified in university students in which 2 of them were protective and 3 were risk factors. The results of this study can be used to promote health and well-being in university students, improve their academic performance, and assist in developing appropriate interventions. © 2020, Springer Nature Switzerland AG.</t>
  </si>
  <si>
    <t>Logistic regression; Machine learning techniques; Sleep quality; University students</t>
  </si>
  <si>
    <t>academic achievement; adult; Article; artificial neural network; controlled study; cross-sectional study; decision tree; female; headache; human; logistic regression analysis; machine learning; major clinical study; male; measurement accuracy; neck pain; Pittsburgh Sleep Quality Index; prevalence; random forest; risk factor; sleep disorder; sleep quality; support vector machine; tea consumption; university student; wellbeing; Jordan; machine learning; sleep disorder; student; university; young adult; Adult; Cross-Sectional Studies; Female; Humans; Jordan; Machine Learning; Male; Prevalence; Sleep Quality; Sleep Wake Disorders; Students; Universities; Young Adult</t>
  </si>
  <si>
    <t>Barnes, C.M., Drake, C.L., Prioritizing sleep health: public health policy recommendations (2015) Perspect Psychol Sci, 10, pp. 733-737. , PID: 26581727; Lund, H.G., Reider, B.D., Whiting, A.B., Prichard, J.R., Sleep patterns and predictors of disturbed sleep in a large population of college students (2010) J Adolesc Health, 46, pp. 124-132. , PID: 20113918; Smith, M.T., Wickwire, E.M., Grace, E.G., Edwards, R.R., Buenaver, L.F., Peterson, S., Klick, B., Haythornthwaite, J.A., Sleep disorders and their association with laboratory pain sensitivity in temporomandibular joint disorder (2009) Sleep, 32, pp. 779-790. , PID: 19544755; Lee, G., Baek, S., Park, H.W., Kang, E.K., Sleep quality and attention may correlate with hand grip strength: FARM study (2018) Ann Rehabil Med, 42, pp. 822-832. , PID: 30613075; Ma, T., Shi, G., Zhu, Y., Wang, Y., Chu, X., Jiang, X., Liu, Z., Wang, X., Sleep disturbances and risk of falls in an old Chinese population-Rugao longevity and ageing study (2017) Arch Gerontol Geriatr, 73, pp. 8-14. , PID: 28728083; Jarrin, D.C., McGrath, J.J., Drake, C.L., Beyond sleep duration: distinct sleep dimensions are associated with obesity in children and adolescents (2013) Int J Obes, 37, pp. 552-558. , COI: 1:STN:280:DC%2BC3szpsFKitw%3D%3D; Thumann, B.F., Bornhorst, C., Michels, N., Veidebaum, T., Solea, A., Reisch, L., Cross-sectional and longitudinal associations between psychosocial well-being and sleep in European children and adolescents (2019) J Sleep Res, 28. , PID: 30609160; Dinis, J., Braganca, M., Quality of sleep and depression in college students: a systematic review (2018) Sleep Sci, 11, pp. 290-301. , PID: 30746048; Preisegolaviciute, E., Leskauskas, D., Adomaitiene, V., Associations of quality of sleep with lifestyle factors and profile of studies among Lithuanian students (2010) Medicina (Kaunas), 46, pp. 482-489; Leger, D., Partinen, M., Hirshkowitz, M., Chokroverty, S., Hedner, J., Investigators, E.S., Characteristics of insomnia in a primary care setting: EQUINOX survey of 5293 insomniacs from 10 countries (2010) Sleep Med, 11, pp. 987-998. , PID: 21093363; Peter-Derex, L., Yammine, P., Bastuji, H., Croisile, B., Sleep and Alzheimer's disease (2015) Sleep Med Rev, 19, pp. 29-38. , PID: 24846773; Sariyildiz, M.A., Batmaz, I., Bozkurt, M., Bez, Y., Cetincakmak, M.G., Yazmalar, L., Sleep quality in rheumatoid arthritis: relationship between the disease severity, depression, functional status and the quality of life (2014) J Clin Med Res, 6, pp. 44-52. , PID: 24400031; Soler, X., Gaio, E., Powell, F.L., Ramsdell, J.W., Loredo, J.S., Malhotra, A., Ries, A.L., High prevalence of obstructive sleep apnea in patients with moderate to severe chronic obstructive pulmonary disease (2015) Ann Am Thorac Soc, 12, pp. 1219-1225. , PID: 25871443; Alatriste-Booth, V., Rodriguez-Violante, M., Camacho-Ordonez, A., Cervantes-Arriaga, A., Prevalence and correlates of sleep disorders in Parkinson's disease: a polysomnographic study (2015) Arq Neuropsiquiatr, 73, pp. 241-245. , PID: 25807131; Strober, L.B., Fatigue in multiple sclerosis: a look at the role of poor sleep (2015) Front Neurol, 6, p. 21. , PID: 25729378; Gianfredi, V., Nucci, D., Tonzani, A., Amodeo, R., Benvenuti, A.L., Villarini, M., Moretti, M., Sleep disorder, Mediterranean Diet and learning performance among nursing students: inSOMNIA, a cross-sectional study (2018) Ann Ig, 30, pp. 470-481. , COI: 1:STN:280:DC%2BB3cFGgtQ%3D%3D, PID: 30614496; Choueiry, N., Salamoun, T., Jabbour, H., El Osta, N., Hajj, A., Rabbaa Khabbaz, L., Insomnia and relationship with anxiety in university students: a cross-sectional designed study (2016) PLoS One, 11. , PID: 26900686; Chung, K.F., Cheung, M.M., Sleep-wake patterns and sleep disturbance among Hong Kong Chinese adolescents (2008) Sleep, 31, pp. 185-194. , PID: 18274265; Bartel, K.A., Gradisar, M., Williamson, P., Protective and risk factors for adolescent sleep: a meta-analytic review (2015) Sleep Med Rev, 21, pp. 72-85. , PID: 25444442; Wang, P.Y., Chen, K.L., Yang, S.Y., Lin, P.H., Relationship of sleep quality, smartphone dependence, and health-related behaviors in female junior college students (2019) PLoS One, 14. , COI: 1:CAS:528:DC%2BC1MXnvFamu7s%3D, PID: 30943270; Carpenter, J.S., Andrykowski, M.A., Psychometric evaluation of the Pittsburgh Sleep Quality Index (1998) J Psychosom Res, 45, pp. 5-13. , COI: 1:STN:280:DyaK1czosFyjtg%3D%3D, PID: 9720850; Backhaus, J., Junghanns, K., Broocks, A., Riemann, D., Hohagen, F., Test-retest reliability and validity of the Pittsburgh Sleep Quality Index in primary insomnia (2002) J Psychosom Res, 53, pp. 737-740. , PID: 12217446; Suleiman, K.H., Yates, B.C., Berger, A.M., Pozehl, B., Meza, J., Translating the Pittsburgh Sleep Quality Index into Arabic (2010) West J Nurs Res, 32, pp. 250-268. , PID: 19915205; Kassambara, A., Machine Learning Essentials: Practical Guide in R, , 1 ed. 2017: STHDA; Kuhnmatrix, M.C., ; Kuhn, M., Johnson, K., (2016) Applied predictive modeling, , Springer Nature, New York; Louppe, G., Wehenkel, L., Sutera, A., Geurts, P., Understanding Variable Importances in Forests of Randomized Trees; Huen, L.L., Chan, T.W., Yu, W.M., Wing, Y.K., Do medical students in Hong Kong have enough sleep? (2007) Sleep Biol Rhythms, 5, pp. 226-230; Levenson, J.C., Miller, E., Hafer, B., Reidell, M.F., Buysse, D.J., Franzen, P.L., Pilot study of a sleep health promotion program for college students (2016) Sleep Health, 2, pp. 167-174. , COI: 1:STN:280:DC%2BC2srktVahug%3D%3D, PID: 27525300; Palacios-Cena, M., Fernandez-Munoz, J.J., Castaldo, M., Wang, K., Guerrero-Peral, A., Arendt-Nielsen, L., The association of headache frequency with pain interference and the burden of disease is mediated by depression and sleep quality, but not anxiety, in chronic tension type headache (2017) J Headache Pain, 18, p. 19. , PID: 28185160; Rains, J.C., Davis, R.E., Smitherman, T.A., Tension-type headache and sleep (2015) Curr Neurol Neurosci Rep, 15, p. 520. , PID: 25475495; Song, T.J., Cho, S.J., Kim, W.J., Yang, K.I., Yun, C.H., Chu, M.K., Poor sleep quality in migraine and probable migraine: a population study (2018) J Headache Pain, 19, p. 58. , PID: 30046921; Valenza, M.C., Valenza, G., Gonzalez-Jimenez, E., De-la-Llave-Rincon, A.I., Arroyo-Morales, M., Fernandez-de-Las-Penas, C., Alteration in sleep quality in patients with mechanical insidious neck pain and whiplash-associated neck pain (2012) Am J Phys Med Rehabil, 91, pp. 584-591. , PID: 22173084; Munoz-Munoz, S., Munoz-Garcia, M.T., Alburquerque-Sendin, F., Arroyo-Morales, M., Fernandez-de-las-Penas, C., Myofascial trigger points, pain, disability, and sleep quality in individuals with mechanical neck pain (2012) J Manip Physiol Ther, 35, pp. 608-613; Lee, W.H., Ko, M.S., Effect of sleep posture on neck muscle activity (2017) J Phys Ther Sci, 29, pp. 1021-1024. , PID: 28626314; Zhu, B., Vincent, C., Kapella, M.C., Quinn, L., Collins, E.G., Ruggiero, L., Park, C., Fritschi, C., Sleep disturbance in people with diabetes: a concept analysis (2018) J Clin Nurs, 27, pp. e50-e60. , PID: 28793386; Thomas, S.J., Calhoun, D., Sleep, insomnia, and hypertension: current findings and future directions (2017) J Am Soc Hypertens, 11, pp. 122-129. , PID: 28109722; Lavigne, G.J., Nashed, A., Manzini, C., Carra, M.C., Does sleep differ among patients with common musculoskeletal pain disorders? (2011) Curr Rheumatol Rep, 13, pp. 535-542. , PID: 21894511; Eyvazlou, M., Zarei, E., Rahimi, A., Abazari, M., Association between overuse of mobile phones on quality of sleep and general health among occupational health and safety students (2016) Chronobiol Int, 33, pp. 293-300. , PID: 26942630; Arbabisarjou, A., Hashemi, S.M., Sharif, M.R., Haji Alizadeh, K., Yarmohammadzadeh, P., Feyzollahi, Z., The relationship between sleep quality and social intimacy, and academic burn-out in students of medical sciences (2015) Global J Health Sci, 8, pp. 231-238; Monk, T.H., Petrie, S.R., Hayes, A.J., Kupfer, D.J., Regularity of daily life in relation to personality, age, gender, sleep quality and circadian rhythms (1994) J Sleep Res, 3, pp. 196-205. , COI: 1:STN:280:DC%2BD3MnmtFWksg%3D%3D, PID: 10607126; Ahmed, A.E., Al-Jahdali, H., Fatani, A., Al-Rouqi, K., Al-Jahdali, F., Al-Harbi, A., The effects of age and gender on the prevalence of insomnia in a sample of the Saudi population (2017) Ethn Health, 22, pp. 285-294. , PID: 27846729; Hindmarch, I., Rigney, U., Stanley, N., Quinlan, P., Rycroft, J., Lane, J., A naturalistic investigation of the effects of day-long consumption of tea, coffee and water on alertness, sleep onset and sleep quality (2000) Psychopharmacology, 149, pp. 203-216. , COI: 1:CAS:528:DC%2BD3cXjs1Ghsb8%3D, PID: 10823400; Ngan, A., Conduit, R., A double-blind, placebo-controlled investigation of the effects of Passiflora incarnata (passionflower) herbal tea on subjective sleep quality (2011) Phytother Res, 25, pp. 1153-1159. , COI: 1:STN:280:DC%2BC3MjhsFKksQ%3D%3D, PID: 21294203; Movafegh, A., Alizadeh, R., Hajimohamadi, F., Esfehani, F., Nejatfar, M., Preoperative oral Passiflora incarnata reduces anxiety in ambulatory surgery patients: a double-blind, placebo-controlled study (2008) Anesth Analg, 106, pp. 1728-1732. , PID: 18499602; Wu, C., Huang, Y., Lai, X., Lai, R., Zhao, Z., Zhang, M., Study on quality components and sleep-promoting effect of GABA Maoyecha tea (2014) J Funct Foods, 7, pp. 180-190. , COI: 1:CAS:528:DC%2BC2cXksFWrtb4%3D</t>
  </si>
  <si>
    <t>Springer Science and Business Media Deutschland GmbH</t>
  </si>
  <si>
    <t>15209512</t>
  </si>
  <si>
    <t>SBLRB</t>
  </si>
  <si>
    <t>Sleep Breathing</t>
  </si>
  <si>
    <t>2-s2.0-85088463237</t>
  </si>
  <si>
    <t>Mulvenna M.D., Bond R., Delaney J., Dawoodbhoy F.M., Boger J., Potts C., Turkington R.</t>
  </si>
  <si>
    <t>6507434648;36019802200;57222550390;57222549760;8255950700;57210369797;57205025500;</t>
  </si>
  <si>
    <t>Ethical Issues in Democratizing Digital Phenotypes and Machine Learning in the Next Generation of Digital Health Technologies</t>
  </si>
  <si>
    <t>Philosophy and Technology</t>
  </si>
  <si>
    <t>1945</t>
  </si>
  <si>
    <t>1960</t>
  </si>
  <si>
    <t>10.1007/s13347-021-00445-8</t>
  </si>
  <si>
    <t>https://www.scopus.com/inward/record.uri?eid=2-s2.0-85103176108&amp;doi=10.1007%2fs13347-021-00445-8&amp;partnerID=40&amp;md5=1804621c9acf32165d8e06f7b6bf28cb</t>
  </si>
  <si>
    <t>School of Computing, Ulster University, Shore Road, Newtownabbey, United Kingdom; Imperial College School of Medicine, Imperial College London, South Kensington, London, United Kingdom; Department of Systems Design Engineering, University of Waterloo, University Avenue West, Waterloo, Canada</t>
  </si>
  <si>
    <t>Mulvenna, M.D., School of Computing, Ulster University, Shore Road, Newtownabbey, United Kingdom; Bond, R., School of Computing, Ulster University, Shore Road, Newtownabbey, United Kingdom; Delaney, J., Imperial College School of Medicine, Imperial College London, South Kensington, London, United Kingdom; Dawoodbhoy, F.M., Imperial College School of Medicine, Imperial College London, South Kensington, London, United Kingdom; Boger, J., Department of Systems Design Engineering, University of Waterloo, University Avenue West, Waterloo, Canada; Potts, C., School of Computing, Ulster University, Shore Road, Newtownabbey, United Kingdom; Turkington, R., School of Computing, Ulster University, Shore Road, Newtownabbey, United Kingdom</t>
  </si>
  <si>
    <t>Digital phenotyping is the term given to the capturing and use of user log data from health and wellbeing technologies used in apps and cloud-based services. This paper explores ethical issues in making use of digital phenotype data in the arena of digital health interventions. Products and services based on digital wellbeing technologies typically include mobile device apps as well as browser-based apps to a lesser extent, and can include telephony-based services, text-based chatbots, and voice-activated chatbots. Many of these digital products and services are simultaneously available across many channels in order to maximize availability for users. Digital wellbeing technologies offer useful methods for real-time data capture of the interactions of users with the products and services. It is possible to design what data are recorded, how and where it may be stored, and, crucially, how it can be analyzed to reveal individual or collective usage patterns. The paper also examines digital phenotyping workflows, before enumerating the ethical concerns pertaining to different types of digital phenotype data, highlighting ethical considerations for collection, storage, and use of the data. A case study of a digital health app is used to illustrate the ethical issues. The case study explores the issues from a perspective of data prospecting and subsequent machine learning. The ethical use of machine learning and artificial intelligence on digital phenotype data and the broader issues in democratizing machine learning and artificial intelligence for digital phenotype data are then explored in detail. © 2021, The Author(s).</t>
  </si>
  <si>
    <t>Digital health; Digital phenotyping; Ecological momentary assessment; Ethics; Event log analysis; Experience sampling method; Unsupervised machine learning</t>
  </si>
  <si>
    <t>Apte, A., Ingole, V., Lele, P., Marsh, A., Bhattacharjee, T., Hirve, S., Campbell, H., Juvekar, S., Ethical considerations in the use of GPS-based movement tracking in health research – Lessons from a care-seeking study in rural west India (2019) Journal of Global Health, , https://www.ncbi.nlm.nih.gov/pmc/articles/PMC6596313/, Accessed 25 June 2019; Archbold, P.G., Stewart, B.J., Greenlick, M.R., Harvath, T., Mutuality and preparedness as predictors of caregiver role strain (1990) Research in Nursing &amp; Health, 13, pp. 375-384; Democratization of usable machine learning in computer vision (2019) Workshop on Fairness Accountability Transparency and Ethics in Computer Vision (FATECV-2019) at Conference on Computer Vision and Pattern Recognition (CVPR-2019); Butler, R.N., The life review: An interpretation of reminiscence in the aged (1963) Psychiatry, 26, pp. 65-76; Cannito, L., Di Crosta, A., Palumbo, R., Ceccato, I., Anzani, S., La Malva, P., Palumbo, R., Di Domenico, A., Health anxiety and attentional bias toward virus-related stimuli during the COVID-19 pandemic (2020) Scientific Reports, 10 (1), p. 16476; Dagum, P., Montag, C., (2019) Ethical considerations of digital phenotyping from the perspective of a healthcare practitioner, pp. 13-28. , Studies Neuroscience; Dastin, J., (2018); de Santana, V. F., &amp; Baranauskas, M. C. C. (2010). Summarizing observational client-side data to reveal web usage patterns. In Proceedings of the 2010 ACM Symposium on Applied Computing (SAC ’10) (pp. 1219–1223). ACM; Domingos, P., (2015) The master algorithm: How the quest for the ultimate learning machine will remake our world, , Basic Books; (2016), Fairness, accountability, and transparency in machine learning. http://www.fatml.org. Accessed 28 Feb 2017; Fisher, C.B., Bragard, E., Bloom, R., Ethical considerations in HIV eHealth intervention research: Implications for informational risk in recruitment, data maintenance, and consent procedures (2020) Current HIV/AIDS Reports, 17, pp. 180-189; Fuller, D., Shareck, M., Stanley, K., Ethical implications of location and accelerometer measurement in health research studies with mobile sensing devices (2017) Social Science &amp; Medicine, 191, pp. 84-88; Glavic, B., Big data provenance: Challenges and implications for benchmarking (2014) Specifying Big Data Benchmarks, 8163, pp. 72-80; Haffar, J., (2015) Have You Seen ASUM-DM?, SPSS Predictive Analytics, IBM, , Located at: https://developer.ibm.com/predictiveanalytics/2015/10/16/have-you-seen-asum-dm/. Last accessed 24 Jan 2018; Hajian, S., Bonchi, F., Castillo, C., Algorithmic bias: From discrimination discovery to fairness-aware data minin (2016) Proceedings of the 22Nd ACM SIGKDD International Conference on Knowledge Discovery and Data Mining, pp. 2125-2126; Insel, T.R., (2018); Kaufman, S., Rosset, S., Perlich, C., &amp; Stitelman, O. (2012). Leakage in data mining: Formulation, detection, and avoidance. ACM Transaction on Knowledge Discovery from Data, 6(4), 1–21. https://doi.org/10.1145/2382577.2382579. http://doi.acm.org/10.1145/2382577.2382579; Lewin, K., (1935) A Dynamic Theory of Personality; Mahajan, R., Real world data: Additional source for making clinical decisions (2015) International Journal of Applied &amp; Basic Medical Research, 5 (2), p. 82. , Medknow Publications &amp; Media Pvt Ltd; Maher, N.A., Senders, J.T., Hulsbergen, A.F.C., Lamba, N., Parker, M., Onnela, J.-P., Bredenoord, A.L., Broekman, M.L.D., Passive data collection and use in healthcare: A systematic review of ethical issues (2019) International Journal of Medical Informatics, , https://www.sciencedirect.com/science/article/pii/S1386505619302527, Accessed 22 June 2019; Martinez-Martin, N., Insel, T.R., Dagum, P., Greely, H.T., Cho, M.K., Data mining for health: Staking out the ethical territory of digital phenotyping (2018) Npj Digital Medicine, 1 (1), p. 68; Miller, K., Woollam, P.J., Powell, G., Hitchings, D., Stallard, J., A rehabilitation device data logging system (2007) Disability and Rehabilitation: Assistive Technology, 2 (1), pp. 9-14; Mohr, D.C., Shilton, K., Hotopf, M., Digital phenotyping, behavioral sensing, or personal sensing: Names and transparency in the digital age (2020) npj Digital Medicine, 3. , &amp;, (,).,.,., https://doi.org/10.1038/s41746-020-0251-5; Morrison, C., Doherty, G., Analyzing engagement in a web-based intervention platform through visualizing log-data (2014) Journal of Medical Internet Research, 16 (11); Mulvenna, M., Bond, R., Grigorash, A., O’Neill, S., Ryan, A., (2018) HILDA - a Health Interaction Log Data Analysis Workflow to Aid Understanding of Usage Patterns and Behaviours. Presented At: 2Nd Symposium on Social Interactions in Complex Intelligent Systems (SICIS) at Artificial Intelligence and Simulation of Behaviour Convention; 4–6 April, p. 2018. , https://pure.ulster.ac.uk/ws/portalfiles/portal/11666886/MULVENNA-HILDA-SICIS-20180305.pdf, Liverpool, UK; O’Neill, C., (2016) Weapons of Math Destruction: How Big Data Increases Inequality and Threatens Democracy, , Allen Lane, 272 pages; O’Neill, S., Bond, R.R., Grigorash, A., Ramsey, C., Armour, C., Mulvenna, M.D., Data analytics of call log data to identify caller behaviour patterns from a mental health and well-being helpline (2019) Health Informatics Journal, 25 (4), pp. 1722-1738; Parasuraman, R., Manzey, D.H., Complacency and bias in human use of automation: An attentional integration (2010) Human Factors, 52 (3), pp. 381-410; Senders, J.T., Maher, N., Hulsbergen, A.F.C., Lamba, N., Bredenoord, A.L., Broekman, M.L.D., (2019); Shearer, C., The CRISP-DM model: The new blueprint for data mining (2000) J Data Warehousing, 5, pp. 13-22; Sixsmith, A., Gibson, G., Music and the wellbeing of people with dementia (2007) Ageing and Society, 27, pp. 127-145; Stanghellini, G., Leoni, F., Digital phenotyping: Ethical issues, opportunities, and threats (2020) Frontiers in Psychiatry, 11, p. 473; Torous, J., Staples, P., Barnett, I., Sandoval, L.R., Keshavan, M., Onnela, J.-P., Characterizing the clinical relevance of digital phenotyping data quality with applications to a cohort with schizophrenia (2018) Npj Digital Medicine, 1 (1), p. 15; Wolpert, D.H., Macready, W.G., No free lunch theorems for optimization (1997) IEEE Transactions on Evolutionary Computation, 1 (1), pp. 67-82; Woo, D., Mori, J., Accessibility: A tool for usability evaluation (2004) Computer Human Interaction: 6th Asia Pacific Conference, APCHI 2004, Rotorua, New Zealand, June 29-July 2, 2004. Proceedings, pp. 531-539. , Masoodian M, Jones S, Rogers B, (eds), Springer Berlin Heidelberg; (2020) Ethical Considerations to Guide the Use of Digital Proximity Tracking Technologies for COVID-19 Contact Tracing, , [online] www.who.int. Available at: https://www.who.int/publications/i/item/WHO-2019-nCoV-Ethics_Contact_tracing_apps-2020.1. Accessed 28 May 2020; Wright, T., Drawn from memory: Reminiscing, narrative and the visual image (2009) Proceedings of the First International Workshop on Reminiscence Systems (RSW-2009), Cambridge, UK, 5 September, 2009, pp. 37-42</t>
  </si>
  <si>
    <t>Springer Science and Business Media B.V.</t>
  </si>
  <si>
    <t>22105433</t>
  </si>
  <si>
    <t>Philos. Technol.</t>
  </si>
  <si>
    <t>2-s2.0-85103176108</t>
  </si>
  <si>
    <t>Ethical issues in democratizing digital phenotypes and machine learning in the next generation of digital health technologies</t>
  </si>
  <si>
    <t>Das D.</t>
  </si>
  <si>
    <t>57210985387;</t>
  </si>
  <si>
    <t>Positive and Negative Link Prediction Algorithm Based on Sentiment Analysis in Large Social Networks</t>
  </si>
  <si>
    <t>Wireless Personal Communications</t>
  </si>
  <si>
    <t>2183</t>
  </si>
  <si>
    <t>2198</t>
  </si>
  <si>
    <t>10.1007/s11277-018-5499-6</t>
  </si>
  <si>
    <t>https://www.scopus.com/inward/record.uri?eid=2-s2.0-85041913188&amp;doi=10.1007%2fs11277-018-5499-6&amp;partnerID=40&amp;md5=dddff9bc8a80a8e8c1619b0d80a85276</t>
  </si>
  <si>
    <t>Department of Computer Science and Information Science, Bits Pilani, K. K. Birla Goa Campus, Zuarinagar, Goa  403726, India</t>
  </si>
  <si>
    <t>Das, D., Department of Computer Science and Information Science, Bits Pilani, K. K. Birla Goa Campus, Zuarinagar, Goa  403726, India</t>
  </si>
  <si>
    <t>Signed network analysis being one of the greatest disruptive innovations within the last decade has assembled a vast amount of attention of the citizenry. The positions of the users of the signed networks are used by several societies in the world to see the mentality of the users, the current movement of the grocery store and many more things. But even so, in that location is a latent potential of social nets. Ace of the facial expressions that, we were able to determine was about seeing the relationship between the users (i.e., especially, the negative (i.e., −Ve) link in social networks) on the signed network using the stakes that the users work and the reaction of the other users towards it. The anticipation of a negative link (i.e., −Ve) can be applied in the information security field, to observe the aberrations in the largest social networks and further discover the malicious nodes in the larger social network; say, if two nodes are doing things together even though in that respect is no intercourse between them. It can likewise be utilized in improving the recommendation system in social networks as if there is some probability between the two the nodes of being an enemy or disliking each other then we can slay them from each other’s recommendation list or could assign a lesser weight to them in a recommended technique. To accomplish all this relationship between the nodes we first need to determine whether the user is posting posts with positive emotion (like happy, excited, etc.) or negative emotion (like angry, sad, and so on), and then that we can further examine the learning ability of the user and utilize it to recommend the people who we have previously separated with the similar personality. For that we have applied the sentiment analysis in social networks, which splits up the users into five simple categories: Highly Positive (i.e., Highly +Ve), Positive (i.e., +Ve), Neutral, Negative (i.e., −Ve) and Highly Negative (i.e., Highly −Ve). © 2018, Springer Science+Business Media, LLC, part of Springer Nature.</t>
  </si>
  <si>
    <t>Large social networks; Negative link prediction algorithm; Recommendation system; Sentiment analysis; Signed networks</t>
  </si>
  <si>
    <t>Behavioral research; Data mining; Security of data; Sentiment analysis; Disruptive innovations; Facial Expressions; Learning abilities; Link prediction; Malicious nodes; Negative emotions; Positive emotions; Signed networks; Recommender systems</t>
  </si>
  <si>
    <t>Tang, J., Chang, S., Aggarwal, C., Liu, H., Negative link prediction in social media (2015) Proceedings of the 8Th ACM International Conference on Web Search and Data Mining, pp. 87-96; Tang, J., Chang, Y., Liu, H., Mining social media with social theories: A survey (2014) ACM SIGKDD Explorations Newsletter, 15 (2), pp. 20-29; Tang, J., Chang, Y., Aggarwal, C., Liu, H., A survey of signed network mining in social media (2016) ACM Computing Surveys (CSUR), 49 (3), pp. 1-42; Wen, S., Haghighi, M.S., Chen, C., Xiang, Y., Zhou, W., Jia, W., A sword with two edges: Propagation studies on both positive and negative information in online social networks (2015) IEEE Transactions on Computers, 64 (3), pp. 640-653; Song, D., Meyer, D.A., Tao, D., Efficient latent link recommendation in signed networks (2015) Proceedings of the 21Th ACM SIGKDD International Conference on Knowledge Discovery and Data Mining, pp. 1105-1114; Beigi, G., Tang, J., Wang, S., Liu, H., Exploiting emotional information for trust/distrust prediction (2016) Proceedings of the 2016 SIAM International Conference on Data Mining, pp. 81-89; Liu, X., Lin, H., Yang, Z., (2015) Predicting User Relationship from Scratch. Chinese National Conference on Social Media Processing, pp. 176-183. , Singapore, Springer; Beigi, G., Hu, X., Maciejewski, R., Liu, H., An overview of sentiment analysis in social media and its applications in disaster relief (2016) Sentiment Analysis and Ontology Engineering, pp. 313-340. , Springer; Duan, L., Aggarwal, C., Ma, S., Hu, R., Huai, J., Scaling up link prediction with ensembles (2016) Proceedings of the 9Th ACM International Conference on Web Search and Data Mining, pp. 367-376; Beigi, G., Tang, J., Liu, H., Signed Link Analysis in Social Media Networks (2016) ICWSM, pp. 539-542; Wang, G.N., Gao, H., Chen, L., Mensah, D.N., Fu, Y., Predicting positive and negative relationships in large social networks (2015) PloS One, 10 (6); Chiang, K.Y., Hsieh, C.J., Natarajan, N., Dhillon, I.S., Tewari, A., Prediction and clustering in signed networks: A local to global perspective (2014) The Journal of Machine Learning Research, 15 (1), pp. 1177-1213; Symeonidis, P., Tiakas, E., Manolopoulos, Y., Transitive node similarity for link prediction in social networks with positive and negative links (2010) Proceedings of the Fourth ACM Conference on Recommender Systems, pp. 183-190. , ACM; Ye, J., Cheng, H., Zhu, Z., Chen, M., Predicting positive and negative links in signed social networks by transfer learning (2013) Proceedings of the 22Nd International Conference on World Wide Web, pp. 1477-1488; Leskovec, J., Huttenlocher, D., Kleinberg, J., Predicting positive and negative links in online social networks (2010) Proceedings of the 19Th International Conference on World Wide Web, pp. 641-650; Liben-Nowell, D., Kleinberg, J., The link prediction problem for social networks (2007) Journal of the Association for Information Science and Technology, 58 (7), pp. 1019-1031; Al Hasan, M., Zaki, M.J., A survey of link prediction in social networks (2011) Social Network Data Analytics, pp. 243-275. , Boston, MA: Springer; Modha, J.S., Pandi, G.S., Modha, S.J., Automatic sentiment analysis for unstructured data (2013) International Journal of Advanced Research in Computer Science and Software Engineering, 3 (12), pp. 91-97; Poongodi, S., Radha, N., Classification of user Opinions from tweets using Machine Learning Techniques (2013) International Journal of Advanced Research in Computer Science and Software Engineering, 3 (9); Yuan, G., Murukannaiah, P.K., Zhang, Z., Singh, M.P., Exploiting sentiment homophily for link prediction (2014) Proceedings of the 8Th ACM Conference on Recommender Systems, pp. 17-24; Liu, F., Liu, B., Sun, C., Liu, M., Wang, X., Improving link prediction in social networks by user comments and sentiment lexicon (2015) Chinese Computational Linguistics and Natural Language Processing Based on Naturally Annotated Big Data, pp. 356-365. , Springer; Cheng, K., Li, J., Tang, J., Liu, H., Unsupervised sentiment analysis with signed social networks (2017) AAAI, pp. 3429-3435; Wang, S., Tang, J., Aggarwal, C., Liu, H., Linked document embedding for classification (2016) Proceedings of the 25Th ACM International on Conference on Information and Knowledge Management, pp. 115-124; Wang, S., Tang, J., Aggarwal, C., Chang, Y., Liu, H., Signed network embedding in social media (2017) Proceedings of the 2017 SIAM international conference on data mining, pp. 327-335. , &amp;; Leskovec, J., Huttenlocher, D., Kleinberg, J., Signed networks in social media (2010) Proceedings of the SIGCHI Conference on Human Factors in Computing Systems, pp. 1361-1370; Tang, J., Qu, M., Wang, M., Zhang, M., Yan, J., Mei, Q., Line: Large-scale information network embedding (2015) Proceedings of the 24Th International Conference on World Wide Web, pp. 1067-1077. , May; Sharma, P., Singh, U.K., Sharma, T.V., Das, D., Algorithm for prediction of links using sentiment analysis in social networks (2016) Proceedings of the 7Th International Conference on Computing Communication and Networking Technologies, p. 29; Yuksel, M., Gen, Y., Adaptive modulation for completion time minimization in wireless broadcast networks (2017) AEU-International Journal of Electronics and Communications, 72, pp. 72-78; de Abreu, C.C.E., Duarte, M.A.Q., Villarreal, F., An immunological approach based on the negative selection algorithm for real noise classification in speech signals (2017) AEU-International Journal of Electronics and Communications, 72, pp. 125-133; Zhang, C., Xu, W., Ma, Z., Gao, S., Li, Q., Guo, J., Construction of semantic bootstrapping models for relation extraction (2015) Knowledge-Based Systems, 83, pp. 128-137; Gao, S., Luo, H., Chen, D., Li, S., Gallinari, P., Ma, Z., Guo, J., A cross-domain recommendation model for cyber-physical systems (2013) IEEE Transactions on Emerging Topics in Computing, 1 (2), pp. 384-393; Ma, Z., Xie, J., Li, H., Sun, Q., Si, Z., Zhang, J., Guo, J., The role of data analysis in the development of intelligent energy networks (2017) IEEE Network, 31 (5), pp. 88-95; Zhang, C., Si, Z., Ma, Z., Xi, X., Yin, Y., Mining sequential update summarization with hierarchical text analysis (2016) Mobile Information Systems, pp. 1-10; Shelke, N., Deshpande, S., Thakare, V., Domain independent approach for aspect oriented sentiment analysis for product reviews (2017) Proceedings of the 5Th International Conference on Frontiers in Intelligent Computing: Theory and Applications, pp. 651-659. , Singapore, Springer; Ma, Z., Xue, J.H., Leijon, A., Tan, Z.H., Yang, Z., Guo, J., Decorrelation of neutral vector variables: Theory and applications (2016) IEEE Transactions on Neural Networks and Learning Systems, 29 (1), pp. 129-143; Martnez, V., Berzal, F., Cubero, J.C., A survey of link prediction in complex networks (2017) ACM Computing Surveys (CSUR), 49 (4), p. 69; Das, D., Sharma, P., Algorithm for prediction of negative links using sentiment analysis in social networks (2017) 13Th International Wireless Communications and Mobile Computing Conference (IWCMC), pp. 1570-1575</t>
  </si>
  <si>
    <t>09296212</t>
  </si>
  <si>
    <t>WPCOF</t>
  </si>
  <si>
    <t>Wireless Pers Commun</t>
  </si>
  <si>
    <t>2-s2.0-85041913188</t>
  </si>
  <si>
    <t>Positive and negative link prediction algorithm based on sentiment analysis in large social networks</t>
  </si>
  <si>
    <t>Wang H.-Y., Chen S.-M.</t>
  </si>
  <si>
    <t>54583051700;56159136500;</t>
  </si>
  <si>
    <t>Artificial intelligence approach to evaluate students' answerscripts based on the similarity measure between vague sets</t>
  </si>
  <si>
    <t>Educational Technology and Society</t>
  </si>
  <si>
    <t>224</t>
  </si>
  <si>
    <t>241</t>
  </si>
  <si>
    <t>https://www.scopus.com/inward/record.uri?eid=2-s2.0-44949221579&amp;partnerID=40&amp;md5=c8000b098e46f3c65c87fd29f0ff0160</t>
  </si>
  <si>
    <t>Department of Education, National Chengchi University, Taiwan; Department of Computer Science and Information Engineering, National Taiwan University of Science and Technology, Taiwan</t>
  </si>
  <si>
    <t>Wang, H.-Y., Department of Education, National Chengchi University, Taiwan; Chen, S.-M., Department of Computer Science and Information Engineering, National Taiwan University of Science and Technology, Taiwan</t>
  </si>
  <si>
    <t>In this paper, we present two new methods for evaluating students' answerscripts based on the similarity measure between vague sets. The vague marks awarded to the answers in the students' answerscripts are represented by vague sets, where each element ui in the universe of discourse U belonging to a vague set is represented by a vague value. The grade of membership of ui in the vague set Ã is bounded by a subinterval [tÃ(ui), 1 - fÃ (ui)] of [0, 1]. It indicates that the exact grade of membership μ Ã(ui) of ui belonging the vague set Ã is bounded by tÃ(ui) ≤ μ Ã(ui) ≤ 1 - fÃ(ui), where tÃ(ui) is a lower bound of the grade of membership of ui derived from the evidence for ui, f Ã(ui) is a lower bound of the negation of u i derived from the evidence against ui, t Ã(ui) + fÃ(ui) ≤ 1, and ui∈ U. An index of optimism λ determined by the evaluator is used to indicate the degree of optimism of the evaluator, where λ ∈ [0, 1]. Because the proposed methods use vague sets to evaluate students' answerscripts rather than fuzzy sets, they can evaluate students' answerscripts in a more flexible and more intelligent manner. Especially, they are particularly useful when the assessment involves subjective evaluation. The proposed methods can evaluate students' answerscripts more stable than Biswas's methods (1995). © International Forum of Educational Technology &amp;amp; Society (IFETS).</t>
  </si>
  <si>
    <t>Index of optimism; Similarity functions; Students' answerscripts; Vague grade sheets; Vague membership values; Vague sets</t>
  </si>
  <si>
    <t>Biswas, R., An application of fuzzy sets in students' evaluation (1995) Fuzzy Sets and Systems, 74 (2), pp. 187-194; Chang, D.F., Sun, C.M., Fuzzy assessment of learning performance of junior high school students (1993) Paper presented at the First National Symposium on Fuzzy Theory and Applications, , June 25-26, Hsinchu, Taiwan; Chen, S.M., A new approach to handling fuzzy decision-making problems (1988) IEEE Transactions on Systems, Man, and Cybernetics, 18 (6), pp. 1012-1016; Chen, S.M., Arithmetic operations between vague sets (1995) Paper presented at the International Joint Conference of CFSA/IFIS/SOFT'95 on Fuzzy Theory and Applications, , December 7-9, Taipei, Taiwan; Chen, S.M., Measures of similarity between vague sets (1995) Fuzzy Sets and Systems, 74 (2), pp. 217-223; Chen, S.M., Similarity measures between vague sets and between elements (1997) IEEE Transactions on Systems, Man, and Cybernetics-Part B: Cybernetics, 27 (1), pp. 153-158; Chen, S.M., Evaluating the rate of aggregative risk in software development using fuzzy set theory (1999) Cybernetics and Systems, 30 (1), pp. 57-75; Chen, S.M., Lee, C.H., New methods for students' evaluating using fuzzy sets (1999) Fuzzy Sets and Systems, 104 (2), pp. 209-218; Chen, S.M., Wang, J.Y., Document retrieval using knowledge-based fuzzy information retrieval techniques (1995) IEEE Transactions on Systems, Man, and Cybernetics, 25 (5), pp. 793-803; Cheng, C.H., Yang, K.L., Using fuzzy sets in education grading system (1998) Journal of Chinese Fuzzy Systems Association, 4 (2), pp. 81-89; Chiang, T.T., Lin, C.M., Application of fuzzy theory to teaching assessment (1994) Paper presented at the 1994 Second National Conference on Fuzzy Theory and Applications, , September 15-17, Taipei, Taiwan; Frair, L., Student peer evaluations using the analytic hierarchy process method (1995) Paper presented at the Frontiers in Education Conference, , November 1-4, Atlanta, GA, USA; Gau, W.L., Buehrer, D.J., Vague sets (1993) IEEE Transactions on Systems, Man, and Cybernetics, 23 (2), pp. 610-614; Echauz, J.R., Vachtsevanos, G.J., Fuzzy grading system (1995) IEEE Transactions on Education, 38 (2), pp. 158-165; Hwang, G.J., Lin, B.M.T., Lin, T.L., An effective approach for test-sheet composition with large-scale item banks (2006) Computers &amp; Education, 46 (2), pp. 122-139; Kaburlasos, V.G., Marinagi, C.C., Tsoukalas, V.T., PARES: A software tool for computer-based testing and evaluation used in the Greek higher education system (2004) Paper presented at the 2004 IEEE International Conference on Advanced Learning Technologies, , August 30, September 1, Joensuu, Finland; Law, C.K., Using fuzzy numbers in education grading system (1996) Fuzzy Sets and Systems, 83 (3), pp. 311-323; Liu, C.L., Using mutual information for adaptive item comparison and student assessment (2005) Educational Technology &amp; Society, 8 (4), pp. 100-119; Ma, J., Zhou, D., Fuzzy set approach to the assessment of student-centered learning (2000) IEEE Transactions on Education, 43 (2), pp. 237-241; McMartin, F., Mckenna, A., Youssefi, K., Scenario assignments as assessment tools for undergraduate engineering education (2000) IEEE Transactions on Education, 43 (2), pp. 111-119; Nykanen, O., Inducing fuzzy models for student classification (2006) Educational Technology &amp; Society, 9 (2), pp. 223-234; Pears, A., Daniels, M., Berglund, A., Erickson, C., Student evaluation in an international collaborative project course (2001) First International Workshop on Internet-Supported Education, January 08, 12. , Paper presented at the, San Diego, CA, USA; Wang, H.Y., Chen, S.M., New methods for evaluating the answerscripts of students using fuzzy sets (2006) Paper presented at the 19 th International Conference on Industrial, Engineering &amp;amp; Other Applications of Applied Intelligent Systems, , June 27-30, Annecy, France; Wang, H.Y., Chen, S.M., New methods for evaluating students' answerscripts using fuzzy numbers associated with degrees of confidence (2006) Paper presented at the 2006 IEEE International Conference on Fuzzy Systems, , July 16-21, Vancouver, BC, Canada; Wang, H.Y., Chen, S.M., New methods for evaluating students' answerscripts using vague values (2006) Paper presented at the 9 th Joint Conference on Information Sciences, , October 8-11, Kaohsiung, Taiwan; Wang, H.Y., Chen, S.M., Evaluating students' answerscripts based on the similarity measure between vague sets (2006) Paper presented at the 11th Conference on Artificial Intelligence and Applications, , December 15-16, Kaohsiung, Taiwan; Weon, S., Kim, J., Learning achievement evaluation strategy using fuzzy membership function (2001) Paper presented at the 31st ASEE/IEEE Frontier in Education Conference, , October 10-13, Reno, NV, USA; Wu, M.H., (2003) A research on applying fuzzy set theory and item response theory to evaluate learning performance, , Master Thesis, Department of Information Management, Chaoyang University of Technology, Taiwan; Zadeh, L.A., (1965) Fuzzy sets. Information and Control, 8, pp. 338-353</t>
  </si>
  <si>
    <t>International Forum of Educational Technology and Society,National Taiwan Normal University</t>
  </si>
  <si>
    <t>11763647</t>
  </si>
  <si>
    <t>2-s2.0-44949221579</t>
  </si>
  <si>
    <t>Jangir M.K., Singh K.</t>
  </si>
  <si>
    <t>57195467641;55450561600;</t>
  </si>
  <si>
    <t>HARGRURNN: Human activity recognition using inertial body sensor gated recurrent units recurrent neural network</t>
  </si>
  <si>
    <t>Journal of Discrete Mathematical Sciences and Cryptography</t>
  </si>
  <si>
    <t>1577</t>
  </si>
  <si>
    <t>1587</t>
  </si>
  <si>
    <t>10.1080/09720529.2019.1696552</t>
  </si>
  <si>
    <t>https://www.scopus.com/inward/record.uri?eid=2-s2.0-85077851657&amp;doi=10.1080%2f09720529.2019.1696552&amp;partnerID=40&amp;md5=eafcdb02e1ad3a100933ddf7cd5130b0</t>
  </si>
  <si>
    <t>School of Computer and Systems Sciences, Jawaharlal Nehru University, New Delhi, 110067, India; School of Computer and Systems Sciences, Jawaharlal Nehru University, New Delhi, 110067, India</t>
  </si>
  <si>
    <t>Jangir, M.K., School of Computer and Systems Sciences, Jawaharlal Nehru University, New Delhi, 110067, India; Singh, K., School of Computer and Systems Sciences, Jawaharlal Nehru University, New Delhi, 110067, India</t>
  </si>
  <si>
    <t>Internet of Things (IoT), wearable devices, and smartphones are more ubiquitous and available at a reasonable cost. Fitbit, Microsoft Band, Apple Watch, MI band, and Smartphone apps namely Strava and Runkeeper are some of the commercial products which are already available in the market. These products are embedded with the sensors that facilitate them to regularly sense and capture the environmental, physiological, functional data for applications in healthcare, wellbeing, and sports. These sensing devices have mediocre computing capabilities for data processing and transfer. The size of devices is so compact that can be worn on the body put in the pocket or locate in the house. This large scale recorded a wealth of physiological data require an efficient and meaningful interpretation as well as the proper and proficient method of analysis and the classification of data. Human Activity Recognition is classified into two features say Shallow and Deep features. Shallow features are extracted conventionally with the help of a simple machine learning approach. The large-scale time series situ data which require high computation power, processing capabilities, activities, and real-time classification, Deep Learning (DL) is the promising technique to deal with these activities. Weexercise the triaxial Accelerometers and triaxial Gyroscope to capture the data for HAR. The data set measured by the inertial sensor is then divided into the segments of 4 to 10s. The performance will be shown on the parameters of precision (%), Recall (%) and Accuracy (%).Parameter optimization and extraction of the segments are the two areas where we can carry forward our research. © 2019, © 2019 Taru Publications.</t>
  </si>
  <si>
    <t>Feature extraction; HAR; Neural Network; Primary 93A30; Secondary 49K15; Shallow and deep features; Smartphone</t>
  </si>
  <si>
    <t>Pantelopoulos, A., Bourbakis, N.G., “A survey on wearable sensorbased systems for health monitoring and prognosis,” IEEE Trans. Syst., Man, Cybern. C (2010) Appl. Rev, 40 (1), pp. 1-12. , Jan., and; Ding, D., Cooper, R.A., Pasquina, P.F., Fici-Pasquina, L., Sensor technology for smart homes (2011) Maturitas, 69 (2), pp. 131-136; Shoaib, M., Bosch, S., Incel, O.D., Scholten, H., Havinga, P.J., A survey of online activity recognition using mobile phones (2015) Sensors, 15 (1), pp. 2059-2085; Clark, C.C.T., Barnes, C.M., Stratton, G., McNarry, M.A., Mackintosh, K.A., Summers, H.D., A review of emerging analytical techniques for objective physical activity measurement in humans (2016) Sports Med, pp. 1-9; Bächlin, M., Wearable assistant for Parkinson’s disease patients with the freezing of gait symptom (2010) IEEE Trans. Inf. Technol. Biomed, 14 (2), pp. 436-446. , Mar; Bulling, A., Blanke, U., Schiele, B., A tutorial on human activity recognition using body-worn inertial sensors ACM Comput. Survey, 46 (3). , Jan. 2014, Art. 33; Huynh, T., Schiele, B., Analyzing features for activity recognition, pp. 159-163. , in Proc. 2005 Joint Conf. Smart Objects Ambient Intell.: Innovative Context-Aware Services: Usages Technol., 2005, and; Lin, J., Keogh, E., Lonardi, S., Chiu, B., A symbolic representation of time series, with implications for streaming algorithms, pp. 2-11. , in Proc. 8th ACM SIGMOD Workshop Res. Issues Data Mining Knowl. Discovery, 2003, and; Lu, Y., Wei, Y., Liu, L., Zhong, J., Sun, L., Liu, Y., Towards unsupervised physical activity recognition using smartphone accelerometers (2016) Multimedia Tools and Appl, pp. 1-19; Walse, K.H., Dharaskar, R.V., Thakare, V.M., A study of human activity recognition using AdaBoost classifiers on WISDM dataset Inst. Integrative Omics Appl. Biotechnol. J, 7 (2), pp. 68-76. , Jan. 2016, and; Catal, C., Tufekci, S., Pirmit, E., Kocabag, G., On the use of ensemble of classifiers for accelerometer-based activity recognition (2015) Appl. Soft Comput, 37, pp. 1018-1022. , Dec., and; Zeng, M., Convolutional neural networks for human activity recognition using mobile sensors, pp. 197-205. , in Proc. 2014 6th Int. Conf. Mobile Comput., Appl. Services, Nov. 2014; Chen, Y., Xue, Y., A deep learning approach to human activity recognition based on single accelerometer, pp. 1488-1492. , in Proc. 2015 IEEE Int. Conf. Syst., Man, Cybern., Oct. 2015, and; Alsheikh, M.A., Selim, A., Niyato, D., Doyle, L., Lin, S., Tan, H.-P., (2015) Deep activity recognition models with triaxial accelerometers, , Nov; Leonhardt, U., Magee, J., Multi-sensor location tracking, pp. 203-214. , in Proc. 4th ACM/IEEE Int. Conf. Mobile Comput. Netw., 1998, and; Khan, T., Singh, K., Abdel-Basset, M., Long, H.V., Singh, S.P., Manjul, M., A Novel and Comprehensive Trust Estimation Clustering-Based Approach for Large Scale Wireless Sensor Networks (2019) IEEE Access, 7, pp. 58221-58240; Ravi, D., Wong, C., Lo, B., Yang, G.-Z., Deep learning for human activity recognition: A resource efficient implementation on low- power devices, pp. 71-76. , in Proc. 2016 IEEE 13th Int. Conf. Wearable Implantable Body Sensor Netw., Jun. 2016, and; Ravi, D., Wong, C., Lo, B., Yang, G.-Z., A deep learning approach to on-node sensor data analytics for mobile or wearable devices (2016) IEEE journal of biomedical and health informatics, 21 (1), pp. 56-64; Bächlin, M., Wearable assistant for Parkinson’s disease patients with the freezing of gait symptom IEEE Trans. Inf. Technol. Biomed, 14 (2), pp. 436-446. , Mar. 2010; Zappi, P., “Activity recognition from on-body sensors: Accuracypower trade-off by dynamic sensor selection,” in Wireless Sensor Networks. Berlin (2008) Germany: Springer, 4913 (2), pp. 17-33. , ch; Kwapisz, J.R., Weiss, G.M., Moore, S.A., Activity recognition using cell phone accelerometers SIGKDD Explor. Newslett, 12 (2), pp. 74-82. , Mar. 2011, and; Weiss, G.M., Lockhart, J.W., The impact of personalization on smartphone-based activity recognition (2012) in Proc. AAAI Workshop Activity Context Representation: Techn. Lang, pp. 98-104; Sokolova, M., Lapalme, G., A systematic analysis of performance measures for classification tasks (2009) Inf. Process. Manag, 45, pp. 427-437; Zhang, Q., Liu, S., Urban traffic flow prediction model based on BP artificial neural network in Beijing area (2018) Journal of Discrete Mathematical Sciences and Cryptography, 21 (4), pp. 849-858; Applying the Artificial Neural Networks to the Renewal Function Estimation Procedure for Equipment Replacements in Preventive Maintenance Planning and Management; Lv, L., An improved neural network algorithm for acceleration sensor to recognize human posture (2018) Journal of Discrete Mathematical Sciences and Cryptography, 21 (3), pp. 789-795</t>
  </si>
  <si>
    <t>09720529</t>
  </si>
  <si>
    <t>J. Discrete Math. Sci. Cryptography</t>
  </si>
  <si>
    <t>2-s2.0-85077851657</t>
  </si>
  <si>
    <t>Hargrurnn: human activity recognition using inertial body sensor gated recurrent units recurrent neural network</t>
  </si>
  <si>
    <t>Buda T.S., Khwaja M., Matic A.</t>
  </si>
  <si>
    <t>55641193100;57188859443;57194066077;</t>
  </si>
  <si>
    <t>Outliers in Smartphone Sensor Data Reveal Outliers in Daily Happiness</t>
  </si>
  <si>
    <t>3448095</t>
  </si>
  <si>
    <t>10.1145/3448095</t>
  </si>
  <si>
    <t>https://www.scopus.com/inward/record.uri?eid=2-s2.0-85103623399&amp;doi=10.1145%2f3448095&amp;partnerID=40&amp;md5=8ae3e06ecab6e753d921bd23deee3940</t>
  </si>
  <si>
    <t>Koa Health, Spain; Imperial College London, United Kingdom</t>
  </si>
  <si>
    <t>Buda, T.S., Koa Health, Spain; Khwaja, M., Koa Health, Spain, Imperial College London, United Kingdom; Matic, A., Koa Health, Spain</t>
  </si>
  <si>
    <t>Enabling smartphones to understand our emotional well-being provides the potential to create personalised applications and highly responsive interfaces. However, this is by no means a trivial task-subjectivity in reporting emotions impacts the reliability of ground-truth information whereas smartphones, unlike specialised wearables, have limited sensing capabilities. In this paper, we propose a new approach that advances emotional state prediction by extracting outlier-based features and by mitigating the subjectivity in capturing ground-truth information. We utilised this approach in a distinctive and challenging use case-happiness detection-and we demonstrated prediction performance improvements of up to 13% in AUC and 27% in F-score compared to the traditional modelling approaches. The results indicate that extreme values (i.e. outliers) of sensor readings mirror extreme values in the reported happiness levels. Furthermore, we showed that this approach is more robust in replicating the prediction model in completely new experimental settings. © 2021 Owner/Author.</t>
  </si>
  <si>
    <t>Machine Learning; Mental Health; Mobile Health; Smartphone Sensing</t>
  </si>
  <si>
    <t>Forecasting; Predictive analytics; Smartphones; Emotional state; Extreme value; Ground truth; Limited sensing capabilities; New approaches; Prediction model; Prediction performance; Sensor readings; Statistics</t>
  </si>
  <si>
    <t>Abdel-Khalek, A.M., Measuring happiness with a single-item scale (2006) Social Behavior and Personality: An International Journal, 34 (2), pp. 139-150. , 2006; Aggarwal, C.C., Outlier analysis (2015) Data Mining, pp. 237-263. , Springer; Allin, P., Measuring societal wellbeing' (2007) Economic &amp; Labour Market Review, 1 (10); Asselbergs, J., Ruwaard, J., Ejdys, M., Schrader, N., Sijbrandij, M., Riper, H., Mobile phone-based unobtrusive ecological momentary assessment of day-to-day mood: An explorative study (2016) Journal of Medical Internet Research, 18 (3), p. e72. , 2016; Beam, A.L., Manrai, A.K., Ghassemi, M., Challenges to the reproducibility of machine learning models in health care (2020) Jama, , 2020; Bogomolov, A., Lepri, B., Ferron, M., Pianesi, F., Pentland, A., Daily stress recognition from mobile phone data, weather conditions and individual traits (2014) Proceedings of the 22nd Acm International Conference on Multimedia., pp. 477-486; Bogomolov, A., Lepri, B., Pianesi, F., Happiness recognition from mobile phone data (2013) 2013 International Conference on Social Computing, pp. 790-795; Buda, T.S., Caglayan, B., Assem, H., Deepad: A generic framework based on deep learning for time series anomaly detection (2018) Pacifc-Asia Conference on Knowledge Discovery and Data Mining, pp. 577-588. , Springer; Chandala, V., Banerjee, A., Kumar, V., Anomaly detection: A survey (2009) Acm Computing Surveys, , University of Minnesota (2009); Chittaranjan, G., Blom, J., Gatica-Perez, D., Who's who with big-fve: Analyzing and classifying personality traits with smartphones (2011) Wearable Computers (ISWC), 2011 15th Annual International Symposium on, pp. 29-36; Constantinides, M., Busk, J., Matic, A., Faurholt-Jepsen, M., Vedel Kessing, L., Bardram, J.E., Personalized versus generic mood prediction models in bipolar disorder (2018) Proceedings of the 2018 Acm International Joint Conference and 2018 International Symposium on Pervasive and Ubiquitous Computing and Wearable Computers., pp. 1700-1707; Cornet, V.P., Holden, R.J., Systematic review of smartphone-based passive sensing for health and wellbeing (2018) Journal of Biomedical Informatics, 77, pp. 120-132. , 2018; De Montjoye, Y.-A., Quoidbach, J., Robic, F., Sandy Pentland, A., Predicting personality using novel mobile phone-based metrics (2013) International Conference on Social Computing, Behavioral-cultural Modeling, and Prediction, pp. 48-55. , Springer; Diener, E., Subjective well-being (1984) Psychological Bulletin, 95 (3), pp. 542-575. , 1984; Diener, E., Kesebir, P., Tov, W., (2009) Happiness, , 2009); Diener, E., Lucas, R.E., Oishi, S., Subjective well-being: The science of happiness and life satisfaction (2002) Handbook of Positive Psychology, 2, pp. 63-73. , 2002; Dolan, P., (2014) Happiness by Design: Finding Pleasure and Purpose in Everyday Life, , Penguin UK; Dolan, P., Layard, R., Metcalfe, R., (2011) Measuring Subjective Well-Being for Public Policy, , 2011); Doryab, A., Chikarsel, P., Liu, X., Dey, A.K., (2018) Extraction of Behavioral Features from Smartphone and Wearable Data, , arXiv preprint, (2018); Fleeson, W., Toward a structure-And process-integrated view of personality: Traits as density distributions of states (2001) Journal of Personality and Social Psychology, 80 (6), p. 1011. , 2001; Hawkins, D.M., (1980) Identifcation of Outliers., 11. , Springer; Hung, G.C.-L., Yang, P.-C., Chang, C.-C., Chiang, J.-H., Chen, Y.-Y., Predicting negative emotions based on mobile phone usage patterns: An exploratory study (2016) Jmir Research Protocols, 5 (3), p. e160. , 2016; Jaques, N., Taylor, S., Azaria, A., Ghandeharioun, A., Sano, A., Picard, R., Predicting students' happiness from physiology, phone, mobility, and behavioral data (2015) 2015 International Conference on Afective Computing and Intelligent Interaction (ACII), pp. 222-228; Jaques, N., Taylor, S., Nosakhare, E., Sano, A., Picard, R., Multi-task learning for predicting health, stress, and happiness (2016) Nips Workshop on Machine Learning for Healthcare; Jaques, N., Taylor, S., Sano, A., Picard, R., Multi-task, multi-kernel learning for estimating individual wellbeing (2015) Proc. Nips Workshop on Multimodal Machine Learning, Montreal, Quebec, 898; Kahneman, D., Krueger, A.B., Developments in the measurement of subjective well-being (2006) Journal of Economic Perspectives, 20 (1), pp. 3-24. , 2006; Kesebir, P., Diener, E., In pursuit of happiness: Empirical answers to philosophical questions (2009) The Science of Well-Being, pp. 59-74. , Springer; Khwaja, M., Vaid, S.S., Zannone, S., Harari, G.M., Aldo Faisal, A., Matic, A., Modeling personality vs. Modeling personalidad: In-the-wild mobile data analysis in five countries suggests cultural impact on personality models. Proceedings of the acm on interactive (2019) Mobile, Wearable and Ubiquitous Technologies, 3 (3), p. 88. , 2019; Löwe, B., Kroenke, K., Gräfe, K., Detecting and monitoring depression with a two-item questionnaire (phq-2) (2005) Journal of Psychosomatic Research, 58 (2), pp. 163-171. , 2005; Ma, Y., Xu, B., Bai, Y., Sun, G., Zhu, R., Daily mood assessment based on mobile phone sensing (2012) 2012 Ninth International Conference on Wearable and Implantable Body Sensor Networks, pp. 142-147; Park, S., Matic, A., Garg, K., Oliver, N., When simpler data does not imply less information: A study of user profling scenarios with constrained view of mobile http (s) trafc (2018) Acm Transactions on the Web (TWEB), 12 (2), p. 9. , 2018; Politou, E., Alepis, E., Patsakis, C., A survey on mobile afective computing (2017) Computer Science Review, 25, pp. 79-100. , 2017; Pratap, A., Atkins, D.C., Renn, B.N., Tanana, M.J., Mooney, S.D., Anguera, J.A., Areán, P.A., The accuracy of passive phone sensors in predicting daily mood (2019) Depression and Anxiety, 36 (1), pp. 72-81. , 2019; Sano, A., Picard, R.W., Stress recognition using wearable sensors and mobile phones (2013) 2013 Humaine Association Conference on Afective Computing and Intelligent Interaction, pp. 671-676; Teasdale, J.D., Negative thinking in depression: Cause efect or reciprocal relationship? (1983) Advances in Behaviour Research and Therapy, 5 (1), pp. 3-25. , 1983; Trifan, A., Oliveira, M., Oliveira, J.L., Passive sensing of health outcomes through smartphones: Systematic review of current solutions and possible limitations (2019) Jmir MHealth and UHealth, 7 (8), p. e12649. , 2019; Trull, T.J., Ebner-Priemer, U.W., (2009) Using Experience Sampling Methods/Ecological Momentary Assessment (Esm/EMA) in Clinical Assessment and Clinical Research: Introduction to the Special Section, , 2009); Vinciarelli, A., Mohammadi, G., A survey of personality computing (2014) Ieee Transactions on Afective Computing, 5 (3), pp. 273-291. , 2014</t>
  </si>
  <si>
    <t>2-s2.0-85103623399</t>
  </si>
  <si>
    <t>Outliers in smartphone sensor data reveal outliers in daily happiness</t>
  </si>
  <si>
    <t>Schrader D.E., Ghosh D.</t>
  </si>
  <si>
    <t>56370386500;36650490700;</t>
  </si>
  <si>
    <t>Proactively Protecting Against the Singularity: Ethical Decision Making in AI</t>
  </si>
  <si>
    <t>IEEE Security and Privacy</t>
  </si>
  <si>
    <t>56</t>
  </si>
  <si>
    <t>10.1109/MSP.2018.2701169</t>
  </si>
  <si>
    <t>https://www.scopus.com/inward/record.uri?eid=2-s2.0-85049210397&amp;doi=10.1109%2fMSP.2018.2701169&amp;partnerID=40&amp;md5=0937a6176e02d5f270a10fe55435af11</t>
  </si>
  <si>
    <t>Cornell University, Department of Communication Ethics and Moral Psychology, United States; Harvard University, United States; New America and the Shorenstein Center, Harvard Kennedy School, United States</t>
  </si>
  <si>
    <t>Schrader, D.E., Cornell University, Department of Communication Ethics and Moral Psychology, United States; Ghosh, D., Harvard University, United States, New America and the Shorenstein Center, Harvard Kennedy School, United States</t>
  </si>
  <si>
    <t>This article proposes an ethical framework for the development and implementation of artificial intelligence that is based on philosophical principles and perspectives upholding human rights and well-being above potential superior machine intelligence referred to as the singularity. Illustrative cases demonstrate the framework's application and suggest guidelines for future policy. © 2018 IEEE.</t>
  </si>
  <si>
    <t>AI ethics; artificial intelligence; human-computer interaction; privacy; security; the singularity</t>
  </si>
  <si>
    <t>Artificial intelligence; Computer privacy; Data privacy; Decision making; Philosophical aspects; Ethical decision making; Human rights; Machine intelligence; security; the singularity; Well being; Human computer interaction</t>
  </si>
  <si>
    <t>Parkinson, H.J., Wake up! Amazon, Google, Apple and Facebook Are Running Our Lives (2017) The Guardian, , https://www.theguardian.com/commentisfree/2017/may/12/wake-up-amazon-google-apple-facebook-run-our-lives, 12 May; Falconer, J., What is the technological singularity? (2011) The Next Web, , 19 June; Bostrom, N., (2014) Superintelligence: Paths, Dangers, Strategies, , Oxford University Press; Habermas, J., (1991) Moral Consciousness and Communicative Action, , MIT Press; Rasmussen, D.B., Human flourishing and the appeal to human nature (1999) Social Philosophy and Policy, 16 (1), pp. 1-43; Bynam, T.W., Flourishing ethics (2006) Ethics and Information Technology, 8 (4), pp. 157-173. , https://link.springer.com/article/10.1007%2Fs10676-006-9107-1; (2017) Framework for Improving Critical Infrastructure Cybersecurity, , draft version 1.1, National Institute of Standards and Technology, 10 Jan; ACM Code of Ethics and Professional Conduct, , https://www.acm.org/about-acm/acm-code-of-ethics-and-professional-conduct, ACM; Newton, C., It's time for Facebook's news feed to explain itself (2018) The Verge, , 26 Jan; Goel, V., Facebook tinkers with users' emotions in news feed experiment, stirring outcry (2014) The New York Times, , 29 June</t>
  </si>
  <si>
    <t>15407993</t>
  </si>
  <si>
    <t>IEEE Secur. Privacy</t>
  </si>
  <si>
    <t>2-s2.0-85049210397</t>
  </si>
  <si>
    <t>Proactively protecting against the singularity: ethical decision making in ai</t>
  </si>
  <si>
    <t>Pavlacic J.M., Young J.</t>
  </si>
  <si>
    <t>57208337085;24722931400;</t>
  </si>
  <si>
    <t>Process-Based Cognitive Behavioral Therapy: A Framework for Conceptualization and Treatment</t>
  </si>
  <si>
    <t>Clinical Case Studies</t>
  </si>
  <si>
    <t>456</t>
  </si>
  <si>
    <t>472</t>
  </si>
  <si>
    <t>10.1177/1534650120951858</t>
  </si>
  <si>
    <t>https://www.scopus.com/inward/record.uri?eid=2-s2.0-85089887843&amp;doi=10.1177%2f1534650120951858&amp;partnerID=40&amp;md5=82dd32bbd251e02eedba86e76c6e2d83</t>
  </si>
  <si>
    <t>University of Mississippi, UniversityMS, United States</t>
  </si>
  <si>
    <t>Pavlacic, J.M., University of Mississippi, UniversityMS, United States; Young, J., University of Mississippi, UniversityMS, United States</t>
  </si>
  <si>
    <t>Process-Based Cognitive Behavioral Therapy (PB-CBT) is the integration of biological, psychological, and social factors into idiographic structural models used to conceptualize patient problems and select transdiagnostic, evidence-based procedures for clinical intervention to improve well-being. Despite the clinical utility and applicability of this transdiagnostic approach to case conceptualization and treatment, little research or formal guidance exists on how to create individualized structural models in clinical practice. Traditional clinical psychology, on the contrary, employs a diagnosis to treatment matching system. While useful, diagnosis to treatment models of intervention neglect contextual factors that contribute to patient problems and have led to a proliferation of treatment manuals for specific diagnoses. The current case study described a college male who coped with emotional difficulties through avoidance, isolation, food restriction, and alcohol use. In addition to psychopathology, the patient also identified as bisexual in a predominantly homophobic social environment, which exacerbated psychological distress. These various factors were integrated into a structural model that aided the selection of transdiagnostic interventions. At the conclusion of treatment, the patient reported meaningful reductions in psychological symptoms, in addition to various functional gains consistent with his values, such as an increased ability to tolerate difficult emotions, increased mindfulness skills, and an openness to discuss emotions with peers. Structural models and transdiagnostic interventions may help conceptualize patients presenting with multiple forms of psychopathology. © The Author(s) 2020.</t>
  </si>
  <si>
    <t>process-based therapy; structural equation modeling</t>
  </si>
  <si>
    <t>Article; behavior therapy; clinical assessment; clinical practice; clinical psychology; cognitive behavioral therapy; conceptual framework; Depression Anxiety Stress Scale; DSM-5; eating disorder; emotional stability; emotionality; facial expression; human; machine learning; mental disease; mindfulness; neurosis; perceptive discrimination; posttraumatic stress disorder; psychoeducation; psychosis; psychotherapy; qualitative research; quality of life; questionnaire; risk factor; semi structured interview; social aspect; social competence; social interaction; social phobia; Social Phobia Inventory; social support; structural equation modeling</t>
  </si>
  <si>
    <t>Aldao, A., Nolen-Hoeksema, S., Schweizer, S., Emotion-regulation strategies across psychopathology: A meta-analytic review (2010) Clinical Psychology Review, 30 (2), pp. 217-237. , https://doi.org/10.1016/j.cpr.2009.11.004; Ali, S., (2017) The coming out journey: A phenomenological investigation of a lifelong process VISTAS, , https://www.counseling.org/knowledge-center/vistas/by-subject2/vistas-client/docs/default-source/vistas/the-coming-out-journey; Baams, L., Grossman, A.H., Russell, S.T., Minority stress and mechanisms of risk for depression and suicidal ideation among lesbian, gay, and bisexual youth (2015) Developmental Psychology, 51 (5), pp. 688-696. , https://doi.org/10.1037/a0038994; Barlow, D.H., Ellard, K.K., Sauer-Zavala, S., Bullis, J.R., Carl, J.R., The origins of neuroticism (2014) Perspectives on Psychological Science, 9 (5), pp. 481-496. , https://doi.org/10.1177/1745691614544528; Barlow, D.H., Farchione, T.J., Sauer-Zavala, S., Latin, H.M., Ellard, K.K., Bullis, J.R., Bentley, K.H., Cassiello-Robbins, C., (2017) Unified protocol for transdiagnostic treatment of emotional disorders: Therapist guide, , Oxford University Press; Barlow, D.H., Nock, M., Hersen, M., (2009) Single case experimental designs: Strategies for studying behavior for change, , Pearson; Barlow, D.H., Sauer-Zavala, S., Carl, J.R., Bullis, J.R., Ellard, K.K., The nature, diagnosis, and treatment of neuroticism: Back to the future (2014) Clinical Psychological Science, 2 (3), pp. 344-365. , https://doi.org/10.1177/2167702613505532; Beaujean, A.A., (2014) Latent variable modeling using R: A step-by-step guide, , https://doi.org/10.4324/9781315869780, Routledge/Taylor &amp; Francis Group; Brockmeyer, T., Skunde, M., Wu, M., Bresslein, E., Rudofsky, G., Herzog, W., Friederich, H.C., Difficulties in emotion regulation across the spectrum of eating disorders (2014) Comprehensive Psychiatry, 55 (3), pp. 565-571. , https://doi.org/10.1016/j.comppsych.2013.12.001; Bunaciu, L., Feldner, M.T., Flexible application of interoceptive and situational exposure-based treatment for an outpatient with multiple anxiety and mood disorders: A comprehensive case study (2013) Clinical Case Studies, 12 (3), pp. 179-198. , https://doi.org/10.1177/1534650112473518; Charbonnier, E., Graziani, P., The stress associated with the coming out process in the young adult population (2016) Journal of Gay &amp; Lesbian Mental Health, 20 (4), pp. 319-328. , https://doi.org/10.1080/19359705.2016.1182957; Chorpita, B.F., Daleiden, E.L., Weisz, J.R., Identifying and selecting the common elements of evidence based interventions: A distillation and matching model (2005) Mental Health Services Research, 7 (1), pp. 5-20. , https://doi.org/10.1007/s11020-005-1962-6; Chorpita, B.F., Daleiden, E.L., Mapping evidence-based treatments for children and adolescents: Application of the distillation and matching model to 615 treatments from 322 randomized trials (2009) Journal of Consulting and Clinical Psychology, 77 (3), pp. 566-579. , https://doi.org/10.1037/a0014565; Connor, K.M., Davidson, J.R., Churchill, L.E., Sherwood, A., Weisler, R.H., Foa, E., Psychometric properties of the Social Phobia Inventory (SPIN): New self-rating scale (2000) The British Journal of Psychiatry, 176 (4), pp. 379-386. , https://doi.org/10.1192/bjp.176.4.379; Chorpita, B.F., Weisz, J.R., (2009) MATCH-ADTC: Modular approach to therapy for children with anxiety, depression, trauma, or conduct problems, , PracticeWise; Craske, M.G., Kircanski, K., Zelikowsky, M., Mystkowski, J., Chowdhury, N., Baker, A., Optimizing inhibitory learning during exposure therapy (2008) Behaviour Research and Therapy, 46 (1), pp. 5-27. , https://doi.org/10.1016/j.brat.2007.10.003; Davies, C.D., Craske, M.G., Exposure strategies (2018) Process-based CBT: The science and core clinical competencies of Cognitive Behavioral Therapy, pp. 285-297. , Hayes S.C., Hofmann S.G., (eds), Context Press, (Eds.), (., –; De Houwer, J., Revisiting classical conditioning as a model for anxiety disorders: A conceptual analysis and brief review (2020) Behaviour Research and Therapy, 127, p. 103558. , https://doi.org/10.1016/j.brat.2020.103558; Ehrenreich, J.T., Goldstein, C.R., Wright, L.R., Barlow, D.H., Development of a unified protocol for the treatment of emotional disorders in youth (2009) Child &amp; Family Behavior Therapy, 31 (1), pp. 20-37. , https://doi.org/10.108007317100802701228; Fairburn, C.G., (2008) Cognitive behavior therapy and eating disorders, , Guilford Press; Feldman, M.B., Meyer, I.H., Eating disorders in diverse lesbian, gay, and bisexual populations (2007) International Journal of Eating Disorders, 40 (3), pp. 218-226. , https://doi.org/10.1002/eat.20360; Foa, E.B., Kozak, M.J., Emotional processing of fear: Exposure to corrective information (1986) Psychological Bulletin, 99 (1), pp. 20-35. , https://doi.org/10.1037/0033-2909.99.1.20; Forney, K.J., Buchman-Schmitt, J.M., Keel, P.K., Frank, G.K., The medical complications associated with purging (2016) International Journal of Eating Disorders, 49 (3), pp. 249-259. , https://doi.org/10.1002/eat.22504; Gianini, L.M., White, M.A., Masheb, R.M., Eating pathology, emotion regulation, and emotional overeating in obese adults with binge eating disorder Eating Behaviors, 14 (3), pp. 309-313. , https://doi.org/10.1016/j.eatbeh.2013.05.008; Gilbert, P., Psychotherapy for the 21st Century: An integrative, evolutionary, contextual, biopsychosocial approach (2019) Psychology and Psychotherapy: Theory, Research and Practice, 92 (2), pp. 164-189. , https://doi.org/10.1111/papt.12226; Gratz, K.L., Tull, M.T., Emotion regulation as a mechanism of change in acceptance-and mindfulness-based treatments (2010) Assessing mindfulness and acceptance: Illuminating the processes of change, , Baer R.A., (ed), New Harbinger Publications, (Ed; Gratz, K.L., Weiss, N.H., Tull, M.T., Examining emotion regulation as an outcome, mechanism, or target of psychological treatments (2015) Current Opinion in Psychology, 3, pp. 85-90. , https://doi.org/10.1016/j.copsyc.2015.02.010; Hayes, S.C., Hofmann, S.G., (2018) Process-based CBT: The science and core clinical competencies of Cognitive Behavioral Therapy, , Oakland, CA, Context Press; Hayes, S.C., Hofmann, S.G., The future of intervention science: Process-based therapy (2019) Clinical Psychological Science, 7 (1), pp. 37-50. , https://doi.org/10.1177/2167702618772296; Hayes, S.C., Hofmann, S.G., Stanton, C.E., Carpenter, J.K., Sanford, B.T., Curtiss, J.E., Ciarrochi, J., The role of the individual in the coming era of process-based therapy (2019) Behaviour Research and Therapy, 117, pp. 40-53. , https://doi.org/10.1016/j.brat.2018.10.005; Hayes, S.C., Strosahl, K.D., Wilson, K.G., (2011) Acceptance and commitment therapy: The process and practice of mindful change, , Guilford Press; Hofmann, S.G., Toward a cognitive-behavioral classification system for mental disorders (2014) Behavior Therapy, 45 (4), pp. 576-587. , https://doi.org/10.1016/j.beth.2014.03.001; Hofmann, S.G., Anu Asnaani, M.A., Hinton, D.E., Cultural aspects in social anxiety and social anxiety disorder (2010) Depression and Anxiety, 27 (12), pp. 1117-1127. , https://doi.org/10.1002/da.20759; Hofmann, S.G., Curtiss, J.E., Hayes, S.C., Beyond linear mediation: Toward a dynamic network approach to study treatment processes (2020) Clinical Psychology Review, p. 101824. , https://doi.org/10.1016/j.cpr.2020/101824; Jennissen, S., Holl, J., Mai, H., Wolff, S., Barnow, S., Emotion dysregulation mediates the relationship between child maltreatment and psychopathology: A structural equation model (2016) Child Abuse &amp; Neglect, 62, pp. 51-62. , https://doi.org/10.1016/j.chabu.2016.10.015; Lambert, M.J., Gregersen, A.T., Burlingame, G.M., The Outcome Questionnaire-45 (2004) The use of psychological testing for treatment planning and outcomes assessment: Instruments for adults, pp. 191-234. , Maruish M.E., (ed), Lawrence Erlbaum Associates Publishers, (Ed.), (., –; Lovibond, P.G., Lovibond, S.H., The structure of negative emotional states: Comparison of the Depression Anxiety Stress Scales (DASS) with the Beck Depression and Anxiety Inventories (1995) Behaviour Research and Therapy, 33, pp. 335-343. , https://doi.org/10.1016/0005-7967(94)00075-u; Sarno, E.L., Newcomb, M.E., Feinstein, B.A., Mustanski, B., Bisexual men’s experiences with discrimination, internalized binegativity, and identity affirmation: Differences by partner gender (2020) Archives of Sexual Behavior, 49 (5), pp. 1783-1798. , https://doi.org/10.1007/s10508-020-01712-z; Sauer-Zavala, S., Cassiello-Robbins, C., Conklin, L.R., Bullis, J.R., Thompson-Hollands, J., Kennedy, K.A., Isolating the unique effects of the unified protocol treatment modules using single case experimental design (2017) Behavior Modification, 41 (2), pp. 286-307. , https://doi.org/10.1177/0145445516673827; Seligman, M.E., Learned helplessness (1972) Annual Review of Medicine, 23 (1), pp. 407-412; Schultebraucks, K., Galatzer-Levy, I.R., Machine learning for prediction of posttraumatic stress and resilience following trauma: An overview of basic concepts and recent advances (2019) Journal of Traumatic Stress, 32 (2), pp. 215-225. , https://doi.org/10.1002/jts.22384; Sheehan, D.V., Lecrubier, Y., Sheehan, K.H., Amorim, P., Janavs, J., Weiller, E., Hergueta, T., Dunbar, G.C., The mini-international neuropsychiatric interview (MINI): the development and validation of a structured diagnostic psychiatric interview for DSM-IV and ICD-10 (1998) The Journal of Clinical Psychiatry, 59, pp. 22-23; Trahan, L.H., Carges, E., Stanley, M.A., Evans-Hudnall, G., Decreasing PTSD and depression symptom barriers to weight loss using an integrated CBT approach (2016) Clinical Case Studies, 15 (4), pp. 280-295. , https://doi.org/10.1177/1534650116637918; Wiggs, K.A., Drake, C.E., Building psychological flexibility to mitigate adjustment disorder: Assessing treatment progress with a measure of treatment processes (2015) Clinical Case Studies, 15 (1), pp. 18-34. , https://doi.org/10.1177/1534650115585387</t>
  </si>
  <si>
    <t>15346501</t>
  </si>
  <si>
    <t>Clin. Case Stud.</t>
  </si>
  <si>
    <t>2-s2.0-85089887843</t>
  </si>
  <si>
    <t>Process-based cognitive behavioral therapy: a framework for conceptualization and treatment</t>
  </si>
  <si>
    <t>Zhang C., Xie L., Aizezi Y., Gu X.</t>
  </si>
  <si>
    <t>57213826912;57213829783;51664708700;55639726400;</t>
  </si>
  <si>
    <t>User Multi-Modal Emotional Intelligence Analysis Method Based on Deep Learning in Social Network Big Data Environment</t>
  </si>
  <si>
    <t>8935333</t>
  </si>
  <si>
    <t>181758</t>
  </si>
  <si>
    <t>181766</t>
  </si>
  <si>
    <t>10.1109/ACCESS.2019.2959831</t>
  </si>
  <si>
    <t>https://www.scopus.com/inward/record.uri?eid=2-s2.0-85078051245&amp;doi=10.1109%2fACCESS.2019.2959831&amp;partnerID=40&amp;md5=549ffc27df02056c0c9b2e74a704c308</t>
  </si>
  <si>
    <t>Zhejiang Industry Polytechnic College, Shaoxing, 312000, China; Department of Information Security Engineering, Xinjiang Police College, Ürümqi, 830011, China; School of Information Science and Engineering, Changzhou University, Changzhou, 213164, China</t>
  </si>
  <si>
    <t>Zhang, C., Zhejiang Industry Polytechnic College, Shaoxing, 312000, China; Xie, L., Zhejiang Industry Polytechnic College, Shaoxing, 312000, China; Aizezi, Y., Department of Information Security Engineering, Xinjiang Police College, Ürümqi, 830011, China; Gu, X., School of Information Science and Engineering, Changzhou University, Changzhou, 213164, China</t>
  </si>
  <si>
    <t>In order to accurately analyze the emotional tendency of social media users' evaluation and better promote the work of emotional analysis and recommendation algorithm. This paper presents a new text emotion classification model, which integrates content features and user features, by representing the sentence, content features and user features of microblog as vector matrix and inputting them into the text emotion classification model which integrates content features and user features. Firstly, it analyzes the content information and user information related to the sentence emotion of the target microblog, and constructs the content characteristics and user characteristics respectively; Then, a text emotion classification model is constructed, which integrates content features and user features; Then, the method of feature level fusion and decision-making level fusion is designed for microblog emotion analysis of image and text fusion. Maxout neuron is also introduced to solve the problem of gradient dispersion in the training process and optimize the training process. The experimental results show that: Compared with other models, the accuracy of the proposed model is improved by more than 2.5%, and it is better than other models in recall rate and F value. © 2019 IEEE.</t>
  </si>
  <si>
    <t>deep learning; feature fusion; intelligent analysis; long and short term memory network (LSTM) model; Maxout neuron; Multimodal affective analysis</t>
  </si>
  <si>
    <t>Big data; Decision making; Deep learning; Emotional intelligence; Long short-term memory; Modal analysis; Social networking (online); Text processing; Decision-making level fusions; Emotion classification; Feature fusion; Intelligence analysis; Intelligent analysis; Long and short term memory; Multi-modal; Recommendation algorithms; Classification (of information)</t>
  </si>
  <si>
    <t>El-Sayed, H., Sankar, S., Prasad, M., Puthal, D., Gupta, A., Mohanty, M., Lin, C.-T., Edge of things: The big picture on the integration of edge, IoT and the cloud in a distributed computing environment (2017) IEEE Access, 6, pp. 1706-1717; Horii, T., Nagai, Y., Asada, M., Modeling development of multimodal emotion perception guided by tactile dominance and perceptual improvement (2018) IEEE Trans. Cogn. Develop. Syst., 10 (3), pp. 762-775. , Sep; Huang, M., Qian, Q., Zhu, X., Encoding syntactic knowledge in neural networks for sentiment classification (2017) ACMTrans. Inf. Syst., 35 (3), pp. 1-27; Gao, H., Huang, W., Duan, Y., Yang, X., Zou, Q., Research on costdriven services composition in an uncertain environment (2019) J. Internet Technol., 20 (3), pp. 755-769; Xia, K., Yin, H., Qian, P., Jiang, Y., Wang, S., Liver semantic segmentation algorithm based on improved deep adversarial networks in combination of weighted loss function on abdominal CT images (2019) IEEE Access, 7, pp. 96349-96358; Xia, K., Yin, H., Zhang, Y.-D., Deep semantic segmentation of kidney and space-occupying lesion area based on SCNN and ResNet models combined with SIFT-flowalgorithm (2019) J. Med. Syst., 43 (1), pp. 1-12; Poria, S., Towards an intelligent framework for multimodal affective data analysis (2014) Neural Netw., 63 (6), pp. 104-116; Cao, D., Ji, R., Lin, D., A cross-media public sentiment analysis system for microblog (2016) Multimedia Syst., 22 (4), pp. 479-486; Wang, M., Microblog sentiment analysis based on cross-media bagof- words model (2014) Proc. Int. Conf. Internet Multimedia Comput. Service, pp. 76-80; Baecchi, C., Uricchio, T., Bertini, M., A multimodal feature learning approach for sentiment analysis of social network multimedia (2016) Multimedia Tools Appl., 75 (5), pp. 2507-2525; Cai, G.Q., Xia, B.B., Multimedia sentiment analysis based on convolutional neural network (2016) J. Comput. Appl., 36 (2), pp. 428-431; Yu, Y., Lin, H., Meng, J., Visual and textual sentiment analysis of a microblog using deep convolutional neural networks (2016) Algorithms, 9 (2), p. 41; You, Q., Cross-modality consistent regression for joint visual-textual sentiment analysis of social multimedia (2016) Proc. 9th ACM Int. Conf., pp. 13-22; You, Q., Cao, L., Jin, H., Robust visual-textual sentiment analysis: When attention meets tree-structured recursive neural networks (2016) Proc. 24th ACM Int. Conf. Multimedia, pp. 1008-1017; Chen, Y., Zhang, Z., IEEE 2018 13th IEEE conference on industrial electronics and applications (ICIEA)-Wuhan, China (2018.5.31- 2018.6.2) (2018) Proc. 13th IEEE Conf. Ind. Electron. Appl. (ICIEA)-Res. Text Sentiment Anal. Based CNNs SVM, pp. 2731-2734; Huang, F.-L., Feng, S., Wang, D.-L., Yu, G., Mining topic sentiment in microblogging based on multi-feature fusion (2017) J. Comput., 40 (4), pp. 872-888; Ren, Y., Zhang, Y., Zhang, M., Context-sensitive Twitter sentiment classification using neural network (2016) Proc. 13th AAAI Conf. Artif. Intell., pp. 215-221; Huang, F.L., Yu, G., Zhang, J.L., Mining topic sentiment in microblogging based on micro-blogger social relation (2017) J. Softw., 28 (3), pp. 694-707; He, Y.-X., Sun, S.-T., Niu, F.-F., Li, F., A deep learning model enhanced with emotion semantics for microblog sentiment analysis (2017) Chin. J. Comput., 40 (4), pp. 773-790. , Apr; Peddeti, K., Santhanam, S., Dispersion curves for Lamb wave propagation in prestressed plates using a semi-analytical finite element analysis (2018) J. Acoust. Soc. Amer., 143 (2), pp. 829-840; Gosselin, J.M., Dosso, S.E., Cassidy, J.F., A gradient-based model parametrization using Bernstein polynomials in Bayesian inversion of surface wave dispersion (2017) Geophys. J. Int., 211 (1), pp. 528-540; Gao, H., Huang, W., Yang, X., Duan, Y., Yin, Y., Towards service selection for workflow reconfiguration: An interface-based computing (2018) Future Gener. Comput. Syst., 87, pp. 298-311; Kostal, L., Shinomoto, S., Efficient information transfer by Poisson neurons (2017) Math. Biosci. Eng., 13 (3), pp. 509-520; Jin, Z., Han, Y., Zhu, Q., A sentiment analysis model with the combination of deep learning and ensemble learning (2018) J. Harbin Inst. Technol., 50 (11), pp. 32-39; Gao, H., Huang, W., Yang, X., Applying probabilistic model checking to path planning in an intelligent transportation system using mobility trajectories and their statistical data (2019) Intell. Automat. Soft Comput. (Autosoft), 25 (3), pp. 547-559; Zemmar, A., Chen, C.-C., Weinmann, O., Oligodendrocyte- And neuron-specific Nogo-A restrict dendritic branching and spine density in the adult mouse motor cortex (2017) Cerebral Cortex, 28 (6), pp. 1-9; Ando, B., Baglio, S., Lombardo, C.O., A multisensor data-fusion approach for ADL and fall classification (2016) IEEE Trans. Instrum. Meas., 65 (9), pp. 1960-1967. , Sep; Lai, W.-J., Wang, H.-K., Liu, H.-T., Park, B.K., Shen, S.-H., Lin, T.-P., Chung, H.-J., Chang, Y.-H., Cognitive MRI-TRUS fusion-targeted prostate biopsy according to PI-RADS classification in patients with prior negative systematic biopsy results (2016) J. Chin. Med. Assoc., 79 (11), pp. 618-624; Lu, Q., Huang, X., Li, J., Zhang, L., A novel MRF-based multifeature fusion for classification of remote sensing images (2016) IEEE Geosci. Remote Sens. Lett., 13 (4), pp. 515-519. , Apr; He, W., Zhang, Z., Akula, V., Comparing consumer-produced product reviews across multiple Websites with sentiment classification (2018) J. Organizational Comput. Electron. Commerce, 28 (2), pp. 142-156; Chen, X., Rao, Y., Xie, H., Sentiment classification using negative and intensive sentiment supplement information (2019) Data Sci. Eng., 4 (2), pp. 109-118; Bolaji, A.L., Ahmad, A.A., Shola, P.B., Training of neural network for pattern classification using fireworks algorithm (2018) Int. J. Syst. Assurance Eng. Manage., 9 (1), pp. 1-8; Jou, B., Chen, T., Pappas, N., Visual affect around the world: A largescale multilingual visual sentiment ontology (2015) Proc. ACM Int. Conf. Multimedia ACM, pp. 159-168</t>
  </si>
  <si>
    <t>2-s2.0-85078051245</t>
  </si>
  <si>
    <t>User multi-modal emotional intelligence analysis method based on deep learning in social network big data environment</t>
  </si>
  <si>
    <t>Pendyala V.S., Yadav N., Kulkarni C., Vadlamudi L.</t>
  </si>
  <si>
    <t>55936784700;57417045000;57417032000;57417021300;</t>
  </si>
  <si>
    <t>Towards building a Deep Learning based Automated Indian Classical Music Tutor for the Masses</t>
  </si>
  <si>
    <t>Systems and Soft Computing</t>
  </si>
  <si>
    <t>200042</t>
  </si>
  <si>
    <t>10.1016/j.sasc.2022.200042</t>
  </si>
  <si>
    <t>https://www.scopus.com/inward/record.uri?eid=2-s2.0-85131963733&amp;doi=10.1016%2fj.sasc.2022.200042&amp;partnerID=40&amp;md5=810551b843d0ed99b0d90571feb90653</t>
  </si>
  <si>
    <t>San Jose State University, 1 Washington Sq, San Jose, CA  95192, United States</t>
  </si>
  <si>
    <t>Pendyala, V.S., San Jose State University, 1 Washington Sq, San Jose, CA  95192, United States; Yadav, N., San Jose State University, 1 Washington Sq, San Jose, CA  95192, United States; Kulkarni, C., San Jose State University, 1 Washington Sq, San Jose, CA  95192, United States; Vadlamudi, L., San Jose State University, 1 Washington Sq, San Jose, CA  95192, United States</t>
  </si>
  <si>
    <t>Music can play an important role in the well-being of the world. Indian classical music is unique in its requirement for rigorous, disciplined, expert-led training that typically goes on for years before the learner can reach a reasonable level of performance. This keeps many, including the first author of this paper, away from mastering the skill. The problem is particularly compounded in rural areas, where the available expertise may be limited and prohibitively expensive, but the interest in learning classical music still prevails, nevertheless. Machine Learning has been complementing, enhancing, and replacing many white-collar jobs and we believe it can help with this problem as well. This paper describes efforts at using Machine Learning techniques, particularly, Long Short-Term Memory for building a system that is a step toward provisioning an Indian Classical Music Tutor for the masses. The system is deployed in the cloud using orchestrated containerization for potential worldwide access, load balancing, and other robust features. © 2022</t>
  </si>
  <si>
    <t>Cloud Computing; Deep Learning; DevOps; Indian Classical Music; Long Short-term Memory; Machine Learning</t>
  </si>
  <si>
    <t>Balancing; Learning systems; Long short-term memory; Music; Classical musics; Cloud-computing; Deep learning; Indian classical music; Load-Balancing; Machine learning techniques; Machine-learning; Performance; Well being; Brain</t>
  </si>
  <si>
    <t>Hyun-Sil, K., Kang, J.-S., Effect of a group music intervention on cognitive function and mental health outcomes among nursing home residents: A randomized controlled pilot study (2021) Geriatr. Nurs., 42 (3), pp. 650-656. , no; İçel, S., Başoğul, C., Effects of progressive muscle relaxation training with music therapy on sleep and anger of patients at Community Mental Health Center (2021) Complement. Ther. Clin. Pract., 43; Gurbuz-Dogan, R.N., Ali, A., Candy, B., King, M., The effectiveness of Sufi music for mental health outcomes. A systematic review and meta-analysis of 21 randomized trials (2021) Complement Ther. Med.; Rahman, J.S., Gedeon, T., Caldwell, S., Jones, R., Jin, Z., Towards effective music therapy for mental health care using machine learning tools: Human affective reasoning and music genres (2021) J. Artif. Intell. Soft Comput. Res., 11 (1), pp. 5-20; Sanivarapu, S.L., India's rich musical heritage has a lot to offer to modern psychiatry (2015) Indian J. Psychiatry, 57 (2), p. 210. , no; Hegde, S., Music therapy for mental disorder and mental health: the untapped potential of Indian classical music (2017) BJPsych Int., 14 (2), pp. 31-33. , no; Balan, R., Bavdekar, S.B., Jadhav, S., Can Indian classical instrumental music reduce pain felt during venepuncture? (2009) Indian J. Pediatr., 76 (5), pp. 469-473. , no; Moreira, D., Furtado, A.P., Nogueira, S., Testing acoustic scene classifiers using Metamorphic Relations (2020) 2020 IEEE International Conference On Artificial Intelligence Testing (AITest), pp. 47-54. , IEEE; Surana, R., Varshney, A., Pendyala, V., Deep Learning for Conversions Between Melodic Frameworks of Indian Classical Music (2022) Proceedings of Second International Conference on Advances in Computer Engineering and Communication Systems, pp. 1-12. , Springer, Singapore; Lavezzoli, P., The dawn of Indian music in the West (2006), A&amp;C Black; Krishnaswamy, A., Melodic Atoms for Transcribing Carnatic Music (2004) ISMIR, p. 2004. , 5th; Krishnaswamy, A., Multi-dimensional musical atoms in South-Indian classical music (2004) Proc. of International Conference on Music Perception and Cognition; Pendyala, V.S., Shim, S.S., The Web as the ubiquitous computer (2009) Computer, 42 (9), pp. 90-92. , no; Downie, J.S., Music information retrieval (2003) Annual Rev. Info. Sci. Technolo., 37 (1), pp. 295-340. , no; Gottlieb, R.S., The major traditions of North Indian tabla drumming: a survey presentation based on performances by India's leading artists: illustrated with recordings and transcriptions of the performances (1977) Musikverlag E. Katzbichler, 1. , Vol; Sharma, G., Umapathy, K., Krishnan, S., Trends in audio signal feature extraction methods (2020) Appl. Acoust., 158; Ahrendt, P., Meng, A., Larsen, J., Decision time horizon for music genre classification using short time features (2004) 2004 12th European Signal Processing Conference, pp. 1293-1296. , IEEE; Agostini, G., Longari, M., Pollastri, E., Musical instrument timbres classification with spectral features (2003) EURASIP J. Adv. Signal Process., (1), pp. 1-10. , 2003no; Al-Shoshan, A.I., Speech and music classification and separation: a review (2006) Journal of King Saud University-Engineering Sciences, 19 (1), pp. 95-132. , no; Tzanetakis, G., Cook, P., Musical genre classification of audio signals (2002) IEEE Transactions on speech and audio processing, 10, pp. 293-302. , no; Lu, L., Liu, D., Zhang, H.-J., Automatic mood detection and tracking of music audio signals (2005) IEEE Transactions on audio, speech, and language processing, 14 (1), pp. 5-18. , no; Bergstra, J., Casagrande, N., Erhan, D., Eck, D., Kégl, B., Aggregate features and a da b oost for music classification (2006) Mach. Learn., 65 (2-3), pp. 473-484. , no; Li, T., Ogihara, M., Li, Q., A comparative study on content-based music genre classification (2003) Proceedings of the 26th annual international ACM SIGIR conference on Research and development in informaion retrieval, pp. 282-289; Rabaoui, A., Davy, M., Rossignol, S., Ellouze, N., Using one-class SVMs and wavelets for audio surveillance (2008) IEEE Trans. Inf. Forensics Secur., 3 (4), pp. 763-775. , no; Hu, N., Dannenberg, R.B., Tzanetakis, G., Polyphonic audio matching and alignment for music retrieval (2003) 2003 IEEE Workshop on Applications of Signal Processing to Audio and Acoustics (IEEE Cat. No. 03TH8684), pp. 185-188. , IEEE; Krueger, A., Haeb-Umbach, R., Model-based feature enhancement for reverberant speech recognition (2010) IEEE Transactions on Audio, Speech, and Language Processing, 18 (7), pp. 1692-1707. , no; Davis, S., Mermelstein, P., Comparison of parametric representations for monosyllabic word recognition in continuously spoken sentences (1980) IEEE transactions on acoustics, speech, and signal processing, 28 (4), pp. 357-366. , no; Müller, M., (2007) Information retrieval for music and motion, 2. , Springer Heidelberg Vol; Korkmaz, Y., Boyacı, A., Tuncer, T., Turkish vowel classification based on acoustical and decompositional features optimized by Genetic Algorithm (2019) Appl. Acoust., 154, pp. 28-35; Dighe, P., Agrawal, P., Karnick, H., Thota, S., Raj, B., Scale independent raga identification using chromagram patterns and swara based features (2013) 2013 IEEE International Conference on Multimedia and Expo Workshops (ICMEW), pp. 1-4. , IEEE; Kirthika, P., Chattamvelli, R., A review of raga based music classification and music information retrieval (MIR) (2012) 2012 IEEE International Conference on Engineering Education: Innovative Practices and Future Trends (AICERA), pp. 1-5. , IEEE; Pandey, G., Mishra, C., Ipe, P., TANSEN: A System for Automatic Raga Identification (2003) IICAI, pp. 1350-1363; Kumar, V., Pandya, H., Jawahar, C.V., Identifying ragas in indian music (2014) 2014 22nd International Conference on Pattern Recognition, pp. 767-772. , IEEE; (2012), Salamon, Justin, Sankalp Gulati, and Xavier Serra. "A multipitch approach to tonic identification in indian classical music." In Gouyon F, Herrera P, Martins LG, Müller M. ISMIR 2012: Proceedings of the 13th International Society for Music Information Retrieval Conference; 2012 Oct 8-12; Porto, Portugal. Porto: FEUP Ediçoes; 2012. International Society for Music Information Retrieval (ISMIR); Shetty, S., Achary, K.K., Raga mining of Indian music by extracting arohana-avarohana pattern (2009) Int. J. Recent Trends Eng. Sci., 1 (1), p. 362. , no; Joseph, R., Vinod, S., Carnatic raga recognition (2017) Indian J. Sci. Technol., 10 (13). , no; Samsekai Manjabhat, S., Koolagudi, S.G., Rao, K.S., Ramteke, P.B., Raga and tonic identification in carnatic music (2017) J. New Music Res., 46 (3), pp. 229-245. , no; Shetty, S., Achary, K.K., Raga mining of Indian music by extracting arohana-avarohana pattern (2009) Int. J. Recent Trends Eng. Sci., 1 (1), p. 362. , no; Degaonkar, V.N., Kulkarni, A.V., Automatic raga identification in Indian classical music using the Convolutional Neural Network (2018) J. Eng. Technol., 6 (2), pp. 564-576. , no; Ross, J.C., Mishra, A., Ganguli, K.K., Bhattacharyya, P., Rao, P., Identifying Raga Similarity Through Embeddings Learned from Compositions’ Notation (2017) ISMIR, pp. 515-522; Jamshidi, F., Marghitu, D., Chapman, R., Developing an Online Music Teaching and Practicing Platform via Machine Learning: A Review Paper (2021) International Conference on Human-Computer Interaction, pp. 95-108. , Springer, Cham; Zen, H., Acoustic modeling in statistical parametric speech synthesis-from HMM to LSTM-RNN (2015) Google; Zhaoran, S., Wireless processor application in home music teaching based on machine learning (2021) Microprocess Microsyst, 80; Zhang, E., Yang, Y., Music dance distance teaching system based on Ologit model and machine learning (2021) J. Ambient Intell. Humaniz. Comput., pp. 1-17; Liu, C., Tu, B., Network piano teaching platform based on FPGA and machine learning (2020) Microprocess Microsyst.; Pendyala, V., Evolution of integration, build, test, and release engineering into devops and to DevSecOps (2020) Tools and Techniques for Software Development in Large Organizations: Emerging Research and Opportunities, pp. 1-20. , Vishnu Pendyala IGI Global; Domingos, P., arXiv preprint (2020); He, K., Zhang, X., Ren, S., Sun, J., Deep residual learning for image recognition (2016) Proceedings of the IEEE conference on computer vision and pattern recognition, pp. 770-778; Pendyala, V.S., Holliday, J., Cloud as a Computer (2012) Advanced Design Approaches to Emerging Software Systems: Principles, Methodologies and Tools, pp. 241-249. , IGI Global</t>
  </si>
  <si>
    <t>Academic Press</t>
  </si>
  <si>
    <t>27729419</t>
  </si>
  <si>
    <t>Syst. Soft. Comput.</t>
  </si>
  <si>
    <t>2-s2.0-85131963733</t>
  </si>
  <si>
    <t>Towards building a deep learning based automated indian classical music tutor for the masses</t>
  </si>
  <si>
    <t>Gao B.</t>
  </si>
  <si>
    <t>57563659100;</t>
  </si>
  <si>
    <t>Research and Implementation of Intelligent Evaluation System of Teaching Quality in Universities Based on Artificial Intelligence Neural Network Model</t>
  </si>
  <si>
    <t>Mathematical Problems in Engineering</t>
  </si>
  <si>
    <t>8224184</t>
  </si>
  <si>
    <t>10.1155/2022/8224184</t>
  </si>
  <si>
    <t>https://www.scopus.com/inward/record.uri?eid=2-s2.0-85127676711&amp;doi=10.1155%2f2022%2f8224184&amp;partnerID=40&amp;md5=e217a671c870732ed3943dd66258be77</t>
  </si>
  <si>
    <t>Education Department, Shaanxi Normal University, Xi'an, Shaanxi, 710062, China</t>
  </si>
  <si>
    <t>Gao, B., Education Department, Shaanxi Normal University, Xi'an, Shaanxi, 710062, China</t>
  </si>
  <si>
    <t>Scientific and objective education quality assessment is an important demand in the current education industry. Artificial intelligence empowering various industries has become an inevitable trend for future social development. The education quality assessment system combines big data and artificial intelligence technology. The system uses various human intelligence algorithms to analyze the collected image. Text data are related to teachers' teaching quality and can give objective results for education quality evaluation. This paper introduces the research and implementation methods of constructing the quantitative evaluation index system of university teachers' teaching quality and its quantitative processing method as well as the intelligent quantitative evaluation system of teaching quality and explores the technical ways to discover the effectiveness of measurable factors on the evaluation of teaching quality, and the obtained results have important practical significance for the scientific evaluation of teaching quality. © 2022 Bo Gao.</t>
  </si>
  <si>
    <t>Economic and social effects; Petroleum reservoir evaluation; Quality control; 'current; Education industry; Education quality; Inevitable trends; Intelligent evaluation; Neural network model; Quality assessment; Quantitative evaluation; Social development; Teaching quality; Artificial intelligence</t>
  </si>
  <si>
    <t>Hu, X., Wu, D.D., Data mining and predictive modeling of biomolecular network from biomedical literature databases (2007) IEEE/ACM Transactions on Computational Biology and Bioinformatics, 4 (2), pp. 251-263. , 2-s2.0-34248330400; Denaux, R., Dolbear, C., Hart, G., Dimitrova, V., Cohn, A.G., Supporting domain experts to construct conceptual ontologies: a holistic approach[J] (2011) Journal of web semantics: Science, services and agents on the world wide web, 9 (2), pp. 113-127; Christodoulou, A., Osborne, J., The science classroom as a site of epistemic talk: a case study of a teacher's attempts to teach science based on argument (2014) Journal of Research in Science Teaching, 51 (10), pp. 1275-1300. , 2-s2.0-84909602266; Plantinga, L.C., Fink, N.E., Jaar, B.G., Sadler, J.H., Levin, N.W., Coresh, J., Klag, M.J., Powe, N.R., Attainment of clinical performance targets and improvement in clinical outcomes and resource use in hemodialysis care: a prospective cohort study (2007) BMC Health Services Research, 7 (1), p. 5. , 2-s2.0-33846536272; Chin, C., Osborne, J., Students' questions and discursive interaction: their impact on argumentation during collaborative group discussions in science (2010) Journal of Research in Science Teaching, 47 (7), pp. 883-908. , 2-s2.0-77956945596; Chu, T.-B., Liu, T.-C., Chen, C.-S., Tsai, Y.-W., Chiu, W.-T., Household out-of-pocket medical expenditures and national health insurance in Taiwan: income and regional inequality (2005) BMC Health Services Research, 5 (1), p. 60. , 2-s2.0-24944581257; Aziz, A.N., Fisseha, T., Wiemers, R.W., Benefits of hands-on biotechnology training workshops for secondary school educators and college students[J] (2009) Journal of Biotech Research, 1 (1); Liu, M., Nobay, F., Adler, D., Wood, N., Abar, B., Academic and professional outcomes of participants in an emergency department research associate program (2021) AEM Education and Training, 5 (2). , e10507; Wei, J.Y., Ying, J.Z., Shuai, Y., Study of teaching assessment based on BP neural network[J] (2012) Advanced Materials Research, 524-527, pp. 3861-3865; Saxena, D., Verma, K.S., Singh, S.N., Power quality event classification: an overview and key issues[J] (2010) International Journal of Engineering Science and Technology, 2 (3), pp. 186-199; Vaziri, R., Mohsenzadeh, M., Towards a practical "state reconstruction" for data quality methodologies: a customized list of dimensions (2012) Advances in Intelligent and Soft Computing, 166, pp. 825-835. , 2-s2.0-84865177277; Xin, Z.H., Fang, M.Q., Decentralized control of dynamic routing with a neural network algorithm[J] (2000) The Journal of China Universities of Posts and Telecommunications, 7 (12), pp. 46-50; Nattkemper, T.W., Wersing, H., Schubert, W., Ritter, H., A neural network architecture for automatic segmentation of fluorescence micrographs[J] (2002) Neurocomputing, 48 (1-4), pp. 357-367. , 2-s2.0-0036825536; SReide, K., Thorsen, K., SReide, J.A., Predicting outcomes in patients with perforated gastroduodenal ulcers: artificial neural network modelling indicates a highly complex disease[J] (2015) European Journal of Trauma &amp; Emergency Surgery Official Publication of the European Trauma Society, 41 (1), pp. 91-98; Zhou, K., Ji, M.T., The university students entrepreneurship evaluation system based on BP neural network (2014) Applied Mechanics and Materials, 556-562, pp. 6742-6745. , 2-s2.0-84902097360; Yang, J., Zhang, P., Liu, Y., Robustness of classification ability of spiking neural networks[J] (2015) Nonlinear Dynamics, 82 (1-2), pp. 1-8. , 2-s2.0-84943357121; Li, Z., Wei, W., Gao, W., Prediction of stock market by BP neural networks with technical indexes as input[J] (2003) Journal of Mathematical Research &amp; Exposition, 23 (1), pp. 83-97; Liu, H.S., Research on the college students' physique test based on artificial neural network and support vector machines approach (2014) Advanced Materials Research, 945-949, pp. 3558-3561. , 2-s2.0-84903397399; Zhang, W., Li, J., Chen, M., Dynamical behaviors of impulsive stochastic reaction-diffusion neural networks with mixed time delays[J] (2012) Abstract and Applied Analysis, 2012 (1), pp. 309-323. , 2-s2.0-84866125149; Devillers, J., EVA/PLS versus autocorrelation/neural network estimation of partition coefficients (2000) Perspectives in Drug Discovery and Design, 19 (1), pp. 117-131. , 2-s2.0-0033810411; Li, F., Zhang, J., Oko, E., Wang, M., Modelling of a post-combustion CO2 capture process using neural networks (2015) Fuel, 151 (JUL.1), pp. 156-163. , 2-s2.0-84940005777; Sasakawa, T., Sawamoto, J., Tsuji, H., Neural network to control output of hidden node according to input patterns[J] (2014) American Journal of Intelligent Systems, 4 (5), pp. 196-203; Murugesan, K., Balasubramani, P., Murugan, P.R., A quantitative assessment of speckle noise reduction in SAR images using TLFFBP neural network[J] (2020) Arabian Journal of Geosciences, 13 (1), pp. 1-17; Majoros, T., Ujvári, B., Stability study of the neural network at particle physics detectors (2018) Carpathian Journal of Electronic and Computer Engineering, 11 (1), pp. 48-52; Jal, A., Fms, B., Tm, C., Advances in artificial neural networks, machine learning, and computational intelligence[J] (2011) Neurocomputing, 74 (9), pp. 1299-1300; An, P., Wang, Z., Zhang, C., Ensemble unsupervised autoencoders and Gaussian mixture model for cyberattack detection (2022) Information Processing &amp; Management, 59 (2). , 102844</t>
  </si>
  <si>
    <t>1024123X</t>
  </si>
  <si>
    <t>Math. Probl. Eng.</t>
  </si>
  <si>
    <t>2-s2.0-85127676711</t>
  </si>
  <si>
    <t>Research and implementation of intelligent evaluation system of teaching quality in universities based on artificial intelligence neural network model</t>
  </si>
  <si>
    <t>Zhang N., Liu C., Chen Z., An L., Ren D., Yuan F., Yuan R., Ji L., Bi Y., Guo Z., Ma G., Xu F., Yang F., Zhu L., Robert G., Xu Y., He L., Bai B., Yu T., He G.</t>
  </si>
  <si>
    <t>57210576341;14519556800;57210579682;54891450900;57190426984;57206636231;57201310240;57210586661;57109788300;57190426944;57201316616;56465264000;23394339200;24757475300;36169389800;8691041100;55628575651;57651993000;56465287200;35313834400;</t>
  </si>
  <si>
    <t>Prediction of adolescent subjective well-being: A machine learning approach</t>
  </si>
  <si>
    <t>General Psychiatry</t>
  </si>
  <si>
    <t>e100096</t>
  </si>
  <si>
    <t>10.1136/gpsych-2019-100096</t>
  </si>
  <si>
    <t>https://www.scopus.com/inward/record.uri?eid=2-s2.0-85072182666&amp;doi=10.1136%2fgpsych-2019-100096&amp;partnerID=40&amp;md5=246dca628ea45af682a6c3b5387e1932</t>
  </si>
  <si>
    <t>Bio-X Institutes, Shanghai Jiao Tong University, Shanghai, China; Shanghai Key Laboratory of Psychotic Disorders, Brain Science and Technology Research Center, Shanghai Jiao Tong University, Shanghai, China; School of Mental Health, Jining Medical University, Shandong, China; Shanghai Center for Women and Children's Health, Shanghai, China; Department of Psychiatry, Medical University of Rennes, Rennes, France; Institute of Neurobiology, Jining Medical University, Shandong, China</t>
  </si>
  <si>
    <t>Zhang, N., Bio-X Institutes, Shanghai Jiao Tong University, Shanghai, China, Shanghai Key Laboratory of Psychotic Disorders, Brain Science and Technology Research Center, Shanghai Jiao Tong University, Shanghai, China; Liu, C., School of Mental Health, Jining Medical University, Shandong, China; Chen, Z., Bio-X Institutes, Shanghai Jiao Tong University, Shanghai, China, Shanghai Key Laboratory of Psychotic Disorders, Brain Science and Technology Research Center, Shanghai Jiao Tong University, Shanghai, China; An, L., Bio-X Institutes, Shanghai Jiao Tong University, Shanghai, China, Shanghai Key Laboratory of Psychotic Disorders, Brain Science and Technology Research Center, Shanghai Jiao Tong University, Shanghai, China; Ren, D., Bio-X Institutes, Shanghai Jiao Tong University, Shanghai, China, Shanghai Key Laboratory of Psychotic Disorders, Brain Science and Technology Research Center, Shanghai Jiao Tong University, Shanghai, China; Yuan, F., Bio-X Institutes, Shanghai Jiao Tong University, Shanghai, China, Shanghai Key Laboratory of Psychotic Disorders, Brain Science and Technology Research Center, Shanghai Jiao Tong University, Shanghai, China; Yuan, R., Bio-X Institutes, Shanghai Jiao Tong University, Shanghai, China, Shanghai Key Laboratory of Psychotic Disorders, Brain Science and Technology Research Center, Shanghai Jiao Tong University, Shanghai, China; Ji, L., Bio-X Institutes, Shanghai Jiao Tong University, Shanghai, China, Shanghai Key Laboratory of Psychotic Disorders, Brain Science and Technology Research Center, Shanghai Jiao Tong University, Shanghai, China; Bi, Y., Bio-X Institutes, Shanghai Jiao Tong University, Shanghai, China, Shanghai Key Laboratory of Psychotic Disorders, Brain Science and Technology Research Center, Shanghai Jiao Tong University, Shanghai, China; Guo, Z., Bio-X Institutes, Shanghai Jiao Tong University, Shanghai, China, Shanghai Key Laboratory of Psychotic Disorders, Brain Science and Technology Research Center, Shanghai Jiao Tong University, Shanghai, China; Ma, G., Bio-X Institutes, Shanghai Jiao Tong University, Shanghai, China, Shanghai Key Laboratory of Psychotic Disorders, Brain Science and Technology Research Center, Shanghai Jiao Tong University, Shanghai, China; Xu, F., Bio-X Institutes, Shanghai Jiao Tong University, Shanghai, China, Shanghai Key Laboratory of Psychotic Disorders, Brain Science and Technology Research Center, Shanghai Jiao Tong University, Shanghai, China; Yang, F., Bio-X Institutes, Shanghai Jiao Tong University, Shanghai, China, Shanghai Key Laboratory of Psychotic Disorders, Brain Science and Technology Research Center, Shanghai Jiao Tong University, Shanghai, China; Zhu, L., Shanghai Center for Women and Children's Health, Shanghai, China; Robert, G., Department of Psychiatry, Medical University of Rennes, Rennes, France; Xu, Y., Bio-X Institutes, Shanghai Jiao Tong University, Shanghai, China, Shanghai Key Laboratory of Psychotic Disorders, Brain Science and Technology Research Center, Shanghai Jiao Tong University, Shanghai, China; He, L., Bio-X Institutes, Shanghai Jiao Tong University, Shanghai, China, Shanghai Key Laboratory of Psychotic Disorders, Brain Science and Technology Research Center, Shanghai Jiao Tong University, Shanghai, China; Bai, B., Institute of Neurobiology, Jining Medical University, Shandong, China; Yu, T., Bio-X Institutes, Shanghai Jiao Tong University, Shanghai, China, Shanghai Key Laboratory of Psychotic Disorders, Brain Science and Technology Research Center, Shanghai Jiao Tong University, Shanghai, China, School of Mental Health, Jining Medical University, Shandong, China; He, G., Bio-X Institutes, Shanghai Jiao Tong University, Shanghai, China, Shanghai Key Laboratory of Psychotic Disorders, Brain Science and Technology Research Center, Shanghai Jiao Tong University, Shanghai, China</t>
  </si>
  <si>
    <t>Background Subjective well-being (SWB), also known as happiness, plays an important role in evaluating both mental and physical health. Adolescents deserve specific attention because they are under a great variety of stresses and are at risk for mental disorders during adulthood. Aim The present paper aims to predict undergraduate students' SWB by machine learning method. Methods Gradient Boosting Classifier which was an innovative yet validated machine learning approach was used to analyse data from 10 518 Chinese adolescents. The online survey included 298 factors such as depression and personality. Quality control procedure was used to minimise biases due to online survey reports. We applied feature selection to achieve the balance between optimal prediction and result interpretation. Results The top 20 happiness risks and protective factors were finally brought into the predicting model. Approximately 90% individuals' SWB can be predicted correctly, and the sensitivity and specificity were about 92% and 90%, respectively. Conclusions This result identifies at-risk individuals according to new characteristics and established the foundation for adolescent prevention strategies. © Author(s) (or their employer(s)) 2019. Re-use permitted under CC BY-NC. No commercial re-use. See rights and permissions. Published by BMJ.</t>
  </si>
  <si>
    <t>adolescent; machine learning; prediction; subjective well-being</t>
  </si>
  <si>
    <t>Hoyt, L.T., Chase-Lansdale, P.L., McDade, T.W., Positive youth, healthy adults: Does positive well-being in adolescence predict better perceived health and fewer risky health behaviors in young adulthood (2012) J Adolesc Health, 50, pp. 66-73; Johnson, D., Dupuis, G., Piche, J., Adult mental health outcomes of adolescent depression: A systematic review (2018) Depress Anxiety, 35, pp. 700-716; Acharya, L., Jin, L., Collins, W., College life is stressful today-Emerging stressors and depressive symptoms in college students (2018) J Am Coll Health, 66, pp. 655-664; Horgan, A., Kelly, P., Goodwin, J., Aine, H., Peter, K., John, G., Depressive symptoms and suicidal ideation among Irish undergraduate college students (2018) Issues Ment Health Nurs, 39, pp. 1-10; Ithnain, N., Ghazali, S.E., Jaafar, N., Relationship between smartphone addiction with anxiety and depression among undergraduate students in Malaysia (2018) International Journal of Health Science Research, 8, pp. 163-171; Kay, N., Li, K., Xiao, X., Hopelessness and suicidal behavior among Chinese, Thai and Korean college students and predictive effects of the world health organization's whoqol-bref (2009) Int Electron J Health Educ, 12, pp. 16-32; Uglesi, B., Lasi, D., Zuljan-Cvitanovi, M., Prevalence of depressive symptoms among college students and the influence of sport activity (2014) Coll Antropol, 38, pp. 235-239; Wolanin, A., Hong, E., Marks, D., Prevalence of clinically elevated depressive symptoms in college athletes and differences by gender and sport (2016) Br J Sports Med, 50, pp. 167-171; Ibrahim, A.K., Kelly, S.J., Adams, C.E., A systematic review of studies of depression prevalence in university students (2013) J Psychiatr Res, 47, pp. 391-400; Diener, E., Scollon, C.N., Lucas, R.E., The evolving concept of subjective well-being: The multifaceted nature of Happiness (2003) Advances in Cell Aging and Gerontology, 15, pp. 187-219; Robertson, S., Davies, M., Winefield, H., Why weight for Happiness correlates of BMI and SWB in Australia (2015) Obes Res Clin Pract, 9, pp. 609-612; Kido, T., Swan, M., Machine Learning and Personal Genome Informatics Contribute to Happiness Sciences and Wellbeing Computing 2016; Jaques, N., Taylor, S., Azaria, A., Predicting students' happiness from physiology, phone, mobility, and behavioral data (2015) International Conference on Affective Computing and Intelligent Interaction, pp. 222-228; Bogomolov, A., Lepri, B., Pianesi, F., (2014) Happiness Recognition from Mobile Phone Data; Saputri, T.R.D., Lee, S.-W., A study of cross-national differences in Happiness factors using machine learning approach (2015) International Journal of Software Engineering and Knowledge Engineering, 25, pp. 1699-1702; Jatupaiboon, N., Pan-Ngum, S., Israsena, P., Real-time eegbased happiness detection system (2013) ScientificWorldJournal, 2013, pp. 1-12; Dietterich, T.G., Ensemble methods in machine learning (2005) Proc MCS'2000, Lect Notes Comput Sci, 1857; Rokach, L., Ensemble-based classifiers (2010) Artif Intell Rev, 33, pp. 1-39; Friedman, J.H., 1999 Reitz lecture greedy Funtion approximation: A gradient boosting machine (2001) The Annals of Statistics, 29, pp. 1189-1232; Ford, T.E., Lappi, S.K., Holden, C.J., Personality, humor styles and happiness: Happy people have positive humor styles (2016) Eur. J. Psychol, 12, pp. 320-337; Hills, P., Argyle, M., The Oxford Happiness questionnaire: A compact scale for the measurement of psychological well-being (2002) Pers Individ Dif, 33, pp. 1073-1082; Cheng, H., Furnham, A., Personality, self-esteem, and demographic predictions of Happiness and depression (2003) Pers Individ Dif, 34, pp. 921-942; Ford, B.Q., Shallcross, A.J., Mauss, I.B., Desperately seeking Happiness: Valuing Happiness is associated with symptoms and diagnosis of depression (2014) J Soc Clin Psychol, 33, pp. 890-905; Cai, N., Bigdeli, T.B., Kretzschmar, W., Sparse whole-genome sequencing identifies two loci for major depressive disorder (2015) Nature, 523, pp. 588-591; Okbay, A., Baselmans, B.M.L., De Neve, J.-E., Genetic variants associated with subjective well-being, depressive symptoms, and neuroticism identified through genome-wide analyses (2016) Nat Genet, 48, pp. 624-633; Fava, G.A., Cosci, F., Guidi, J., Well-Being therapy in depression: New insights into the role of psychological well-being in the clinical process (2017) Depress Anxiety, 34, pp. 801-808; González, G.J.L., Jiménez, B.M., Hernández, E.G., Personality and subjective well-being: Big five correlates and demographic variables (2005) Pers Individ Dif, 38, pp. 1561-1569; Costa, P.T., McCrae, R.R., Influence of extraversion and neuroticism on subjective well-being: Happy and unhappy people (1980) J Pers Soc Psychol, 38, pp. 668-678; Mihaly, C., (1990) Flow: The Psychology of Optimal Experience, , New York: Harper Collins; Seifert, T., Hedderson, C., Intrinsic motivation and flow in Skateboarding: An ethnographic study (2010) J Happiness Stud, 11, pp. 277-292</t>
  </si>
  <si>
    <t>BMJ Publishing Group</t>
  </si>
  <si>
    <t>2517729X</t>
  </si>
  <si>
    <t>2-s2.0-85072182666</t>
  </si>
  <si>
    <t>Prediction of adolescent subjective well-being: a machine learning approach</t>
  </si>
  <si>
    <t>Novielli N., Mazzotta I., De Carolis B., Pizzutilo S.</t>
  </si>
  <si>
    <t>23390593000;14035662000;57213789426;6602618240;</t>
  </si>
  <si>
    <t>Analysing user's reactions in advice-giving dialogues with a socially intelligent ECA</t>
  </si>
  <si>
    <t>Cognitive Processing</t>
  </si>
  <si>
    <t>SUPPL. 2</t>
  </si>
  <si>
    <t>S487</t>
  </si>
  <si>
    <t>S497</t>
  </si>
  <si>
    <t>10.1007/s10339-011-0420-1</t>
  </si>
  <si>
    <t>https://www.scopus.com/inward/record.uri?eid=2-s2.0-84874444884&amp;doi=10.1007%2fs10339-011-0420-1&amp;partnerID=40&amp;md5=450a3b88573d3e0d6285aae5d5e931ea</t>
  </si>
  <si>
    <t>Intelligent Interfaces, Department of Informatics, University of Bari, Via Orabona 4, 70126 Bari, Italy</t>
  </si>
  <si>
    <t>Novielli, N., Intelligent Interfaces, Department of Informatics, University of Bari, Via Orabona 4, 70126 Bari, Italy; Mazzotta, I., Intelligent Interfaces, Department of Informatics, University of Bari, Via Orabona 4, 70126 Bari, Italy; De Carolis, B., Intelligent Interfaces, Department of Informatics, University of Bari, Via Orabona 4, 70126 Bari, Italy; Pizzutilo, S., Intelligent Interfaces, Department of Informatics, University of Bari, Via Orabona 4, 70126 Bari, Italy</t>
  </si>
  <si>
    <t>In this paper, we investigate the user's reactions to received suggestion by an Embodied Conversational Agent playing the role of artificial therapist in the healthy eating domain. Specifically, we analyse the behaviour of people who voluntarily requested to receive information from the agent, and we compare it with the results of a previous evaluation experiment in which subjects were not properly motivated to interact with the agent because they were selected for evaluating the system. This study is part of an ongoing research aimed at developing an intelligent virtual agent that applies natural argumentation techniques to persuade the users to improve their eating habits. © Marta Olivetti Belardinelli and Springer-Verlag 2012.</t>
  </si>
  <si>
    <t>Analysis of user behaviour; Human computer interaction; Natural language user interfaces; User's reaction to persuasion</t>
  </si>
  <si>
    <t>article; artificial intelligence; artificial therapist; behavior; controlled study; eating habit; embodied conversational agent; evaluation study; health promotion; human; human computer interaction; human experiment; intelligent virtual agent; motivation; priority journal; response time; social attitude; adult; computer interface; emotional intelligence; female; male; persuasive communication; Adult; Artificial Intelligence; Emotional Intelligence; Female; Humans; Male; Persuasive Communication; User-Computer Interface</t>
  </si>
  <si>
    <t>Andersen, P.A., Guerrero, L.K., (1998) Handbook of Communication and Emotions. Research, Theory, Applications and Contexts, , Academic Press, New York; Austin, J.L., (1962) How to Do Things with Words, 2nd Edn, , Harvard University Press, Cambridge (Mass) - Paperback; Bickmore, T., (2003) Relational Agents: Effecting Change Through Human-computer Relationships, , PhD Thesis, Media Arts &amp; Sciences, Massachusetts Institute of Technology; Bickmore, T., Cassell, J., Social dialogue with embodied conversational agents (2005) Advances in Natural, Multimodal Dialogue Systems, , van Kuppevelt J, Dybkjaer L, Bernsen N (eds) Kluwer Academic, New York; Cassell, J., Joseph, S., Sott, P., Churchill, E., (2000) Embodied Conversational Agents, , The MIT Press, Cambridge. ISBN 0-262-03278-3; Clarizio, G., Mazzotta, I., Novielli, N., De Rosis, F., Social attitude towards a conversational character (2006) Proceedings of the 15th IEEE International Symposium on Robot and Human Interactive Communication; Cohen, P.R., Levesque, H.J., Intention is choice with commitment (1990) Artif Intell, 42, pp. 213-261; Dahlback, N., Joensson, A., Ahrenberg, L., Wizard of Oz studies: Why and how (1993) Proceedings ACM International Workshop on Intelligent User Interfaces, pp. 193-200. , ACM Press, New York; Darves, C., Oviatt, S., Adaptation of users' spoken dialogue patterns in a conversational interface (2002) Proceedings of the 7th International Conference on Spoken Language Processing (ICSLP2002), , Hansen J, Pellom B (eds); De Rosis, F., Novielli, N., Carofiglio, V., Cavalluzzi, A., De Carolis, B., User modeling and adaptation in health promotion dialogs with an animated character (2006) J Biomed Inform, Special Issue on 'Dialog Systems for Health Communications', 39 (5), pp. 514-531; De Rosis, F., Batliner, A., Novielli, N., Steidl, S., 'You are Sooo cool, valentina!' recognizing social attitude in speech-based dialogues with an ECA (2007) LNCS, 4738, pp. 179-190. , Paiva A, Picard R, Prada R (eds) Affective computing and intelligent interaction, springer ISBN 978-3-540-74888-5, ISSN: 0302-9743 (Print) 1611-3349 (Online), doi:10.1007/978-3-540-74889-2-17; Gill, A.J., Oberlander, J., Taking care of the linguistic features of extraversion (2002) Proceedings of the 24th Annual Conference of the Cognitive Science Society, pp. 363-368. , Gray W, Schunn C (eds); Graesser, A., Wiemer-Hastings, P., Wiemer-Hastings, K., Harter, N.D., Person, Using latent semantic analysis to evaluate the contributions of students in AutoTutor (2000) Interact Learn Environ, 8 (2), pp. 129-147. , the Tutoring Research Group; Kibble, R., Dialectical text planning (2006) Proceedings of CMNA 2006. In the Scope of ECAI; Landauer, T.K., Dumais, S.T., A solution to Plato's problem: The latent semantic analysis theory of the acquisition, induction, and representation of knowledge (1997) Psycholog Rev, 104, pp. 211-240; Mann, W.C., Matthiesen, C.M., Thompson, S.A., Rhetorical structure theory and text analysis (1989) Information Sciences Institute Research Report, pp. 89-242. , ISI/RR-89-242; Marsella, S.C., Johnson, W.L., La Bore, C.M., Interactive pedagogical drama for health interventions (2003) Artificial Intelligence in Education: Shaping the Future of Learning Through Intelligent Technologies, pp. 341-348. , Hoppe U (ed) Amsterdam, IOS Press; Mazzotta, I., Novielli, N., Silvestri, V., De Rosis, F., 'O Francesca, ma che sei grulla?' Emotions and irony in persuasion dialogues (2007) Proceedings of the 10th Congress of the Italian Association for Artificial Intelligence on AI*IA 2007: Artificial Intelligence and Human-oriented Computing (AI*IA '07), pp. 602-613. , Basili R, Pazienza MT (eds) Springer, Berlin; Mazzotta, I., De Rosis, F., Carofiglio, V., Portia: A user-adapted persuasion system in the healthy-eating domain (2007) IEEE Intell Syst, 22 (6), pp. 42-51. , ISSN:1541-1672; Miceli, M., De Rosis, F., Poggi, I., Emotional and non emotional persuasion (2006) Appl Artif Intell Int J, 20 (10), pp. 849-880; Nass, C., Isbister, K., Lee, E.J., Truth is beauty: Researching embodied conversational agents (2000) Embodied Conversational Agents, pp. 374-402. , Cassell J, Prevost S, Sullivan J, Churchill E (eds) The MIT Press, Cambridge; Novielli, N., Strapparava, C., Exploring the lexical semantics of dialogue acts (2010) J Comput Linguist Appl, 1 (1-2), pp. 9-26. , ISSN 0976-0962; Novielli, N., De Rosis, F., Mazzotta, I., User attitude towards an embodied conversational agent: Effects of the interaction mode (2010) J Pragmat, 42 (9), pp. 2385-2397. , ISSN: 0378-2166; O'Keefe, D.J., (2002) Persuasion: Theory and Research, 2nd Edn, , Sage Publications Inc., Beverly Hills; Oviatt, S., Adams, B., Designing and evaluating conversational interfaces with animated characters (2001) Embodied Conversational Agents, pp. 319-345. , MIT Press, Cambridge; Oviatt, S.L., Cohen, P.R., Wang, M., Towards interface design for human language technology: Modality and structure as determinants of linguistic complexity (1994) Speech Commun, 15, pp. 283-300; Polhemus, L., Shih, L.-F., Swan, K., Virtual interactivity: The representation of social presence in an on line discussion (2001) Proceedings of the Annual Meeting of the American Educational Research Association, Seattle; Prakken, H., Formal systems for persuasion dialogue (2006) Knowl Eng Rev, 21, pp. 163-188; Scherer, K.R., Wranik, T., Sangsue, J., Tran, V., Scherer, U., Emotions in everyday life: Probability of occurrence, risk factors, appraisal and reaction patterns (2004) Social Science Information, 43 (4), pp. 499-570. , DOI 10.1177/0539018404047701; Searle, J.R., A taxonomy of illocutionary acts (1975) Language, Mind and Knowledge, Minnesota Studies in the Philosophy of Science, Minnesota, pp. 344-369; Swan, K., Immediacy, social presence and asynchronous discussion (2002) Elements of Quality Online Education, 3, pp. 157-172. , Bourne J, Moore JC (eds) Sloan Center For Online Education, Nedham, MA; Verheij, B., Dialectical argumentation with argumentation schemes: An approach to legal logic (2003) Artif Intell Law, 11 (2-3), pp. 167-195; Walton, D.N., What is reasoning? What is an argument? (1990) J Philos, 87 (8), pp. 399-419; Walton, D.N., (1996) Argumentation Schemes for Presumptive Reasoning, , Erlbaum, Mahwah; Walton, D., How to make and defend a proposal in a deliberation dialogue (2006) Artif Intell Law, 14 (3), pp. 177-239; Walton, D., Godden, D., The nature and status of critical questions in argumentation schemes. The uses of argument (2005) Proceedings of a Conference at McMaster University, pp. 476-484. , Hitchcock D, Farr D (eds) Ontario Society for the Study of Argumentation; Walton, D., Gordon, T.S., Critical questions in computational model of legacy argument, IAAIL workshop series, international workshop on argumentation (2005) Artificial Intelligence and Law, pp. 103-111. , Dunne PE, Bench-Capon T (eds) Wolf Legal Publishers, Nijmegen; Walton, D., Reed, C., Diagramming, argumentation schemes and critical questions (2003) Anyone Who Has a View: Theoretical Contributions to the Study of Argumentation, pp. 195-211. , van Eemeren FH et al (eds) Kluwer, Dordrecht; Zimmerman, J., Ayoob, E., Forlizzi, J., McQuaid, M., Putting a face on embodied interface agents (2005) Proceedings of the Conference on Designing Pleasurable Products and Interfaces, pp. 233-248. , Eindhoven Technical University Press</t>
  </si>
  <si>
    <t>16124782</t>
  </si>
  <si>
    <t>Cogn. Process.</t>
  </si>
  <si>
    <t>2-s2.0-84874444884</t>
  </si>
  <si>
    <t>Analysing user's reactions in advice-giving dialogues with a socially intelligent eca</t>
  </si>
  <si>
    <t>AlZu’bi S., Abu Zitar R., Hawashin B., Abu Shanab S., Zraiqat A., Mughaid A., Almotairi K.H., Abualigah L.</t>
  </si>
  <si>
    <t>57203174448;8858522100;23567981500;57903286900;55617591500;57209223613;24773042400;57190984712;</t>
  </si>
  <si>
    <t>A Novel Deep Learning Technique for Detecting Emotional Impact in Online Education</t>
  </si>
  <si>
    <t>2964</t>
  </si>
  <si>
    <t>10.3390/electronics11182964</t>
  </si>
  <si>
    <t>https://www.scopus.com/inward/record.uri?eid=2-s2.0-85138619184&amp;doi=10.3390%2felectronics11182964&amp;partnerID=40&amp;md5=1ee4b9d05a78cc4667bdd23f76ea0f23</t>
  </si>
  <si>
    <t>Faculty of Science and IT, Al-Zaytoonah University of Jordan, Amman, 11733, Jordan; Sorbonne Center of Artificial Intelligence, Sorbonne University-Abu Dhabi, Abu Dhabi, 38044, United Arab Emirates; Department of Information Technology, Faculty of Prince Al-Hussien bin Abdullah II for IT, The Hashemite University, Zarqa, 13133, Jordan; Computer Engineering Department, Computer and Information Systems College, Umm Al-Qura University, Makkah, 21955, Saudi Arabia; Hourani Center for Applied Scientific Research, Al-Ahliyya Amman University, Amman, 19328, Jordan; Faculty of Information Technology, Middle East University, Amman, 11831, Jordan</t>
  </si>
  <si>
    <t>AlZu’bi, S., Faculty of Science and IT, Al-Zaytoonah University of Jordan, Amman, 11733, Jordan; Abu Zitar, R., Sorbonne Center of Artificial Intelligence, Sorbonne University-Abu Dhabi, Abu Dhabi, 38044, United Arab Emirates; Hawashin, B., Faculty of Science and IT, Al-Zaytoonah University of Jordan, Amman, 11733, Jordan; Abu Shanab, S., Faculty of Science and IT, Al-Zaytoonah University of Jordan, Amman, 11733, Jordan; Zraiqat, A., Faculty of Science and IT, Al-Zaytoonah University of Jordan, Amman, 11733, Jordan; Mughaid, A., Department of Information Technology, Faculty of Prince Al-Hussien bin Abdullah II for IT, The Hashemite University, Zarqa, 13133, Jordan; Almotairi, K.H., Computer Engineering Department, Computer and Information Systems College, Umm Al-Qura University, Makkah, 21955, Saudi Arabia; Abualigah, L., Hourani Center for Applied Scientific Research, Al-Ahliyya Amman University, Amman, 19328, Jordan, Faculty of Information Technology, Middle East University, Amman, 11831, Jordan</t>
  </si>
  <si>
    <t>Emotional intelligence is the automatic detection of human emotions using various intelligent methods. Several studies have been conducted on emotional intelligence, and only a few have been adopted in education. Detecting student emotions can significantly increase productivity and improve the education process. This paper proposes a new deep learning method to detect student emotions. The main aim of this paper is to map the relationship between teaching practices and student learning based on emotional impact. Facial recognition algorithms extract helpful information from online platforms as image classification techniques are applied to detect the emotions of student and/or teacher faces. As part of this work, two deep learning models are compared according to their performance. Promising results are achieved using both techniques, as presented in the Experimental Results Section. For validation of the proposed system, an online course with students is used; the findings suggest that this technique operates well. Based on emotional analysis, several deep learning techniques are applied to train and test the emotion classification process. Transfer learning for a pre-trained deep neural network is used as well to increase the accuracy of the emotion classification stage. The obtained results show that the performance of the proposed method is promising using both techniques, as presented in the Experimental Results Section. © 2022 by the authors.</t>
  </si>
  <si>
    <t>computer vision; deep learning; emotional intelligence; intelligent education; online education; transfer learning</t>
  </si>
  <si>
    <t>Walker, S.A., Double, K.S., Kunst, H., Zhang, M., MacCann, C., Emotional intelligence and attachment in adulthood: A meta-analysis (2022) Personal. Individ. Differ, 184, p. 111174; Ghanem, B., Rosso, P., Rangel, F., An emotional analysis of false information in social media and news articles (2020) ACM Trans. Internet Technol. (TOIT), 20, pp. 1-18; Radlak, K., Smolka, B., A novel approach to the eye movement analysis using a high speed camera (2012) Proceedings of the 2012 2nd International Conference on Advances in Computational Tools for Engineering Applications (ACTEA), pp. 145-150. , Beirut, Lebanon, 12–15 December 2012, IEEE, Piscataway, NJ, USA; Whitehill, J., Serpell, Z., Lin, Y.C., Foster, A., Movellan, J.R., The faces of engagement: Automatic recognition of student engagementfrom facial expressions (2014) IEEE Trans. Affect. Comput, 5, pp. 86-98; Olsson, A., Ochsner, K.N., The role of social cognition in emotion (2008) Trends Cogn. Sci, 12, pp. 65-71. , 18178513; Sandbach, G., Zafeiriou, S., Pantic, M., Yin, L., Static and dynamic 3D facial expression recognition: A comprehensive survey (2012) Image Vis. Comput, 30, pp. 683-697; Motley, M.T., Camden, C.T., Facial expression of emotion: A comparison of posed expressions versus spontaneous expressions in an interpersonal communication setting (1988) West. J. Commun. (Includes Commun. Rep.), 52, pp. 1-22; Brown, S.P., Lam, S.K., A meta-analysis of relationships linking employee satisfaction to customer responses (2008) J. Retail, 84, pp. 243-255; Park, E., Jang, Y., Kim, J., Jeong, N.J., Bae, K., Del Pobil, A.P., Determinants of customer satisfaction with airline services: An analysis of customer feedback big data (2019) J. Retail. Consum. Serv, 51, pp. 186-190; Lou, Y., Zhang, Y., Li, F., Qian, T., Ji, D., Emoji-based sentiment analysis using attention networks (2020) Acm Trans. Asian -Low-Resour. Lang. Inf. Process. (TALLIP), 19, pp. 1-13; Rodrigo-Ruiz, D., Effect of teachers’ emotions on their students: Some evidence (2016) J. Educ. Soc. Policy, 3, pp. 73-79; Wang, M., Deng, W., Deep face recognition: A survey (2021) Neurocomputing, 429, pp. 215-244; Adjabi, I., Ouahabi, A., Benzaoui, A., Taleb-Ahmed, A., Past, Present, and Future of Face Recognition: A Review (2020) Electronics, 9; Abualigah, L., Kareem, N.K., Omari, M., Elaziz, M.A., Gandomi, A.H., Survey on Twitter Sentiment Analysis: Architecture, Classifications, and Challenges (2021) Deep Learning Approaches for Spoken and Natural Language Processing, pp. 1-18. , Springer, Berlin/Heidelberg, Germany; Abualigah, L., Alfar, H.E., Shehab, M., Hussein, A.M.A., Sentiment analysis in healthcare: A brief review (2020) Recent Advances in NLP: The Case of Arabic Language, pp. 129-141; Ransan-Cooper, H., Lovell, H., Watson, P., Harwood, A., Hann, V., Frustration, confusion and excitement: Mixed emotional responses to new household solar-battery systems in Australia (2020) Energy Res. Soc. Sci, 70, p. 101656; Solomon, R.C., On emotions as judgments (1988) Am. Philos. Q, 25, pp. 183-191; Torre, J.B., Lieberman, M.D., Putting feelings into words: Affect labeling as implicit emotion regulation (2018) Emot. Rev, 10, pp. 116-124; Zhang, J., Chen, K., Zheng, J., Facial expression retargeting from human to avatar made easy (2020) IEEE Trans. Vis. Comput. Graph, 28, pp. 1274-1287; Yagi, S., Nakata, Y., Nakamura, Y., Ishiguro, H., Can an android’s posture and movement discriminate against the ambiguous emotion perceived from its facial expressions? (2021) PLoS ONE, 16; He, Y., Choi, C.Y., A Study of Facial Expression of Digital Character with Muscle Simulation System (2019) Int. J. Adv. Smart Converg, 8, pp. 162-169; Alzubi, S., Hawashin, B., Mughaid, A., Jararweh, Y., Whats Trending? An Efficient Trending Research Topics Extractor and Recommender (2020) Proceedings of the 2020 11th International Conference on Information and Communication Systems (ICICS), pp. 191-196. , Virtual, 7–9 April 2020, IEEE, Piscataway, NJ, USA; Corcoran, R.P., Cheung, A.C., Kim, E., Xie, C., Effective universal school-based social and emotional learning programs for improving academic achievement: A systematic review and meta-analysis of 50 years of research (2018) Educ. Res. Rev, 25, pp. 56-72; Chen, C.H., Yang, Y.C., Revisiting the effects of project-based learning on students’ academic achievement: A meta-analysis investigating moderators (2019) Educ. Res. Rev, 26, pp. 71-81; Ekman, P., Friesen, W.V., Facial action coding system (1978) Environ. Psychol. Nonverbal Behav; Littlewort, G., Whitehill, J., Wu, T., Fasel, I., Frank, M., Movellan, J., Bartlett, M., The computer expression recognition toolbox (CERT) (2011) Proceedings of the 2011 IEEE International Conference on Automatic Face &amp; Gesture Recognition (FG), pp. 298-305. , Santa Barbara, CA, USA, 21–25 March 2011, IEEE, Piscataway, NJ, USA; Hewson, E.R., Students’ emotional engagement, motivation and behaviour over the life of an online course: Reflections on two market research case studies (2018) J. Interact. Media Educ, 1; Bieniek-Tobasco, A., McCormick, S., Rimal, R.N., Harrington, C.B., Shafer, M., Shaikh, H., Communicating climate change through documentary film: Imagery, emotion, and efficacy (2019) Clim. Chang, 154, pp. 1-18; Hong, W., Bernacki, M.L., Perera, H.N., A latent profile analysis of undergraduates’ achievement motivations and metacognitive behaviors, and their relations to achievement in science (2020) J. Educ. Psychol, 112, p. 1409; Anis, M.Z.A., Susanto, H., Mardiani, F., Analysis of the Effectiveness of MPBH: The Mains of Mandai as a Saving Food in Banjarmasin Community (2021) Proceedings of the 2nd International Conference on Social Sciences Education (ICSSE 2020), pp. 89-94. , Virtually, 24-27 September 2020, Atlantis Press, Amsterdam, The Netherlands; Danişman, Ş., Güler, M., Karadağ, E., The Effect of Teacher Characteristics on Student Achievement: A Meta-Analysis Study (2019) Croat. J. Educ, 21, pp. 1367-1398; Smale-Jacobse, A.E., Meijer, A., Helms-Lorenz, M., Maulana, R., Differentiated instruction in secondary education: A systematic review of research evidence (2019) Front. Psychol, 10, p. 2366; Bitler, M., Corcoran, S., Domina, T., Penner, E., Teacher Effects on Student Achievement and Height: A Cautionary Tale. NBER Working Paper No. 26480 (2019) Natl. Bur. Econ. Res, 14, pp. 900-924; Abdallah, M., Jaber, K.M., Salah, M., Jawad, M.A., AlQbailat, N., Abdalla, A., An E-learning Portal Quality Model: From Al-Zaytoonah University Students’ Perspective (2021) Proceedings of the 2021 International Conference on Information Technology (ICIT), pp. 553-557. , Amman, Jordan, 14–15 July 2021, IEEE, Piscataway, NJ, USA; Jaber, K.M., Abduljawad, M., Ahmad, A., Abdallah, M., Salah, M., Alhindawi, N., E-learning Mobile Application Evaluation: Al-Zaytoonah University as a Case Study (2021) Int. J. Adv. Soft Comput. Its Appl, 3, p. 13; Maqableh, M., Alia, M., Evaluation online learning of undergraduate students under lockdown amidst COVID-19 Pandemic: The online learning experience and students’ satisfaction (2021) Child. Youth Serv. Rev, 128, p. 106160; H’mida, C., Kalyuga, S., Souissi, N., Rekik, G., Jarraya, M., Khacharem, A., Is the human movement effect stable over time? The effects of presentation format on acquisition and retention of a motor skill (2022) J. Comput. Assist. Learn, 38, pp. 167-177; Nikam, R.D., Lee, J., Choi, W., Banerjee, W., Kwak, M., Yadav, M., Hwang, H., Ionic Sieving Through One-Atom-Thick 2D Material Enables Analog Nonvolatile Memory for Neuromorphic Computing (2021) Small, 17, p. 2103543. , 34596963; Marini, M., Ansani, A., Paglieri, F., Caruana, F., Viola, M., The impact of facemasks on emotion recognition, trust attribution and re-identification (2021) Sci. Rep, 11, pp. 1-14. , 33692417; Gupta, V., Jain, N., Katariya, P., Kumar, A., Mohan, S., Ahmadian, A., Ferrara, M., An emotion care model using multimodal textual analysis on COVID-19 (2021) Chaos Solitons Fractals, 144, p. 110708; Indira, D., An Enhanced CNN-2D for Audio-Visual Emotion Recognition (AVER) Using ADAM Optimizer (2021) Turk. J. Comput. Math. Educ. (TURCOMAT), 12, pp. 1378-1388; Fei, Z., Yang, E., Li, D.D.U., Butler, S., Ijomah, W., Li, X., Zhou, H., Deep convolution network based emotion analysis towards mental health care (2020) Neurocomputing, 388, pp. 212-227; McDuff, D., Rowan, K., Choudhury, P., Wolk, J., Pham, T., Czerwinski, M., A multimodal emotion sensing platform for building emotion-aware applications (2019) arXiv, , 1903.12133; Jain, N., Gupta, V., Shubham, S., Madan, A., Chaudhary, A., Santosh, K., Understanding cartoon emotion using integrated deep neural network on large dataset (2021) Neural Comput. Appl, pp. 1-21; Patel, F., Patel, N., Bharti, S.K., Lie-Sensor: A Live Emotion Verifier or a Licensor for Chat Applications using Emotional Intelligence (2021) arXiv, , 2102.11318; Costache, A., Popescu, D., Emotion Sketches: Facial Expression Recognition in Diversity Groups (2021) Sci. Bull, 83, pp. 29-40; Kim, C.M., Kim, K.H., Lee, Y.S., Chung, K., Park, R.C., Real-time streaming image based PP2LFA-CRNN model for facial sentiment analysis (2020) IEEE Access, 8, pp. 199586-199602; Zamani, H., Abas, A., Amin, M., Eye tracking application on emotion analysis for marketing strategy (2016) J. Telecommun. Electron. Comput. Eng. (JTEC), 8, pp. 87-91; Qamar, S., Mujtaba, H., Majeed, H., Beg, M.O., Relationship identification between conversational agents using emotion analysis (2021) Cogn. Comput, 13, pp. 673-687; Sonawane, B., Sharma, P., Review of automated emotion-based quantification of facial expression in Parkinson’s patients (2021) Vis. Comput, 37, pp. 1151-1167; Garcia-Garcia, J.M., Penichet, V.M., Lozano, M.D., Fernando, A., Using emotion recognition technologies to teach children with autism spectrum disorder how to identify and express emotions (2021) Univers. Access Inf. Soc, pp. 1-17; Chen, W., Wang, J., Yu, F., He, J., Xu, W., Wang, R., Effects of emotion on the evolution of cooperation in a spatial prisoner’s dilemma game (2021) Appl. Math. Comput, 411, p. 126497; Pizarro, R., Bekios-Calfa, J., Emotion recognition using multimodal matchmap fusion and multi-task learning (2021) Iet Digit. Libr; Khaireddin, Y., Chen, Z., Facial emotion recognition: State of the art performance on FER2013 (2021) arXiv, , 2105.03588; Alzu’bi, S., Badarneh, O., Hawashin, B., Al-Ayyoub, M., Alhindawi, N., Jararweh, Y., Multi-label emotion classification for Arabic tweets (2019) Proceedings of the 2019 Sixth International Conference on Social Networks Analysis, Management and Security (SNAMS), pp. 499-504. , Granada, Spain, 22–25 October 2019, IEEE, Piscataway, NJ, USA; Kozareva, Z., Navarro, B., Vázquez, S., Montoyo, A., UA-ZBSA: A headline emotion classification through web information Proceedings of the Fourth International Workshop on Semantic Evaluations (SemEval-2007), pp. 334-337. , Prague, Czech Republic, 23–24 June 2007; Hatzivassiloglou, V., McKeown, K., Predicting the semantic orientation of adjectives Proceedings of the 35th Annual Meeting of the Association for Computational Linguistics and 8th Conference of the European Chapter of the Association for Computational Linguistics, pp. 174-181. , Madrid, Spain, 7–12 July 1997; Chaffar, S., Inkpen, D., Using a heterogeneous dataset for emotion analysis in text (2011) Canadian Conference on Artificial Intelligence, pp. 62-67. , Springer, Berlin/Heidelberg, Germany; Jayalekshmi, J., Mathew, T., Facial expression recognition and emotion classification system for sentiment analysis (2017) Proceedings of the 2017 International Conference on Networks &amp; Advances in Computational Technologies (NetACT), pp. 1-8. , Thiruvananthapuram, India, 20–22 July 2017, IEEE, Piscataway, NJ, USA; Song, Z., Facial Expression Emotion Recognition Model Integrating Philosophy and Machine Learning Theory (2021) Front. Psychol, 12; Koolagudi, S.G., Rao, K.S., Emotion recognition from speech: A review (2012) Int. J. Speech Technol, 15, pp. 99-117; Wang, S., Online Learning Behavior Analysis Based on Image Emotion Recognition (2021) Trait. Signal, p. 38; Mills, K., Creedy, D.K., Sunderland, N., Allen, J., Examining the transformative potential of emotion in education: A new measure of nursing and midwifery students’ emotional learning in first peoples’ cultural safety (2021) Nurse Educ. Today, 100, p. 104854. , 33713988; Ali, M., Mosa, A.H., Al Machot, F., Kyamakya, K., EEG-based emotion recognition approach for e-healthcare applications (2016) Proceedings of the 2016 Eighth International Conference on Ubiquitous and Future Networks (Icufn), pp. 946-950. , Vienna, Austria, 5–8 July 2016, IEEE, Piscataway, NJ, USA; Moroto, Y., Maeda, K., Ogawa, T., Haseyama, M., Human Emotion Estimation Using Multi-Modal Variational AutoEncoder with Time Changes (2021) Proceedings of the 2021 IEEE 3rd Global Conference on Life Sciences and Technologies (LifeTech), pp. 67-68. , Nara, Japan, 9–11 March 2021, IEEE, Piscataway, NJ, USA; Sharma, P., Joshi, S., Gautam, S., Maharjan, S., Filipe, V., Reis, M.J., Student engagement detection using emotion analysis, eye tracking and head movement with machine learning (2019) arXiv, , 1909.12913; Danandeh Mehr, A., Rikhtehgar Ghiasi, A., Yaseen, Z.M., Sorman, A.U., Abualigah, L., A novel intelligent deep learning predictive model for meteorological drought forecasting (2022) J. Ambient. Intell. Humaniz. Comput, pp. 1-15; Sumari, P., Syed, S.J., Abualigah, L., A novel deep learning pipeline architecture based on CNN to detect Covid-19 in chest X-ray images (2021) Turk. J. Comput. Math. Educ. (TURCOMAT), 12, pp. 2001-2011; AlZu’bi, S., Jararweh, Y., Al-Zoubi, H., Elbes, M., Kanan, T., Gupta, B., Multi-orientation geometric medical volumes segmentation using 3d multiresolution analysis (2018) Multimed. Tools Appl, pp. 1-26; Al-Zu’bi, S., Hawashin, B., Mughaid, A., Baker, T., Efficient 3D medical image segmentation algorithm over a secured multimedia network (2021) Multimed. Tools Appl, 80, pp. 16887-16905; Hawashin, B., Aqel, D., Alzubi, S., Elbes, M., Improving recommender systems using co-appearing and semantically correlated user interests (2020) Recent Adv. Comput. Sci. Commun. (Formerly: Recent Patents Comput. Sci.), 13, pp. 240-247; AlZu’bi, S., Aqel, D., Mughaid, A., Jararweh, Y., A multi-levels geo-location based crawling method for social media platforms (2019) Proceedings of the 2019 Sixth International Conference on Social Networks Analysis, Management and Security (SNAMS), pp. 494-498. , Granada, Spain, 22–25 October 2019, IEEE, Piscataway, NJ, USA; Elbes, M., Alrawashdeh, T., Almaita, E., AlZu’bi, S., Jararweh, Y., A platform for power management based on indoor localization in smart buildings using long short-term neural networks (2020) Trans. Emerg. Telecommun. Technol, p. e3867; AlZu’bi, S., AlQatawneh, S., ElBes, M., Alsmirat, M., Transferable HMM probability matrices in multi-orientation geometric medical volumes segmentation (2019) Concurr. Comput. Pract. Exp, 32, p. e5214; Alasal, S.A., Alsmirat, M., Baker, Q.B., Alzu’bi, S., Lumbar disk 3D modeling from limited number of MRI axial slices (2020) Int. J. Electr. Comput. Eng, 10, p. 4101; Alsarayreh, M.A., Alia, M.A., Maria, K.A., A novel image steganographic system based on exact matching algorithm and key-dependent data technique (2017) J. Theor. Appl. Inf. Technol, p. 95; Alqatawneh, S., Jaber, K.M., Salah, M., Yehia, D.B., Alqatawneh, O., Employing of Object Tracking System in Public Surveillance Cameras to Enforce Quarantine and Social Distancing Using Parallel Machine Learning Techniques (2021) Int. J. Adv. Soft Comput. Its Appl, p. 13; Rezaee, H., Aghagolzadeh, A., Seyedarabi, M.H., Al Zu’bi, S., Tracking and occlusion handling in multi-sensor networks by particle filter (2011) Proceedings of the 2011 IEEE GCC Conference and Exhibition (GCC), pp. 397-400. , Dubai, United Arab Emirates, 19–22 February 2011, IEEE, Piscataway, NJ, USA; Muhairat, M., ALZu’bi, S., Hawashin, B., Elbes, M., Al-Ayyoub, M., An Intelligent Recommender System Based on Association Rule Analysis for Requirement Engineering (2020) J. Univers. Comput. Sci, 26, pp. 33-49; Lafi, M., Hawashin, B., AlZu’bi, S., Maintenance requests labeling using machine learning classification (2020) Proceedings of the 2020 Seventh International Conference on Software Defined Systems (SDS), pp. 245-249. , Paris, France, 20–23 April 2020, IEEE, Piscataway, NJ, USA; Alsmadi, A., AlZu’bi, S., Hawashin, B., Al-Ayyoub, M., Jararweh, Y., Employing deep learning methods for predicting helpful reviews (2020) Proceedings of the 2020 11th International Conference on Information and Communication Systems (ICICS), pp. 7-12. , Irbid, Jordan, 7–9 April 2020, IEEE, Piscataway, NJ, USA; Maria, K.A., Zitar, R.A., Emotional agents: A modeling and an application (2007) Inf. Softw. Technol, 49, pp. 695-716; Aqel, D., Al-Zubi, S., Mughaid, A., Jararweh, Y., Extreme learning machine for plant diseases classification: A sustainable approach for smart agriculture (2021) Clust. Comput, pp. 1-14; AlZu’bi, S., Hawashin, B., Mujahed, M., Jararweh, Y., Gupta, B.B., An efficient employment of internet of multimedia things in smart and future agriculture (2019) Multimed. Tools Appl, 78, pp. 29581-29605; Alkhatib, K., Khazaleh, H., Alkhazaleh, H.A., Alsoud, A.R., Abualigah, L., A New Stock Price Forecasting Method Using Active Deep Learning Approach (2022) J. Open Innov. Technol. Mark. Complex, 8</t>
  </si>
  <si>
    <t>2-s2.0-85138619184</t>
  </si>
  <si>
    <t>A novel deep learning technique for detecting emotional impact in online education</t>
  </si>
  <si>
    <t>Clark C.M.A., Gevorkyan A.V.</t>
  </si>
  <si>
    <t>55454827500;54905450000;</t>
  </si>
  <si>
    <t>Artificial Intelligence and Human Flourishing</t>
  </si>
  <si>
    <t>American Journal of Economics and Sociology</t>
  </si>
  <si>
    <t>79</t>
  </si>
  <si>
    <t>1307</t>
  </si>
  <si>
    <t>1344</t>
  </si>
  <si>
    <t>10.1111/ajes.12356</t>
  </si>
  <si>
    <t>https://www.scopus.com/inward/record.uri?eid=2-s2.0-85103146705&amp;doi=10.1111%2fajes.12356&amp;partnerID=40&amp;md5=897c3a7fe272971fe0a349a835a8342b</t>
  </si>
  <si>
    <t>Clark, C.M.A.; Gevorkyan, A.V.</t>
  </si>
  <si>
    <t>The polarization of the debate about artificial intelligence (AI) pulls in two mutually exclusive directions of either complete takeover of future jobs by omnipotent algorithms or an absolute bliss with robots at work while humans reap the benefits of endless vacation. Add this to conflicting views of work as either a disutility to be minimized or as an essential component in human flourishing, and it is no wonder a wide range of views are expressed on AI and human flourishing. The literature, from Smith to Keynes and beyond, offers some initial methodological guidance. Still, the true social and economic implications of an AI-type environment in production and labor markets are yet to be fully understood. This article argues that neither of the predictions are realistic. Instead, the global economy may be passing, albeit at a faster speed, through a phase of technological change, similar to those experienced before. While a nuanced balance is emerging, with an emphasis on human skills in future employment, the benefits may not be equitably distributed, as equality of opportunities for human development may not be reachable, though visible, in the AI-driven society. Hence, as firms seek efficiency gains, much weight is shifted onto governments and quasi-private entities in maintaining decent living standards conducive to human flourishing in unprecedented times of the COVID-19 pandemic. The article reviews various popular concerns and advances new public policy measures aimed at tackling some of the immediate fears of automation. © 2020 American Journal of Economics and Sociology, Inc.</t>
  </si>
  <si>
    <t>Alvaredo, F., Chancel, L., Grillet, B., Prosper, F., Terdjman, B., Veyssière, A., Korvesis, P., Vazirgianis, M., (2017) World Inequality Database, , https://wid.world/data/, In association with the, World Inequality Report, https://wir2018.wid.world/files/download/wir2018-full-report-english.pdf; Autor, D.H., Dorn, D., The Growth of Low-Skill Service Jobs and the Polarization of the US Labor Market (2013) American Economic Review, 103 (5), pp. 1553-1597; Autor, D.H., Dorn, D., Katz, L.F., Patterson, C., van Reenen, J., The Fall of the Labor Share and the Rise of Superstar Firms (2020) Quarterly Journal of Economics, 135 (2), pp. 645-709; (2014) Stephen Hawking Warns Artificial Intelligence Could End Mankind, , https://www.bbc.com/news/technology-30290540; Berg, M., (1980) The Machinery Question and the Making of Political Economy, 1815–1848, , Cambridge, UK, Cambridge University Press; Bergeaud, A., Cette, G., Lecat, R., Productivity Trends in Advanced Countries Between 1890 and 2012 (2016) Review of Income and Wealth, 62 (3), pp. 420-444; Bernard, L., Gevorkyan, A.V., Palley, T., Semmler, W., Time Scales and Mechanisms of Economic Cycles: A Review of Theories of Long Waves (2014) Review of Keynesian Economics, 2 (1), pp. 87-107; Brussevich, M., Dabla-Norris, E., Khalid, S., (2020) Who Will Bear the Brunt of Lockdown Policies? Evidence from Tele-Workability Measures Across Countries, , https://www.imf.org/en/Publications/WP/Issues/2020/06/12/Who-will-Bear-the-Brunt-of-Lockdown-Policies-Evidence-from-Tele-workability-Measures-Across-49479, IMF Working Paper WP/20/88., Washington, DC and Paris, International Monetary Fund; Burke, L., Logsdon, J.M., How Corporate Social Responsibility Pays Off (1996) Long Range Planning, 29 (4), pp. 495-502; Clark, C.M.A., (1992) Economic Theory and Natural Philosophy, , Aldershot, UK, Edward Elgar; Clark, C.M.A., What Economists Can Learn from Catholic Social Thought (2008) Storia Del Pensiero Economico Nuova serie, V (1), pp. 25-51; Clark, C.M.A., (2013) New Catholic Encyclopedia, 2, pp. 829-831. , . “Just Wage.” In, Farmington, MI, Cengage Learning; Clark, C.M.A., (2013) Giustizia e Globalizzazione: dalla Mater et Magistra alla Caritas in Veritate, pp. 314-354. , . “The Valuation and Remuneration of Work in North America Do Recent Real Wage Trends Reflect Just Wages? ” In, Vatican City, Pontifical Council of Justice and Peace; Clark, C.M.A., Where There is No Vision, Economists Will Perish (2014) Econ Journal Watch, 11 (2), pp. 136-143; Clark, C.M.A., Pope Francis and American Economics (2015) Horizons, 42 (1), pp. 128-140; Clark, C.M.A., Catholicism and Economics: Towards a ‘Deeper Reflection on the Nature of the Economy and its Purposes’ (2019) American Journal of Economics and Sociology, 78 (2), pp. 409-441; (2019) Conference Board Total Economy DatabaseTM, , https://www.conference-board.org/data/economydatabase/, April., New York, Conference Board; Danaher, J., (2019) Automation and Utopia: Human Flourishing in a World Without Work, , Cambridge, MA, Harvard University Press; Dziedzicki, K.M., Drame, I., Gevorkyan, A.V., (2020) COVID-19 Economic Response Packages: A Cross National Comparison, , https://www.hgsss.org/covid-19-economic-news/, New York, Henry George School of Social Science; Edgeworth, F.Y., (1967) Mathematical Psychics, , ([1881], New York, Augustus M. Kelley; Ellison, J., 108 Million Americans Can't Do Their Jobs from Home (2020) World Economic Forum, , https://www.weforum.org/agenda/2020/07/american-jobs-covid-19-employment, Futurity, July 3., https://www.futurity.org/us-workers-jobs-covid-19-working-at-home-2393942-2/; (2019) Address to Pontifical Academy for Life, , http://www.vatican.va/content/francesco/en/speeches/2019/february/documents/papa-francesco_20190225_plenaria-accademia-vita.html, February 25., Vatican City, Libreria Editrice Vaticana; Frey, C.B., Osborne, M., (2013) The Future of Employment: How Susceptible Are Jobs to Computerisation?, , https://www.oxfordmartin.ox.ac.uk/publications/the-future-of-employment/, Oxford Martin Working Paper., Oxford, UK, University of Oxford; Fromm, E., (1966) Marx’s Concept of Man, , New York, Frederick Ungar; Galbraith, J.K., (1958) Journey to Poland and Yugoslavia, , Cambridge, MA, Harvard University Press; Gevorkyan, A.V., Economic Crisis (2015) Wiley Encyclopedia of Management, 6. , 3rd ed., Eds., Cary L. Cooper, Markus Vodosek, Deanne den Hartog, Hoboken, NJ, Wiley-Blackwell; Gevorkyan, A.V., (2018) Transition Economies: Transformation, Development, and Society in Eastern Europe and the Former Soviet Union, , Oxford, UK, Routledge; Gevorkyan, A.V., We Need to Adapt Past Experience to the Present Situation (2020) Financial Times, , https://www.ft.com/content/ab05b430-82f1-11ea-b555-37a289098206, April 21; Gevorkyan, A.V., Semmler, W., The Taxing of the Rich: Hegel, Obama and the Rescue of the Welfare State (2013) Philosophical Problems of Social, Political, and Economic Development: Contemporary Realities, pp. 311-333. , Rostov-on-Don, Russia, Rostov Technological Institute of Services and Tourism/South Russian State University of Economics and Services; Heilbroner, R.L., The Paradox of Progress: Decline and Decay in The Wealth of Nations (1973) Journal of the History of Ideas, 34 (2), pp. 243-262; Hobsbawm, E.J., The Machine Breakers (1952) Past &amp; Present, 1 (Feb), pp. 57-70; Jevons, W.S., (1890) Pure Logic and Other Works, , London, Macmillan; (1979) Redemptor Hominis, , http://www.vatican.va/content/john-paul-ii/en/encyclicals/documents/hf_jp-ii_enc_04031979_redemptor-hominis.html, [Encyclical on “The Redeemer of Man”]. March 4., Vatican City, Libreria Editrice Vaticana; (1981) Laborem Exercens, , http://www.vatican.va/content/john-paul-ii/en/encyclicals/documents/hf_jp-ii_enc_14091981_laborem-exercens.html, [Encyclical “On Human Work”]. September 14., Vatican City, Libreria Editrice Vaticana; (1991) Centesimus Annus, , http://www.vatican.va/content/john-paul-ii/en/encyclicals/documents/hf_jp-ii_enc_01051991_centesimus-annus.html, [Encyclical on the “Hundredth Year of Rerum Novarum”]. May 1., Vatican City, Libreria Editrice Vaticana; (1999) Respect for Human Rights: The Secret of True Peace, , http://www.vatican.va/content/john-paul-ii/en/messages/peace/documents/hf_jp-ii_mes_14121998_xxxii-world-day-for-peace.html, ” World Day of Peace Message. December 14., Vatican City, Libreria Editrice Vaticana; Keynes, J.M., The General Theory of Employment (1937) Quarterly Journal of Economics, 51 (2), pp. 209-223; Keynes, J.M., Economic Possibilities for Our Grandchildren (1963) Essays in Persuasion, pp. 358-373. , ([1930], Ed., Geoffrey Keynes, New York, Harcourt Brace; Kopel, M., Brand, B., Socially Responsible Firms and Endogenous Choice of Strategic Incentives (2012) Economic Modelling, 29, pp. 982-989; Korinek, A., Stiglitz, J.E., Artificial Intelligence and its Implications for Income Distribution and Unemployment (2019) The Economics of Artificial Intelligence: An Agenda, pp. 349-390. , Eds., Ajay Agrawal, Joshua Gans, Avi Goldfarb, Chicago, University of Chicago Press; (1891) Rerum Novarum, , http://w2.vatican.va/content/leo-xiii/en/encyclicals/documents/hf_l-xiii_enc_15051891_rerum-novarum.html, [Encyclical “On the Rights and Duties of Capital and Labor”]., Vatican City, Libreria Editrice Vaticana; Marx, K., (1963) The Poverty of Philosophy, , ([1847], New York, International Publishers; Marx, K., (1976) Capital, 1. , ([1867], Trans., Ben Fowkes, London, Penguin Books; Marx, K., Engels, F., (1999) The German Ideology, , ([1932], Ed. and Trans., C. J. Arthur, New York, International Publishers; McCarthy, J., Minsky, M.L., Rochester, N., Shannon, C.E., (1955) A Proposal for the Dartmouth Summer Research Project on Artificial Intelligence, , http://www-formal.stanford.edu/jmc/history/dartmouth/dartmouth.html, Hanover, NH, Dartmouth College; (2017) A Future that Works: AI, Automation, Employment, and Productivity, , https://www.mckinsey.com/featured-insights/digital-disruption/harnessing-automation-for-a-future-that-works/de-de, New York, McKinsey Global Institute; (2017) Jobs Lost, Jobs Gained: What the Future of Work Will Mean for Jobs, Skills, and Wages, , https://www.mckinsey.com/featured-insights/future-of-work/jobs-lost-jobs-gained-what-the-future-of-work-will-mean-for-jobs-skills-and-wages, New York, McKinsey Global Institute; (2019) Global AI Survey: AI Proves its Worth, But Few Scale Impact, , https://www.mckinsey.com/featured-insights/artificial-intelligence/global-ai-survey-ai-proves-its-worth-but-few-scale-impact, New York, McKinsey Global Institute; Mich, M.L.K., (1998) Catholic Social Teaching and Movements, , New London, CT, Twenty Third Publications; Milanović, B., (2019) Capitalism, Alone: The Future of the System that Rules the World, , Cambridge, MA, Belknap Press; (2019) How Americans See Automation and the Workplace in 7 Charts, , https://www.pewresearch.org/fact-tank/2019/04/08/how-americans-see-automation-and-the-workplace-in-7-charts/, Washington, DC, Pew Research Center; Piketty, T., (2014) Capital in the Twenty-First Century, , Cambridge, MA, Belknap Press; Ricardo, D., (1951) On the Principles of Political Economy and Taxation, , ([1821], 3rd ed., Ed., Piero Sraffa, Cambridge, UK, Cambridge University Press; Rifkin, J., (1996) The End of Work, , New York, Tarcher/Putnam; Sachs, J.R., (1991) The Christian Vision of Humanity: Basic Christian Anthropology, , Collegeville, MN, Liturgical Press; Say, J.-B., (2017) A Treatise on Political Economy, , ([1834], 6th ed., Sydney, Australia, Pantianos Classics; Smith, A., (1976) An Inquiry into the Nature and Causes of the Wealth of Nations, , ([1776], Eds., R. H. Campbell, A. S. Skinner, Oxford, Oxford University Press; Tavani, D., Artificial Intelligence, the Future of Work, and Inequality (2019) Liberal Arts Magazine, , https://phys.org/news/2019-05-artificial-intelligence-future-inequality.html, Spring. Colorado State University. Republished by Phys.org, May 2019; Tcherneva, P.R., (2020) The Case for a Job Guarantee, , Cambridge, Polity Press; Trivedi, A., The Robots-Are-Taking-Our-Jobs Threat Gets Real (2020) Bloomberg.com, , https://www.bloomberg.com/opinion/articles/2020-05-20/robot-makers-like-japan-s-fanuc-will-get-a-post-coronavirus-boom, May 20; Turing, A.M., Computing Machinery and Intelligence (1950) Mind, 49 (236), pp. 433-460; (2017) The Impact of the Technological Revolution on Labor Markets and Income Distribution, , https://www.un.org/development/desa/dpad/wp-content/uploads/sites/45/publication/2017_Aug_Frontier-Issues-1.pdf, New York, United Nations, Department of Economic and Social Affairs; Walras, L., (1954) Elements of Pure Economics, , ([1874–1877], Trans., William Jaffe, Homewood, IL, Irwin; (2020) GINI Index: World Bank Estimate, , https://data.worldbank.org/indicator/SI.POV.GINI, (database)., Washington, DC, World Bank; (2018) The Future of Jobs 2018, , http://reports.weforum.org/future-of-jobs-2018/?doing_wp_cron=1594926884.7207989692687988281250, Geneva, Switzerland, WEF; (2020) Davos Manifesto 2020: The Universal Purpose of a Company in the Fourth Industrial Revolution, , https://www.weforum.org/agenda/2019/12/davos-manifesto-2020-the-universal-purpose-of-a-company-in-the-fourth-industrial-revolution/, Geneva, Switzerland, WEF</t>
  </si>
  <si>
    <t>00029246</t>
  </si>
  <si>
    <t>Am. J. Econ. Sociol.</t>
  </si>
  <si>
    <t>2-s2.0-85103146705</t>
  </si>
  <si>
    <t>Artificial intelligence and human flourishing</t>
  </si>
  <si>
    <t>Izumi K., Minato K., Shiga K., Sugio T., Hanashiro S., Cortright K., Kudo S., Fujita T., Sado M., Maeno T., Takebayashi T., Mimura M., Kishimoto T.</t>
  </si>
  <si>
    <t>49663375000;57221471885;57219593638;57221459726;57221459181;57220198488;57219387653;57199074231;34873252600;36887777500;7005254181;7101717733;36480113400;</t>
  </si>
  <si>
    <t>Unobtrusive Sensing Technology for Quantifying Stress and Well-Being Using Pulse, Speech, Body Motion, and Electrodermal Data in a Workplace Setting: Study Concept and Design</t>
  </si>
  <si>
    <t>Frontiers in Psychiatry</t>
  </si>
  <si>
    <t>611243</t>
  </si>
  <si>
    <t>10.3389/fpsyt.2021.611243</t>
  </si>
  <si>
    <t>https://www.scopus.com/inward/record.uri?eid=2-s2.0-85105918181&amp;doi=10.3389%2ffpsyt.2021.611243&amp;partnerID=40&amp;md5=6b1eee4e40d6c3c891670398f2f1ed77</t>
  </si>
  <si>
    <t>Division of Rheumatology, Department of Internal Medicine, Keio University School of Medicine, Tokyo, Japan; National Hospital Organization Tokyo Medical Center, Tokyo, Japan; Medical AI Center, Keio University, Tokyo, Japan; Department of Neuropsychiatry, Keio University School of Medicine, Tokyo, Japan; Department of Health Policy and Management, Keio University School of Medicine, Tokyo, Japan; World Economic Forum Centre for the Fourth Industrial Revolution Japan, Tokyo, Japan; Center for Stress Research, Keio University, Tokyo, Japan; Human System Design Laboratory, Graduate School of System Design and Management, Keio University, Tokyo, Japan; Department of Preventive Medicine and Public Health, Keio University School of Medicine, Tokyo, Japan; Department of Psychiatry, Donald and Barbara Zucker School of Medicine, New York, NY, United States</t>
  </si>
  <si>
    <t>Izumi, K., Division of Rheumatology, Department of Internal Medicine, Keio University School of Medicine, Tokyo, Japan, National Hospital Organization Tokyo Medical Center, Tokyo, Japan, Medical AI Center, Keio University, Tokyo, Japan; Minato, K., Department of Neuropsychiatry, Keio University School of Medicine, Tokyo, Japan; Shiga, K., Department of Neuropsychiatry, Keio University School of Medicine, Tokyo, Japan; Sugio, T., Department of Neuropsychiatry, Keio University School of Medicine, Tokyo, Japan; Hanashiro, S., Department of Neuropsychiatry, Keio University School of Medicine, Tokyo, Japan; Cortright, K., Department of Neuropsychiatry, Keio University School of Medicine, Tokyo, Japan; Kudo, S., Department of Neuropsychiatry, Keio University School of Medicine, Tokyo, Japan; Fujita, T., Medical AI Center, Keio University, Tokyo, Japan, Department of Health Policy and Management, Keio University School of Medicine, Tokyo, Japan, World Economic Forum Centre for the Fourth Industrial Revolution Japan, Tokyo, Japan; Sado, M., Department of Neuropsychiatry, Keio University School of Medicine, Tokyo, Japan, Center for Stress Research, Keio University, Tokyo, Japan; Maeno, T., Human System Design Laboratory, Graduate School of System Design and Management, Keio University, Tokyo, Japan; Takebayashi, T., Medical AI Center, Keio University, Tokyo, Japan, Department of Preventive Medicine and Public Health, Keio University School of Medicine, Tokyo, Japan; Mimura, M., Department of Neuropsychiatry, Keio University School of Medicine, Tokyo, Japan; Kishimoto, T., Medical AI Center, Keio University, Tokyo, Japan, Department of Neuropsychiatry, Keio University School of Medicine, Tokyo, Japan, Department of Psychiatry, Donald and Barbara Zucker School of Medicine, New York, NY, United States</t>
  </si>
  <si>
    <t>Introduction: Mental disorders are a leading cause of disability worldwide. Depression has a significant impact in the field of occupational health because it is particularly prevalent during working age. On the other hand, there are a growing number of studies on the relationship between “well-being” and employee productivity. To promote healthy and productive workplaces, this study aims to develop a technique to quantify stress and well-being in a way that does not disturb the workplace. Methods and analysis: This is a single-arm prospective observational study. The target population is adult (&gt;20 years old) workers at companies that often engage in desk work; specifically, a person who sits in front of a computer for at least half their work hours. The following data will be collected: (a) participants' background characteristics; (b) participants' biological data during the 4-week observation period using sensing devices such as a camera built into the computer (pulse wave data extracted from the facial video images), a microphone built into their work computer (voice data), and a wristband-type wearable device (electrodermal activity data, body motion data, and body temperature); (c) stress, well-being, and depression rating scale assessment data. The analysis workflow is as follows: (1) primary analysis, comprised of using software to digitalize participants' vital information; (2) secondary analysis, comprised of examining the relationship between the quantified vital data from (1), stress, well-being, and depression; (3) tertiary analysis, comprised of generating machine learning algorithms to estimate stress, well-being, and degree of depression in relation to each set of vital data as well as multimodal vital data. Discussion: This study will evaluate digital phenotype regarding stress and well-being of white-collar workers over a 4-week period using persistently obtainable biomarkers such as heart rate, acoustic characteristics, body motion, and electrodermal activity. Eventually, this study will lead to the development of a machine learning algorithm to determine people's optimal levels of stress and well-being. Ethics and dissemination: Collected data and study results will be disseminated widely through conference presentations, journal publications, and/or mass media. The summarized results of our overall analysis will be supplied to participants. Registration: UMIN000036814 © Copyright © 2021 Izumi, Minato, Shiga, Sugio, Hanashiro, Cortright, Kudo, Fujita, Sado, Maeno, Takebayashi, Mimura and Kishimoto.</t>
  </si>
  <si>
    <t>adult psychiatry; depression; mental health; occupational &amp; industrial medicine; protocols; stress; wearabe sensors; well-being</t>
  </si>
  <si>
    <t>adult; Article; body movement; controlled study; depression; depression rating scale assessment; electrodermal response; human; Likert scale; limit of quantitation; observational study; phenotype; physiological stress; population research; prospective study; psychological rating scale; pulse wave; sample size; self report; speech; wellbeing; working time; workplace</t>
  </si>
  <si>
    <t>James, S.L., Abate, D., Abate, K.H., Abay, S.M., Abbafati, C., Abbasi, N., Global, regional, and national incidence, prevalence, and years lived with disability for 354 diseases and injuries for 195 countries and territories, 1990-2017: a systematic analysis for the Global Burden of Disease Study 2017 (2018) Lancet, 392, pp. 1789-1858. , 30496104; Kawakami, N., (2007) A study on epidemiological survey on mental health: comprehensive research report: 2004-2006 Ministry of Health, Labour and Welfare Grant-in-Aid for Health Science Research Project, , https://www.khj-h.com/wp/wp-content/uploads/2018/05/soukatuhoukoku19.pdf, Available online at; (2011) Labour and Welfare Disability Welfare Promotion Project Subsidy: ‘Estimation of Social Cost of Mental Illness’ Business Report, , https://www.mhlw.go.jp/bunya/shougaihoken/cyousajigyou/dl/seikabutsu30-2.pdf, Available online at; Lyubomirsky, S., King, L., Diener, E., The benefits of frequent positive affect: does happiness lead to success? (2005) Psychol Bull, 131, pp. 803-855. , 16351326; Shaffer, F., Ginsberg, J.P., An overview of heart rate variability metrics and norms (2017) Front Public Heal, 5, pp. 1-17. , 29034226; Koolagudi, S.G., Rao, K.S., Emotion recognition from speech: a review (2012) Int J Speech Technol, 15, pp. 99-117; Johannes, B., Wittels, P., Enne, R., Eisinger, G., Castro, C.A., Thomas, J.L., Non-linear function model of voice pitch dependency on physical and mental load (2007) Eur J Appl Physiol, 101, pp. 267-276. , 17554549; Nakatsu, R., Nicholson, J., Tosa, N., Emotion recognition and its application to computer agents with spontaneous interactive capabilities (2000) Knowledge Based Syst, 13, pp. 497-504; Sano, A., Phillips, A.J., Yu, A.Z., McHill, A.W., Taylor, S., Jaques, N., Recognizing academic performance, sleep quality, stress level, and mental health using personality traits, wearable sensors and mobile phones (2015) 2015 IEEE 12th International Conference on Wearable and Implantable Body Sensor Networks 2015, pp. 1-6. , IEEE, 28516162, In:, p; Dogan, E., Sander, C., Wagner, X., Hegerl, U., Kohls, E., Smartphone-based monitoring of objective and subjective data in affective disorders: where are we and where are we going? Systematic review (2017) J Med Internet Res, 19, p. e262. , 28739561; Dang, M., Mielke, C., Diehl, A., Haux, R., Accompanying depression with FINE - a smartphone-based approach (2016) Stud Health Technol Inform, 228, pp. 195-199. , 27577370; Alberdi, A., Aztiria, A., Basarab, A., Towards an automatic early stress recognition system for office environments based on multimodal measurements: a review (2016) J Biomed Inform, 59, pp. 49-75. , 26621099; Dell'Acqua, C., Dal, B.E., Benvenuti, S.M., Palomba, D., Reduced heart rate variability is associated with vulnerability to depression (2020) J Affect Disord Rep, 1, p. 100006; Kemp, A.H., Quintana, D.S., Gray, M.A., Felmingham, K.L., Brown, K., Gatt, J.M., Impact of depression and antidepressant treatment on heart rate variability: a review and meta-analysis (2010) Biol Psychiatr, 67, pp. 1067-1074. , 20138254; Kishimoto, T., Takamiya, A., Liang, K.C., Funaki, K., Fujita, T., Kitazawa, M., The project for objective measures using computational psychiatry technology. (PROMPT): Rationale, design, and methodology (2020) Contemp Clin Trials Commun, 19, p. 100649. , 32913919; Yamamoto, M., Takamiya, A., Sawada, K., Yoshimura, M., Kitazawa, M., Liang, K.C., Using speech recognition technology to investigate the association between timing-related speech features and depression severity (2020) PLoS ONE, 15, p. e0238726. , 32915846; Horigome, T., Sumali, B., Kitazawa, M., Yoshimura, M., Liang, K.C., Tazawa, Y., Evaluating the severity of depressive symptoms using upper body motion captured by RGB-depth sensors and machine learning in a clinical interview setting: a preliminary study (2020) Compr Psychiatr, 98, p. 152169. , 32145559; Tazawa, Y., Liang, K.C., Yoshimura, M., Kitazawa, M., Kaise, Y., Takamiya, A., Evaluating depression with multimodal wristband-type wearable device: screening and assessing patient severity utilizing machine-learning (2020) Heliyon, 6, p. e03274. , 32055728; Suga, K., Hori, H., Katsuki, A., Ohashi, M., Tezuka, T., Matsuo, M., The contactless vital sensing system precisely reflects R-R interval in electrocardiograms of healthy subjects (2017) PACE, 40, pp. 514-515. , 28224636; Nakashima, Y., Umematsu, T., Tsujikawa, M., Onishi, Y., An Effectiveness Comparison between the Use of Activity State Data and That of Activity Magnitude Data in Chronic Stress Recognition (2019) 2019 8th International Conference on Affective Computing and Intelligent Interaction Workshops and Demos, ACIIW 2019, pp. 239-243. , IEEE, In:, p; https://www.empatica.com/en-int/embrace2/, Available online at; Tsutsumi, A., Shimazu, A., Eguchi, H., Inoue, A., Kawakami, N., A Japanese stress check program screening tool predicts employee long-term sickness absence: a prospective study (2018) J Occup Health, 60, pp. 55-63. , 29093366; Sumi, K., Reliability and validity of the Japanese version of the perceived stress scale (2006) Jpn J Heal Psychol, 19, pp. 44-53. , 28166754; Diener, E., Emmons, R.A., Larsen, R.J.G.S., The satisfaction with life scale (1985) J Pers Assess, 49, pp. 71-75; Sato, A., Development of the Japanese version of Positive and Negative Affect Schedule (2001) Jpn J Personal, 9, pp. 138-139. , 17153825, (PANAS) scales; Sumi, K., Temporal stability of the japanese versions of the flourishing scale and the scale of positive and negative experience (2014) J Psychol Psychother, 4, pp. 1-5; Huppert, F.A., Marks, N., Michaelson, J., Vázquez, C., Vittersø, J., (2013) ESS6 - 2012/3 Question Module Design Final Template, , https://www.europeansocialsurvey.org/docs/round6/questionnaire/ESS6_final_personal_and_social_well_being_module_template.pdf, Available online at; Takahashi, Y., The effect of culture on happiness in Japan: verification by ideal happiness (2018) J Behav Econ Financ, 11, pp. S9-S12; Inagaki, M., Ohtsuki, T., Yonemoto, N., Kawashima, Y., Saitoh, A., Oikawa, Y., Validity of the Patient Health Questionnaire (PHQ)-9 and PHQ-2 in general internal medicine primary care at a Japanese rural hospital: a cross-sectional study (2013) Gen Hosp Psychiatr, 35, pp. 592-597. , 24029431; Izumi, K., Minato, K., Shiga, K., Sugio, T., Hanashiro, S., Cortright, K., Quantification of stress and well-being using pulse, speech, and electrodermal data: study concept and design (2020) medRxiv, , (, ) 2020.05.01.20082610</t>
  </si>
  <si>
    <t>16640640</t>
  </si>
  <si>
    <t>Front. Psychiatry</t>
  </si>
  <si>
    <t>2-s2.0-85105918181</t>
  </si>
  <si>
    <t>Unobtrusive sensing technology for quantifying stress and well-being using pulse, speech, body motion, and electrodermal data in a workplace setting: study concept and design</t>
  </si>
  <si>
    <t>Moreira P., Pedras S., Pombo P.</t>
  </si>
  <si>
    <t>36439824400;55181856400;57223017903;</t>
  </si>
  <si>
    <t>Students’ personality contributes more to academic performance than well-being and learning approach—implications for sustainable development and education</t>
  </si>
  <si>
    <t>European Journal of Investigation in Health, Psychology and Education</t>
  </si>
  <si>
    <t>1132</t>
  </si>
  <si>
    <t>1149</t>
  </si>
  <si>
    <t>10.3390/ejihpe10040079</t>
  </si>
  <si>
    <t>https://www.scopus.com/inward/record.uri?eid=2-s2.0-85104410544&amp;doi=10.3390%2fejihpe10040079&amp;partnerID=40&amp;md5=b3854b6b94831692b0ed67990c910356</t>
  </si>
  <si>
    <t>Instituto de Psicologia e de Ciências da Educação [Institute of Psychology and Education], Universidade Lusíada-Norte, Porto, 4369-006, Portugal; Centro de Investigação em Psicologia para o Desenvolvimento (CIPD), [The Psychology for Positive Development Research Center], Universidade Lusíada-Norte, Porto, 4369-006, Portugal</t>
  </si>
  <si>
    <t>Moreira, P., Instituto de Psicologia e de Ciências da Educação [Institute of Psychology and Education], Universidade Lusíada-Norte, Porto, 4369-006, Portugal, Centro de Investigação em Psicologia para o Desenvolvimento (CIPD), [The Psychology for Positive Development Research Center], Universidade Lusíada-Norte, Porto, 4369-006, Portugal; Pedras, S., Centro de Investigação em Psicologia para o Desenvolvimento (CIPD), [The Psychology for Positive Development Research Center], Universidade Lusíada-Norte, Porto, 4369-006, Portugal; Pombo, P., Instituto de Psicologia e de Ciências da Educação [Institute of Psychology and Education], Universidade Lusíada-Norte, Porto, 4369-006, Portugal</t>
  </si>
  <si>
    <t>The present study aimed to describe the predictive role of personality dimensions, learning approaches, and well-being in the academic performance of students. In total, 602 students participated in this cross-sectional study and completed a set of questionnaires assessing personality, learning approach, and well-being. Two indexes were calculated to assess affective and non-affective well-being. The results partially support the hypotheses formulated. Results revealed that personality temperament and character dimensions, deep learning approach, and affective well-being were significant predictors of academic performance. A deep approach to learning was a full and partial mediator of the relationship between personality and academic performance. The results improve the understanding of the differential contribution of personality, type of learning approach, and type of well-being to academic performance. Comprehending that personality is the strongest predictor of academic performance, after controlling the type of learning approach and the type of well-being, informs school policies and decision-makers that it is essential to encourage personality development in adolescents to improve academic performance. These results also have implications for educational policies and practices at various levels, including an emphasis on the role of well-being as an educational asset. Understanding the links between personality, well-being, and education is essential to conceptualize education as a vital societal resource for facing current and future challenges, such as sustainable development. © 2020 by the authors. Licensee MDPI, Basel, Switzerland.</t>
  </si>
  <si>
    <t>Academic performance; Affective well-being; Learning approach; Non-affective well-being; Personality</t>
  </si>
  <si>
    <t>Almlund, M., Duckworth, A.L., Heckman, J.J., Kautz, T., Personality psychology and economics (2011) Handbook of the Economics of Education, 4, pp. 4-181. , Elsevier: Amsterdam, The Netherlands; Andersen, S.C., Gensowski, M., Ludeke, S.G., John, O.P., A stable relationship between personality and academic performance from childhood through adolescence. An original study and replication in hundred-thousand-person samples (2020) J. Personal, 88, pp. 925-939. , [CrossRef] [PubMed]; Poropat, A.E., A meta-analysis of the five-factor model of personality and academic performance (2009) Psychol. Bull, 135, pp. 322-338. , [CrossRef]; Trapmann, S., Hell, B., Hirn, J.O.W., Schuler, H., Metaanalysis of the relationship between the Big Five and academic success at university (2007) Z. Psychol. J. Psychol, 215, pp. 132-151. , [CrossRef]; Vedel, A., The Big Five and tertiary academic performance: A systematic review and meta-analysis (2014) Personal. Individ. Differ, 71, pp. 66-76. , [CrossRef]; Booker, C.L., Kelly, Y.J., Sacker, A., Gender differences in the associations between age trends of social media interaction and well-being among 10–15 year olds in the UK (2018) BMC Public Health, 18, pp. 1-12. , [CrossRef]; Inchley, J., Currie, D., Young, T., Samdal, O., Torsheim, T., Augustson, L., Barnekow, V., (2016) Growing up Unequal Gender and Socioeconomic Differences in Young People’s Health and Well-Being: Health Behaviour in School-Aged Children Study: International Report from the 2013/2014 Survey, , World Health Organization: Geneva, Switzerland; Eccles, J.S., Wigfield, A., From expectancy-value theory to situated expectancy-value theory: A developmental, social cognitive, and sociocultural perspective on motivation (2020) Contemp. Educ. Psychol, 61, p. 101859. , [CrossRef]; Cervone, D., The architecture of personality (2004) Psychol. Rev, 111, pp. 183-204. , [CrossRef]; Cervone, D., Personality architecture: Within-person structures and processes (2005) Annu. Rev. Psychol, 56, pp. 423-452. , [CrossRef]; Cloninger, C.R., (2004) Feeling Good: The Science of Well-Being, , Oxford University Press: New York, NY, USA; Cloninger, C.R., Svrakic, D.M., Przybeck, T.R., A psychobiological model of temperament and character (1993) Arch. Gen. Psychiatry, 50, pp. 975-990. , [CrossRef]; Zwir, I., Del-Val, C., Arnedo, J., Pulkki-Råback, L., Konte, B., Yang, S., Cloninger, R., Three genetic–environmental networks for human personality (2019) Mol. Psychiatry, pp. 1-18. , [CrossRef]; Zwir, I., Arnedo, J., Del-Val, C., Pulkki-Råback, L., Konte, B., Yang, S.S., Romero-Zaliz, R., Garcia, D., Uncovering the complex genetics of human character (2018) Mol. Psychiatry, 25, pp. 2295-2312. , [CrossRef] [PubMed]; Cloninger, C.R., On well-being: Current research trends and future directions (2008) Mens Sana Monogr, 6, pp. 3-9. , [CrossRef] [PubMed]; Pérez, E.J.P., Arroyo, A.O., Garcia, C.P., El carácter como predictor de trastornos de la personalidad en adictos: La tipología caracterial de Cloninger y su abordaje psicossocial (2007) Rev. Española Drogodepend, 32, pp. 342-369; Boyle, G.J., Critique of the five-factor model of personality (2008) The Sage Handbook of Personality Theory and Assessment: Personality Theories and Models, pp. 295-312. , Boyle, G.J., Matthews, G., Saklofske, D.H., Eds.; Sage: Thousand Oaks, CA, USA; Veselka, L., Schermer, J.A., Vernon, P.A., The dark triad and an expanded framework of personality (2012) Personal. Individ. Differ, 53, pp. 417-425. , [CrossRef]; Chamorro-premuzic, T., Furnham, A., Mainly openness: The relationship between the big five personality traits and learning approaches (2009) Learn. Individ. Differ, 19, pp. 524-529. , [CrossRef]; Rosander, P., Bäckström, M., The unique contribution of learning approaches to academic performance, after controlling for IQ and personality: Are there gender differences? (2012) Learn. Individ. Differ, 22, pp. 820-826. , [CrossRef]; Cloninger, C.R., Personality as a dynamic psychobiological system (2006) Dimensional Models of Personality Disorders: Refining the Research Agenda for DSM-V, pp. 73-76. , Widiger, T.A., Simonsen, E., Sirovatka, P.J., Regier, D.A., Eds.; American Psychiatric Press: Washington, DC, USA; Cloninger, C.R., The psychobiological theory of temperament and character: Comment on Farmer and Goldberg (2008) Psychol. Assess, 20, pp. 292-299. , [CrossRef]; Moreira, P.A.S., Inman, R.A., Rosa, I., Cloninger, K., Duarte, A., Cloninger, C.R., The psychobiological model of personality and its association with student approaches to learning: Integrating temperament and character (2020) Scand. J. Educ. Res, pp. 1-17. , [CrossRef]; Zohar, A.H., Zwir, I., Wang, J., Cloninger, C.R., Anokhin, A.P., The development of temperament and character during adolescence: The processes and phases of change (2018) Dev. Psychopathol, 31, pp. 601-617. , [CrossRef]; Biggs, J., Student motivation and study strategies in university and college of advanced education populations (1982) High. Educ. Res. Dev, 1, pp. 33-55. , [CrossRef]; Biggs, J., The role of meta-learning in study processes (1985) Br. J. Educ. Psychol, 55, pp. 185-212. , [CrossRef]; Duarte, A.M., Conceptions of learning and approaches to learning in Portuguese students (2007) High. Educ, 54, pp. 781-794. , [CrossRef]; Marton, F., Saljo, R., On qualitative differences in learning: I—Outcome and Process (1976) Br. J. Educ. Psychol, 46, pp. 4-11. , [CrossRef]; Marton, F., Saljo, R., Learning Processes and Strategies: II—On qualitative differences in learning II. Outcome as a function of the learners’ conception of the task (1976) Br. J. Educ. Psychol, 46, pp. 115-127. , [CrossRef]; Duarte, A.M., (2002) Learning, Teaching and Educational Counseling: A Cognitive-Motivational Perspective, , Porto Editora: Porto, Portugal; Moreira, P., Dias, P.C., Pettrachi, P., Vaz, F., Duarte, A., Psychometric characteristics of the inventory of learning processes in secondary school students (2012) Rev. Psicol. Criança Adolesc, 3, pp. 67-80; Kember, D., Biggs, J., Leung, D.Y.P., Examining the multidimensionality of approaches to learning through the development of a revised version of the Learning Process Questionnaire (2004) Br. J. Educ. Psychol, 74, pp. 261-279. , [CrossRef]; Dinsmore, D.L., Alexander, P.A., A critical discussion of deep and surface processing: What it means, how it is measured, the role of context, and model specification (2012) Educ. Psychol. Rev, 24, pp. 499-567. , [CrossRef]; Dolmans, D., Loyens, S., Marcq, H., Gijbels, D., Deep and surface learning in problem-based learning: A review of the literature (2016) Adv. Health Sci. Educ. Theory Pract, 21, pp. 1087-1112. , [CrossRef]; Loyens, S.M.M., Gijbels, D., Coertjens, L., Coté, D., Students’ approaches to learning in problem-based learning: Taking into account students’ behavior in the tutorial groups, self-study time, and different assessment aspects (2013) Stud. Educ. Eval, 39, pp. 23-32. , [CrossRef]; Diseth, A., Personality and approaches to learning as predictors of academic achievement (2003) Eur. J. Personal, 17, pp. 143-155. , [CrossRef]; Diseth, A., Personality as an indirect predictor of academic achievement via student course experience and approach to learning (2013) Soc. Behav. Personal, 41, pp. 1297-1308. , [CrossRef]; Richardson, M., Abraham, C., Bond, R., Psychological correlates of university students’ academic performance: A systematic review and meta-analysis (2012) Psychol. Bull, 138, pp. 353-387. , [CrossRef] [PubMed]; Watkins, D., Correlates of approaches to learning: A cross-cultural meta-analysis (2001) Perspectives on Thinking, Learning, and Cognitive Styles, pp. 165-195. , Sternberg, R.J., Zang, L.F., Eds.; Lawrence Erlbaum: Mahwah, NJ, USA; Duff, A., Boyle, E., Dunleavy, K., Ferguson, J., The relationship between personality, approach to learning and academic performance (2004) Personal. Individ. Differ, 36, pp. 1907-1920. , [CrossRef]; Lucas, U., Mayer, H.F., Towards a mapping of the student world: The identification of variation in students’ conceptions of and motivation to learn, introductory accounting (2005) Br. Account. Rev, 37, pp. 177-204. , [CrossRef]; Chen, C., Zhang, L.F., Temperament, personality and achievement goals among Chinese adolescent students (2011) Educ. Psychol, 31, pp. 339-359. , [CrossRef]; Komarraju, M., Karau, S.J., Schmeck, R.R., Avdic, A., The big five personality traits, learning styles, and academic achievement (2011) Personal. Individ. Differ, 51, pp. 472-477. , [CrossRef]; Cloninger, C.R., Zohar, A.H., Personality and the perception of health and happiness (2011) J. Affect. Disord, 128, pp. 24-32. , [CrossRef]; Josefsson, K., Cloninger, C.R., Hintsanen, M., Jokela, M., Pulkki-Raback, L., Keltikangas-Järvinen, L., Associations of personality profiles with various aspects of wellbeing: A population-based study (2011) J. Affect. Disord, 133, pp. 265-273. , [CrossRef]; Pyhalto, K., Soini, T., Pietarinen, J., Pupils’ pedagogical well-being in comprehensive school: Significant positive and negative school experiences of Finnish ninth graders (2010) Eur. J. Psychol. Educ, 25, pp. 207-221. , [CrossRef]; Ainley, M., Ainley, J., Student engagement with science in early adolescence: The contribution of enjoyment to students’ continuing interest in learning about science (2011) Contemp. Educ. Psychol, 36, pp. 4-12. , [CrossRef]; Elmore, G.M., Huebner, E.S., Adolescents’ satisfaction with school experiences: Relationships with demographics, attachment relationships, and school engagement behavior (2010) Psychol. Sch, 47, pp. 525-537. , [CrossRef]; Lewis, A.D., Huebner, E.S., Malone, P.S., Valois, R.F., Life Satisfaction and Student Engagement in Adolescents (2011) J. Youth Adolesc, 40, pp. 249-262. , [CrossRef] [PubMed]; Berger, C., Alcalay, L., Torretti, A., Milici, N., Socio-emotional wellbeing and academic achievement: Evidence from a multilevel approach (2011) Psicol. Reflexão Crítica, 24, pp. 344-351. , [CrossRef]; Steinmayr, R., Crede, J., McElvany, N., Wirthwein, L., Subjective Well-Being, Test Anxiety, Academic Achievement: Testing for Reciprocal Effects (2016) Front. Psychol, 6, pp. 1-13. , [CrossRef] [PubMed]; Carver, C.S., Scheier, M.F., Segerstrom, S.C., Optimism (2010) Clin. Psychol. Rev, 30, pp. 879-889. , [CrossRef] [PubMed]; Antaramian, S.P., Huebner, E.S., Hills, K.J., Valois, R.F., A dual-factor model of mental health: Toward a more comprehensive understanding of youth functioning (2010) Am. J. Orthopsychiatry, 80, pp. 462-472. , [CrossRef] [PubMed]; Gilman, R., Huebner, E.S., Characteristics of Adolescents Who Report Very High Life Satisfaction (2006) J. Youth Adolesc, 35, pp. 311-319. , [CrossRef]; Suldo, S.M., Huebner, E.S., Does life satisfaction moderate the effects of stressful life events on psychopathological behavior during adolescence? (2004) Sch. Psychol. Q, 19, pp. 93-105. , [CrossRef]; Garcia, D., Moradi, S., Adolescents’ temperament and character: A longitudinal study on happiness (2011) J. Happiness Stud, 13, pp. 931-946. , [CrossRef]; Garcia, D., Two models of personality and well-being among adolescents (2011) Personal. Individ. Differ, 50, pp. 1208-1212. , [CrossRef]; Cordeiro, P.M.G., Willy, L., Birrada, M.G., The place of motivational variables in the instruction and learning process: The theory of achievement objectives (2009) Rev. Port. Pegagogia, 43, pp. 306-328; Spada, M.M., Moneta, G.B., A metacognitive-motivational model of surface approach to studying (2012) Educ. Psychol, 32, pp. 45-62. , [CrossRef]; Rosa, I., Moreira, P., (2011) Personality, Patterns and Approaches to Learning and Academic Performance in Adolescents, , Master’s Thesis, Universidade Lusíada do Porto, Porto, Portugal; Dan, Y., Todd, R., Examining the mediating effect of learning strategies on the relationship between students’ history interest and achievement (2014) Educ. Psychol, 3, pp. 799-817. , [CrossRef]; Biggs, J., (1987) Student Approaches to Learning and Studying, , ACER: Melbourne, VIC, Australia; Luby, J.L., Svrakic, D.M., McCallum, K., Przybeck, T.R., Cloninger, C.R., The junior temperament and character inventory: Preliminary validation of a child self-report measure (1999) Psychol. Rep, 84, pp. 1127-1138. , [CrossRef] [PubMed]; Moreira, P., Oliveira, J.T., Cloninger, K.M., Azevedo, C., Sousa, A., Castro, J., Cloninger, C.R., The psychometrics and validity of the junior temperament and character inventory in Portuguese adolescents (2012) Compr. Psychiatry, 53, pp. 1227-1236. , [CrossRef]; Erhart, M., Ottova, V., Gaspar, T., Jericek, H., Schnohr, C., Alikasifoglu, M., Morgan, A., Ravens-Sieberer, U., Measuring mental health and wellbeing of schoolchildren in 15 European countries using the KIDSCREEN-10 Index (2009) Int. J. Public Health, 54, pp. 160-166. , [CrossRef]; Matos, M.G., Gaspar, T., Simões, C., Health-related quality of life in Portuguese children and adolescents (2012) Psicol. Reflexão Crítica, 25, pp. 230-237. , [CrossRef]; Huebner, E.S., Antaramian, S.P., Hills, K.J., Lewis, A.D., Saha, R., Stability and Predictive Validity of the Brief Multidimensional Students’ Life Satisfaction Scale (2011) Child Indic. Res, 4, pp. 161-168. , [CrossRef]; Moreira, P., Cloninger, C.R., Dinis, L., Sã¡, L., Oliveira, J.T., Dias, A., Oliveira, J., Personality and well-being in adolescents (2015) Front. Psychol, 5, pp. 1-15. , [CrossRef]; Gaspar, T., Ribeiro, J.L., Matos, M.G., Leal, I., Ferreira, A., Psychometric properties of a brief version of the Escala de Satisfação com o Suporte Social for children and adolescents (2009) Span. J. Psychol, 12, pp. 360-372. , [CrossRef]; Watson, D., Clark, L.A., Tellegen, A., Development and validation of brief measures of positive and negative affect: The PANAS scales (1998) J. Personal. Soc. Psychol, 54, pp. 1063-1070. , [CrossRef]; Galinha, I.C., Pais-Ribeiro, J., Contribution to the study of the Portuguese version of the positive and negative affect schedule (PANAS): II—Psychometric study (2005) Análise Psicológica, 23, pp. 219-227. , [CrossRef]; Mousavi, F., Rózsa, S., Nilsson, T., Archer, T., Anckarsäter, H., Garcia, D., Personality and intelligence: Persistence, not self-directedness, cooperativeness or self-transcendence, is related to twins’ cognitive abilities (2015) PeerJ, 3, p. e1195. , [CrossRef] [PubMed]; Von Stumm, S., Ackerman, P.L., Investment and intellect: A review and meta-analysis (2013) Psychol. Bull, 139, pp. 841-869. , [CrossRef] [PubMed]; Garcia, D., Kerekes, N., Archer, T., A will and a proper way leading to happiness: Self-directedness mediates the effect of persistence on positive affectivity (2012) Personal. Individ. Differ, 53, pp. 1034-1038. , [CrossRef]; Bücker, S., Nuraydin, S., Simonsmeier, B.A., Schneider, M., Luhmann, M., Subjective wellbeing and academic achievement: A meta-analysis (2018) J. Personal. Res, 74, pp. 83-94. , [CrossRef]; Sass, D.A., Schmitt, T.A., A Comparative Investigation of Rotation Criteria within Exploratory Factor Analysis (2010) Multivar. Behav. Res, 45, pp. 73-103. , [CrossRef]; Ramos-Díaz, E., Rodríguez-Fernández, A., Revuelta, L., Axpe, I., El rol mediador de la implicación escolar sobre el apoyo del profesorado y la satisfacción con la vida (2016) Eur. J. Investig. Health Psychol. Educ, 6, pp. 177-191. , [CrossRef]; Cloninger, C.R., Cloninger, K.M., Person-centered Therapeutics (2011) Int. J. Pers. Centered Med, 1, pp. 43-52. , [CrossRef]; Argos, J., Ezquerra, P., Osoro, J.M., Salvador, L., Castro, A., La evaluación de los aprendizajes de los estudiantes en el marco del Espacio Europeo de Educación Superior (EEES): Sus prácticas, preferencias y evolución (2013) Eur. J. Investig. Health Psychol. Educ, 3, pp. 181-194. , [CrossRef]; Moreira, P.A.S., Inman, R.A., Cloninger, K., Cloninger, C.R., Student engagement with school and personality: A biopsychosocial and person-centered approach (2021) Br. J. Educ. Psychol, , [CrossRef]; Dowling, K., Barry, M.M., The Effects of Implementation Quality of a School-Based Social and Emotional Well-Being Program on Students’ Outcomes (2020) Eur. J. Investig. Health Psychol. Educ, 10, pp. 594-614. , [CrossRef]; Moreira, P.A.S., The Youth Engagement with Global Sustainability Inventory (YEGSI): Development and validity-based studies (2020) Psyecology, , press; Moreira, P.A.S., Ramalho, S., Inman, R., The Engagement/Disengagement in Sustainable Development Inventory (EDISDI): Psychometric properties and validity-based studies (2020) Eur. J. Psychol. Assess, , [CrossRef]; Moreira, P.A.S., Garcia, D., Person-centered schools (2019) Personality and Brain Disorders: Associations and Interventions, pp. 183-228. , Garcia, D., Archer, T., Kostrzewa, R.M., Eds.; Springer: Cham, Switzerland, [CrossRef]</t>
  </si>
  <si>
    <t>21748144</t>
  </si>
  <si>
    <t>Eur. J. Invest. Health. Psychol. Educ.</t>
  </si>
  <si>
    <t>2-s2.0-85104410544</t>
  </si>
  <si>
    <t>Pang D., Eichstaedt J.C., Buffone A., Slaff B., Ruch W., Ungar L.H.</t>
  </si>
  <si>
    <t>57200607227;55841072400;55236676100;57192403085;55973891100;57201020481;</t>
  </si>
  <si>
    <t>The language of character strengths: Predicting morally valued traits on social media</t>
  </si>
  <si>
    <t>Journal of Personality</t>
  </si>
  <si>
    <t>287</t>
  </si>
  <si>
    <t>306</t>
  </si>
  <si>
    <t>10.1111/jopy.12491</t>
  </si>
  <si>
    <t>https://www.scopus.com/inward/record.uri?eid=2-s2.0-85081020634&amp;doi=10.1111%2fjopy.12491&amp;partnerID=40&amp;md5=a144b3a09509572ac69f2a73ea80713b</t>
  </si>
  <si>
    <t>Department of Work and Organizational Psychology, University of Bern, Bern, Switzerland; Personality and Assessment, Department of Psychology, University of Zurich, Zurich, Switzerland; Positive Psychology Center, University of Pennsylvania, Philadelphia, PA, United States; Computer and Information Science, University of Pennsylvania, Philadelphia, PA, United States</t>
  </si>
  <si>
    <t>Pang, D., Department of Work and Organizational Psychology, University of Bern, Bern, Switzerland, Personality and Assessment, Department of Psychology, University of Zurich, Zurich, Switzerland; Eichstaedt, J.C., Positive Psychology Center, University of Pennsylvania, Philadelphia, PA, United States; Buffone, A., Positive Psychology Center, University of Pennsylvania, Philadelphia, PA, United States; Slaff, B., Positive Psychology Center, University of Pennsylvania, Philadelphia, PA, United States; Ruch, W., Personality and Assessment, Department of Psychology, University of Zurich, Zurich, Switzerland; Ungar, L.H., Positive Psychology Center, University of Pennsylvania, Philadelphia, PA, United States, Computer and Information Science, University of Pennsylvania, Philadelphia, PA, United States</t>
  </si>
  <si>
    <t>Objective: Social media is increasingly being used to study psychological constructs. This study is the first to use Twitter language to investigate the 24 Values in Action Inventory of Character Strengths, which have been shown to predict important life domains such as well-being. Method: We use both a top-down closed-vocabulary (Linguistic Inquiry and Word Count) and a data-driven open-vocabulary (Differential Language Analysis) approach to analyze 3,937,768 tweets from 4,423 participants (64.3% female), who answered a 240-item survey on character strengths. Results: We present the language profiles of (a) a global positivity factor accounting for 36% of the variances in the strengths, and (b) each of the 24 individual strengths, for which we find largely face-valid language associations. Machine learning models trained on language data to predict character strengths reach out-of-sample prediction accuracies comparable to previous work on personality (rmedian = 0.28, ranging from 0.13 to 0.51). Conclusions: The findings suggest that Twitter can be used to characterize and predict character strengths. This technique could be used to measure the character strengths of large populations unobtrusively and cost-effectively. © 2019 The Authors. Journal of Personality Published by Wiley Periodicals, Inc.</t>
  </si>
  <si>
    <t>character strengths; language analysis; social media; Values in Action survey; well-being</t>
  </si>
  <si>
    <t>adolescent; adult; aged; character; female; human; machine learning; male; middle aged; morality; personality assessment; procedures; psycholinguistics; social media; social psychology; young adult; Adolescent; Adult; Aged; Big Data; Character; Female; Humans; Machine Learning; Male; Middle Aged; Morals; Personality Assessment; Psycholinguistics; Social Media; Social Values; Young Adult</t>
  </si>
  <si>
    <t>Allport, G.W., (1937) Personality: A psychological interpretation, , New York, NY, Henry and Holt Company; Amichai-Hamburger, Y., Vinitzky, G., Social network use and personality (2010) Computers in Human Behavior, 26, pp. 1289-1295. , https://doi.org/10.1016/j.chb.2010.03.018; Aslam, S., (2018) Twitter by the numbers: Stats, demographics &amp; fun facts, , https://www.omnicoreagency.com/twitter-statistics/, January 1)., Retrieved from; Azucar, D., Marengo, D., Settanni, M., Predicting the Big 5 personality traits from digital footprints on social media: A meta-analysis (2018) Personality and Individual Differences, 124, pp. 150-159. , https://doi.org/10.1016/j.paid.2017.12.018; Bachrach, Y., Kosinski, M., Graepel, T., Kohli, P., Stillwell, D., Personality and patterns of Facebook usage (2012) Proceedings of the 4th Annual ACM Web Science Conference, pp. 24-32. , June)., Evanston, IL; Benjamini, Y., Hochberg, Y., Controlling the false discovery rate: A practical and powerful approach to multiple testing (1995) Journal of the Royal Statistical Society. Series B (Methodological), 57, pp. 289-300. , https://doi.org/10.1111/j.2517-6161.1995.tb02031.x; Blackwell, D., Leaman, C., Tramposch, R., Osborne, C., Liss, M., Extraversion, neuroticism, attachment style and fear of missing out as predictors of social media use and addiction (2017) Personality and Individual Differences, 116, pp. 69-72. , https://doi.org/10.1016/j.paid.2017.04.039; Blei, D.M., Ng, A.Y., Jordan, M.I., Latent Dirichlet allocation (2003) The Journal of Machine Learning Research, 3, pp. 993-1022; Bruna, M.O., Brabete, A.C., Izquierdo, J.M.A., Reliability generalization as a seal of quality of substantive meta-analyses: The case of the VIA Inventory of Strengths (VIA-IS) and their relationships to life satisfaction (2018) Psychological Reports, , https://doi.org/10.1177/0033294118779198, Advance online publication; Buschor, C., Proyer, R.T., Ruch, W., Self-and peer-rated character strengths: How do they relate to satisfaction with life and orientations to happiness? (2013) The Journal of Positive Psychology, 8, pp. 116-127. , https://doi.org/10.1080/17439760.2012.758305; Church, K.W., Hanks, P., Word association norms, mutual information, and lexicography (1990) Computational Linguistics, 16, pp. 22-29; Dewey, C., (2015) Can we guess who you are based on the pages you've liked on Facebook?, , https://www.washingtonpost.com/news/the-intersect/wp/2015/09/02/can-we-guess-who-you-are-based-on-the-pages-youve-liked-on-facebook/?noredirect=on&amp;utm_term=.9d7332e1ae75, September 2)., Retrieved from; Eichstaedt, J.C., Schwartz, H.A., Kern, M.L., Park, G., Labarthe, D.R., Merchant, R.M., Seligman, M.E.P., Psychological language on twitter predicts county-level heart disease mortality (2015) Psychological Science, 26, pp. 159-169. , https://doi.org/10.1177/0956797614557867; Fisher, R.A., Frequency distribution of the values of the correlation coefficient in samples from an indefinitely large population (1915) Biometrika, 10, pp. 507-521. , https://doi.org/10.2307/2331838; Gander, F., Proyer, R.T., Ruch, W., Wyss, T., Strength-based positive interventions: Further evidence for their potential in enhancing well-being and alleviating depression (2013) Journal of Happiness Studies, 14, pp. 1241-1259. , https://doi.org/10.1007/s10902-012-9380-0; Golbeck, J., Robles, C., Edmondson, M., Turner, K., Predicting personality from Twitter (2011) Proceedings of the 2011 IEEE International Conference on Privacy, Security, Risk, and Trust, and IEEE International Conference on Social Computing, pp. 149-156. , October)., Boston, MA; Güsewell, A., Ruch, W., Are only emotional strengths emotional? Character strengths and disposition to positive emotions (2012) Applied Psychology: Health and Well-being, 4, pp. 218-239. , https://doi.org/10.1111/j.1758-0854.2012.01070.x; Hoerl, A., Kennard, R., Ridge regression: Biased estimation for nonorthogonal problems (1970) Technometrics, 12, pp. 55-67. , https://doi.org/10.1080/00401706.1970.10488634; Johnsen, C., (2014) Personality traits and character strengths as predictors of well-being (Unpublished master's thesis), , http://thekeep.eiu.edu/theses/1313, Charleston, IL, Eastern Illinois University, Retrieved from; Kern, M.L., Eichstaedt, J.C., Schwartz, H.A., Dziurzynski, L., Ungar, L.H., Stillwell, D.J., Seligman, M.E.P., The online social self: An open vocabulary approach to personality (2014) Assessment, 21, pp. 158-169. , https://doi.org/10.1177/1073191113514104; Kern, M.L., Park, G., Eichstaedt, J.C., Schwartz, H.A., Sap, M., Smith, L.K., Ungar, L.H., Gaining insights from social media language: Methodologies and challenges (2016) Psychological Methods, 21, pp. 507-525. , https://doi.org/10.1037/met0000091; Kosinski, M., Bachrach, Y., Kohli, P., Stillwell, D., Graepel, T., Manifestations of user personality in website choice and behaviour on online social networks (2014) Machine Learning, 95, pp. 357-380. , https://doi.org/10.1007/s10994-013-5415-y; Kosinski, M., Stillwell, D., Graepel, T., Private traits and attributes are predictable from digital records of human behavior (2013) Proceedings of the National Academy of Sciences, 110, pp. 5802-5805. , https://doi.org/10.1073/pnas.1218772110; Lefevor, G.T., Fowers, B.J., Traits, situational factors, and their interactions as explanations of helping behavior (2016) Personality and Individual Differences, 92, pp. 159-163. , https://doi.org/10.1016/j.paid.2015.12.042; Lin, D., Extracting collocations from text corpora (1998) Computerm ’98: First Workshop on Computational Terminology, Montreal, Ontario, Canada, , https://www.semanticscholar.org/paper/Extracting-Collocations-from-Text-Corpora-Lin/a432b8036514ab8d54ea9a5cc3771702522e6afb, August)., D. Bourigault, C. Jacquemin, M. C. L'Homme, (Eds.),, Retrieved from; Liu, L., Preotiuc-Pietro, D., Samani, Z.R., Moghaddam, M.E., Ungar, L.H., Analyzing personality through social media profile picture choice (2016) Proceedings of the 10th International AAAI Conference on Web and Social Media, pp. 211-220. , May)., Cologne, Germany; Macdonald, C., Bore, M., Munro, D., Values in action scale and the Big 5: An empirical indication of structure (2008) Journal of Research in Personality, 42, pp. 787-799. , https://doi.org/10.1016/j.jrp.2007.10.003; McGrath, R.E., Scale- and item-level factor analyses of the VIA inventory of strengths (2014) Assessment, 21, pp. 4-14. , https://doi.org/10.1177/1073191112450612; McGrath, R.E., Integrating psychological and cultural perspectives on virtue: The hierarchical structure of character strengths (2015) The Journal of Positive Psychology, 10, pp. 407-424. , https://doi.org/10.1080/17439760.2014.994222; McGrath, R.E., (2017) Technical report: The VIA assessment suite for adults: Development and initial evaluation, , Cincinnati, OH, VIA Institute on Character; McGrath, R.E., Hall-Simmonds, A., Goldberg, L.R., Are measures of character and personality distinct? Evidence from observed-score and true-score analyses (2017) Assessment, , https://doi.org/10.1177/1073191117738047, Advance Online Publication; Ng, V., Cao, M., Marsh, H.W., Tay, L., Seligman, M.E., The factor structure of the Values in Action Inventory of Strengths (VIA-IS): An item-level exploratory structural equation modeling (ESEM) bifactor analysis (2017) Psychological Assessment, 29, pp. 1053-1058. , https://doi.org/10.1037/pas0000396; Noftle, E.E., Schnitker, S.A., Robins, R.W., Character and personality: Connections between positive psychology and personality psychology (2011) Series in positive psychology. Designing positive psychology: Taking stock and moving forward, pp. 207-227. , https://doi.org/10.1093/acprof:oso/9780195373585.003.0014, K. M. Sheldon, T. B. Kashdan, M. F. Steger, (Eds.),, New York, NY, Oxford University Press; Pang, D., Ruch, W., The mutual support model of mindfulness and character strengths (2019) Mindfulness, , https://doi.org/10.1007/s12671-019-01103-z, Advance online publication; Pang, D., Ruch, W., Fusing character strengths and mindfulness interventions: Benefits for job satisfaction and performance (2019) Journal of Occupational Health Psychology, 24, pp. 150-162. , https://doi.org/10.1037/ocp0000144; Park, N., Peterson, C., Moral competence and character strengths among adolescents: The development and validation of the Values in Action Inventory of Strengths for Youth (2006) Journal of adolescence, 29, pp. 891-909. , https://doi.org/10.1016/j.adolescence.2006.04.011; Park, G., Schwartz, H.A., Eichstaedt, J.C., Kern, M.L., Kosinski, M., Stillwell, D.J., Seligman, M.E.P., Automatic personality assessment through social media language (2015) Journal of Personality and Social Psychology, 108, pp. 934-952. , https://doi.org/10.1037/pspp0000020; Park, N., Peterson, C., Seligman, M.E.P., Strengths of character and well-being (2004) Journal of Social and Clinical Psychology, 23, pp. 603-619. , org/10.1521/jscp.23.5.603.50748; Pennebaker, J.W., Booth, R.J., Boyd, R.L., Francis, M.E., (2015) Linguistic Inquiry and Word Count: LIWC2015, , www.LIWC.net, Austin, TX, Pennebaker Conglomerates, Retrieved from; Pennebaker, J.W., Boyd, R.L., Jordan, K., Blackburn, K., (2015) The development and psychometric properties of LIWC2015, , Austin, TX, University of Texas at Austin; Peterson, C., Park, N., Seligman, M.E.P., Assessment of character strengths (2005) Psychologists' desk reference, pp. 93-98. , G. P. Koocher, J. C. Norcross, S. S. Hill, III, (Eds.),, 2nd ed., New York, NY, Oxford University Press; Peterson, C., Ruch, W., Beermann, U., Park, N., Seligman, M.E., Strengths of character, orientations to happiness, and life satisfaction (2007) The Journal of Positive Psychology, 2, pp. 149-156. , https://doi.org/10.1080/17439760701228938; Peterson, C., Seligman, M.E.P., (2004) Character strengths and virtues: A handbook and classification, , New York, NY, Oxford University Press; Potts, C., (2011) happyfuntokenizer, , http://sentiment.christopherpotts.net/codedata/happyfuntokenizing.py, (Version 1.0) [Computer software]. Retrieved from; Proctor, C., Tsukayama, E., Wood, A.M., Maltby, J., Eades, J.F., Linley, P.A., Strengths gym: The impact of a character strengths-based intervention on the life satisfaction and well-being of adolescents (2011) The Journal of Positive Psychology, 6, pp. 377-388. , https://doi.org/10.1080/17439760.2011.594079; Proyer, R.T., Gander, F., Wellenzohn, S., Ruch, W., What good are character strengths beyond subjective well-being? The contribution of the good character on self-reported health-oriented behavior, physical fitness, and the subjective health status (2013) The Journal of Positive Psychology, 8, pp. 222-232. , https://doi.org/10.1080/17439760.2013.777767; Proyer, R.T., Gander, F., Wellenzohn, S., Ruch, W., Strengths-based positive psychology interventions: A randomized placebo-controlled online trial on longterm effects for a signature strengths- vs. a lesser strengths-intervention (2015) Frontiers in Psychology, 6, p. 456. , https://doi.org/10.3389/fpsyg.2015.00456; Proyer, R.T., Ruch, W., Buschor, C., Testing strengths-based interventions: A preliminary study on the effectiveness of a program targeting curiosity, gratitude, hope, humor, and zest for enhancing life satisfaction (2013) Journal of Happiness Studies, 14, pp. 275-292. , https://doi.org/10.1007/s10902-012-9331-9; Qiu, L., Lin, H., Ramsay, J., Yang, F., You are what you tweet: Personality expression and perception on Twitter (2012) Journal of Research in Personality, 46, pp. 710-718. , https://doi.org/10.1016/j.jrp.2012.08.008; Quercia, D., Kosinski, M., Stillwell, D., Crowcroft, J., Our twitter profiles, our selves: Predicting personality with twitter (2011) Proceedings of the 2011 IEEE International Conference on Privacy, Security, Risk, and Trust, and IEEE International Conference on Social Computing, pp. 180-185. , October)., Boston, MA; Quercia, D., Lambiotte, R., Stillwell, D., Kosinski, M., Crowcroft, J., The personality of popular facebook users (2012) Proceedings of the ACM 2012 Conference on Computer Supported Cooperative Work, pp. 955-964. , February)., Seattle, WA; Ruch, W., Huber, A., Beermann, U., Proyer, R.T., Character strengths as predictors of the “good life” in Austria, Germany and Switzerland (2007) Studies and researches in social sciences, 16, pp. 123-131. , In Romanian Academy, “George Barit” Institute of History, Department of Social Research (Ed.),, Cluj-Napoca, Romania, Argonaut Press; Ruch, W., Proyer, R.T., Mapping strengths into virtues: The relation of the 24 VIA-strengths to six ubiquitous virtues (2015) Frontiers in Psychology, 6, p. 460. , https://doi.org/10.3389/fpsyg.2015.00460; Ruch, W., Proyer, R.T., Harzer, C., Park, N., Peterson, C., Seligman, M.E., Values in action inventory of strengths (VIA-IS): Adaptation and validation of the German version and the development of a peer-rating form (2010) Journal of Individual Differences, 31, pp. 138-149. , https://doi.org/10.1027/1614-0001/a000022; Ruths, D., Pfeffer, J., Social media for large studies of behavior (2014) Science, 346, pp. 1063-1064. , https://doi.org/10.1126/science.346.6213.1063; Schwartz, H.A., Eichstaedt, J.C., Dziurzynski, L., Kern, M.L., Blanco, E., Kosinski, M., Ungar, L.H., Toward personality insights from language exploration in social media (2013) AAAI Spring Symposium: Analyzing Microtext, pp. 72-79. , March)., Stanford, CA; Schwartz, H.A., Eichstaedt, J.C., Dziurzynski, L., Kern, M.L., Blanco, E., Ramones, S., Ungar, L.H., Choosing the right words: Characterizing and reducing error of the word count approach (2013) Proceedings of the Second Joint Conference on Lexical and Computational Semantics, pp. 296-305. , June)., Atlanta, GA; Schwartz, H.A., Eichstaedt, J.C., Kern, M.L., Dziurzynski, L., Ramones, S.M., Agrawal, M., Ungar, L.H., Personality, gender, and age in the language of social media: The open-vocabulary approach (2013) PLoS ONE, 8. , https://doi.org/10.1371/journal.pone.0073791; Schwartz, H.A., Giorgi, S., Sap, M., Crutchley, P., Eichstaedt, J., Ungar, L., DLATK: Differential Language Analysis ToolKit (2017) Proceedings of the 2017 Conference on Empirical Methods in Natural Language Processing: System Demonstrations, pp. 55-60; Seidman, G., Self-presentation and belonging on Facebook: How personality influences social media use and motivations (2013) Personality and Individual Differences, 54, pp. 402-407. , https://doi.org/10.1016/j.paid.2012.10.009; Shimai, S., Otake, K., Park, N., Peterson, C., Seligman, M.E.P., Convergence of character strengths in American and Japanese young adults (2006) Journal of Happiness Studies, 7, p. 311. , https://doi.org/10.1007/s10902-005-3647-7; (2018) The Most famous social network sites worldwide as of April 2018, ranked by number of active users (in millions), , https://www.statista.com/statistics/272014/global-social-networks-ranked-by-number-of-users/, Retrieved from; Wagner, L., Gander, F., Proyer, R.T., Ruch, W., Character strengths and PERMA: Investigating the relationships of character strengths with a multidimensional framework of well-being (2019) Applied Research in Quality of Life, , https://doi.org/10.1007/s11482-018-9695-z, Advance online publication; Weber, M., Ruch, W., The role of a good character in 12-year-old school children: Do character strengths matter in the classroom? (2012) Child Indicators Research, 5, pp. 317-334. , https://doi.org/10.1007/s12187-011-9128-0; Yaden, D.B., Eichstaedt, J.C., Kern, M.L., Smith, L.K., Buffone, A., Stillwell, D.J., Schwartz, H.A., The language of religious affiliation: Social, emotional, and cognitive differences (2017) Social Psychological and Personality Science, 9, pp. 444-452. , https://doi.org/10.1177/1948550617711228; Youyou, W., Kosinski, M., Stillwell, D., Computer-based personality judgments are more accurate than those made by humans (2015) Proceedings of the National Academy of Sciences, 112, pp. 1036-1040. , https://doi.org/10.1073/pnas.1418680112</t>
  </si>
  <si>
    <t>00223506</t>
  </si>
  <si>
    <t>JOPEA</t>
  </si>
  <si>
    <t>J. Pers.</t>
  </si>
  <si>
    <t>2-s2.0-85081020634</t>
  </si>
  <si>
    <t>The language of character strengths: predicting morally valued traits on social media</t>
  </si>
  <si>
    <t>Nakagawa S., Enomoto D., Yonekura S., Kanazawa H., Kuniyoshi Y.</t>
  </si>
  <si>
    <t>55182764800;57208509871;7005902061;55307547600;7005371269;</t>
  </si>
  <si>
    <t>New telecare approach based on 3D convolutional neural network for estimating quality of life</t>
  </si>
  <si>
    <t>397</t>
  </si>
  <si>
    <t>464</t>
  </si>
  <si>
    <t>10.1016/j.neucom.2019.09.112</t>
  </si>
  <si>
    <t>https://www.scopus.com/inward/record.uri?eid=2-s2.0-85083335231&amp;doi=10.1016%2fj.neucom.2019.09.112&amp;partnerID=40&amp;md5=44611ed9595881bcef940125413b8f8e</t>
  </si>
  <si>
    <t>University of TokyoTokyo, Japan</t>
  </si>
  <si>
    <t>Nakagawa, S., University of TokyoTokyo, Japan; Enomoto, D., University of TokyoTokyo, Japan; Yonekura, S., University of TokyoTokyo, Japan; Kanazawa, H., University of TokyoTokyo, Japan; Kuniyoshi, Y., University of TokyoTokyo, Japan</t>
  </si>
  <si>
    <t>Quality of life (QoL) is an effective index of well-being, including physical health, aspect of social activity, and mental state of individuals. A new approach that uses a deep-learning architecture to estimate the score of a user's QoL is presented. This system was built using a combination of a 3D convolutional neural network and a support vector machine for multimodal data. In order to evaluate the accuracy of the estimation system, three experiments were conducted. Before these experiments, ten hours of audio and video data were collected from healthy participants during a natural-language conversation with a conversational agent we implemented. In the first experiment, the QoL question-answer estimation experiment, the accuracy of “Physical functioning,” which is one of the eight scales that constitute QoL, reached 84.0%. In the second experiment, the QoL-score-regression experiment, in which the scores of each scale were directly estimated, the distribution of the difference between the actual score and the estimated results, known as error, was investigated. These results imply that the features necessary for QoL estimation can be extracted from audio and video data, except for the “Mental Health” domain. One of the reasons why it was difficult to estimate the “Mental Health” scale may be that the learning framework could not extract an appropriate feature for estimation. Therefore, we estimated “Mental Health” by focusing on eye movement. From the result, it was proven that estimation is possible, and the proposed system using multimodal data demonstrated its effectiveness for estimation for all eight scales that constitute QoL and for extracting high-dimensional information regarding the QoL of a human, including their satisfaction level towards daily life and social activities. Finally, suggestions and discussions regarding the plausible behavior of the estimation results were made from the viewpoint of human–agent interaction in the field of elderly welfare. © 2020</t>
  </si>
  <si>
    <t>Communication system; Deep learning; Human agent interaction; Quality of life estimation; Welfare</t>
  </si>
  <si>
    <t>Convolution; Data mining; Deep learning; Eye movements; Health; Support vector machines; Video recording; Agent interaction; Conversational agents; Estimation results; Estimation systems; Learning architectures; Learning frameworks; Physical functioning; Social activities; Convolutional neural networks; aged; article; controlled study; conversation; convolutional neural network; deep learning; eye movement; female; human; human experiment; language; male; mental health; quality of life; satisfaction; support vector machine; videorecording; welfare</t>
  </si>
  <si>
    <t>(2017), www.un.org/en/development/desa/population/publications/pdf/ageing/WPA2017_Highlights.pdf, World population ageing 2017, United Nations (accessed August 22, 2019); Fukuhara, S., Bito, S., Green, J., Hsiao, A., Kurokawa, K., Translation, adaptation, and validation of the SF-36 health survey for use in Japan (1998) J. Clin. Epidemiol., 51 (11), pp. 1037-1044; Kocaguneli, E., Menzies, T., Software effort models should be assessed via leave-one-out validation (2013) J. Sys. Softw., 86 (7), pp. 1879-1890; Shibata, T., Research on interaction between human and seal robot, Paro (2011) J. Robot. Soc. Jpn., 29 (1), pp. 1-31; Ohnaka, S., Ando, T., Iwasawa, T., The introduction of the personal robot papero (2001) IPSJ SIG Notes, 37 (7), pp. 37-42; Ninomiya, H., Introduction of the communication robot Palro and efforts in robot town Sagami (2015) J. Robot. Soc. Jpn., 33 (8), pp. 607-610; Yao, B., Fei-Fei, L., Recognizing human-object interactions in still images by modeling the mutual context of objects and human poses (2012) IEEE T. Pattern Anal., 34 (9), pp. 1691-1703; Cao, Z., Simon, T., Wei, S.E., Sheikh, Y., Realtime multi-person 2d pose estimation using part affinity fields (2017) Proceedings of the IEEE Computer Society Conference on Computer Vision and Pattern Recognition, pp. 7291-7299; Ren, F., Xin, K., Quan, C., Examining accumulated emotional traits in suicide blogs with an emotion topic model (2016) IEEE J. Biomed. Health, 20 (5), pp. 1384-1396; Quan, C., Ren, F., Sentence emotion analysis and recognition based on emotion words using REN-CECPS (2010) Int. J. Adv. Intell., 2 (1), pp. 105-117; Lin, Y.P., Wang, C.H., Jung, T.P., Wu, T.L., EEG-based emotion recognition in music listening (2010) IEEE T. Biomed. Eng., 57 (7), pp. 1798-1806; Jenke, R., Peer, A., Buss, M., Feature extraction and selection for emotion recognition from EEG (2014) IEEE T. Affect. Comput., 5 (3), pp. 327-339; Ren, F., Dong, Y., Wang, W., Emotion recognition based on physiological signals using brain asymmetry index and echo state network (2018) Neural Comput. Appl., pp. 1-11; Bänziger, T., Grandjean, D., Scherer, K.R., Emotion recognition from expressions in face, voice, and body: the multimodal emotion recognition test (MERT) (2009) Emotion, 9 (5), pp. 691-704; Chang, Y., Hu, C., Feris, R., Turk, M., Manifold based analysis of facial expression (2006) Image Vision Comput., 24 (6), pp. 605-614; Pantic, M., Bartlett, M.S., Machine analysis of facial expressions (2007) Face Recognition, pp. 377-416. , K. Delac M. Grgic IntechOpen Vienna, Austria; Kotsia, I., Pitas, I., Facial expression recognition in image sequences using geometric deformation features and support vector machines (2006) IEEE T. Image Process, 16 (1), pp. 172-187; Ren, F., Huang, Z., Automatic facial expression learning method based on humanoid robot XIN-REN (2016) IEEE T. Hum. Mach. Syst., 46 (6), pp. 810-821; Barakova, E.I., Gorbunov, R., Rauterberg, M., Automatic interpretation of affective facial expressions in the context of interpersonal interaction (2015) IEEE T. Hum. Mach. Syst., 45 (4), pp. 409-418; Chang, Y., Vieira, M., Turk, M., Velho, L., Automatic 3D facial expression analysis in videos (2005) International Workshop on Analysis and Modeling of Faces and Gestures, pp. 293-307. , W. Zhao S. Gong X. Tang Springer-Verlag Berlin Heidelberg Heidelberg, Germany; Wang, J., Yin, L., Wei, X., Sun, Y., 3D facial expression recognition based on primitive surface feature distribution (2006) Proceedings of the IEEE Computer Society Conference on Computer Vision and Pattern Recognition, pp. 1399-1406; Tran, D., Bourdev, L., Fergus, R., Torresani, L., Paluri, M., Learning spatiotemporal features with 3d convolutional networks (2015) Proceedings of the IEEE Conference on Computer Vision, pp. 4489-4497; Fan, Y., Lu, X., Li, D., Liu, Y., Video-based emotion recognition using CNN-RNN and C3D hybrid networks (2016) Proceedings of the 18th ACM International Conference on Multimodal Interaction. Association for Computing Machinery, New York, New York, pp. 445-450; Scherer, K.R., Vocal communication of emotion: a review of research paradigms (2003) Speech Commun., 40 (1-2), pp. 227-256; Kwon, O.W., Chan, K., Hao, J., Lee, T.W., Emotion recognition by speech signals (2003) Proceedings of the Eighth European Conference On Speech Communication and Technology, pp. 125-128. , International Speech Communication Association Baixas, France; Vidrascu, L., Devillers, L., Detection of real-life emotions in call centers (2005) Proceedings of the Ninth European Conference on Speech Communication and Technology, Baixas, France, pp. 1841-1844. , International Speech Communication Association; Tian, Y.L., Kanade, T., Cohn, J.F., Facial expression analysis (2005) Handbook of Face Recognition, pp. 247-275. , S.Z. Li A.K. Jain Springer New York; Cohn, J.F., Schmidt, K., The timing of facial motion in posed and spontaneous smiles (2003) Active Media Technology, pp. 57-69. , J.P. Li J. Zhao J. Liu N. Zhong J. Yen World Scientific Publishing Singapore; Bartlett, M.S., Littlewort, G., Frank, M., Lainscsek, C., Fasel, I., Movellan, J., Recognizing facial expression: machine learning and application to spontaneous behavior (2005) Proceedings of the IEEE Computer Society Conference on Computer Vision and Pattern Recognition, pp. 568-573; Ioannou, S., Raouzaiou, A., Tzouvaras, V., Mailis, T., Karpouzis, K., Kollias, S., Emotion recognition through facial expression analysis based on a neurofuzzy method (2005) Neural Netw, 18 (4), pp. 423-435; https://dev.smt.docomo.ne.jp, DOCOMO developer support, NTT DOCOMO. (n.d.). (accessed May 15, 2019); Shuzo, M., Yamamoto, T., Shimura, M., Monma, F., Mitsuyoshi, S., Yamada, I., Construction of natural voice database for analysis of emotion and feeling (2011) Trans. Inf. Proc. Soc. Jpn., 52 (3), pp. 1185-1194. , http://id.nii.ac.jp/1001/00073614/; Ren, F., Matsumoto, K., Semi-automatic creation of youth slang corpus and its application to affective computing (2015) IEEE T. Affect. Comput., 7 (2), pp. 176-189; Emotion, A.P.I., https://azure.microsoft.com/ja-jp/services/cognitive-services/emotion/, Microsoft Azure. (n.d.). (accessed May 15, 2019); Cennini, G., Arguel, J., Akşit, K., van Leest, A., Heart rate monitoring via remote photoplethysmography with motion artifacts reduction (2010) Opt. Express, 18 (5), pp. 4867-4875; Li, X., Chen, J., Zhao, G., Pietikainen, M., Remote heart rate measurement from face videos under realistic situations (2014) Proceedings of the IEEE Computer Society Conference on Computer Vision and Pattern Recognition, pp. 4264-4271; Balakrishnan, G., Durand, F., Guttag, J., Detecting pulse from head motions in video (2013) Proceedings of the IEEE Computer Society Conference on Computer Vision and Pattern Recognition, pp. 3430-3437; Cohn, J.F., Reed, L.I., Ambadar, Z., Xiao, J., Moriyama, T., Automatic analysis and recognition of brow actions and head motion in spontaneous facial behavior (2004) Proceedings of IEEE International Conference on Systems, Man and Cybernetics, pp. 610-616; Cannon, W.B., de la Paz, D., Emotional stimulation of adrenal secretion (1911) Am. J. Physiol., 28 (1), pp. 64-70; Appelhans, B.M., Luecken, L.J., Heart rate variability as an index of regulated emotional responding (2006) Rev. Gen. Psychol., 10 (3), pp. 229-240; Shibasaki, K., Mitsuyoshi, S., Evaluation of emotion recognition from intonation: evaluation of sensibility technology and human emotion recognition (2005) IEICE Tech. Rep., 105 (291), pp. 45-50; Kwon, O.W., Chan, K., Hao, J., Lee, T.W., Emotion recognition by speech signals (2003) Proceedings of the Eighth European Conference on Speech Communication and Technology, Baixas, France, pp. 125-128. , International Speech Communication Association; Calvo, M.G., Lang, P.J., Gaze patterns when looking at emotional pictures: motivationally biased attention (2004) Motiv. Emot., 28 (3), pp. 221-243; Shuzo, M., Yamamoto, T., Shimura, M., Monma, F., Mitsuyoshi, S., Yamada, I., Construction of natural voice database for analysis of emotion and feeling (2011) Trans. Inf. Proc. Soc. Jpn., 52 (3), pp. 1185-1194; Ono, T., Imai, M., Etani, T., Nakatsu, R., Construction of relationship between humans and robots (2000) Trans. Inf. Proc. Soc. Jpn., 41 (1), pp. 158-166; Medley, D.M., Mitzel, H.E., Some behavioral correlates of teacher effectiveness (1959) J. Educ. Psychol., 50 (6), pp. 239-246; Asada, M., Ishiguro, H., Kuniyoshi, Y., Toward cognitive robotics (1999) J. Robot. Soc. Jpn., 17 (1), pp. 2-6; Ren, F., Quan, C., Matsumoto, K., Enriching mental engineering (2013) Intl. J. Innov. Comput. Inf. Control, 9 (8), pp. 3271-3284</t>
  </si>
  <si>
    <t>All Open Access, Hybrid Gold</t>
  </si>
  <si>
    <t>2-s2.0-85083335231</t>
  </si>
  <si>
    <t>New telecare approach based on 3d convolutional neural network for estimating quality of life</t>
  </si>
  <si>
    <t>Calatrava-Nicolás F.M., Gutiérrez-Maestro E., Bautista-Salinas D., Ortiz F.J., González J.R., Vera-Repullo J.A., Jiménez-Buendía M., Méndez I., Ruiz-Esteban C., Mozos O.M.</t>
  </si>
  <si>
    <t>57295609400;57212170429;57204191254;57528968600;24723053600;56412038100;56411934400;55358050400;34870578600;55663022800;</t>
  </si>
  <si>
    <t>Robotic-based well-being monitoring and coaching system for the elderly in their daily activities</t>
  </si>
  <si>
    <t>6865</t>
  </si>
  <si>
    <t>10.3390/s21206865</t>
  </si>
  <si>
    <t>https://www.scopus.com/inward/record.uri?eid=2-s2.0-85117048783&amp;doi=10.3390%2fs21206865&amp;partnerID=40&amp;md5=c2a57cda5607e4140a4ed6f3ed545a63</t>
  </si>
  <si>
    <t>ETSII-(Escuela Técnica Superior de Ingeniería Industrial), Technical University of Cartagena, St. Dr. Fleming, s/n, Cartagena, 30203, Spain; AASS-(Applied Autonomous Sensor Systems), Örebro University, Örebro, 70281, Sweden; The Hamlyn Centre for Robotic Surgery, Imperial College London, London, SW7 2AZ, United Kingdom; Department of Evolutionary and Educational Psychology, Faculty of Psychology, Campus Regional Excellence Mare Nostrum, University of Murcia, Murcia, 30100, Spain</t>
  </si>
  <si>
    <t>Calatrava-Nicolás, F.M., ETSII-(Escuela Técnica Superior de Ingeniería Industrial), Technical University of Cartagena, St. Dr. Fleming, s/n, Cartagena, 30203, Spain; Gutiérrez-Maestro, E., AASS-(Applied Autonomous Sensor Systems), Örebro University, Örebro, 70281, Sweden; Bautista-Salinas, D., The Hamlyn Centre for Robotic Surgery, Imperial College London, London, SW7 2AZ, United Kingdom; Ortiz, F.J., ETSII-(Escuela Técnica Superior de Ingeniería Industrial), Technical University of Cartagena, St. Dr. Fleming, s/n, Cartagena, 30203, Spain; González, J.R., ETSII-(Escuela Técnica Superior de Ingeniería Industrial), Technical University of Cartagena, St. Dr. Fleming, s/n, Cartagena, 30203, Spain; Vera-Repullo, J.A., ETSII-(Escuela Técnica Superior de Ingeniería Industrial), Technical University of Cartagena, St. Dr. Fleming, s/n, Cartagena, 30203, Spain; Jiménez-Buendía, M., ETSII-(Escuela Técnica Superior de Ingeniería Industrial), Technical University of Cartagena, St. Dr. Fleming, s/n, Cartagena, 30203, Spain; Méndez, I., Department of Evolutionary and Educational Psychology, Faculty of Psychology, Campus Regional Excellence Mare Nostrum, University of Murcia, Murcia, 30100, Spain; Ruiz-Esteban, C., Department of Evolutionary and Educational Psychology, Faculty of Psychology, Campus Regional Excellence Mare Nostrum, University of Murcia, Murcia, 30100, Spain; Mozos, O.M., AASS-(Applied Autonomous Sensor Systems), Örebro University, Örebro, 70281, Sweden</t>
  </si>
  <si>
    <t>The increasingly ageing population and the tendency to live alone have led science and engineering researchers to search for health care solutions. In the COVID 19 pandemic, the elderly have been seriously affected in addition to suffering from isolation and its associated and psychological consequences. This paper provides an overview of the RobWell (Robotic-based Well-Being Monitoring and Coaching System for the Elderly in their Daily Activities) system. It is a system focused on the field of artificial intelligence for mood prediction and coaching. This paper presents a general overview of the initially proposed system as well as the preliminary results related to the home automation subsystem, autonomous robot navigation and mood estimation through machine learning prior to the final system integration, which will be discussed in future works. The main goal is to improve their mental well-being during their daily household activities. The system is composed of ambient intelligence with intelligent sensors, actuators and a robotic platform that interacts with the user. A test smart home system was set up in which the sensors, actuators and robotic platform were integrated and tested. For artificial intelligence applied to mood prediction, we used machine learning to classify several physiological signals into different moods. In robotics, it was concluded that the ROS autonomous navigation stack and its autodocking algorithm were not reliable enough for this task, while the robot’s autonomy was sufficient. Semantic navigation, artificial intelligence and computer vision alternatives are being sought. © 2021 by the authors. Licensee MDPI, Basel, Switzerland.</t>
  </si>
  <si>
    <t>Affective computing; Ambient assisted living; Assistive robotics; Ecological Momentary Assessment (EMA); Machine learning; Mental well-being; Mood pre-diction; Quality of life; ROS; Smart home</t>
  </si>
  <si>
    <t>Actuators; Assisted living; Intelligent buildings; Intelligent robots; Machine learning; Monitoring; Navigation; Robotics; Affective Computing; Ambient assisted living; Assistive robotics; Ecological momentary assessment; Mental well-being; Mood pre-diction; Quality of life; ROS; Smart homes; Well being; Semantics; aged; artificial intelligence; human; mentoring; robotics; Aged; Artificial Intelligence; COVID-19; Humans; Mentoring; Robotics; SARS-CoV-2</t>
  </si>
  <si>
    <t>(2021) Mortality and Life Expectancy Statistics, , https://ec.europa.eu/eurostat/statistics-explained/index.php?title=Mortality_and_life_expectancy_statistics, EUROSTAT. (5 March 2021); Freire Rodríguez, C., Ferradás Canedo, M.d.M., (2016) Calidad de Vida y Bienestar en la Vejez, , Ediciones Pirámide: Madrid, Spain; (2018) Encuesta Continua de Hogares (ECH) 2018, , https://www.ine.es/prensa/ech_2018.pdf, INE. (10 March 2021); Unsar, S., Dindar, I., Kurt, S., Activities of daily living, quality of life, social support and depression levels of elderly individuals in Turkish society (2015) J. Pak. Med. Assoc, 65, p. 14; Holt-Lunstad, J., The Potential Public Health Relevance of Social Isolation and Loneliness: Prevalence, Epidemiology, and Risk Factors (2017) Public Policy Aging Rep, 27, pp. 127-130; Holt-Lunstad, J., Smith, T.B., Layton, J.B., Social relationships and mortality risk: A meta-analytic review (2010) PLoS Med, 7, p. e1000316; (2021) Encuesta Continua de Hogares (ECH) 2020, , https://www.ine.es/prensa/ech_2020.pdf, INE. (12 March 2021); Pinazo-Hernandis, S., Impacto psicosocial de la COVID-19 en las personas mayores: Problemas y retos (2020) Rev. Esp. Geriatr. Gerontol, 55, pp. 249-252; https://www.turtlebot.com/turtlebot2/, Turtlebot. TurtleBot2. (14 March 2021); Bautista-Salinas, D., Gonzalez, J.R., Mendez, I., Mozos, O.M., Monitoring and Prediction of Mood in Elderly People during Daily Life Activities (2019) Proceedings of the Annual International Conference of the IEEE Engineering in Medicine and Biology Society, , Berlin, Germany, 23–27 July; Sun, F.T., Kuo, C., Cheng, H.T., Buthpitiya, S., Collins, P., Griss, M., Activity-aware mental stress detection using physiological sensors (2012) Lecture Notes of the Institute for Computer Sciences, Social-Informatics and Telecommunications Engineering, LNICST, 76. , Springer: Berlin/Heidelberg, Germany; Mozos, O.M., Sandulescu, V., Andrews, S., Ellis, D., Bellotto, N., Dobrescu, R., Ferrandez, J.M., Stress detection using wearable physiological and sociometric sensors (2017) Int. J. Neural Syst, 27, p. 1650041; Hovsepian, K., Al’absi, M., Ertin, E., Kamarck, T., Nakajima, M., Kumar, S., CStress: Towards a gold standard for continuous stress assessment in the mobile environment (2015) Proceedings of the 2015 ACM International Joint Conference on Pervasive and Ubiquitous Computing, , Osaka, Japan, 7–11 September; Healey, J.A., Picard, R.W., Detecting stress during real-world driving tasks using physiological sensors (2005) IEEE Trans. Intell. Transp. Syst, 6, pp. 156-166; Magazine, D., El Robot Panasonic Hospi Rimo Ayuda en el Transporte de Fármacos a los Pacientes Hospitalizados, , https://www.digitalavmagazine.com/2013/10/29/el-robot-panasonic-hospi-rimo-ayuda-en-el-transporte-de-farmacos-a-los-pacientes-hospitalizados/, (16 March 2021); Grupo, ADD., Robot Moxi, , https://grupoadd.es/el-robot-moxi, (20 March 2021); Bhattacharjee, T., Lee, G., Song, H., Srinivasa, S.S., Towards Robotic Feeding: Role of Haptics in Fork-Based Food Manipulation (2019) IEEE Robot. Autom. Lett, 4, pp. 1485-1492; Werle, J., Hauer, K., Design of a bath robot system—User definition and user requirements based on International Classification of Functioning, Disability and Health (ICF) (2016) Proceedings of the 25th IEEE International Symposium on Robot and Human Interactive Communication, , New York, NY, USA, 26–31 August; King, C.H., Chen, T.L., Jain, A., Kemp, C.C., Towards an assistive robot that autonomously performs bed baths for patient hygiene (2010) Proceedings of the IEEE/RSJ 2010 International Conference on Intelligent Robots and Systems, , Taipei, Taiwan, 18 22 October; (2019) Samsung Bots, los Compañeros del Futuro, , https://news.samsung.com/co/samsung-bot-los-mejores-companeros-roboticos-en-camino-a-enriquecer-la-calidad-de-vida-de-las-personas, Samsung. (2 April 2021); García, E., (2018) Rassel, el Robot que Ayuda a las Personas Mayores, , https://cadenaser.com/emisora/2018/12/07/radio_valencia/1544174190_652009.html, (2 April 2021); Pages, J., Marchionni, L., Ferro, F., TIAGo: The Modular Robot That Adapts to Different Research Needs (2016) Proc. of the IROS Workshop on Robot Modularity, pp. 1-4. , https://clawar.org/wp-content/uploads/2016/10/P2.pdf; Kamel, E., Memari, A.M., State-of-the-Art Review of Energy Smart Homes (2019) J. Archit. Eng, 25, p. 03118001; Labonnote, N., Høyland, K., Smart home technologies that support independent living: Challenges and opportunities for the building industry–a systematic mapping study (2017) Intell. Build. Int, 9, pp. 40-63; Tsukiyama, T., In-home health monitoring system for solitary elderly (2015) Procedia Comput. Sci, 63, pp. 229-235; Pigini, L., Bovi, G., Panzarino, C., Gower, V., Ferratini, M., Andreoni, G., Sassi, R., Ferrarin, M., Pilot Test of a New Personal Health System Integrating Environmental and Wearable Sensors for Telemonitoring and Care of Elderly People at Home (SMARTA Project) (2017) Gerontology, 63, pp. 281-286; Bora, R., De La Pinta, J.R., Alvarez, A., Maestre, J.M., Integration of service robots in the smart home by means of UPnP: A surveillance robot case study (2013) Rob. Auton. Syst, 61, pp. 153-160; Wienke, J., Wrede, S., A middleware for collaborative research in experimental robotics (2011) Proceedings of the 2011 IEEE/SICE International Symposium on System Integration, , Kyoto, Japan, 20–22 December; Wrede, S., Leichsenring, C., Holthaus, P., Hermann, T., Wachsmuth, S., The Cognitive Service Robotics Apartment: A Versatile Environment for Human–Machine Interaction Research (2017) KI Kunstl. Intell, 31, pp. 299-304; Bellocchio, E., Costante, G., Cascianelli, S., Valigi, P., Ciarfuglia, T.A., SmartSEAL: A ros based home automation framework for heterogeneous devices interconnection in smart buildings (2016) Proceedings of the IEEE 2nd International Smart Cities Conference: Improving the Citizens Quality of Life, , Trento, Italy, 12–15 September; Uchechukwu, D., Siddique, A., Maksatbek, A., Afanasyev, I., ROS-based Integration of Smart Space and a Mobile Robot as the Internet of Robotic Things (2019) Proceedings of the Conference of Open Innovation Association, , FRUCT, Helsinki, Finland, 5–8 November; Ray, P.P., Internet of Robotic Things: Concept, Technologies, and Challenges (2016) IEEE Access, 4, pp. 9489-9500; Chakraborti, T., Srivastava, S., Pinto, A., Kambhampati, S., (2017) An ROS-based shared communication middleware for plug and play modular intelligent design of smart systems, , arXiv arXiv:1706.01133; Picard, R.W., Healey, J., Affective wearables (1997) Pers. Technol, 1, pp. 231-240; Pentland, A., (2014) Social Physics: How Social Networks Can Make Us Smarter, , https://www.amazon.es/Social-Physics-Networks-Make-Smarter-ebook/dp/B00DMCUYRM, (22 March 2021); Sarkar, N., Psychophysiological control architecture for human-robot coordination-concepts and initial experiments (2002) Proceedings of the 2002 IEEE International Conference on Robotics and Automation (Cat. No.02CH37292), 4, pp. 3719-3724. , Washington, DC, USA, 11–15 May; Rani, P., Sarkar, N., Smith, C.A., Kirby, L.D., Anxiety detecting robotic system—Towards implicit human-robot collaboration (2004) Robotica, 22, pp. 85-95; Bethel, C.L., Salomon, K., Murphy, R.R., Burke, J.L., Survey of Psychophysiology Measurements Applied to Human-Robot Interaction Proceedings of the RO-MAN 2007—The 16th IEEE International Symposium on Robot and Human Interactive Communication, pp. 732-737. , Jeju Island, Korea, 26–29 August 2007; Swan, M., Emerging patient-driven health care models: An examination of health social networks, consumer personalized medicine and quantified self-tracking (2009) Int. J. Environ. Res. Public Health, 6, pp. 492-525; Aarts, E., Harwig, R., Schuurmans, M., Ambient intelligence (2001) The Invisible Future: The Seamless Integration of Technology into Everyday Life, pp. 235-250. , McGraw-Hill, Inc.: New York, NY, USA; Kleinberger, T., Becker, M., Ras, E., Holzinger, A., Müller, P., (2007) Ambient Intelligence in Assisted Living: Enable Elderly People to Handle Future Interfaces, pp. 103-112. , Springer: Berlin/Heidelberg, Germany; Garzo, A., Montalban, I. Enrique León, Schlatter, Sarah, (2010) Sentient: An Approach to Ambient Assisted Emotional Regulation, , https://www.researchgate.net/profile/Ainara-Garzo/publication/259459808_Sentient_An_approach_to_Ambient_Assisted_Emotional_Regulation/links/0a85e533d3bffc5e98000000/Sentient-An-approach-to-Ambient-Assisted-Emotional-Regulation.pdf, (28 April 2021); Karahanoğlu, A., Erbuğ, Ç., (2011) Perceived Qualities of Smart Wearables: Determinants of User Acceptance, pp. 1-8. , Association for Computing Machinery: New York, NY, USA; Rawassizadeh, R., Price, B.A., Petre, M., Wearables: Has the age of smartwatches finally arrived? (2014) Commun. ACM, 58, pp. 45-47; Oung, Q.W., Hariharan, M., Lee, H.L., Basah, S.N., Sarillee, M., Lee, C.H., Wearable multimodal sensors for evaluation of patients with Parkinson disease Proceedings of the 2015 IEEE International Conference on Control System, Computing and Engineering (ICCSCE), pp. 269-274. , Penang, Malaysia, 27–29 November 2015; Schwartz, B., Baca, A., Wearables and Apps—Modern Diagnostic Frameworks for Health Promotion through Sport (2016) Dtsch. Z. Sportmed, 2016, pp. 131-136; Ometov, A., Shubina, V., Klus, L., Skibińska, J., Saafi, S., Pascacio, P., Flueratoru, L., Chukhno, O., A Survey on Wearable Technology: History, State-of-the-Art and Current Challenges (2021) Comput. Netw, 193, p. 108074; John Dian, F., Vahidnia, R., Rahmati, A., Wearables and the Internet of Things (IoT), Applications, Opportunities, and Challenges: A Survey (2020) IEEE Access, 8, pp. 69200-69211; Häkkilä, J., Designing for Smart Clothes and Wearables—User Experience Design Perspective (2017) Smart Textiles: Fundamentals, Design, and Interaction, pp. 259-278. , Schneegass, S., Amft, O., Eds.; Springer International Publishing: Cham, Switzerland; Fairburn, S., Steed, J., Coulter, J., Spheres of Practice for the Co-design of Wearables (2016) J. Text. Des. Res. Pract, 4, pp. 85-109; Jones, J., Gouge, C., Crilley, M., Design principles for health wearables (2017) Commun. Des. Q, 5, pp. 40-50; Klebbe, R., Steinert, A., Müller-Werdan, U., Wearables for Older Adults: Requirements, Design, and User Experience (2019) Perspectives on Wearable Enhanced Learning (WELL): Current Trends, Research, and Practice, pp. 313-332. , Buchem, I., Klamma, R., Wild, F., Eds.; Springer International Publishing: Cham, Switzerland; Motti, V.G., Caine, K., (2015) Users’ Privacy Concerns About Wearables, pp. 231-244. , Springer: Berlin/Heidelberg, Germany; Piwek, L., Ellis, D.A., Andrews, S., Joinson, A., The Rise of Consumer Health Wearables: Promises and Barriers (2016) PLOS Med, 13, p. e1001953; Yetisen, A.K., Martinez-Hurtado, J.L., Ünal, B., Khademhosseini, A., Butt, H., Wearables in Medicine (2018) Adv. Mater, 30, p. 1706910; Chiauzzi, E., Rodarte, C., DasMahapatra, P., Patient-centered activity monitoring in the self-management of chronic health conditions (2015) BMC Med, 13, p. 77; Espay, A.J., Bonato, P., Nahab, F.B., Maetzler, W., Dean, J.M., Klucken, J., Eskofier, B.M., Lang, A.E., Technology in Parkinson’s disease: Challenges and opportunities (2016) Mov. Disord, 31, pp. 1272-1282; Adams, J.L., Dinesh, K., Xiong, M., Tarolli, C.G., Sharma, S., Sheth, N., Aranyosi, A.J., Biglan, K.M., Multiple Wearable Sensors in Parkinson and Huntington Disease Individuals: A Pilot Study in Clinic and at Home (2017) Digit. Biomark, 1, pp. 52-63; Del Din, S., Elshehabi, M., Galna, B., Hobert, M.A., Warmerdam, E., Suenkel, U., Brockmann, K., Berg, D., Gait analysis with wearables predicts conversion to Parkinson disease (2019) Ann. Neurol, 86, pp. 357-367; Pau, M., Caggiari, S., Mura, A., Corona, F., Leban, B., Coghe, G., Lorefice, L., Cocco, E., Clinical assessment of gait in individuals with multiple sclerosis using wearable inertial sensors: Comparison with patient-based measure (2016) Mult. Scler. Relat. Disord, 10, pp. 187-191; Bradshaw, M.J., Farrow, S., Motl, R.W., Chitnis, T., Wearable biosensors to monitor disability in multiple sclerosis (2017) Neurol. Clin. Pract, 7, pp. 354-362; Moon, Y., McGinnis, R.S., Seagers, K., Motl, R.W., Sheth, N., Wright, J.A., Ghaffari, R., Sosnoff, J.J., Monitoring gait in multiple sclerosis with novel wearable motion sensors (2017) PLoS ONE, 12, p. e0171346; Psarakis, M., Greene, D.A., Cole, M.H., Lord, S.R., Hoang, P., Brodie, M., Wearable technology reveals gait compensations, unstable walking patterns and fatigue in people with multiple sclerosis (2018) Physiol. Meas, 39, p. 075004; Sparaco, M., Lavorgna, L., Conforti, R., Tedeschi, G., Bonavita, S., The Role of Wearable Devices in Multiple Sclerosis (2018) Mult. Scler. Int, 2018, p. e7627643; Frechette, M.L., Meyer, B.M., Tulipani, L.J., Gurchiek, R.D., McGinnis, R.S., Sosnoff, J.J., Next Steps in Wearable Technology and Community Ambulation in Multiple Sclerosis (2019) Curr. Neurol. Neurosci. Rep, 19, p. 80; Angelini, L., Hodgkinson, W., Smith, C., Dodd, J.M., Sharrack, B., Mazzà, C., Paling, D., Wearable sensors can reliably quantify gait alterations associated with disability in people with progressive multiple sclerosis in a clinical setting (2020) J. Neurol, 267, pp. 2897-2909; González-Landero, F., García-Magariño, I., Lacuesta, R., Lloret, J., Green Communication for Tracking Heart Rate with Smartbands (2018) Sensors, 18, p. 2652; Qaim, W.B., Ometov, A., Molinaro, A., Lener, I., Campolo, C., Lohan, E.S., Nurmi, J., Towards Energy Efficiency in the Internet of Wearable Things: A Systematic Review (2020) IEEE Access, 8, pp. 175412-175435; Pal, D., Vanijja, V., Arpnikanondt, C., Zhang, X., Papasratorn, B., A Quantitative Approach for Evaluating the Quality of Experience of Smart-Wearables From the Quality of Data and Quality of Information: An End User Perspective (2019) IEEE Access, 7, pp. 64266-64278; Benbunan-Fich, R., User Satisfaction with Wearables (2020) AIS Trans. Hum.-Comput. Interact, 12, pp. 1-27; Oh, J., Kang, H., User engagement with smart wearables: Four defining factors and a process model (2021) Mob. Media Commun, 9, pp. 314-335; Benbunan-Fich, R., An affordance lens for wearable information systems (2019) Eur. J. Inf. Syst, 28, pp. 256-271; Ledger, D., McCaffrey, D., (2014) Inside Wearables: How the Science of Human Behavior Change Offers the Secret to Long-Term Engagement, pp. 1-17. , Endeavour Partners LLC: Cambridge, MA, USA; Canhoto, A.I., Arp, S., Exploring the factors that support adoption and sustained use of health and fitness wearables (2017) J. Mark. Manag, 33, pp. 32-60; Smuck, M., Odonkor, C.A., Wilt, J.K., Schmidt, N., Swiernik, M.A., The emerging clinical role of wearables: Factors for successful implementation in healthcare (2021) NPJ Digit. Med, 4, pp. 1-8; Russell, J.A., A circumplex model of affect (1980) J. Pers. Soc. Psychol, 39, pp. 1161-1178; Pepa, L., Capecci, M., Ceravolo, M.G., Smartwatch based emotion recognition in Parkinson’s disease Proceedings of the 2019 IEEE 23rd International Symposium on Consumer Technologies (ISCT), pp. 23-24. , Ancona, Italy, 19–21 June 2019; Costa, J., Guimbretière, F., Jung, M.F., Choudhury, T., BoostMeUp: Improving Cognitive Performance in the Moment by Unobtrusively Regulating Emotions with a Smartwatch (2019) Proc. ACM Interact. Mob. Wearable Ubiquitous Technol, 3, pp. 1-23; Jiang, S., Li, Z., Zhou, P., Li, M., Memento: An Emotion-driven Lifelogging System with Wearables (2019) ACM Trans. Sens. Netw, 15 (8), pp. 1-823; Al Nahian, M.J., Ghosh, T., Uddin, M.N., Islam, M.M., Mahmud, M., Kaiser, M.S., (2020) Towards Artificial Intelligence Driven Emotion Aware Fall Monitoring Framework Suitable for Elderly People with Neurological Disorder, pp. 275-286. , Springer International Publishing: Cham, Switzerland; Vaizman, Y., Ellis, K., Lanckriet, G., (2017) Recognizing Detailed Human Context In-the-Wild from Smartphones and Smartwatches, , arXiv arXiv:1609.06354; Vaizman, Y., Ellis, K., Lanckriet, G., Weibel, N., ExtraSensory App: Data Collection In-the-Wild with Rich User Interface to Self-Report Behavior Proceedings of the CHI ’18: CHI Conference on Human Factors in Computing Systems, pp. 1-12. , Montreal, QC, Canada, 21–26 April 2018; Sultana, M., Al-Jefri, M., Lee, J., Using Machine Learning and Smartphone and Smartwatch Data to Detect Emotional States and Transitions: Exploratory Study (2020) JMIR mHealth uHealth, 8, p. e17818; Saganowski, S., Dutkowiak, A., Dziadek, A., Dzieżyc, M., Komoszyńska, J., Michalska, W., Polak, A., Kazienko, P., Emotion Recognition Using Wearables: A Systematic Literature Review—Work-in-progress Proceedings of the 2020 IEEE International Conference on Pervasive Computing and Communications Workshops (PerCom Workshops), pp. 1-6. , Austin, TX, USA, 23–27 March 2020; Picard, R.W., Vyzas, E., Healey, J., Toward machine emotional intelligence: Analysis of affective physiological state (2001) IEEE Trans. Pattern Anal. Mach. Intell, 23, pp. 1175-1191; Hänsel, K., Alomainy, A., Haddadi, H., (2016) Large Scale Mood and Stress Self-Assessments on a Smartwatch, pp. 1180-1184. , Association for Computing Machinery: New York, NY, USA; Costa, J., Guimbretière, F., Jung, M.F., Khalid Choudhury, T., BoostMeUp: A Smartwatch App to Regulate Emotions and Improve Cognitive Performance (2020) GetMobile Mob. Comput. Commun, 24, pp. 25-29; Miri, P., Uusberg, A., Culbertson, H., Flory, R., Uusberg, H., Gross, J.J., Marzullo, K., Isbister, K., (2018) Emotion Regulation in the Wild: Introducing WEHAB System Architecture, pp. 1-6. , Association for Computing Machinery: New York, NY, USA; Reddy Nadikattu, R., The Emerging Role of Artificial Intelligence in Modern Society (2016) Int. J. Creat. Res. Thoughts, 4, pp. 906-911; Shiffman, S., Stone, A.A., Hufford, M.R., Ecological momentary assessment (2008) Annu. Rev. Clin. Psychol, 4, pp. 1-32; Kim, H., Lee, S.H., Lee, S.E., Hong, S., Kang, H.J., Kim, N., Depression prediction by using ecological momentary assessment, actiwatch data, and machine learning: Observational study on older adults living alone (2019) JMIR mHealth uHealth, 7, p. e14149; Kocielnik, R., Sidorova, N., Maggi, F.M., Ouwerkerk, M., Westerink, J.H.D.M., Smart technologies for long-term stress monitoring at work (2013) Proceedings of the CBMS 2013—26th IEEE International Symposium on Computer-Based Medical Systems, , Porto, Portugal, 20–22 June; https://www.home-assistant.io/, Home Assistant. (10 May 2021); (2020) ROS Navigation, , http://wiki.ros.org/navigation, ROS.org. (2 May 2021); (2018) Setup and Configuration of the Navigation Stack on a Robot, , http://wiki.ros.org/navigation/Tutorials/RobotSetup, ROS.org. (5 June 2021); (2013) Turtlebot Bringup, , http://wiki.ros.org/turtlebot_bringup, ROS.org. (2 June 2021); Healey, J., Nachman, L., Subramanian, S., Shahabdeen, J., Morris, M., Out of the lab and into the fray: Towards modeling emotion in everyday life (2010) Pervasive Computing, 6030. , Springer: Berlin/Heidelberg, Germany; Plarre, K., Raij, A., Hossain, S.M., Ali, A.A., Nakajima, M., Al’Absi, M., Ertin, E., Scott, M., Continuous inference of psychological stress from sensory measurements collected in the natural environment (2011) Proceedings of the 10th ACM/IEEE International Conference on Information Processing in Sensor Networks, , Chicago, IL, USA, 12-14 April; Zangróniz, R., Martínez-Rodrigo, A., Pastor, J.M., López, M.T., Fernández-Caballero, A., Electrodermal activity sensor for classification of calm/distress condition (2017) Sensors, 17, p. 2324; Vandecasteele, K., Lázaro, J., Cleeren, E., Claes, K., van Paesschen, W., van Huffel, S., Hunyadi, B., Artifact detection of wrist photoplethysmograph signals Proceedings of the BIOSIGNALS 2018—11th International Conference on Bio-Inspired Systems and Signal Processing, Proceedings; Ghasemzadeh, H., Loseu, V., Guenterberg, E., Jafari, R., Sport training using body sensor networks: A statistical approach to measure wrist rotation for golf swing (2011) Proceedings of the BODYNETS 2009—4th International ICST Conference on Body Area Networks, , Los Angeles, CA, USA, 1–3 April; Zhang, Z., Song, Y., Cui, L., Liu, X., Zhu, T., Emotion recognition based on customized smart bracelet with built-in accelerometer (2016) PeerJ, 2016, p. e2258; Gjoreski, M., Luštrek, M., Gams, M., Gjoreski, H., Monitoring stress with a wrist device using context (2017) J. Biomed. Inform, 73, pp. 159-170; Ramshur, J., (2010) Design, Evaluation, and Applicaion of Heart Rate Variability Analysis Software (HRVAS), , Masters Thesis. University of Memphis, Memphis, TN; https://www.empatica.com/, Empatica Inc. (25 June 2021); Pérez Fuentes, M.d.C., Jesús Gázquez Linares, J., Rubio, I.M., Molero Jurado, M.d.M., Brief emotional intelligence inventory for senior citizens (EQ-i-M20) (2014) Psicothema, 26, pp. 524-530; Bar-on, J.D., Parker, R., (2000) Bar-On Emotional Quotient Inventory: Youth Version(BarOn EQ-i:YV), Technical Manual, 1872. , MHS: Toronto, ON, Canada; Molero, M.d.M., Pérez-Fuentes, M.d.C., Gázquez, J.J., Mercader, I., Construction and Initial Validation of a Questionnaire to Assess Quality of Life in Older Institutionalized People (2012) Eur. J. Investig. Health Psychol. Educ, 2, p. 2; Spielberger, C., Gorsuch, R., Lushene, R., (1970) STAI Manual for the State-Trait Anxiety Inventory. Self-Evaluation Questionnaire, , TEA Ediciones: Madrid, Spain; Hamilton, M., A rating scale for depression (1960) J. Neurol. Neurosurg. Psychiatry, 23, pp. 56-62; Martínez de la Iglesia, J., Onís Vilches, M.C., Dueñas Herrero, R., Albert Colomer, C., Aguado Taberné, C., Luque Luque, R., Versión española del cuestionario de Yesavage abreviado (GDS) para el despistaje de depresión en mayores de 65 años: Adaptación y validación (2002) MEDIFAM Rev. Med. Fam. Comunitaria, 12, pp. 620-630; Lobo, A., Ezquerra, J., Gómez Burgada, F., Sala, J.M., Seva Díaz, A., El miniexamen, cognoscitivo (un “test” sencillo, práctico, para detectar alteraciones intelectuales en pacientes médicos) (1979) Actas Luso-Esp. Neurol. Psiquiatr. Cienc. Afines, 7, pp. 189-202; Reisberg, B., Ferris, S.H., de Leon, M.J., Crook, T., The global deterioration scale for assessment of primary degenerative dementia (1982) Am. J. Psychiatry, 139, pp. 1136-1139; Katz, S., Ford, A.B., Moskowitz, R.W., Jackson, B.A., Jaffe, M.W., Studies of Illness in the Aged: The Index of ADL: A Standardized Measure of Biological and Psychosocial Function (1963) JAMA J. Am. Med. Assoc, 185, pp. 914-919; Díaz, D., Rodríguez-Carvajal, R., Blanco, A., Moreno-Jiménez, B., Gallardo, I., Valle, C., van Dierendonck, D., Adaptación española de las escalas de bienestar psicológico de Ryff (2006) Psicothema, 18, pp. 572-577; Robles, R., Páez, F., Estudio sobre la traducción al Español y las propiedades psicométricas de las escalas de Afecto Positivo y Negativo (PANAS) (2003) Salud Ment, 26, pp. 69-75; Costa, P.T., McCrae, R.R., (1999) Inventario de Personalidad NEO Revisado (NEO PI-R) e Inventario NEO Reducido de Cinco Factores (NEO-FFI), , Man. Prof.,TEA Ediciones: Madrid, España; Chang, C.C., Lin, C.J., LIBSVM: A Library for support vector machines (2011) ACM Trans. Intell. Syst. Technol, 2, pp. 1-27; Likamwa, R., Liu, Y., Lane, N.D., Zhong, L., MoodScope: Building a mood sensor from smartphone usage patterns (2013) Proceedings of the MobiSys 2013—11th Annual International Conference on Mobile Systems, Applications, and Services, , Taipei, Taiwan, 25–28 June</t>
  </si>
  <si>
    <t>2-s2.0-85117048783</t>
  </si>
  <si>
    <t>Wasil A.R., Palermo E.H., Lorenzo-Luaces L., DeRubeis R.J.</t>
  </si>
  <si>
    <t>57207833169;57304827900;55897858800;7003716117;</t>
  </si>
  <si>
    <t>Is There an App for That? A Review of Popular Apps for Depression, Anxiety, and Well-Being</t>
  </si>
  <si>
    <t>Cognitive and Behavioral Practice</t>
  </si>
  <si>
    <t>883</t>
  </si>
  <si>
    <t>901</t>
  </si>
  <si>
    <t>10.1016/j.cbpra.2021.07.001</t>
  </si>
  <si>
    <t>https://www.scopus.com/inward/record.uri?eid=2-s2.0-85119175956&amp;doi=10.1016%2fj.cbpra.2021.07.001&amp;partnerID=40&amp;md5=8ec96c6e44daabf74dca64c440d90bd8</t>
  </si>
  <si>
    <t>University of Pennsylvania; Indiana University</t>
  </si>
  <si>
    <t>Wasil, A.R., University of Pennsylvania; Palermo, E.H., University of Pennsylvania; Lorenzo-Luaces, L., Indiana University; DeRubeis, R.J., University of Pennsylvania</t>
  </si>
  <si>
    <t>Smartphone apps for mental health (MH apps) and wellness reach millions of people and have the potential to reduce the public health burden of common mental health problems. Thousands of MH apps are currently available, but real-world consumers generally gravitate toward a very small number of them. Given their widespread use and the lack of empirical data on their effects, understanding the content within MH apps is an important public health priority. An overview of the content within these apps could be an important resource for users, clinicians, researchers, and experts in digital health. Here, we offer summaries of the content within highly popular MH apps. Our aim is not to provide comprehensive coverage of the MH app space. Rather, we sought to describe a small number of highly popular MH apps in three common categories: meditation and mindfulness, journaling and self-monitoring, and AI chatbots. We downloaded the two most popular apps in each of these categories (respectively: Calm, Headspace; Reflectly, Daylio; Replika, Wysa). These six apps accounted for 83% of monthly active users of MH apps. For each app, we summarize information in four domains: intervention content, features that may contribute to engagement, the app's target audience, and differences between the app's free version and its premium version. In the years ahead, rigorous evaluations of highly popular MH apps will be needed. Until then, we hope that this overview helps readers stay up-to-date on the content within some of the most widely used digital mental health interventions. © 2022</t>
  </si>
  <si>
    <t>digital mental health; mHealth; public health; smartphone apps</t>
  </si>
  <si>
    <t>anxiety disorder; Article; artificial intelligence; clinical evaluation; consumer; controlled study; data privacy; depression; digital technology; health behavior; human; information security; medical information; meditation; mental health; mental patient; mindfulness; mood; patient engagement; psychological well-being; public health; self monitoring; telehealth</t>
  </si>
  <si>
    <t>Andrade, L.H., Alonso, J., Mneimneh, Z., Wells, J.E., Al-Hamzawi, A., Borges, G., Bromet, E., Kessler, R.C., Barriers to mental health treatment: Results from the WHO World Mental Health (WMH) Surveys (2014) Psychological Medicine, 44 (6), p. 1303; Bakker, D., Kazantzis, N., Rickwood, D., Rickard, N., Mental health smartphone apps: Review and evidence-based recommendations for future developments (2016) JMIR Mental Health, 3 (1); Barlow, D.H., Farchione, T.J., Fairholme, C.P., Ellard, K.K., Boisseau, C.L., Allen, L.B., May, J.T.E., Unified protocol for transdiagnostic treatment of emotional disorders. Therapist guide (2010), Oxford University Press; Braun, V., Clarke, V., Using thematic analysis in psychology (2006) Qualitative Research in Psychology, 3 (2), pp. 77-101; Bry, L.J., Chou, T., Miguel, E., Comer, J.S., Consumer smartphone apps marketed for child and adolescent anxiety: A systematic review and content analysis (2018) Behavior Therapy, 49 (2), pp. 249-261; Call, D., Miron, L., Orcutt, H., Effectiveness of brief mindfulness techniques in reducing symptoms of anxiety and stress (2014) Mindfulness, 5 (6), pp. 658-668; Chorpita, B.F., Daleiden, E.L., Mapping evidence-based treatments for children and adolescents: Application of the distillation and matching model to 615 treatments from 322 randomized trials (2009) Journal of Consulting and Clinical Psychology, 77 (3), p. 566; Clarke, J., Draper, S., Intermittent mindfulness practice can be beneficial, and daily practice can be harmful. An in depth, mixed methods study of the “Calm” app's (mostly positive) effects (2020) Internet Interventions, 19; Coulon, S.M., Monroe, C.M., West, D.S., A systematic, multi-domain review of mobile smartphone apps for evidence-based stress management (2016) American Journal of Preventive Medicine, 51 (1), pp. 95-105; Donker, T., Petrie, K., Proudfoot, J., Clarke, J., Birch, M.R., Christensen, H., Smartphones for smarter delivery of mental health programs: A systematic review (2013) Journal of Medical Internet Research, 15 (11); Economides, M., Martman, J., Bell, M.J., Sanderson, B., Improvements in stress, affect, and irritability following brief use of a mindfulness-based smartphone app: A randomized controlled trial (2018) Mindfulness, 9 (5), pp. 1584-1593; Fairburn, C.G., Patel, V., The impact of digital technology on psychological treatments and their dissemination (2017) Behaviour Research and Therapy, 88, pp. 19-25; Fairburn, C.G., Rothwell, E.R., Apps and eating disorders: A systematic clinical appraisal (2015) International Journal of Eating Disorders, 48 (7), pp. 1038-1046; Feldman, G., Greeson, J., Senville, J., Differential effects of mindful breathing, progressive muscle relaxation, and loving-kindness meditation on decentering and negative reactions to repetitive thoughts (2010) Behaviour Research and Therapy, 48 (10), pp. 1002-1011; Ferrari, A.J., Norman, R.E., Freedman, G., Baxter, A.J., Pirkis, J.E., Harris, M.G., Page, A., Whiteford, H.A., The burden attributable to mental and substance use disorders as risk factors for suicide: Findings from the Global Burden of Disease Study 2010 (2014) PLoS One, 9 (4); Firth, J., Torous, J., Nicholas, J., Carney, R., Rosenbaum, S., Sarris, J., Can smartphone mental health interventions reduce symptoms of anxiety? A meta-analysis of randomized controlled trials (2017) Journal of Affective Disorders, 218, pp. 15-22; Graser, J., Stangier, U., Compassion and loving-kindness meditation: An overview and prospects for the application in clinical samples (2018) Harvard Review of Psychiatry, 26 (4), pp. 201-215; Gulliver, A., Griffiths, K.M., Christensen, H., Perceived barriers and facilitators to mental health help-seeking in young people: A systematic review (2010) BMC Psychiatry, 10, p. 113; Higa-McMillan, C.K., Francis, S.E., Rith-Najarian, L., Chorpita, B.F., Evidence base update: 50 years of research on treatment for child and adolescent anxiety (2016) Journal of Clinical Child and Adolescent Psychology, 45 (2), pp. 91-113; Huberty, J., Green, J., Glissmann, C., Larkey, L., Puzia, M., Lee, C., Efficacy of the mindfulness meditation mobile app “calm” to reduce stress among college students: Randomized controlled trial (2019) JMIR mHealth and uHealth, 7 (6); Huguet, A., Rao, S., McGrath, P.J., Wozney, L., Wheaton, M., Conrod, J., Rozario, S., A systematic review of cognitive behavioral therapy and behavioral activation apps for depression (2016) PloS One, 11 (5); Josephine, K., Josefine, L., Philipp, D., David, E., Harald, B., Internet- and mobile-based depression interventions for people with diagnosed depression: A systematic review and meta-analysis (2017) Journal of Affective Disorders, 223 (April), pp. 28-40; Juarascio, A.S., Manasse, S.M., Goldstein, S.P., Forman, E.M., Butryn, M.L., Review of smartphone applications for the treatment of eating disorders (2015) European Eating Disorders Review, 23 (1), pp. 1-11; Kazdin, A.E., Addressing the treatment gap: A key challenge for extending evidence-based psychosocial interventions (2017) Behaviour Research and Therapy, 88, pp. 7-18; Kazdin, A.E., Blase, S.L., Rebooting psychotherapy research and practice to reduce the burden of mental illness (2011) Perspectives on Psychological Science, 6 (1), pp. 21-37; Kearney, D.J., Malte, C.A., McManus, C., Martinez, M.E., Felleman, B., Simpson, T.L., Loving-kindness meditation for posttraumatic stress disorder: A pilot study (2013) Journal of Traumatic Stress, 26 (4), pp. 426-434; Khanna, M.S., Carper, M., Digital mental health interventions for child and adolescent anxiety (2021) Cognitive and Behavioral Practice, , Advance online publication; Khoury, B., Sharma, M., Rush, S.E., Fournier, C., Mindfulness-based stress reduction for healthy individuals: A meta-analysis (2015) Journal of Psychosomatic Research, 78 (6), pp. 519-528; Kuhn, E., Greene, C., Hoffman, J., Nguyen, T., Wald, L., Schmidt, J., Ramsey, K.M., Ruzek, J., Preliminary evaluation of PTSD Coach, a smartphone app for post-traumatic stress symptoms (2014) Military Medicine, 179 (1), pp. 12-18; Lagan, S., Aquino, P., Emerson, M.R., Fortuna, K., Walker, R., Torous, J., Actionable health app evaluation: Translating expert frameworks into objective metrics (2020) NPJ Digital Medicine, 3 (1), pp. 1-8; Lau, N., O'Daffer, A., Colt, S., Yi-Frazier, J.P., Palermo, T.M., McCauley, E., Rosenberg, A.R., Android and iphone mobile apps for psychosocial wellness and stress management: Systematic search in app stores and literature review (2020) JMIR MHealth and UHealth, 8 (5), pp. 1-14; Linardon, J., Cuijpers, P., Carlbring, P., Messer, M., Fuller-Tyszkiewicz, M., The efficacy of app-supported smartphone interventions for mental health problems: A meta-analysis of randomized controlled trials (2019) World Psychiatry, 18 (3), pp. 325-336; Linardon, J., Wade, T.D., De La Piedad Garcia, X., Brennan, L., The efficacy of cognitive-behavioral therapy for eating disorders: A systematic review and meta-analysis (2017) Journal of Consulting and Clinical Psychology, 85 (11), pp. 1080-1094; Mohr, D.C., Tomasino, K.N., Lattie, E.G., Palac, H.L., Kwasny, M.J., Weingardt, K., Karr, C.J., Schueller, S.M., IntelliCare: An eclectic, skills-based app suite for the treatment of depression and anxiety (2017) Journal of Medical Internet Research, 19 (1); Neary, M., Schueller, S.M., State of the field of mental health apps (2018) Cognitive and Behavioral Practice, 25 (4), pp. 531-537; Pohl, M., (2017), https://research2guidance.com/325000-mobile-health-apps-available-in-2017/, 325,000 mobile health apps available in 2017—android now the leading mHealth platform. Retrieved from; Sauer-Zavala, S.E., Walsh, E.C., Eisenlohr-Moul, T.A., Lykins, E.L., Comparing mindfulness-based intervention strategies: Differential effects of sitting meditation, body scan, and mindful yoga (2013) Mindfulness, 4 (4), pp. 383-388; Schueller, S.M., Torous, J., Scaling evidence-based treatments through digital mental health (2020) American Psychologist, 75 (8), pp. 1093-1104; Shen, N., Levitan, M.J., Johnson, A., Bender, J.L., Hamilton-Page, M., Jadad, A.A.R., Wiljer, D., Finding a depression app: A review and content analysis of the depression app marketplace (2015) JMIR Mhealth and Uhealth, 3 (1); Szekeres, R.A., Wertheim, E.H., Evaluation of Vipassana meditation course effects on subjective stress, well-being, self-kindness and mindfulness in a community sample: Post-course and 6-month outcomes (2015) Stress and Health, 31 (5), pp. 373-381; Van Ameringen, M., Turna, J., Khalesi, Z., Pullia, K., Patterson, B., There is an app for that! The current state of mobile applications (apps) for DSM-5 obsessive-compulsive disorder, posttraumatic stress disorder, anxiety and mood disorders (2017) Depression and Anxiety, 34 (6), pp. 526-539; Wasil, A.R., Gillespie, S., Patel, R., Petre, A., Venturo-Conerly, K.E., Shingleton, R.M., Weisz, J.R., DeRubeis, R.J., Reassessing evidence-based content in popular smartphone apps for depression and anxiety: Developing and applying user-adjusted analyses (2020) Journal of Consulting and Clinical Psychology, 88 (11), pp. 983-993; Wasil, A.R., Gillespie, S., Schell, T., Lorenzo-Luaces, L., DeRubeis, R.J., Estimating the real-world usage of mobile apps for mental health: Development and application of two novel metrics (2021) World Psychiatry, 20 (1), pp. 137-138; Wasil, A.R., Gillespie, S., Shingleton, R., Wilks, C.R., Weisz, J.R., Examining the reach of smartphone apps for depression and anxiety (2020) American Journal of Psychiatry, 177 (5), pp. 464-465; Wasil, A.R., Patel, R., Cho, J., Shingleton, R.M., Weisz, J.R., DeRubeis, R.J., Smartphone apps for eating disorders: A systematic review of evidence-based content and application of user-adjusted analyses (2021) International Journal of Eating Disorders; Wasil, A.R., Venturo-Conerly, K.E., Shingleton, R.M., Weisz, J.R., A review of popular smartphone apps for depression and anxiety: Assessing the inclusion of evidence-based content (2019) Behaviour Research and Therapy, 123; Wasil, A.R., Weisz, J.R., DeRubeis, R.J., Three questions to consider before developing a mental health app (2020) World Psychiatry, 19 (2), pp. 252-253; Wen, L., Sweeney, T.E., Welton, L., Trockel, M., Katznelson, L., Encouraging mindfulness in medical house staff via smartphone app: A pilot study (2017) Academic Psychiatry, 41 (5), pp. 646-650; World Bank Group, Individuals using the Internet (% of population) (2019), https://data.worldbank.org/indicator/IT.NET.USER.ZS, Author; Yang, C.H., Maher, J.P., Conroy, D.E., Implementation of behavior change techniques in mobile applications for physical activity (2015) American Journal of Preventive Medicine, 48 (4), pp. 452-455</t>
  </si>
  <si>
    <t>10777229</t>
  </si>
  <si>
    <t>CBPRF</t>
  </si>
  <si>
    <t>Cogn. Behav. Pract.</t>
  </si>
  <si>
    <t>2-s2.0-85119175956</t>
  </si>
  <si>
    <t>Is there an app for that? a review of popular apps for depression, anxiety, and well-being</t>
  </si>
  <si>
    <t>ZhuParris A., Kruizinga M.D., Gent M.V., Dessing E., Exadaktylos V., Doll R.J., Stuurman F.E., Driessen G.A., Cohen A.F.</t>
  </si>
  <si>
    <t>57208056619;57194535983;57223133609;57223125025;57219156185;56050116000;57204716735;26661791600;7404781114;</t>
  </si>
  <si>
    <t>Development and Technical Validation of a Smartphone-Based Cry Detection Algorithm</t>
  </si>
  <si>
    <t>Frontiers in Pediatrics</t>
  </si>
  <si>
    <t>651356</t>
  </si>
  <si>
    <t>10.3389/fped.2021.651356</t>
  </si>
  <si>
    <t>https://www.scopus.com/inward/record.uri?eid=2-s2.0-85105014313&amp;doi=10.3389%2ffped.2021.651356&amp;partnerID=40&amp;md5=eaf0b2f15767972778e89eee21fa91cc</t>
  </si>
  <si>
    <t>Centre for Human Drug Research, Leiden, Netherlands; Juliana Children's Hospital, Haga Teaching Hospital, Hague, Netherlands; Leiden University Medical Centre, Leiden, Netherlands; Department of Pediatrics, Maastricht University Medical Centre, Maastricht, Netherlands</t>
  </si>
  <si>
    <t>ZhuParris, A., Centre for Human Drug Research, Leiden, Netherlands; Kruizinga, M.D., Centre for Human Drug Research, Leiden, Netherlands, Juliana Children's Hospital, Haga Teaching Hospital, Hague, Netherlands, Leiden University Medical Centre, Leiden, Netherlands; Gent, M.V., Centre for Human Drug Research, Leiden, Netherlands, Juliana Children's Hospital, Haga Teaching Hospital, Hague, Netherlands; Dessing, E., Centre for Human Drug Research, Leiden, Netherlands, Juliana Children's Hospital, Haga Teaching Hospital, Hague, Netherlands; Exadaktylos, V., Centre for Human Drug Research, Leiden, Netherlands; Doll, R.J., Centre for Human Drug Research, Leiden, Netherlands; Stuurman, F.E., Centre for Human Drug Research, Leiden, Netherlands, Leiden University Medical Centre, Leiden, Netherlands; Driessen, G.A., Juliana Children's Hospital, Haga Teaching Hospital, Hague, Netherlands, Department of Pediatrics, Maastricht University Medical Centre, Maastricht, Netherlands; Cohen, A.F., Centre for Human Drug Research, Leiden, Netherlands, Leiden University Medical Centre, Leiden, Netherlands</t>
  </si>
  <si>
    <t>Introduction: The duration and frequency of crying of an infant can be indicative of its health. Manual tracking and labeling of crying is laborious, subjective, and sometimes inaccurate. The aim of this study was to develop and technically validate a smartphone-based algorithm able to automatically detect crying. Methods: For the development of the algorithm a training dataset containing 897 5-s clips of crying infants and 1,263 clips of non-crying infants and common domestic sounds was assembled from various online sources. OpenSMILE software was used to extract 1,591 audio features per audio clip. A random forest classifying algorithm was fitted to identify crying from non-crying in each audio clip. For the validation of the algorithm, an independent dataset consisting of real-life recordings of 15 infants was used. A 29-min audio clip was analyzed repeatedly and under differing circumstances to determine the intra- and inter- device repeatability and robustness of the algorithm. Results: The algorithm obtained an accuracy of 94% in the training dataset and 99% in the validation dataset. The sensitivity in the validation dataset was 83%, with a specificity of 99% and a positive- and negative predictive value of 75 and 100%, respectively. Reliability of the algorithm appeared to be robust within- and across devices, and the performance was robust to distance from the sound source and barriers between the sound source and the microphone. Conclusion: The algorithm was accurate in detecting cry duration and was robust to various changes in ambient settings. © Copyright © 2021 ZhuParris, Kruizinga, Gent, Dessing, Exadaktylos, Doll, Stuurman, Driessen and Cohen.</t>
  </si>
  <si>
    <t>crying; home-monitoring; hospital-monitoring; infant; machine learning; smartphone</t>
  </si>
  <si>
    <t>Article; audio recording; classification algorithm; classifier; controlled study; correlation coefficient; cross validation; crying; detection algorithm; disease severity; feature selection; follow up; home monitoring; human; human experiment; infant; pediatric ward; predictive value; prospective study; random forest; reliability; sensitivity and specificity; sound analysis; sound detection; validation process; wellbeing</t>
  </si>
  <si>
    <t>CHDR MORE</t>
  </si>
  <si>
    <t>Wolke, D., Bilgin, A., Samara, M., Systematic review and meta-analysis: fussing and crying durations and prevalence of colic in infants (2017) J Pediatr, 185, pp. 55-61. , 28385295, :.e4; Freedman, S.B., Al-Harthy, N., Thull-Freedman, J., The crying infant: diagnostic testing and frequency of serious underlying disease (2009) Pediatrics, 123, pp. 841-848. , 19255012; Moore, D.J., Siang-Kuo Tao, B., Lines, D.R., Hirte, C., Heddle, M.L., Davidson, G.P., Double-blind placebo-controlled trial of omeprazole in irritable infants with gastroesophageal reflux (2003) J Pediatr, 143, pp. 219-223. , 12970637; Lucassen, P.L.B.J., Assendelft, W.J.J., Gubbels, J.W., Van Eijk, J.T.M., Douwes, A.C., Infantile colic: crying time reduction with a whey hydrolysate: a double-blind, randomized, placebo-controlled trial (2000) Pediatrics, 106, pp. 1349-1354. , 11099588; Barr, R.G., Kramer, M.S., Boisjoly, C., McVey-White, L., Pless, I.B., Parental diary of infant cry and fuss behaviour (1988) Arch Dis Child, 63, pp. 380-387. , 3365007; Jeyaraman, S., Muthusamy, H., Khairunizam, W., Jeyaraman, S., Nadarajaw, T., Yaacob, S., A review: survey on automatic infant cry analysis and classification (2018) Health Technol (Berl), 8, pp. 20-29; Saraswathy, J., Hariharan, M., Yaacob, S., Khairunizam, W., Automatic classification of infant cry: a review (2012) 2012 International Conference on Biomedical Engineering (ICoBE 2012), 8, pp. 543-548. , Penang, In:, p; LaGasse, L.L., Neal, A.R., Lester, B.M., Assessment of infant cry: acoustic cry analysis and parental perception (2005) Ment Retard Dev Disabil Res Rev, 11, pp. 83-93. , 15856439; Ntalampiras, S., Audio pattern recognition of baby crying sound events (2015) AES J Audio Eng Soc, 63, pp. 358-369; Lavner, Y., Cohen, R., Ruinskiy, D., Ijzerman, H., Baby cry detection in domestic environment using deep learning (2017) 2016 IEEE Int Conf Sci Electr Eng ICSEE 2016; Ferretti, D., Severini, M., Principi, E., Cenci, A., Squartini, S., Infant cry detection in adverse acoustic environments by using deep neural networks (2018) Eur Signal Process Conf, 2018-Septe, pp. 992-996; Severini, M., Ferretti, D., Principi, E., Squartini, S., Automatic detection of cry sounds in neonatal intensive care units by using deep learning and acoustic scene simulation (2019) IEEE Access, 7, pp. 51982-51993; Salehian Matikolaie, F., Tadj, C., On the use of long-term features in a newborn cry diagnostic system (2020) Biomed Signal Process Control, 59, p. 101889; Choi, S., Yun, S., Ahn, B., Implementation of automated baby monitoring: CCBeBe (2020) Sustain, 12, p. 2513; Luo, W., Phung, D., Tran, T., Gupta, S., Rana, S., Karmakar, C., Guidelines for developing and reporting machine learning predictive models in biomedical research: a multidisciplinary view (2016) J Med Internet Res, 18, pp. 1-10. , 27986644; Eyben, F., Schuller, B., openSMILE (2015) ACM SIGMultimedia Rec, 6, pp. 4-13; Hastie, T., Tibshirani, R., Friedman, J., (2013) The Elements of Statistical Learning: Data Mining, Inference, and Prediction, p. 536. , Statistics S.S., (ed), New York City, NY, Springer Science &amp; Business Media, editor., :, p; Pranckevičius, T., Marcinkevičius, V., Comparison of naive bayes, random forest, decision tree, support vector machines, and logistic regression classifiers for text reviews classification (2017) Balt J Mod Comput, 5, pp. 221-232; Muchlinski, D., Siroky, D., He, J., Kocher, M., Comparing random forest with logistic regression for predicting class-imbalanced civil war onset data (2016) Polit Anal, 24, pp. 87-103; Czepiel, S.A., (2012) Maximum Likelihood Estimation of Logistic Regression Models: Theory and Implementation, pp. 1-23. , https://papers3://publication/uuid/4E1E1B7E-9CAC-4570-8949-E96B51D9C91DEstimation%of%Logistic%Regre, Class Notes, p. Available online at; Ji, C., Mudiyanselage, T.B., Gao, Y., Pan, Y., (2021) A review of infant cry analysis and classification [Internet]. Vol. 8, Eurasip Journal on Audio, Speech, and Music Processing, pp. 1-17. , Springer Science and Business Media Deutschland GmbH, p; Joshi, G., Dandvate, C., Tiwari, H., Mundhare, A., Prediction of probability of crying of a child and system formation for cry detection and financial viability of the system (2017) Proc - 2017 Int Conf Vision, Image Signal Process ICVISP 2017, 2017-November, pp. 134-141; Felipe, G.Z., Aguiat, R.L., Costa, Y.M.G., Silla, C.N., Brahnam, S., Nanni, L., Identification of infants' cry motivation using spectrograms (2019) Int Conf Syst Signals, Image Process, 2019-June, pp. 181-186; Osmani, A., Hamidi, M., Chibani, A., Machine learning approach for infant cry interpretation (2018) Proc - Int Conf Tools with Artif Intell ICTAI, 2017-November, pp. 182-186; Berseth, C.L., Johnston, W.H., Stolz, S.I., Harris, C.L., Mitmesser, S.H., Clinical response to 2 commonly used switch formulas occurs within 1 day (2009) Clin Pediatr (Phila), 48, pp. 58-65. , 18832532; Ji, C., Xiao, X., Basodi, S., Pan, Y., Deep learning for asphyxiated infant cry classification based on acoustic features and weighted prosodic features (2019) 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 pp. 1233-1240. , In:, p; Orlandi, S., Reyes Garcia, C.A., Bandini, A., Donzelli, G., Manfredi, C., Application of pattern recognition techniques to the classification of full-term and preterm infant cry (2016) J Voice, 30, pp. 656-663. , 26474712; Kruizinga, M.D., Stuurman, F.E., Exadaktylos, V., Doll, R.J., Stephenson, D.T., Groeneveld, G.J., Development of novel, value-based, digital endpoints for clinical trials: a structured approach toward fit-for-purpose validation (2020) Pharmacol Rev, 72, pp. 899-909. , 32958524</t>
  </si>
  <si>
    <t>22962360</t>
  </si>
  <si>
    <t>Front. Pediatr.</t>
  </si>
  <si>
    <t>2-s2.0-85105014313</t>
  </si>
  <si>
    <t>Development and technical validation of a smartphone-based cry detection algorithm</t>
  </si>
  <si>
    <t>Eken A.</t>
  </si>
  <si>
    <t>35100314400;</t>
  </si>
  <si>
    <t>Assessment of flourishing levels of individuals by using resting-state fNIRS with different functional connectivity measures</t>
  </si>
  <si>
    <t>Biomedical Signal Processing and Control</t>
  </si>
  <si>
    <t>102645</t>
  </si>
  <si>
    <t>10.1016/j.bspc.2021.102645</t>
  </si>
  <si>
    <t>https://www.scopus.com/inward/record.uri?eid=2-s2.0-85104083704&amp;doi=10.1016%2fj.bspc.2021.102645&amp;partnerID=40&amp;md5=0798675e0728edb1acc5fe7af7cf69ce</t>
  </si>
  <si>
    <t>Ankara University Brain Research and Application Center – AÜBAUM, Ankara, Turkey</t>
  </si>
  <si>
    <t>Eken, A., Ankara University Brain Research and Application Center – AÜBAUM, Ankara, Turkey</t>
  </si>
  <si>
    <t>Flourishing is an important criterion for assessing well-being, however, controversy remains, especially while assessing it with self-report measures. Therefore, to understand the underlying neural mechanisms of well-being, researchers often use neuroimaging techniques. However, previous neuroimaging studies using conventional statistical approaches provided answers in an average sense rather than individual answers. In this study, we used machine learning algorithms to classify highly flourishing from normally flourishing individuals using a publicly available resting-state functional near-infrared spectroscopy (rs-fNIRS) dataset collected from 43 participants to obtain an answer for individual level. We utilized both the Pearson's correlation (CC) and the Dynamic Time Warping (DTW) algorithm to estimate functional connectivity matrices from the rs-fNIRS data on the temporo-parieto-occipital region and used them as input for machine learning algorithms. Our results showed that we were able to classify flourishing individuals with 90 % accuracy with AUC 0.90 and 0.93 using Nearest Neighbor and Radial Basis Kernel Support Vector Machine using oxyhemoglobin concentration change with Pearson's correlation (CC – ΔHbO) and deoxy hemoglobin concentration change with dynamic time warping (DTW – ΔHb). This finding suggests that temporo-parieto-occipital region-based resting-state functional connectivity might be a potential biomarker to identify the levels of flourishing and using both connectivity measures might allow us to find different potential biomarkers. © 2021 Elsevier Ltd</t>
  </si>
  <si>
    <t>Dynamic time warping; Flourishing; fNIRS; Functional connectivity; Machine learning; Resting-state; Well-being</t>
  </si>
  <si>
    <t>Biomarkers; Brain; Classification (of information); Correlation methods; Functional neuroimaging; Infrared devices; Learning algorithms; Near infrared spectroscopy; Support vector machines; Dynamic time warping; Flourishing; FNIRS; Functional connectivity; Functional near infrared spectroscopy; Machine learning algorithms; Machine-learning; Pearson correlation; Resting state; Well being; Hemoglobin; deoxyhemoglobin; oxyhemoglobin; adult; Article; clinical article; controlled study; correlation coefficient; dynamic time warping; female; flourishing; functional connectivity; functional near-infrared spectroscopy; hemoglobin determination; human; male; measurement accuracy; occipital cortex; parietal cortex; priority journal; resting state network; support vector machine; temporal cortex; wellbeing</t>
  </si>
  <si>
    <t>oxyhemoglobin, 9061-63-6</t>
  </si>
  <si>
    <t>ETG-4000, Hitachi, Japan; MATLAB, Mathworks, United States</t>
  </si>
  <si>
    <t>Hitachi, Japan; Mathworks, United States</t>
  </si>
  <si>
    <t>Moore, T.H.M., Kesten, J.M., Lopez-Lopez, J.A., Ijaz, S., McAleenan, A., Richards, A., Gray, S., Audrey, S., The effects of changes to the built environment on the mental health and well-being of adults: systematic review (2018) Health Place, 53, pp. 237-257; WHO, Mental Health: a State of Well-being (2014); Alderdice, F., McNeill, J., Lynn, F., A systematic review of systematic reviews of interventions to improve maternal mental health and well-being (2013) Midwifery, 29 (4), pp. 389-399; Stephan, U., Entrepreneurs’ mental health and well-being: a review and research agenda (2018) Acad. Manag. Perspect., 32 (3), pp. 290-322; Breslin, G., Shannon, S., Haughey, T., Donnelly, P., Leavey, G., A systematic review of interventions to increase awareness of mental health and well-being in athletes, coaches and officials (2017) Syst. Rev., 6 (1), p. 177; Huppert, F.A., So, T.T., Flourishing across Europe: application of a new conceptual framework for defining well-being (2013) Soc. Indic. Res., 110 (3), pp. 837-861; Diener, E., Subjective well-being (1984) Psychol. Bull., 95 (3), pp. 542-575; King, M.L., The neural correlates of well-being: a systematic review of the human neuroimaging and neuropsychological literature (2019) Cogn. Affect. Behav. Neurosci., 19 (4), pp. 779-796; Kong, F., Liu, L., Wang, X., Hu, S., Song, Y., Liu, J., Different neural pathways linking personality traits and eudaimonic well-being: a resting-state functional magnetic resonance imaging study (2015) Cogn. Affect. Behav. Neurosci., 15 (2), pp. 299-309; Sato, W., Kochiyama, T., Uono, S., Sawada, R., Kubota, Y., Yoshimura, S., Toichi, M., Resting-state neural activity and connectivity associated with subjective happiness (2019) Sci. Rep., 9 (1); Kong, F., Wang, X., Hu, S., Liu, J., Neural correlates of psychological resilience and their relation to life satisfaction in a sample of healthy young adults (2015) Neuroimage, 123, pp. 165-172; Kong, F., Wang, X., Song, Y., Liu, J., Brain regions involved in dispositional mindfulness during resting state and their relation with well-being (2016) Soc. Neurosci., 11 (4), pp. 331-343; Kong, F., Xue, S., Wang, X., Amplitude of low frequency fluctuations during resting state predicts social well-being (2016) Biol. Psychol., 118, pp. 161-168; Luo, Y., Huang, X., Yang, Z., Li, B., Liu, J., Wei, D., Regional homogeneity of intrinsic brain activity in happy and unhappy individuals (2014) PLoS One, 9 (1); Luo, Y., Kong, F., Qi, S., You, X., Huang, X., Resting-state functional connectivity of the default mode network associated with happiness (2016) Soc. Cogn. Affect. Neurosci., 11 (3), pp. 516-524; Luo, Y., Qi, S., Chen, X., You, X., Huang, X., Yang, Z., Pleasure attainment or self-realization: the balance between two forms of well-beings are encoded in default mode network (2017) Soc. Cogn. Affect. Neurosci., 12 (10), pp. 1678-1686; Goldbeck, F., Haipt, A., Rosenbaum, D., Rohe, T., Fallgatter, A.J., Hautzinger, M., Ehlis, A.C., The positive brain - resting state functional connectivity in highly vital and flourishing individuals (2018) Front. Hum. Neurosci., 12, p. 540; Goldbeck, F., The Positive Brain. Behavioral and fNIRS Data (resting State Cortical FC) (2018), U.H. Tuebingen; Schotanus-Dijkstra, M., Ten Klooster, P.M., Drossaert, C.H., Pieterse, M.E., Bolier, L., Walburg, J.A., Bohlmeijer, E.T., Validation of the Flourishing Scale in a sample of people with suboptimal levels of mental well-being (2016) BMC Psychol., 4, p. 12; Fredrickson, B.L., Losada, M.F., Positive affect and the complex dynamics of human flourishing (2005) Am. Psychol., 60 (7), pp. 678-686; Keyes, C.L., The mental health continuum: from languishing to flourishing in life (2002) J. Health Soc. Behav., 43 (2), pp. 207-222; Boas, D.A., Elwell, C.E., Ferrari, M., Taga, G., Twenty years of functional near-infrared spectroscopy: introduction for the special issue (2014) NeuroImage, 85, pp. 1-5; Niu, H., He, Y., Resting-state functional brain connectivity: lessons from functional near-infrared spectroscopy (2014) Neuroscientist, 20 (2), pp. 173-188; Duan, L., Zhang, Y.J., Zhu, C.Z., Quantitative comparison of resting-state functional connectivity derived from fNIRS and fMRI: a simultaneous recording study (2012) Neuroimage, 60 (4), pp. 2008-2018; Sasai, S., Homae, F., Watanabe, H., Sasaki, A.T., Tanabe, H.C., Sadato, N., Taga, G., A NIRS-fMRI study of resting state network (2012) Neuroimage, 63 (1), pp. 179-193; White, B.R., Snyder, A.Z., Cohen, A.L., Petersen, S.E., Raichle, M.E., Schlaggar, B.L., Culver, J.P., Resting-state functional connectivity in the human brain revealed with diffuse optical tomography (2009) Neuroimage, 47 (1), pp. 148-156; Fukuda, Y., Ishikawa, W., Kanayama, R., Matsumoto, T., Takemura, N., Sakatani, K., Bayesian prediction of anxiety level in aged people at rest using 2-channel NIRS data from prefrontal cortex (2014) Adv. Exp. Med. Biol., 812, pp. 303-308; Sato, M., Ishikawa, W., Suzuki, T., Matsumoto, T., Tsujii, T., Sakatani, K., Bayesian STAI anxiety index predictions based on prefrontal cortex NIRS data for the resting state (2013) Adv. Exp. Med. Biol., 765, pp. 251-256; Cheng, H., Yu, J., Xu, L., Li, J., Power spectrum of spontaneous cerebral homodynamic oscillation shows a distinct pattern in autism spectrum disorder (2019) Biomed. Opt. Express, 10 (3), pp. 1383-1392; Li, J., Qiu, L., Xu, L., Pedapati, E.V., Erickson, C.A., Sunar, U., Characterization of autism spectrum disorder with spontaneous hemodynamic activity (2016) Biomed. Opt. Express, 7 (10), pp. 3871-3881; Meszlényi, R., Peska, L., Gál, V., Vidnyánszky, Z., Buza, K., Classification of fMRI data using dynamic time warping based functional connectivity analysis (2016) 2016 24th European Signal Processing Conference (EUSIPCO), pp. 245-249; Meszlenyi, R.J., Buza, K., Vidnyanszky, Z., Resting state fMRI functional connectivity-based classification using a convolutional neural network architecture (2017) Front. Neuroinform., 11, p. 61; Meszlenyi, R.J., Hermann, P., Buza, K., Gal, V., Vidnyanszky, Z., Resting state fMRI functional connectivity analysis using dynamic time warping (2017) Front. Neurosci., 11, p. 75; Gokcay, D., Eken, A., Baltaci, S., Binary classification using neural and clinical features: an application in fibromyalgia with likelihood-based decision level fusion (2019) IEEE J. Biomed. Health Inform., 23 (4), pp. 1490-1498; Jin, D., Li, R., Xu, J., Multiscale community detection in functional brain networks constructed using dynamic time warping (2020) IEEE Trans. Neural Syst. Rehabil. Eng., 28 (1), pp. 52-61; Linke, A.C., Mash, L.E., Fong, C.H., Kinnear, M.K., Kohli, J.S., Wilkinson, M., Tung, R., Muller, R.A., Dynamic time warping outperforms Pearson correlation in detecting atypical functional connectivity in autism spectrum disorders (2020) Neuroimage, 223; Mohanty, R., Sethares, W.A., Nair, V.A., Prabhakaran, V., Rethinking measures of functional connectivity via feature extraction (2020) Sci. Rep., 10 (1); Zhang, N., Liu, C., Chen, Z., An, L., Ren, D., Yuan, F., Yuan, R., He, G., Prediction of adolescent subjective well-being: a machine learning approach (2019) Gen. Psychiatr., 32 (5); Casaccia, S., Romeo, L., Calvaresi, A., Morresi, N., Monteriù, A., Frontoni, E., Scalise, L., Revel, G.M., Measurement of users’ well-being through domotic sensors and machine learning algorithms (2020) IEEE Sens. J., 20 (14), pp. 8029-8038; Sano, A., Taylor, S., McHill, A.W., Phillips, A.J., Barger, L.K., Klerman, E., Picard, R., Identifying objective physiological markers and modifiable behaviors for self-reported stress and mental health status using wearable sensors and mobile phones: observational study (2018) J. Med. Internet Res., 20 (6), p. e210; Agarwal, A., Baechle, C., Behara, R.S., Rao, V., Multi-method approach to wellness predictive modeling (2016) J. Big Data, 3 (1), p. 15; Diener, E., Wirtz, D., Tov, W., Kim-Prieto, C., Choi, D.-W., Oishi, S., Biswas-Diener, R., New well-being measures: short scales to assess flourishing and positive and negative feelings (2010) Soc. Indic. Res., 97 (2), pp. 143-156; Esch, T., Jose, G., Gimpel, C., von Scheidt, C., Michalsen, A., The flourishing Scale (FS) by Diener et al. Is now available in an authorized German version (FS-D): application in mind-body medicine (2013) Forsch Komplementmed, 20 (4), pp. 267-275; Nolen-Hoeksema, S., Morrow, J., A prospective study of depression and posttraumatic stress symptoms after a natural disaster: the 1989 Loma Prieta Earthquake (1991) J. Pers. Soc. Psychol., 61 (1), pp. 115-121; Kroenke, K., Spitzer, R.L., Williams, J.B., The PHQ-9: validity of a brief depression severity measure (2001) J. Gen. Intern. Med., 16 (9), pp. 606-613; Rosenbaum, D., Haipt, A., Fuhr, K., Haeussinger, F.B., Metzger, F.G., Nuerk, H.C., Fallgatter, A.J., Ehlis, A.C., Aberrant functional connectivity in depression as an index of state and trait rumination (2017) Sci. Rep., 7 (1); Cope, M., Delpy, D.T., System for long-term measurement of cerebral blood and tissue oxygenation on newborn infants by near infra-red transillumination (1988) Med. Biol. Eng. Comput., 26 (3), pp. 289-294; Raichle, M.E., MacLeod, A.M., Snyder, A.Z., Powers, W.J., Gusnard, D.A., Shulman, G.L., A default mode of brain function (2001) Proc. Natl. Acad. Sci. U. S. A., 98 (2), pp. 676-682; Igelstrom, K.M., Graziano, M.S.A., The inferior parietal lobule and temporoparietal junction: a network perspective (2017) Neuropsychologia, 105, pp. 70-83; Fekete, T., Rubin, D., Carlson, J.M., Mujica-Parodi, L.R., The NIRS Analysis Package: noise reduction and statistical inference (2011) PLoS One, 6 (9); Yucel, M.A., Selb, J., Aasted, C.M., Lin, P.Y., Borsook, D., Becerra, L., Boas, D.A., Mayer waves reduce the accuracy of estimated hemodynamic response functions in functional near-infrared spectroscopy (2016) Biomed. Opt. Express, 7 (8), pp. 3078-3088; Molavi, B., Dumont, G.A., Wavelet-based motion artifact removal for functional near-infrared spectroscopy (2012) Physiol. Meas., 33 (2), pp. 259-270; Di, X., Kim, E.H., Huang, C.C., Tsai, S.J., Lin, C.P., Biswal, B.B., The influence of the amplitude of low-frequency fluctuations on resting-state functional connectivity (2013) Front. Hum. Neurosci., 7, p. 118; Jang, K.E., Tak, S., Jung, J., Jang, J., Jeong, Y., Ye, J.C., Wavelet minimum description length detrending for near-infrared spectroscopy (2009) J. Biomed. Opt., 14 (3); Hyvarinen, A., Fast and robust fixed-point algorithms for independent component analysis (1999) IEEE Trans. Neural Networks, 10 (3), pp. 626-634; Karamzadeh, N., Medvedev, A., Azari, A., Gandjbakhche, A., Najafizadeh, L., Capturing dynamic patterns of task-based functional connectivity with EEG (2013) Neuroimage, 66, pp. 311-317; Sakoe, H., Chiba, S., Dynamic programming algorithm optimization for spoken word recognition (1978) IEEE Trans. Acoustics Speech Signal Process., 26 (1), pp. 43-49; Montero-Hernandez, S., Orihuela-Espina, F., Sucar, L.E., Pinti, P., Hamilton, A., Burgess, P., Tachtsidis, I., Estimating functional connectivity symmetry between oxy- and Deoxy-Haemoglobin: implications for fNIRS connectivity analysis (2018) Algorithms, 11 (5), p. 70; Crippa, A., Salvatore, C., Molteni, E., Mauri, M., Salandi, A., Trabattoni, S., Agostoni, C., Castiglioni, I., The utility of a computerized algorithm based on a multi-domain profile of measures for the diagnosis of attention deficit/hyperactivity disorder (2017) Front. Psychiatry, 8, p. 189; Hernandez-Meza, G., Izzetoglu, M., Osbakken, M., Green, M., Abubakar, H., Izzetoglu, K., Investigation of optical neuro-monitoring technique for detection of maintenance and emergence states during general anesthesia (2018) J. Clin. Monit. Comput., 32 (1), pp. 147-163; Hernandez-Meza, G., Izzetoglu, M., Sacan, A., Green, M., Izzetoglu, K., Investigation of data-driven optical neuromonitoring approach during general anesthesia with sevoflurane (2017) Neurophotonics, 4 (4); Rosas-Romero, R., Guevara, E., Peng, K., Nguyen, D.K., Lesage, F., Pouliot, P., Lima-Saad, W.E., Prediction of epileptic seizures with convolutional neural networks and functional near-infrared spectroscopy signals (2019) Comput. Biol. Med., 111; Sirpal, P., Kassab, A., Pouliot, P., Nguyen, D.K., Lesage, F., fNIRS improves seizure detection in multimodal EEG-fNIRS recordings (2019) J. Biomed. Opt., 24 (5), pp. 1-9; Sutoko, S., Monden, Y., Tokuda, T., Ikeda, T., Nagashima, M., Kiguchi, M., Maki, A., Dan, I., Distinct methylphenidate-evoked response measured using functional near-infrared spectroscopy during Go/No-Go task as a supporting differential diagnostic tool between Attention-Deficit/Hyperactivity disorder and autism Spectrum disorder comorbid children (2019) Front. Hum. Neurosci., 13, p. 7; Pedregosa, F., Varoquaux, G., Gramfort, A., Michel, V., Thirion, B., Grisel, O., Blondel, M., Duchesnay, É., Scikit-learn: machine learning in Python (2011) J. Mach. Learn. Res., 12 (null), pp. 2825-2830; Bradley, P.S., Mangasarian, O.L., Feature selection via concave minimization and support vector machines (1998) Proceedings of the Fifteenth International Conference on Machine Learning, pp. 82-90. , Morgan Kaufmann Publishers Inc; El Khouli, R.H., Macura, K.J., Barker, P.B., Habba, M.R., Jacobs, M.A., Bluemke, D.A., Relationship of temporal resolution to diagnostic performance for dynamic contrast enhanced MRI of the breast (2009) J. Magn. Reson. Imaging, 30 (5), pp. 999-1004; Ludemann, L., Grieger, W., Wurm, R., Wust, P., Zimmer, C., Glioma assessment using quantitative blood volume maps generated by T1-weighted dynamic contrast-enhanced magnetic resonance imaging: a receiver operating characteristic study (2006) Acta Radiol., 47 (3), pp. 303-310; Metz, C.E., Basic principles of ROC analysis (1978) Semin. Nucl. Med., 8 (4), pp. 283-298; Obuchowski, N.A., Receiver operating characteristic curves and their use in radiology (2003) Radiology, 229 (1), pp. 3-8; Montero-Hernandez, S., Orihuela-Espina, F., Sucar, E.L., Pinti, P., Hamilton, A., Burgess, P., Tachtsidis, I., Estimating functional connectivity symmetry between oxy- and Deoxy-Haemoglobin: implications for fNIRS connectivity analysis (2018) Algorithms, 11 (5); Niu, H., Khadka, S., Tian, F., Lin, Z.J., Lu, C., Zhu, C., Liu, H., Resting-state functional connectivity assessed with two diffuse optical tomographic systems (2011) J. Biomed. Opt., 16 (4); Zhang, Y.J., Lu, C.M., Biswal, B.B., Zang, Y.F., Peng, D.L., Zhu, C.Z., Detecting resting-state functional connectivity in the language system using functional near-infrared spectroscopy (2010) J. Biomed. Opt., 15 (4); Homae, F., Watanabe, H., Otobe, T., Nakano, T., Go, T., Konishi, Y., Taga, G., Development of global cortical networks in early infancy (2010) J. Neurosci., 30 (14), pp. 4877-4882; Kirilina, E., Jelzow, A., Heine, A., Niessing, M., Wabnitz, H., Bruhl, R., Ittermann, B., Tachtsidis, I., The physiological origin of task-evoked systemic artefacts in functional near infrared spectroscopy (2012) Neuroimage, 61 (1), pp. 70-81; Greicius, M.D., Krasnow, B., Reiss, A.L., Menon, V., Functional connectivity in the resting brain: a network analysis of the default mode hypothesis (2003) Proc. Natl. Acad. Sci. U. S. A., 100 (1), pp. 253-258; Kanai, R., Bahrami, B., Duchaine, B., Janik, A., Banissy, M.J., Rees, G., Brain structure links loneliness to social perception (2012) Curr. Biol., 22 (20), pp. 1975-1979; Yang, D.Y., Rosenblau, G., Keifer, C., Pelphrey, K.A., An integrative neural model of social perception, action observation, and theory of mind (2015) Neurosci. Biobehav. Rev., 51, pp. 263-275; Grill-Spector, K., Weiner, K.S., Kay, K., Gomez, J., The functional neuroanatomy of human face perception (2017) Annu. Rev. Vis. Sci., 3, pp. 167-196; Volkow, N.D., Tomasi, D., Wang, G.J., Fowler, J.S., Telang, F., Goldstein, R.Z., Alia-Klein, N., Alexoff, D., Positive emotionality is associated with baseline metabolism in orbitofrontal cortex and in regions of the default network (2011) Mol. Psychiatry, 16 (8), pp. 818-825; Waytz, A., Hershfield, H.E., Tamir, D.I., Mental simulation and meaning in life (2015) J. Pers. Soc. Psychol., 108 (2), pp. 336-355; Katsumi, Y., Kondo, N., Dolcos, S., Dolcos, F., Tsukiura, T., Intrinsic functional network contributions to the relationship between trait empathy and subjective happiness (2020) Neuroimage, 227; Liang, P., Wang, Z., Yang, Y., Li, K., Three subsystems of the inferior parietal cortex are differently affected in mild cognitive impairment (2012) J. Alzheimers Dis., 30 (3), pp. 475-487; Wagner, A.D., Shannon, B.J., Kahn, I., Buckner, R.L., Parietal lobe contributions to episodic memory retrieval (2005) Trends Cogn. Sci. (Regul. Ed.), 9 (9), pp. 445-453; Cabeza, R., Ciaramelli, E., Olson, I.R., Moscovitch, M., The parietal cortex and episodic memory: an attentional account (2008) Nat. Rev. Neurosci., 9 (8), pp. 613-625; Hong, K.S., Naseer, N., Reduction of delay in detecting initial dips from functional near-infrared spectroscopy signals using vector-based phase analysis (2016) Int. J. Neural Syst., 26 (3); Yoshino, K., Kato, T., Vector-based phase classification of initial dips during word listening using near-infrared spectroscopy (2012) Neuroreport, 23 (16), pp. 947-951; Yoshino, K., Oka, N., Yamamoto, K., Takahashi, H., Kato, T., Correlation of prefrontal cortical activation with changing vehicle speeds in actual driving: a vector-based functional near-infrared spectroscopy study (2013) Front. Hum. Neurosci., 7, p. 895; Masud, U., Jeribi, F., Alhameed, M., Tahir, A., Javaid, Q., Akram, F., Traffic congestion avoidance system using foreground estimation and cascade classifier (2020) IEEE Access, 8, pp. 178859-178869; Takizawa, R., Fukuda, M., Kawasaki, S., Kasai, K., Mimura, M., Pu, S., Noda, T., G. Joint Project for Psychiatric Application of Near-Infrared Spectroscopy, Neuroimaging-aided differential diagnosis of the depressive state (2014) Neuroimage, 85, pp. 498-507; Husain, S.F., Yu, R., Tang, T.B., Tam, W.W., Tran, B., Quek, T.T., Hwang, S.H., Ho, R.C., Validating a functional near-infrared spectroscopy diagnostic paradigm for Major Depressive Disorder (2020) Sci. Rep., 10 (1); Zhu, Y., Jayagopal, J.K., Mehta, R.K., Erraguntla, M., Nuamah, J., McDonald, A.D., Taylor, H., Chang, S., Classifying major depressive disorder using fNIRS during motor rehabilitation (2020) IEEE Trans. Neural Syst. Rehabil. Eng., p. 1; Azechi, M., Iwase, M., Ikezawa, K., Takahashi, H., Canuet, L., Kurimoto, R., Nakahachi, T., Takeda, M., Discriminant analysis in schizophrenia and healthy subjects using prefrontal activation during frontal lobe tasks: a near-infrared spectroscopy (2010) Schizophr. Res., 117 (1), pp. 52-60; Chuang, C.C., Nakagome, K., Pu, S., Lan, T.H., Lee, C.Y., Sun, C.W., Discriminant analysis of functional optical topography for schizophrenia diagnosis (2014) J. Biomed. Opt., 19 (1); Dadgostar, M., Setarehdan, S.K., Shahzadi, S., Akin, A., Classification of schizophrenia using SVM via fNIRS (2018) Biomed. Eng.: Appl. Basis Commun., 30 (2); Einalou, Z., Maghooli, K., Setarehdan, S.K., Akin, A., Effective channels in classification and functional connectivity pattern of prefrontal cortex by functional near infrared spectroscopy signals (2016) Optik, 127 (6), pp. 3271-3275; Hahn, T., Marquand, A.F., Plichta, M.M., Ehlis, A.C., Schecklmann, M.W., Dresler, T., Jarczok, T.A., Fallgatter, A.J., A novel approach to probabilistic biomarker-based classification using functional near-infrared spectroscopy (2013) Hum. Brain Mapp., 34 (5), pp. 1102-1114; Ji, X., Quan, W., Yang, L., Chen, J., Wang, J., Wu, T., Classification of schizophrenia by seed-based functional connectivity using prefronto-temporal functional near infrared spectroscopy (2020) J. Neurosci. Methods; Koike, S., Satomura, Y., Kawasaki, S., Nishimura, Y., Kinoshita, A., Sakurada, H., Yamagishi, M., Kasai, K., Application of functional near infrared spectroscopy as supplementary examination for diagnosis of clinical stages of psychosis spectrum (2017) Psychiatry Clin. Neurosci., 71 (12), pp. 794-806; Li, Z., Wang, Y., Quan, W., Wu, T., Lv, B., Evaluation of different classification methods for the diagnosis of schizophrenia based on functional near-infrared spectroscopy (2015) J. Neurosci. Methods, 241, pp. 101-110; Song, H., Chen, L., Gao, R., Bogdan, I.I.M., Yang, J., Wang, S., Dong, W., Yu, X., Automatic schizophrenic discrimination on fNIRS by using complex brain network analysis and SVM (2017) BMC Med. Inform. Decis. Mak., 17, p. 166; Baskak, B., The place of functional near infrared spectroscopy in psychiatry (2018) Noro Psikiyatr. Ars., 55 (2), pp. 103-104; Ehlis, A.C., Schneider, S., Dresler, T., Fallgatter, A.J., Application of functional near-infrared spectroscopy in psychiatry (2014) Neuroimage, 85, pp. 478-488; Kong, F., Ding, K., Yang, Z., Dang, X., Hu, S., Song, Y., Liu, J., Examining gray matter structures associated with individual differences in global life satisfaction in a large sample of young adults (2015) Soc. Cogn. Affect. Neurosci., 10 (7), pp. 952-960; Sato, W., Kochiyama, T., Uono, S., Kubota, Y., Sawada, R., Yoshimura, S., Toichi, M., The structural neural substrate of subjective happiness (2015) Sci. Rep., 5; Kjaer, T.W., Nowak, M., Lou, H.C., Reflective self-awareness and conscious states: PET evidence for a common midline parietofrontal core (2002) Neuroimage, 17 (2), pp. 1080-1086; Cavanna, A.E., Trimble, M.R., The precuneus: a review of its functional anatomy and behavioural correlates (2006) Brain, 129, pp. 564-583; Johnson, M.K., Raye, C.L., Mitchell, K.J., Touryan, S.R., Greene, E.J., Nolen-Hoeksema, S., Dissociating medial frontal and posterior cingulate activity during self-reflection (2006) Soc. Cogn. Affect. Neurosci., 1 (1), pp. 56-64; Johnson, M.K., Nolen-Hoeksema, S., Mitchell, K.J., Levin, Y., Medial cortex activity, self-reflection and depression (2009) Soc. Cogn. Affect. Neurosci., 4 (4), pp. 313-327; Vabalas, A., Gowen, E., Poliakoff, E., Casson, A.J., Machine learning algorithm validation with a limited sample size (2019) PLoS One, 14 (11); Hosseini, M., Powell, M., Collins, J., Callahan-Flintoft, C., Jones, W., Bowman, H., Wyble, B., I tried a bunch of things: the dangers of unexpected overfitting in classification of brain data (2020) Neurosci. Biobehav. Rev., 119, pp. 456-467</t>
  </si>
  <si>
    <t>17468094</t>
  </si>
  <si>
    <t>Biomed. Signal Process. Control</t>
  </si>
  <si>
    <t>2-s2.0-85104083704</t>
  </si>
  <si>
    <t>Assessment of flourishing levels of individuals by using resting-state fnirs with different functional connectivity measures</t>
  </si>
  <si>
    <t>Speer S.P.H., Boksem M.A.S.</t>
  </si>
  <si>
    <t>57205525715;8605026800;</t>
  </si>
  <si>
    <t>Decoding fairness motivations from multivariate brain activity patterns</t>
  </si>
  <si>
    <t>14</t>
  </si>
  <si>
    <t>1197</t>
  </si>
  <si>
    <t>1207</t>
  </si>
  <si>
    <t>10.1093/scan/nsz097</t>
  </si>
  <si>
    <t>https://www.scopus.com/inward/record.uri?eid=2-s2.0-85081946160&amp;doi=10.1093%2fscan%2fnsz097&amp;partnerID=40&amp;md5=d1fd2c51da279825affc9e786a85f6fe</t>
  </si>
  <si>
    <t>Rotterdam School of Management, Erasmus University, Rotterdam, 3062, Netherlands</t>
  </si>
  <si>
    <t>Speer, S.P.H., Rotterdam School of Management, Erasmus University, Rotterdam, 3062, Netherlands; Boksem, M.A.S., Rotterdam School of Management, Erasmus University, Rotterdam, 3062, Netherlands</t>
  </si>
  <si>
    <t>A preference for fairness may originate from prosocial or strategic motivations: We may wish to improve others' well-being or avoid the repercussions of selfish behavior. Here, we used functional magnetic resonance imaging to identify neural patterns that dissociate these two motivations. Participants played both the ultimatum and dictator game (UG-DG) as proposers. Because responders can reject the offer in the UG, but not the DG, offers and neural patterns between the games should differ for strategic players but not prosocial players. Using multivariate pattern analysis, we found that the decoding accuracy of neural patterns associated with UG and DG decisions correlated significantly with differences in offers between games in regions associated with theory of mind (ToM), such as the temporoparietal junction, and cognitive control, such as the dorsolateral prefrontal cortex and inferior frontal cortex. We conclude that individual differences in prosocial behavior may be driven by variations in the degree to which self-control and ToM processes are engaged during decision-making such that the extent to which these processes are engaged is indicative of either selfish or prosocial motivations. © 2020 The Author(s). Published by Oxford University Press.</t>
  </si>
  <si>
    <t>cognitive control; fMRI; machine learning; prosocial behavior; theory of mind</t>
  </si>
  <si>
    <t>adult; article; brain function; controlled study; decision making; dissociation; dorsolateral prefrontal cortex; executive function; female; functional magnetic resonance imaging; human; human experiment; machine learning; male; motivation; self control; temporoparietal junction; theory of mind; brain; brain mapping; frontal lobe; game; individuality; motivation; multivariate analysis; nuclear magnetic resonance imaging; physiology; prefrontal cortex; theory of mind; young adult; Adult; Brain; Brain Mapping; Decision Making; Female; Frontal Lobe; Games, Experimental; Humans; Individuality; Magnetic Resonance Imaging; Male; Motivation; Multivariate Analysis; Prefrontal Cortex; Self-Control; Theory of Mind; Young Adult</t>
  </si>
  <si>
    <t>Artinger, F., Exadaktylos, F., Koppel, H., Saä&amp;die;ksvuori, L., Others' shoes: Do individual differences in empathy and theory of mind shape social preferences (2014) PLoS One, 9 (4), p. e92844; Batson, C.D., Batson, J.G., Slingsby, J.K., Harrell, K.L., Peekna, H.M., Todd, R.M., Empathic joy and the empathy-altruism hypothesis (1991) Journal of Personality and Social Psychology, 61 (3), p. 413; Bruneau, E.G., Pluta, A., Saxe, R., Distinct roles of the 'shared pain'and 'theory of mind'networks in processing others' emotional suffering (2012) Neuropsychologia, 50 (2), pp. 219-231; Ciaramidaro, A., Adenzato, M., Enrici, I., The intentional network: How the brain reads varieties of intentions (2007) Neuropsychologia, 45 (13), pp. 3105-3113; Cox, D.D., Savoy, R.L., Functional magnetic resonance imaging (fMRI brain reading Detecting and classifying distributed patterns of fMRI activity in human visual cortex (2003) NeuroImage, 19 (2), pp. 261-270; Dalwani, M., Sakai, J.T., Mikulich-Gilbertson, S.K., Reduced cortical gray matter volume inmale adolescents with substance and conduct problems (2011) Drug and Alcohol Dependence, 118 (2-3), pp. 295-305; Edele, A., Dziobek, I., Keller, M., Explaining altruistic sharing in the dictator game: The role of affective empathy, cognitive empathy, justice sensitivity (2013) Learning and Individual Differences, 24, pp. 96-102. , http://doi.org/10.1016/j.lindif.2012.12.020; Eisenberg, N., Miller, P.A., The relation of empathy to prosocial and related behaviors (1987) Psychological Bulletin, 101 (1), pp. 91-119. , http://doi.org/10.1037/0033-2909.101.1.91; Fehr, E., Schmidt, K.M., A theory of fairness, competition, cooperation (1999) The Quarterly Journal of Economics, 114 (3), pp. 817-868; Forsythe, R., Horowitz, J.L., Savin, N.E., Sefton, M., Fairness in simple bargaining experiments (1994) Games and Economic Behavior, 6 (3), pp. 347-369; Gallagher, H.L., Frith, C.D., Functional imaging of 'theory of mind' (2003) Trends in Cognitive Sciences, 7 (2), pp. 77-83; Güth, W., Schmittberger, R., Schwarze, B., An experimental analysis of ultimatum bargaining (1982) Journal of Economic Behavior &amp; Organization, 3 (4), pp. 367-388; Hanke, M., Halchenko, Y.O., Sederberg, P.B., Olivetti, E., Fründ, I., Rieger, J.W., Pollmann, S., PyMVPA: A unifying approach to the analysis of neuroscientific data (2009) Frontiers in Neuroinformatics, 3, p. 3. , http://doi.org/10.3389/neuro.11.003.2009; Henrich, J., Boyd, R., Bowles, S., Economic man in Cross-Cultural perspective: Behavioral experiments in 15 small-scale societies (2005) Behavioral and Brain Sciences, 28 (6), pp. 795-815; Hétu, S., Taschereau-Dumouchel, V., Jackson, P.L., Stimulating the brain to study social interactions and empathy (2012) Brain Stimulation, 5 (2), pp. 95-102; Hoffman, E., McCabe, K., Smith, V.L., The impact of exchange context on the activation of equity in ultimatum games (2000) Experimental Economics, 3 (1), pp. 5-9. , http://doi.org/10.1007/BF01669204; Kahneman, D., Knetsch, J.L., Thaler, R.H., Fairness and the assumptions of economics (1986) Journal of Business, 59, pp. 5285-5300; Krall, S.C., Rottschy, C., Oberwelland, E., The role of the right temporoparietal junction in attention and social interaction as revealed by ALE meta-analysis (2015) Brain Structure and Function, 220 (2), pp. 587-604; Kriegeskorte, N., Goebel, R., Bandettini, P., Informationbased functional brain mapping (2006) Proceedings of the National Academy of Sciences of the United States of America, 103, pp. 3863-3868. , http://doi.org/10.1073/pnas.0600244103; Lotz, S., Spontaneous giving under structural inequality: Intuition promotes cooperation in asymmetric social dilemmas (2015) PLoS One, 10 (7), pp. 1-9. , http://doi.org/10.1371/journal.pone.0131562; Misaki, M., Kim, Y., Bandettini, P.A., Kriegeskorte, N., NeuroImage comparison of multivariate classifiers and response normalizations for pattern-information fMRI (2010) NeuroImage, 53 (1), pp. 103-118. , http://doi.org/10.1016/j.neuroimage.2010.05.051; Mitchell, T.M., Hutchinson, R., Niculescu, R.S., Learning to decode cognitive states from brain images (2004) Machine Learning, 57 (1-2), pp. 145-175; Mumford, J.A., Turner, B.O., Ashby, F.G., Poldrack, R.A., NeuroImage deconvolving BOLD activation in eventrelated designs for multivoxel pattern classification analyses (2012) NeuroImage, 59 (3), pp. 2636-2643. , http://doi.org/10.1016/j.neuroimage.2011.08.076; Norman, K.A., Polyn, S.M., Detre, G.J., Haxby, J.V., Beyond mind-reading: Multi-voxel pattern analysis of fMRI data (2006) Trends in Cognitive Sciences, 10 (9), pp. 424-430. , http://doi.org/10.1016/j.tics.2006.07.005; Oosterbeek, H., Sloof, R., Van De Kuilen, G., Cultural differences in ultimatum game experiments: Evidence froma metaanalysis (2004) Experimental Economics, 7 (2), pp. 171-188; Pavey, L., Greitemeyer, T., Sparks, P., I help because i want to, not because you tell me to Empathy increases autonomously motivated helping (2012) Personality and Social Psychology Bulletin, 38 (5), pp. 681-689. , http://doi.org/10.1177/0146167211435940; Penner, L.A., Dovidio, J.F., Piliavin, J.A., Schroeder, D.A., Prosocial behavior: Multilevel perspectives (2005) Annual Review of Psychology, 56, pp. 365-392; Poldrack, R.A., Can cognitive processes be inferred from neuroimaging data (2006) Trends in Cognitive Sciences, 10 (2), pp. 59-63; Rand, D.G., Cooperation, fast and slow: Meta-analytic evidence for a theory of social heuristics and self-interested deliberation (2016) Psychological Science, 27 (9), pp. 1192-1206. , http://doi.org/10.1177/0956797616654455; Rand, D.G., Greene, J.D., Nowak, M.A., Spontaneous giving and calculated greed (2012) Nature, 489 (7416), p. 427; Rand, D.G., Kraft-Todd, G., Gruber, J., The collective benefits of feeling good and letting go: Positive emotion and (dis) inhibition interact to predict cooperative behavior (2015) PLoS One, 10 (1), pp. 1-12. , http://doi.org/10.1371/journal.pone.0117426; Saxe, R., Wexler, A., Making sense of another mind: The role of the right temporo-parietal junction (2005) Neuropsychologia, 43, pp. 1391-1399. , http://doi.org/10.1016/j.neuropsychologia.2005.02.013; Schulz, J.F., Fischbacher, U., Thöni, C., Utikal, V., Affect and fairness: Dictator games under cognitive load (2014) Journal of Economic Psychology, 41, pp. 77-87. , http://doi.org/10.1016/j.joep.2012.08.007; Schurz, M., Radua, J., Aichhorn, M., Richlan, F., Perner, J., Fractionating theory of mind: A meta-analysis of functional brain imaging studies (2014) Neuroscience and Biobehavioral Reviews, 42, pp. 9-34. , http://doi.org/10.1016/j.neubiorev.2014.01.009; Sharp, D.J., Bonnelle, V., De Boissezon, X., Distinct frontal systems for response inhibition, attentional capture, error processing (2010) Proceedings of the National Academy of Sciences, 107 (13), pp. 6106-6111; Spitzer, M., Fischbacher, U., Herrnberger, B., Grön, G., Fehr, E., The neural signature of social norm compliance (2007) Neuron, 56 (1), pp. 185-196; Steinbeis, N., Bernhardt, B.C., Singer, T., Article impulse control and underlying functions of the left DLPFC mediate age-related and age-independent individual differences in strategic social behavior (2012) Neuron, 73 (5), pp. 1040-1051. , http://doi.org/10.1016/j.neuron.2011.12.027; Stokes, P.R.A., Rhodes, R.A., Grasby, P.M., Mehta, M.A., The effects of the COMT val108/158met polymorphism on BOLD activation during working memory, planning and response inhibition: A role for the posterior cingulate cortex (2011) Neuropsychopharmacology, 36 (4), pp. 763-771. , http://doi.org/10.1038/npp.2010.210; Strang, S., Gross, J., Schuhmann, T., Riedl, A., Weber, B., Sack, A.T., Be nice if you have to-the neurobiological roots of strategic fairness (2014) Social Cognitive and Affective Neuroscience, 10 (6), pp. 790-796; Tottenham, N., Tanaka, J.W., Leon, A.C., McCarry, T., Nurse, M., Hare, A.T., Nelson, C., The NimStim set of facial expressions: Judgments from untrained research participants (2009) Psychiatry Research, 168 (3), pp. 242-249; Thaler, R.H., Anomalies: The ultimatum game (1988) Journal of Economic Perspectives, 2 (4), pp. 195-206; Van Overwalle Van, F., Baetens, K., NeuroImage understanding others' actions and goals by mirror and mentalizing systems: A meta-analysis (2009) NeuroImage, 48 (3), pp. 564-584. , http://doi.org/10.1016/j.neuroimage.2009.06.009; Verbruggen, F., Logan, G.D., Response inhibition in the stop-signal paradigm (2008) Trends in Cognitive Sciences, 12 (11), pp. 418-424; Vul, E., Harris, C., Winkielman, P., Pashler, H., Puzzlingly high correlations in fMRI studies of emotion, personality, social cognition (2009) Perspectives on Psychological Science, 4 (3), pp. 274-290; Wager, T.D., Sylvester, C.Y.C., Lacey, S.C., Nee, D.E., Franklin, M., Jonides, J., Common and unique components of response inhibition revealed by fMRI (2005) NeuroImage, 27 (2), pp. 323-340; Wager, T.D., Nichols, T.E., Van Essen, D.C., Poldrack, R.A., Yarkoni, T., Large-scale automated synthesis of human functional neuroimaging data (2011) Nature Methods, 8 (8), pp. 665-670. , http://doi.org/10.1038/nmeth.1635; Weygandt, M., Mai, K., Dommes, E., Impulse control in the dorsolateral prefrontal cortex counteracts post-dietweight regain in obesity (2015) NeuroImage, 109, pp. 318-327; Yamagishi, T., Takagishi, H., Fermin, A.D.S.R., Kanai, R., Li, Y., Matsumoto, Y., Cortical thickness of the dorsolateral prefrontal cortex predicts strategic choices in economic games (2016) Proceedings of the National Academy of Sciences, 113 (20), pp. 5582-5587; Young, L., Camprodon, J.A., Hauser, M., Pascual-Leone, A., Saxe, R., Disruption of the right temporoparietal junction with transcranial magnetic stimulation reduces the role of beliefs in moral judgments (2010) Proceedings of the National Academy of Sciences of the United States of America, 107 (15), pp. 6753-6758. , http://doi.org/10.1073/pnas.0914826107; Young, L., Dodell-Feder, D., Saxe, R., What gets the attention of the temporo-parietal junction An fMRI investigation of attention and theory of mind (2010) Neuropsychologia, 48, pp. 2658-2664. , http://doi.org/10.1016/j.neuropsychologia.2010.05.012; Zaitchik, D., Walker, C., Miller, S., LaViolette, P., Feczko, E., Dickerson, B.C., Mental state attribution and the temporoparietal junction: An fMRI study comparing belief, emotion, perception (2010) Neuropsychologia, 48 (9), pp. 2528-2536</t>
  </si>
  <si>
    <t>2-s2.0-85081946160</t>
  </si>
  <si>
    <t>Ke N., Shi G., Zhou Y.</t>
  </si>
  <si>
    <t>57316810600;36871801800;57830841500;</t>
  </si>
  <si>
    <t>Stacking model for optimizing subjective well-being predictions based on the cgss database</t>
  </si>
  <si>
    <t>11833</t>
  </si>
  <si>
    <t>10.3390/su132111833</t>
  </si>
  <si>
    <t>https://www.scopus.com/inward/record.uri?eid=2-s2.0-85118242997&amp;doi=10.3390%2fsu132111833&amp;partnerID=40&amp;md5=559e5d99ed6de8b2220b97e114610bb9</t>
  </si>
  <si>
    <t>School of Public Administration, Hohai University, Nanjing, 211100, China; National Research Centre for Resettlement, Hohai University, Nanjing, 211100, China; Institute of Statistics and Econometrics, Nankai University, Tianjin, 300071, China</t>
  </si>
  <si>
    <t>Ke, N., School of Public Administration, Hohai University, Nanjing, 211100, China, National Research Centre for Resettlement, Hohai University, Nanjing, 211100, China; Shi, G., School of Public Administration, Hohai University, Nanjing, 211100, China, National Research Centre for Resettlement, Hohai University, Nanjing, 211100, China; Zhou, Y., Institute of Statistics and Econometrics, Nankai University, Tianjin, 300071, China</t>
  </si>
  <si>
    <t>Subjective Well-Being (SWB) is an important indicator reflecting the satisfaction of residents’ lives and social welfare. As a prevalent technique, machine learning is playing a more significant role in various domains. However, few studies have used machine learning techniques to study SWB. This paper puts forward a stacking model based on ANN, XGBoost, LR, CatBoost, and LightGBM to predict the SWB of Chinese residents, using the Chinese General Social Survey (CGSS) datasets from 2011, 2013, 2015, and 2017. Furthermore, the feature importance index of tree models is used to reveal the changes in the important factors affecting SWB. The results show that the stacking model proposed in this paper is superior to traditional models such as LR or other single machine learning models. The results also show some common features that have contributed to SWB in different years. The methods used in this study are effective and the results provide support for making society more harmonious. © 2021 by the authors. Licensee MDPI, Basel, Switzerland.</t>
  </si>
  <si>
    <t>Machine learning; Stacking model; Subjective well-being</t>
  </si>
  <si>
    <t>database; machine learning; methodology; social impact; stacking; China; Indicator indicator</t>
  </si>
  <si>
    <t>Wilson, W.R., Correlates of avowed happiness (1967) Psychol. Bull, 67, pp. 294-306. , [CrossRef]; Diener, E., (2009) The Science of Well-Being, , Springer: Dordrecht, The Netherlands, [CrossRef]; Diener, E., Suh, E.M., Lucas, R.E., Smith, H.L., Subjective well-being: Three decades of progress (1999) Psychol. Bull, 125, pp. 276-302. , [CrossRef]; Diener, E., Oishi, S., Tay, L., Advances in subjective well-being research (2018) Nat. Hum. Behav, 2, pp. 253-260. , [CrossRef] [PubMed]; Yang, Q., Cheng, C., Zhang, K., Income Gap, Housing Property Rights and the Urban Residents’ Happiness: Based on Empirical Research of CGSS2003 and CGSS2013 (2018) Northwest Popul. J, 39, pp. 11-29. , (In Chinese); Ferrer-I-Carbonell, A., Gowdy, J.M., Environmental degradation and happiness (2007) Ecol. Econ, 60, pp. 509-516. , [CrossRef]; Zhang, N., Liu, C., Chen, Z., An, L., Ren, D., Yuan, F., Yuan, R., Guo, Z., Prediction of adolescent subjective well-being: A machine learning approach (2019) Gen. Psychiatry, 32, p. e100096. , [CrossRef] [PubMed]; Chinese National Survey Data Archive, , http://cnsda.ruc.edu.cn/index.php?r=site/datarecommendation, (accessed on 4 January 2021); Voukelatou, V., Gabrielli, L., Miliou, I., Cresci, S., Sharma, R., Tesconi, M., Pappalardo, L., Measuring objective and subjective well-being: Dimensions and data sources (2020) Int. J. Data Sci. Anal, 11, pp. 279-309. , [CrossRef]; Veenhoven, R., Happiness: Also Known as “Life Satisfaction” and “Subjective Well-Being” (2012) Handbook of Social Indicators and Quality of Life Research, , Land, K., Michalos, A., Sirgy, M., Eds.; Springer: Dordrecht, The Netherlands, [CrossRef]; Shi, H., Yi, M., Environmental Governance, High-quality Development and Residents’ Happiness—Empirical Study Based on CGSS (2015) Micro Survey Data (2020) Manag. Rev, 32, pp. 18-33. , (In Chinese); Pan, H., Chen, H., Empirical Research on the Effect Mechanism of Ecological Environment on Residents’ Happiness in China (2021) Chin. J. Environ. Manag, 13, pp. 156-161. , 148. (In Chinese); Clark, A.E., Frijters, P., Shields, M.A., Relative Income, Happiness, and Utility: An Explanation for the Easterlin Paradox and Other Puzzles (2008) J. Econ. Lit, 46, pp. 95-144. , [CrossRef]; Esping-Andersen, G., Nedoluzhko, L., Inequality equilibria and individual well-being (2017) Soc. Sci. Res, 62, pp. 24-28. , [CrossRef]; Johnson, W., Krueger, R.F., How money buys happiness: Genetic and environmental processes linking finances and life satisfaction (2006) J. Pers. Soc. Psychol, 90, pp. 680-691. , [CrossRef]; Tan, J.J.X., Kraus, M.W., Carpenter, N.C., Adler, N.E., The association between objective and subjective socioeconomic status and subjective well-being: A meta-analytic review (2020) Psychol. Bull, 146, pp. 970-1020. , [CrossRef]; Molina, M., Garip, F., Machine Learning for Sociology (2019) Annu. Rev. Sociol, 45, pp. 27-45. , [CrossRef]; Samuel, A.L., Some Studies in Machine Learning Using the Game of Checkers (1959) IBM J. Res. Dev, 3, pp. 210-229. , [CrossRef]; Kotsiantis, S.B., Zaharakis, I., Pintelas, P., Supervised machine learning: A review of classification techniques (2007) Emerg. Artif. Intell. Appl. Comput. Eng, 160, pp. 3-24; Saputri, T.R.D., Lee, S.-W., A Study of Cross-National Differences in Happiness Factors Using Machine Learning Approach (2015) Int. J. Softw. Eng. Knowl. Eng, 25, pp. 1699-1702. , [CrossRef]; Jaques, N., Taylor, S., Azaria, A., Ghandeharioun, A., Sano, A., Picard, R., Predicting students’ happiness from physiology, phone, mobility, and behavioral data Proceedings of the 2015 International Conference on Affective Computing and Intelligent Interaction (ACII), pp. 222-228. , Xi’an, China, 21–24 September 2015; [CrossRef]; Marinucci, A., Kraska, J., Costello, S., Recreating the Relationship between Subjective Wellbeing and Personality Using Machine Learning: An Investigation into Facebook Online Behaviours (2018) Big Data Cogn. Comput, 2, p. 29. , [CrossRef]; Dietterich, T.G., (2000) Ensemble Methods in Machine Learning, pp. 1-15. , Springer: Berlin/Heidelberg, Germany, [CrossRef]; Breiman, L., Bagging predictors (1996) Mach. Learn, 24, pp. 123-140. , [CrossRef]; Zhang, Z.L., Wu, D.P., An imbalanced data classification method based on probability threshold Bagging (2019) Comput. Eng. Sci, 41, pp. 1086-1094. , (In Chinese); Tuysuzoglu, G., Birant, D., Enhanced Bagging (eBagging): A Novel Approach for Ensemble Learning (2019) Int. Arab. J. Inf. Technol, 17, pp. 515-528. , [CrossRef]; Friedman, J.H., Greedy function approximation: A gradient boosting machine (2001) Ann. Stat, 29, pp. 1189-1232. , [CrossRef]; Chen, T., Guestrin, C., XGBoost: A Scalable Tree Boosting System Proceedings of the 22nd ACM SIGKDD International Conference on Knowledge Discovery and Data Mining, pp. 785-794. , San Francisco, CA, USA, 13–17 August 2016; [CrossRef]; Ke, G., Meng, Q., Finley, T., Wang, T., Chen, W., Ma, W., Ye, Q., Liu, T.-Y., LightGBM: A Highly Efficient Gradient Boosting Decision Tree (2017) Proceedings of the 31st Conference on Neural Information Processing Systems (NIPS 2017), , Long Beach, CA, USA, 4 December; Prokhorenkova, L., Gusev, G., Vorobev, A., Dorogush, A.V., Gulin, A., CatBoost: Unbiased boosting with categorical features (2018) Adv. Neural Inf. Process. Syst, 31, pp. 6639-6649; Wolpert, D.H., Stacked generalization (1992) Neural Netw, 5, pp. 241-259. , [CrossRef]; Ting, K.M., Witten, I., Issues in Stacked Generalization (1999) J. Artif. Intell. Res, 10, pp. 271-289. , [CrossRef]; Sigletos, G., Paliouras, G., Spyropoulos, C.D., Hatzopoulos, M., Combining Information Extraction Systems Using Voting and Stacked Generalization (2005) J. Mach. Learn. Res, 6, pp. 1751-1782. , [CrossRef]; Cao, Z., Yu, D., Shi, J., Zong, S., The Two-layer Classifier Model and its Application to Personal Credit Assessment (2019) Control. Eng. China, 26, pp. 2231-2234. , (In Chinese); McCulloch, W.S., Pitts, W., A logical calculus of the ideas immanent in nervous activity (1943) Bull. Math. Biol, 5, pp. 115-133. , [CrossRef]; Egilmez, G., Erdil, N., Arani, O.M., Vahid, M., Application of artificial neural networks to assess student happiness (2019) Int. J. Appl. Decis. Sci, 12, p. 115. , [CrossRef]; Tharwat, A., Classification assessment methods (2020) Appl. Comput. Inform, 17, pp. 168-192. , [CrossRef]; Li, Y., Chen, W., A Comparative Performance Assessment of Ensemble Learning for Credit Scoring (2020) Mathematics, 8, p. 1756. , [CrossRef]; Demšar, J., Statistical comparisons of classifiers over multiple data sets (2006) J. Mach. Learn. Res, 7, pp. 1-30. , [CrossRef]</t>
  </si>
  <si>
    <t>2-s2.0-85118242997</t>
  </si>
  <si>
    <t>Shani R., Tal S., Derakshan N., Cohen N., Enock P.M., McNally R.J., Mor N., Daches S., Williams A.D., Yiend J., Carlbring P., Kuckertz J.M., Yang W., Reinecke A., Beevers C.G., Bunnell B.E., Koster E.H.W., Zilcha-Mano S., Okon-Singer H.</t>
  </si>
  <si>
    <t>57208236412;57208236820;6602133918;57189251458;55920154700;7102581294;23489634900;36162739100;16231970900;6508181417;6603291354;36174253900;55501139900;14036182300;7004578857;55331163300;7006735833;37123226000;16043157800;</t>
  </si>
  <si>
    <t>Personalized cognitive training: Protocol for individual-level meta-analysis implementing machine learning methods</t>
  </si>
  <si>
    <t>Journal of Psychiatric Research</t>
  </si>
  <si>
    <t>342</t>
  </si>
  <si>
    <t>348</t>
  </si>
  <si>
    <t>10.1016/j.jpsychires.2021.03.043</t>
  </si>
  <si>
    <t>https://www.scopus.com/inward/record.uri?eid=2-s2.0-85104575850&amp;doi=10.1016%2fj.jpsychires.2021.03.043&amp;partnerID=40&amp;md5=48932f0e720ddafff4670fc99a3330ae</t>
  </si>
  <si>
    <t>Department of Psychology, School of Psychological Sciences, University of Haifa, Haifa, Israel; The Integrated Brain and Behavior Research Center (IBBR), University of Haifa, Haifa, Israel; Department of Psychological Sciences, Birkbeck University of London, London, United Kingdom; Department of Special Education, University of Haifa, Haifa, Israel; The Edmond J. Safra Brain Research Center for the Study of Learning Disabilities, University of Haifa, Haifa, Israel; Department of Psychology, Harvard University, Cambridge, MA, United States; Psychology Department, Bar Ilan University, Israel; Department of Psychology, Faculty of Science, University of New South Wales, Sydney, Australia; King's College London, United Kingdom; Department of Psychology, Stockholm University, Stockholm, Sweden; Department of Psychiatry, McLean Hospital, Belmont, MA, United States; Department of Psychiatry, Harvard Medical School, Boston, MA, United States; Department of Psychology, Hunan Normal University, China; Department of Psychiatry, University of Oxford, United Kingdom; Institute for Mental Health Research and Department of Psychology, University of Texas at Austin, Austin, TX, United States; Department of Psychiatry and Behavioral Neurosciences, Morsani College of Medicine, University of South Florida, United States; Department of Experimental Clinical and Health Psychology, Ghent University, Ghent, Belgium; Department of Psychology, The Hebrew University of Jerusalem, Israel; Seymour Fox School of Education, The Hebrew University of Jerusalem, Israel</t>
  </si>
  <si>
    <t>Shani, R., Department of Psychology, School of Psychological Sciences, University of Haifa, Haifa, Israel, The Integrated Brain and Behavior Research Center (IBBR), University of Haifa, Haifa, Israel; Tal, S., Department of Psychology, School of Psychological Sciences, University of Haifa, Haifa, Israel; Derakshan, N., Department of Psychological Sciences, Birkbeck University of London, London, United Kingdom; Cohen, N., Department of Special Education, University of Haifa, Haifa, Israel, The Edmond J. Safra Brain Research Center for the Study of Learning Disabilities, University of Haifa, Haifa, Israel; Enock, P.M., Department of Psychology, Harvard University, Cambridge, MA, United States; McNally, R.J., Department of Psychology, Harvard University, Cambridge, MA, United States; Mor, N., Department of Psychology, The Hebrew University of Jerusalem, Israel, Seymour Fox School of Education, The Hebrew University of Jerusalem, Israel; Daches, S., Psychology Department, Bar Ilan University, Israel; Williams, A.D., Department of Psychology, Faculty of Science, University of New South Wales, Sydney, Australia; Yiend, J., King's College London, United Kingdom; Carlbring, P., Department of Psychology, Stockholm University, Stockholm, Sweden; Kuckertz, J.M., Department of Psychiatry, McLean Hospital, Belmont, MA, United States, Department of Psychiatry, Harvard Medical School, Boston, MA, United States; Yang, W., Department of Psychology, Hunan Normal University, China; Reinecke, A., Department of Psychiatry, University of Oxford, United Kingdom; Beevers, C.G., Institute for Mental Health Research and Department of Psychology, University of Texas at Austin, Austin, TX, United States; Bunnell, B.E., Department of Psychiatry and Behavioral Neurosciences, Morsani College of Medicine, University of South Florida, United States; Koster, E.H.W., Department of Experimental Clinical and Health Psychology, Ghent University, Ghent, Belgium; Zilcha-Mano, S., Department of Psychology, School of Psychological Sciences, University of Haifa, Haifa, Israel; Okon-Singer, H., Department of Psychology, School of Psychological Sciences, University of Haifa, Haifa, Israel, The Integrated Brain and Behavior Research Center (IBBR), University of Haifa, Haifa, Israel</t>
  </si>
  <si>
    <t>Accumulating evidence suggests that cognitive training may enhance well-being. Yet, mixed findings imply that individual differences and training characteristics may interact to moderate training efficacy. To investigate this possibility, the current paper describes a protocol for a data-driven individual-level meta-analysis study aimed at developing personalized cognitive training. To facilitate comprehensive analysis, this protocol proposes criteria for data search, selection and pre-processing along with the rationale for each decision. Twenty-two cognitive training datasets comprising 1544 participants were collected. The datasets incorporated diverse training methods, all aimed at improving well-being. These training regimes differed in training characteristics such as targeted domain (e.g., working memory, attentional bias, interpretation bias, inhibitory control) and training duration, while participants differed in diagnostic status, age and sex. The planned analyses incorporate machine learning algorithms designed to identify which individuals will be most responsive to cognitive training in general and to discern which methods may be a better fit for certain individuals. © 2021 The Author(s)</t>
  </si>
  <si>
    <t>Cognitive remediation; Cognitive training; Machine learning; Meta-analysis; Personalized treatment</t>
  </si>
  <si>
    <t>adult; algorithm; article; attentional bias; cognitive remediation therapy; controlled study; female; human; human experiment; interpretation bias; machine learning; male; meta analysis; wellbeing; working memory; attentional bias; cognition; cognitive defect; machine learning; meta analysis (topic); short term memory; Attentional Bias; Cognition; Cognition Disorders; Humans; Machine Learning; Memory, Short-Term; Meta-Analysis as Topic</t>
  </si>
  <si>
    <t>Au, J., Sheehan, E., Tsai, N., Duncan, G.J., Buschkuehl, M., Jaeggi, S.M., Improving fluid intelligence with training on working memory: a meta-analysis (2015) Psychon. Bull. Rev., 22 (2), pp. 366-377; Badura-Brack, A.S., Naim, R., Ryan, T.J., Levy, O., Abend, R., Khanna, M.M., Effect of attention training on attention bias variability and PTSD symptoms: randomized controlled trials in Israeli and US combat veterans (2015) Am. J. Psychiatr., 172 (12), pp. 1233-1241; Beevers, C.G., Clasen, P.C., Enock, P.M., Schnyer, D.M., Attention bias modification for major depressive disorder: effects on attention bias, resting state connectivity, and symptom change (2015) J. Abnorm. Psychol., 124 (3), p. 463. , *; Bomyea, J., Stein, M.B., Lang, A.J., Interference control training for PTSD: a randomized controlled trial of a novel computer-based intervention (2015) J. Anxiety Disord., 34, pp. 33-42; Bunnell, B.E., Beidel, D.C., Mesa, F., A randomized trial of attention training for generalized social phobia: does attention training change social behavior? (2013) Behav. Ther., 44 (4), pp. 662-673. , *; Clerkin, E.M., Beard, C., Fisher, C.R., Schofield, C.A., An attempt to target anxiety sensitivity via cognitive bias modification (2015) PloS One, 10 (2). , *; Cohen, N., Mor, N., Henik, A., Linking executive control and emotional response: a training procedure to reduce rumination (2015) Clin. Psychol. Sci., 3 (1), pp. 15-25. , *; Cohen, N., Margulies, D.S., Ashkenazi, S., Schäfer, A., Taubert, M., Henik, A., Using executive control training to suppress amygdala reactivity to aversive information (2016) Neuroimage, 125, pp. 1022-1031; Cohen, N., Mor, N., Enhancing reappraisal by linking cognitive control and emotion (2018) Clin. Psychol. Sci., 6 (1), pp. 155-163. , *; Cohen, N., Ochsner, K.N., From surviving to thriving in the face of threats: the emerging science of emotion regulation training (2018) Curr. Opin. Behav. Sci., 24, pp. 143-155; Cohen, Z.D., DeRubeis, R.J., Treatment selection in depression (2018) Annu. Rev. Clin. Psychol., 14, pp. 209-236; Course-Choi, J., Saville, H., Derakshan, N., The effects of adaptive working memory training and mindfulness meditation training on processing efficiency and worry in high worriers (2017) Behav. Res. Ther., 89, pp. 1-13. , *; Cristea, I.A., Kok, R.N., Cuijpers, P., Efficacy of cognitive bias modification interventions in anxiety and depression: meta-analysis (2015) Br. J. Psychiatr., 206 (1), pp. 7-16; Culverhouse, R.C., Bowes, L., Breslau, N., Nurnberger, J.I., Jr., Burmeister, M., Fergusson, D.M., Protocol for a collaborative meta-analysis of 5-HTTLPR, stress, and depression (2013) BMC Psychiatr., 13 (1), p. 304; Daches, S., Mor, N., Training ruminators to inhibit negative information: a preliminary report (2014) Cognit. Ther. Res., 38 (2), pp. 160-171. , *; Daches, S., Mor, N., Hertel, P., Rumination: cognitive consequences of training to inhibit the negative (2015) J. Behav. Ther. Exp. Psychiatr., 49, pp. 76-83. , *; Damholdt, M.F., Mehlsen, M., O'Toole, M.S., Andreasen, R.K., Pedersen, A.D., Zachariae, R., Web‐based cognitive training for breast cancer survivors with cognitive complaints—a randomized controlled trial (2016) Psycho Oncol., 25 (11), pp. 1293-1300; DeRubeis, R.J., Cohen, Z.D., Forand, N.R., Fournier, J.C., Gelfand, L.A., Lorenzo-Luaces, L., The personalized advantage index (2014) PloS One, 9 (1); Dolcos, F., Katsumi, Y., Moore, M., Berggren, N., de Gelder, B., Derakshan, N., Neural correlates of emotion-attention interactions: from perception, learning, and memory to social cognition, individual differences, and training interventions (2020) Neurosci. Biobehav. Rev., 108, pp. 559-601; Ducrocq, E., Wilson, M., Smith, T.J., Derakshan, N., Adaptive working memory training reduces the negative impact of anxiety on competitive motor performance (2017) J. Sport Exerc. Psychol., 39 (6), pp. 412-422; Ducrocq, E., Wilson, M., Vine, S., Derakshan, N., Training attentional control improves cognitive and motor task performance (2016) J. Sport Exerc. Psychol., 38 (5), pp. 521-533. , *; Enock, P.M., Hofmann, S.G., McNally, R.J., Attention bias modification training via smartphone to reduce social anxiety: a randomized, controlled multi-session experiment (2014) Cognit. Ther. Res., 38 (2), pp. 200-216. , *; Green, C.S., Bavelier, D., Kramer, A.F., Vinogradov, S., Ansorge, U., Ball, K.K., Improving methodological standards in behavioral interventions for cognitive enhancement (2019) J. Cognit. Enhanc., 3 (1), pp. 2-29; Hallion, L.S., Ruscio, A.M., A meta-analysis of the effect of cognitive bias modification on anxiety and depression (2011) Psychol. Bull., 137 (6), p. 940; Hotton, M., Derakshan, N., Fox, E., A randomised controlled trial investigating the benefits of adaptive working memory training for working memory capacity and attentional control in high worriers (2018) Behav. Res. Ther., 100, pp. 67-77. , *; Ioannidis, J.P., Why most published research findings are false (2005) PLoS Med., 2 (8), p. e124; Koster, E.H., Bernstein, A., Introduction to the special issue on cognitive bias modification: taking a step back to move forward? (2015) J. Behav. Ther. Exp. Psychiatr., 49, pp. 1-4; Koster, E.H., Hoorelbeke, K., Onraedt, T., Owens, M., Derakshan, N., Cognitive control interventions for depression: a systematic review of findings from training studies (2017) Clin. Psychol. Rev., 53, pp. 79-92; Kuckertz, J.M., Gildebrant, E., Liliequist, B., Karlström, P., Väppling, C., Bodlund, O., Moderation and mediation of the effect of attention training in social anxiety disorder (2014) Behav. Res. Ther., 53, pp. 30-40. , *; Lampit, A., Hallock, H., Valenzuela, M., Computerized cognitive training in cognitively healthy older adults: a systematic review and meta-analysis of effect modifiers (2014) PLoS Med., 11 (11); Lee, J.S., Mathews, A., Shergill, S., Chan, D.K.Y., Majeed, N., Yiend, J., How can we enhance cognitive bias modification techniques? The effects of prospective cognition (2015) J. Behav. Ther. Exp. Psychiatr., 49, pp. 120-127. , *; Linetzky, M., Pergamin‐Hight, L., Pine, D.S., Bar‐Haim, Y., Quantitative evaluation of the clinical efficacy of attention bias modification treatment for anxiety disorders (2015) Depress. Anxiety, 32 (6), pp. 383-391; McNally, R.J., Enock, P.M., Tsai, C., Tousian, M., Attention bias modification for reducing speech anxiety (2013) Behav. Res. Ther., 51 (12), pp. 882-888. , *; Melby-Lervåg, M., Redick, T.S., Hulme, C., Working memory training does not improve performance on measures of intelligence or other measures of “far transfer” evidence from a meta-analytic review (2016) Perspect. Psychol. Sci., 11 (4), pp. 512-534; Menne-Lothmann, C., Viechtbauer, W., Höhn, P., Kasanova, Z., Haller, S.P., Drukker, M., How to boost positive interpretations? A meta-analysis of the effectiveness of cognitive bias modification for interpretation (2014) PloS One, 9 (6); Mogg, K., Waters, A.M., Bradley, B.P., Attention bias modification (ABM): review of effects of multisession ABM training on anxiety and threat-related attention in high-anxious individuals (2017) Clin. Psychol. Sci., 5 (4), pp. 698-717; Motter, J.N., Pimontel, M.A., Rindskopf, D., Devanand, D.P., Doraiswamy, P.M., Sneed, J.R., Computerized cognitive training and functional recovery in major depressive disorder: a meta-analysis (2016) J. Affect. Disord., 189, pp. 184-191; Owens, M., Koster, E.H., Derakshan, N., Improving attention control in dysphoria through cognitive training: transfer effects on working memory capacity and filtering efficiency (2013) Psychophysiology, 50 (3), pp. 297-307. , *; Price, R.B., Wallace, M., Kuckertz, J.M., Amir, N., Graur, S., Cummings, L., Pooled patient-level meta-analysis of children and adults completing a computer-based anxiety intervention targeting attentional bias (2016) Clin. Psychol. Rev., 50, pp. 37-49; Rohrbacher, H., Blackwell, S.E., Holmes, E.A., Reinecke, A., Optimizing the ingredients for imagery-based interpretation bias modification for depressed mood: is self-generation more effective than imagination alone? (2014) J. Affect. Disord., 152, pp. 212-218. , *; Sari, B.A., Koster, E.H., Pourtois, G., Derakshan, N., Training working memory to improve attentional control in anxiety: a proof-of-principle study using behavioral and electrophysiological measures (2016) Biol. Psychol., 121, pp. 203-212. , *; Schwaighofer, M., Fischer, F., Bühner, M., Does working memory training transfer? A meta-analysis including training conditions as moderators (2015) Educ. Psychol., 50 (2), pp. 138-166; Shani, R., Tal, S., Zilcha-Mano, S., Okon-Singer, H., Can machine learning approaches lead toward personalized cognitive training? (2019) Front. Behav. Neurosci., 13, p. 64; Studer-Luethi, B., Jaeggi, S.M., Buschkuehl, M., Perrig, W.J., Influence of neuroticism and conscientiousness on working memory training outcome (2012) Pers. Indiv. Differ., 53 (1), pp. 44-49; Swainston, J., Derakshan, N., Training cognitive control to reduce emotional vulnerability in breast cancer (2018) Psycho Oncol., 27 (7), pp. 1780-1786; Van den Bergh, N., Hoorelbeke, K., De Raedt, R., Koster, E.H., Remediation of depression-related cognitive impairment: cognitive control training as treatment augmentation (2018) Expert Rev. Neurother., 18 (12), pp. 907-913; Von Bastian, C.C., Oberauer, K., Effects and mechanisms of working memory training: a review (2014) Psychol. Res., 78 (6), pp. 803-820; Weicker, J., Villringer, A., Thöne-Otto, A., Can impaired working memory functioning be improved by training? A meta-analysis with a special focus on brain injured patients (2016) Neuropsychology, 30 (2), p. 190; Williams, A.D., Blackwell, S.E., Mackenzie, A., Holmes, E.A., Andrews, G., Combining imagination and reason in the treatment of depression: a randomized controlled trial of internet-based cognitive-bias modification and internet-CBT for depression (2013) J. Consult. Clin. Psychol., 81 (5), p. 793. , *; Williams, A.D., O'Moore, K., Blackwell, S.E., Smith, J., Holmes, E.A., Andrews, G., Positive imagery cognitive bias modification (CBM) and internet-based cognitive behavioral therapy (iCBT): a randomized controlled trial (2015) J. Affect. Disord., 178, pp. 131-141. , *; Yang, W., Ding, Z., Dai, T., Peng, F., Zhang, J.X., Attention bias modification training in individuals with depressive symptoms: a randomized controlled trial (2015) J. Behav. Ther. Exp. Psychiatr., 49, pp. 101-111. , *; Zilcha-Mano, S., Major developments in methods addressing for whom psychotherapy may work for and why (2018) Psychother. Res., pp. 1-16; Zilcha-Mano, S., Roose, S.P., Brown, P.J., Rutherford, B.R., A machine learning approach to identifying placebo responders in late-life depression trials (2018) Am. J. Geriatr. Psychiatr., 26 (6), pp. 669-677</t>
  </si>
  <si>
    <t>00223956</t>
  </si>
  <si>
    <t>JPYRA</t>
  </si>
  <si>
    <t>J. Psychiatr. Res.</t>
  </si>
  <si>
    <t>2-s2.0-85104575850</t>
  </si>
  <si>
    <t>Personalized cognitive training: protocol for individual-level meta-analysis implementing machine learning methods</t>
  </si>
  <si>
    <t>Dou Z., Cheng Z., Huang D.</t>
  </si>
  <si>
    <t>57258619600;57216661664;57258393800;</t>
  </si>
  <si>
    <t>Research on Migrant Works' Concern Recognition and Emotion Analysis Based on Web Text Data</t>
  </si>
  <si>
    <t>741928</t>
  </si>
  <si>
    <t>10.3389/fpsyg.2021.741928</t>
  </si>
  <si>
    <t>https://www.scopus.com/inward/record.uri?eid=2-s2.0-85114900388&amp;doi=10.3389%2ffpsyg.2021.741928&amp;partnerID=40&amp;md5=b2a68d315fcc2768782d0bde15dc9c89</t>
  </si>
  <si>
    <t>Shool of Management, Changchun University, Changchun, China; School of Electronic and Information Engineering, Changchun University, Changchun, China; Department of Psychology, School of Philosophy and Sociology, Jilin University, Changchun, China</t>
  </si>
  <si>
    <t>Dou, Z., Shool of Management, Changchun University, Changchun, China; Cheng, Z., School of Electronic and Information Engineering, Changchun University, Changchun, China; Huang, D., Department of Psychology, School of Philosophy and Sociology, Jilin University, Changchun, China</t>
  </si>
  <si>
    <t>Based on the characteristics of convenience, autonomy, and equality, online self-media has become an important way for contemporary migrant workers to observe the world, understand society, examine themselves and express their demands. On the basis of the analysis of the domestic migrant works' concerns and their emotion analysis, we crawl data on Weibo about migrant works' topics as the basic corpus of migrant works' concerns, and then uses a combination of TF-IDF and Word2Vec methods to construct a recognition model of migrant workers' concerns. We found that wages, children's education, medical care and returning home are the main concerns of migrant workers. Meanwhile, further emotion analysis of the migrant works' concerns of using a deep learning model fused with Bi-LSTM and CNN was conducted. The results show that the proportion of negative emotion such as worries, complaints and impetuosity was significantly higher than that of other positive and neutral emotion like encourage and comfort. And the time when the negative emotion are concentrated is significantly related to the social events that occur in the corresponding time period. On the one hand, it shows that the concerns and emotion of migrant workers can be effectively observed and predicted through web text data. On the other hand, it also shows that the core well-being issues of migrant workers in the process of urban integration have not been effectively solved, and the government and relevant departments need to take targeted measures and give priority attention. © Copyright © 2021 Dou, Cheng and Huang.</t>
  </si>
  <si>
    <t>Bi-LSTM; CNN; concerns; emotion analysis; migrant workers; Word2Vec</t>
  </si>
  <si>
    <t>Bicalho, P.V., Pitam, P.G., Lacerda, A., Pappa, G.L., A general framework to expand short text for topic modeling (2017) Inf. Sci, 393, pp. 66-81; Boiy, E., Moens, M.F., A machine learning approach to sentiment analysis in multilingual Web texts (2009) Inf. Retr, 12, pp. 526-558; Chen, H., Niu, D., Liu, D., MIX: multi-channel information crossing for text matching, (2018) Proceedings of the 24th ACM SIGKDD International Conference on Knowledge Discovery, Data Mining, Computing Machinery, pp. 110-119. , New York, NY; Chen, X., Mihaela, V., Krishna, P.C.M., Mining social media data for understanding students' learning experiencesp (2014) IEEE Trans. Learn. Technol, 3, pp. 246-259; Chesley, P., Vincent, B., Xu, L., Srihari, R.K., Using verbs and adjectives to automatically classify blog sentiment (2006) Training, 580, pp. 233-235; Chou, K.L., Pre-migration planning and depression among new migrants to Hong Kong: the moderating role of social support (2009) J. Affect. Disord, 114, pp. 85-93. , 18625520; Gou, S.R., Gaikwad, R., Social media data for understanding student's problem based on clustering techniques (2016) Int. J. Comput. Sci. Inform. Technol, 7, pp. 937-941; Graves, A., Liwicki, M., Fernandez, S., Bertolami, R., Bunke, H., Schmidhuber, J., A novel connectionist system for unconstrained handwriting recognition (2009) IEEE Trans. Pattern Anal. Mach. Intell, 31, pp. 855-868. , 19299860; Joshi, A., Balamuralia, R., Bhattacharyya, P., Mohanty, R., C-Feel-It: a sentiment analyzer for micro-blogs, (2011) Proceedings of the 49th Annual Meeting of the Association for Computational Linguistics: Human Language Technologies: Systems Demonstrations, pp. 127-132. , Stroudsburg, PA, Association for Computational Linguistics; Kisar Koramaz, E., The spatial context of social integration (2014) Soc. Indic. Res, 119, pp. 49-71; Leavey, G., Rozmovits, L., Ryan, L., King, M., Explanations of depression among Irish migrants in Britain (2007) Soc. Sci. Med, 65, pp. 231-244. , 17448583; Li, L., Wang, H.M., Ye, X.J., Jiang, M.M., Lou, Q.Y., Hesketh, T., The mental health status of Chinese rural-urban migrant workers (2007) Soc. Psychiatry Psychiatr. Epidemiol, 42, pp. 716-722. , 21394472; Lilleberg, J., Zhu, Y., Zhang, Y., Support vector machines and Word2Vec for text classification with semantic features, (2015) IEEE International Conference on Cognitive Informatics and Cognitive Computing, pp. 136-140. , Beijing; Looyestyn, J., Kernot, J., Boshoff, K., Maher, C., A web-based social networking beginners' running intervention for adults aged 18 to 50 years delivered via a facebook group: randomized controlled trial (2018) J. Med. Internet Res, 20, p. e67. , 29483065; Mikolov, T., Chen, K., Corrado, G., Dean, J., Efficient estimation of word representations in vector space (2013) Comput. Sci, pp. 47-61. , a; Mikolov, T., Sutskever, I., Chen, K., Corrado, G., Dean, J., Distributed representations of words and phrases and their compositionality, (2013) Proceedings of the 27th Advances in Neural Information Processing Systems, pp. 3111-3119. , b, Cambridge, MA, M IT Press; Mikulincer, M., Shaver, P.R., Gillath, O., Nitzberg, R.A., Attachment, caregiving, and altruism: boosting attachment security increases compassion and helping (2005) J. Pers. Soc. Psychol, 89, pp. 817-839. , 16351370; Patil, S., Gupta, A., A survey on understanding students learning experiences by mining social media data (2016) Imp. J. Interdiscip. Res, 2, pp. 161-164; Patil, S., Kulkarni, S., Mining social media data for understanding students' learning experience using memetic algorithm (2018) Mater. Today Proc, 5, pp. 693-699; Sb, A., Pb, B., Pu, C., The role of social identity in institutional work for sociotechnical transitions: the case of transport infrastructure in Berlin (2020) Technol. Forecast. Soc. Change, 162, p. 120385; Turney, P.D., Thumbs up or thumbs down? Semantic orientation applied to unsupervised classification of reviews, (2002) Meeting of the Association for Computational Linguistics, pp. 417-424. , Philadelphia, PA; Vieira, J., Moura, R.S., An analysis of convolutional neural networks for sentence classification, (2017) Proceedings of 2017 XLIII Latin American Computer Conference, pp. 1-5. , Cordoba; Vo, D., Ock, C., Learning to classify short text from scientific documents using topic models with various types of knowledge (2015) Expert Syst. Appl, 42, pp. 1684-1698; Yoon, J., Kim, H., Multi-channel lexicon integrated CNN-BILSTM models for sentiment analysis, (2017) Proceedings of the 29th Conference on Computational Linguistics and Speech Processing, pp. 244-253. , Taipei; Zerubavel, E., Social identity and social descent: some sociological reflections on population genetics (2000) Sociol. Forum, 15, pp. 361-366</t>
  </si>
  <si>
    <t>2-s2.0-85114900388</t>
  </si>
  <si>
    <t>Research on migrant works' concern recognition and emotion analysis based on web text data</t>
  </si>
  <si>
    <t>Wu Z.</t>
  </si>
  <si>
    <t>57421133600;</t>
  </si>
  <si>
    <t>Research on Automatic Classification Method of Ethnic Music Emotion Based on Machine Learning</t>
  </si>
  <si>
    <t>Journal of Mathematics</t>
  </si>
  <si>
    <t>7554404</t>
  </si>
  <si>
    <t>10.1155/2022/7554404</t>
  </si>
  <si>
    <t>https://www.scopus.com/inward/record.uri?eid=2-s2.0-85123238809&amp;doi=10.1155%2f2022%2f7554404&amp;partnerID=40&amp;md5=eda9c65f6622f4819ac449a295e4ecfd</t>
  </si>
  <si>
    <t>College of Humanities and Management, Guilin Medical University, Guilin, 541199, China</t>
  </si>
  <si>
    <t>Wu, Z., College of Humanities and Management, Guilin Medical University, Guilin, 541199, China</t>
  </si>
  <si>
    <t>With the development of the country's economy, there is a flourishing situation in the field of culture and art. However, the diversification of artistic expressions has not brought development to folk music. On the contrary, it brought a huge impact, and some national music even fell into the dilemma of being lost. This article is mainly aimed at the recognition and classification of folk music emotions and finds the model that can make the classification accuracy rate as high as possible. The classification model used in this article is mainly after determining the use of Support Vector Machine (SVM) classification method, a variety of attempts have been made to feature extraction, and good results have been achieved. Explore the Deep Belief Network (DBN) pretraining and reverse fine-tuning process, using DBN to learn the fusion characteristics of music. According to the abstract characteristics learned by them, the recognition and classification of folk music emotions are carried out. The DBN is improved by adding "Dropout"to each Restricted Boltzmann Machine (RBM) and adjusting the increase standard of weight and bias. The improved network can avoid the overfitting problem and speed up the training of the network. Through experiments, it is found that using the fusion features proposed in this paper, through classification, the classification accuracy has been improved. © 2022 Zijin Wu.</t>
  </si>
  <si>
    <t>Vuilleumier, P., Trost, W., Music and emotions: From enchantment to entrainment (2015) Annals of the New York Academy of Sciences, 1337 (1), pp. 212-222. , 2-s2.0-84924530429; Li, T., Ogihara, M., Li, Q., A Comparative Study on Content-based Music Genre Classification, , Proceedings of the International Acm Sigir Conference on Research &amp; Development in Information Retrieval July 2003 Toronto, Canada ACM; Benetos, E., Kotropoulos, C., Non-negative tensor factorization applied to music genre classification (2010) IEEE Transactions on Audio Speech and Language Processing, 18 (8), pp. 1955-1967. , 2-s2.0-77956280275; Wen, G., Tuo, J., Jiang, L., Audio Feature Extraction for Classification Using Relative Transformation, , Proceedings of the International Conference on Audio September 2012 Lund, Sweden; Fu, Z., Lu, G., Ting, K.M., Zhang, D., A survey of audio-based music classification and annotation (2011) IEEE Transactions on Multimedia, 13 (2), pp. 303-319. , 2-s2.0-79952972450; Tzanetakis, G., Cook, P., Musical genre classification of audio signals (2002) IEEE Transactions on Speech and Audio Processing, 10 (5), pp. 293-302. , 2-s2.0-0036648502; Cover, T., Hart, P., Nearest neighbor pattern classification (1967) IEEE Transactions on Information Theory, 13 (1), pp. 21-27. , 2-s2.0-84926662675; Duda, R.O., Hart, P.E., (2000) Pattern Classification, , New York, NY, USA Wiley; Morchen, F., Ultsch, A., Thies, M., Lohken, I., Modeling timbre distance with temporal statistics from polyphonic music (2006) IEEE Transactions on Audio Speech and Language Processing, 14 (1), pp. 81-90. , 2-s2.0-33744973515; Shen, J., Shepherd, J., Cui, B., A novel framework for efficient automated singer identification in large music databases (2009) ACM Transactions on Information Systems, 27 (3), pp. 181-211. , 2-s2.0-75649095708; Meng, A., Shawe-Taylor, J., An Investigation of Feature Models for Music Genre Classification Using the Support Vector Classifier, , Proceedings of the International Conference Music Information Retrieval September 2005 London, UK; Mierswa, I., Morik, K., Automatic feature extraction for classifying audio data (2005) Machine Learning, 58 (2-3), pp. 127-149. , 2-s2.0-15544385732; Li, T., Ogihara, M., Li, Q., A Comparative Study on Content-based Music Genre Classification, , Proceedings of the 26th Annual International ACM SIGIR Conference on Research and Development in Information Retrieval July 2003 Toronto, Canada ACM; Chang-Hsing Lee, C.H., Jau-Ling Shih, J.L., Kun-Ming Yu, K.M., Hwai-San Lin, F., Automatic music genre classification based on modulation spectral analysis of spectral and cepstral features (2009) IEEE Transactions on Multimedia, 11 (4), pp. 670-682. , 2-s2.0-67349176070; Marques, J., Moreno, P.J., (1999) A Study of Musical Instrument Classification Using Gaussian Mixture Models and Support Vector Machines, 4. , Cambridge, UK Compaq Corporation, Cambridge Research laboratory; Shao, X., Xu, C., Kankanhalli, M.S., Unsupervised classification of music genre using hidden markov model (2004) Unsupervised Classification of Music Genre Using Hidden Markov Model; Wyse, L., (2017) Audio Spectrogram Representations for Processing with Convolutional Neural Networks, , https://arxiv.org/abs/1706.09559; Kim, T., Lee, J., Nam, J., Sample-level CNN architectures for music auto-tagging using raw waveforms (2018) IEEE International Conference Acoustics, Speech, and Signal Processing, 1, pp. 366-370; Choi, K., Fazekas, G., Sandler, M., (2016) Automatic Tagging Using Deep Convolutional Neural Networks, , https://arxiv.org/abs/1606.00298; Dieleman, S., Schrauwen, B., End-to-End learning for music audio (2014) IEEE Acoustics, Speech and Signal Processing (ICASSP), pp. 6964-6968. , 2-s2.0-84905248193; He, K., Zhang, X., Ren, S., Deep Residual Learning for Image Recognition, , Proceedings of the IEEE Conference on Computer Vision &amp; Pattern Recognition August 2016 Seattle, WA, USA IEEE Computer Society; Huang, G., Liu, Z., Laurens, V., (2016) Densely Connected Convolutional Networks, , https://arxiv.org/abs/1608.06993; Kim, T., Lee, J., Nam, J., (2017) Sample-level CNN Architectures for Music Auto-tagging Using Raw Waveforms, , https://arxiv.org/abs/1710.10451; Choi, K., Fazekas, G., Sandler, M., (2017) Transfer Learning for Music Classification and Regression Tasks, , https://arxiv.org/abs/1703.09179</t>
  </si>
  <si>
    <t>23144629</t>
  </si>
  <si>
    <t>J. Math.</t>
  </si>
  <si>
    <t>2-s2.0-85123238809</t>
  </si>
  <si>
    <t>Research on automatic classification method of ethnic music emotion based on machine learning</t>
  </si>
  <si>
    <t>Zhang R., Wang Z., Zheng M., Zhao Y., Huang Z.</t>
  </si>
  <si>
    <t>57200419042;54586133800;57221419319;57214465752;56593878700;</t>
  </si>
  <si>
    <t>Emotion-sensitive deep dyna-Q learning for task-completion dialogue policy learning</t>
  </si>
  <si>
    <t>459</t>
  </si>
  <si>
    <t>122</t>
  </si>
  <si>
    <t>10.1016/j.neucom.2021.06.075</t>
  </si>
  <si>
    <t>https://www.scopus.com/inward/record.uri?eid=2-s2.0-85109428901&amp;doi=10.1016%2fj.neucom.2021.06.075&amp;partnerID=40&amp;md5=a5ff77926814c6290fa9ed58c09c1136</t>
  </si>
  <si>
    <t>Department of Software Engineering, South China University of Technology, Guangzhou, Guangdong, China</t>
  </si>
  <si>
    <t>Zhang, R., Department of Software Engineering, South China University of Technology, Guangzhou, Guangdong, China; Wang, Z., Department of Software Engineering, South China University of Technology, Guangzhou, Guangdong, China; Zheng, M., Department of Software Engineering, South China University of Technology, Guangzhou, Guangdong, China; Zhao, Y., Department of Software Engineering, South China University of Technology, Guangzhou, Guangdong, China; Huang, Z., Department of Software Engineering, South China University of Technology, Guangzhou, Guangdong, China</t>
  </si>
  <si>
    <t>In recent years, task-oriented dialogue systems have received extensive attention from academia and industry. Training a dialogue agent through reinforcement learning is often costly because it requires many interactions with real users. Although the Deep Dyna-Q (DDQ) framework uses simulation experience to alleviate the cost of direct reinforcement learning, it still suffers from challenges such as delayed rewards and policy degradation. This paper proposes an Emotion-Sensitive Deep Dyna-Q (ES-DDQ) model which: (1) presents an emotional world model that considers emotion-related cues to improve the ability of the traditional DDQ framework to model and simulate users, and (2) designs two kinds of emotion-related immediate rewards to mitigate the delayed reward problem. Experimental results show that our proposed approach effectively simulates users’ behaviors and is superior to the state-of-the-art benchmarks. © 2021</t>
  </si>
  <si>
    <t>Deep reinforcement learning; Dialogue policy learning; Emotional intelligence; Neural networks</t>
  </si>
  <si>
    <t>Deep neural networks; Reinforcement learning; Speech processing; Delayed rewards; Dialog policy learning; Dialogue systems; Emotional intelligence; Neural-networks; Policy learning; Q-learning; Reinforcement learnings; Task-oriented; World model; Emotional intelligence; article; emotional intelligence; human; human experiment; Q learning; reinforcement (psychology); reward</t>
  </si>
  <si>
    <t>Andre, E., Rehm, M., Minker, W., Bühler, D., Endowing spoken language dialogue systems with emotional intelligence (2004) Tutorial and Research Workshop on Affective Dialogue Systems, Springer., pp. 178-187; Broekens, J., Emotion and reinforcement: affective facial expressions facilitate robot learning (2007) Artifical Intelligence for Human Computing. Springer, pp. 113-132; Bui, T.H., Zwiers, J., Poel, M., Nijholt, A., Affective dialogue management using factored pomdps (2010) Interactive Collaborative Information Systems. Springer, pp. 207-236; Dhingra, B., Li, L., Li, X., Gao, J., Chen, Y.N., Ahmad, F., Deng, L., Towards end-to-end reinforcement learning of dialogue agents for information access (2017) Proceedings of the 55th Annual Meeting of the Association for Computational Linguistics (Volume 1: Long Papers), pp. 484-495; El Asri, L., Schulz, H., Sarma, S.K., Zumer, J., Harris, J., Fine, E., Mehrotra, R., Suleman, K., Frames: a corpus for adding memory to goal-oriented dialogue systems (2017) Proceedings of the 18th Annual SIGdial Meeting on Discourse and Dialogue, pp. 207-219; Ferreira, E., Lefèvre, F., Expert-based reward shaping and exploration scheme for boosting policy learning of dialogue management (2013) 2013 IEEE Workshop on Automatic Speech Recognition and Understanding, IEEE, pp. 108-113; Gao, J., Galley, M., Li, L., Neural approaches to conversational ai (2018) Proceedings of the 56th Annual Meeting of the Association for Computational Linguistics: Tutorial Abstracts, pp. 2-7; Levin, E., Pieraccini, R., Eckert, W., Learning dialogue strategies within the markov decision process framework (1997), pp. 72-79. , 1997 IEEE Workshop on Automatic Speech Recognition and Understanding Proceedings, IEEE; Li, X., Chen, Y.N., Li, L., Gao, J., Celikyilmaz, A., End-to-end task-completion neural dialogue systems (2017) Proceedings of the Eighth International Joint Conference on Natural Language Processing (Volume 1: Long Papers), pp. 733-743; Li, X., Lipton, Z.C., Dhingra, B., Li, L., Gao, J., Chen, Y.N., (2016), A user simulator for task-completion dialogues arXiv preprint arXiv:1612.05688; Lipton, Z., Li, X., Gao, J., Li, L., Ahmed, F., Deng, L., Bbq-networks: Efficient exploration in deep reinforcement learning for task-oriented dialogue systems (2018), Thirty-Second AAAI Conference on Artificial Intelligence; Liscombe, J., Riccardi, G., Hakkani-Tür, D., Using context to improve emotion detection in spoken dialog systems (2005), Ninth European Conference on Speech Communication and Technology; Martinovski, B., Traum, D., Breakdown in human-machine interaction: the error is the clue (2003), pp. 11-16. , Proceedings of the ISCA tutorial and research workshop on Error handling in dialogue systems; Mnih, V., Kavukcuoglu, K., Silver, D., Rusu, A.A., Veness, J., Bellemare, M.G., Graves, A., Ostrovski, G., Human-level control through deep reinforcement learning (2015) Nature, 518, pp. 529-533; Peng, B., Li, X., Gao, J., Liu, J., Chen, Y.N., Wong, K.F., Adversarial advantage actor-critic model for task-completion dialogue policy learning (2018) 2018 IEEE International Conference on Acoustics, pp. 6149-6153. , Speech and Signal Processing (ICASSP) IEEE; Peng, B., Li, X., Gao, J., Liu, J., Wong, K.F., Deep dyna-q: integrating planning for task-completion dialogue policy learning (2018) Proceedings of the 56th Annual Meeting of the Association for Computational Linguistics (Volume 1: Long Papers), pp. 2182-2192; Polzin, T.S., Waibel, A., Emotion-sensitive human-computer interfaces (2000), ISCA tutorial and research workshop (ITRW) on speech and emotion; Prendinger, H., Ishizuka, M., The empathic companion: a character-based interface that addresses users'affective states (2005) Appl. Artif. Intell., 19, pp. 267-285; Prendinger, H., Mayer, S., Mori, J., Ishizuka, M., Using bio-signals to measure and reflect the impact of character-based interfaces (2003) Proceedings Fourth International Working Conference on Intelligent Virtual Agents; Ren, F., Wang, Y., Quan, C., Tfsm-based dialogue management model framework for affective dialogue systems (2015) IEEJ Trans. Electr. Electron. Eng., 10, pp. 404-410; Ren, F., Wang, Y., Quan, C., A novel factored pomdp model for affective dialogue management (2016) J. Intell. Fuzzy Syst., 31, pp. 127-136; Schatzmann, J., Thomson, B., Weilhammer, K., Ye, H., Young, S., Agenda-based user simulation for bootstrapping a pomdp dialogue system (2007) Human Language Technologies 2007: The Conference of the North American Chapter of the Association for Computational Linguistics; Companion Volume, Short Papers, pp. 149-152. , Association for Computational Linguistics; Shi, W., Yu, Z., Sentiment adaptive end-to-end dialog systems (2018), pp. 1509-1519. , Proceedings of the 56th Annual Meeting of the Association for Computational Linguistics (Volume 1: Long Papers); Skowron, M., Affect listeners: Acquisition of affective states by means of conversational systems (2010), pp. 169-181. , Development of Multimodal Interfaces: Active Listening and Synchrony, Springer; Su, P.H., Gasic, M., Mrksic, N., Rojas-Barahona, L., Ultes, S., Vandyke, D., Wen, T.H., Young, S., (2016), Continuously learning neural dialogue management arXiv preprint arXiv:1606.02689; Su, S.Y., Li, X., Gao, J., Liu, J., Chen, Y.N., Discriminative deep dyna-q: Robust planning for dialogue policy learning (2018) Proceedings of the 2018 Conference on Empirical Methods in Natural Language Processing, pp. 3813-3823; Sutton, R.S., Integrated architectures for learning, planning, and reacting based on approximating dynamic programming (1990) Machine learning proceedings 1990, pp. 216-224. , Elsevier; Tang, D., Li, X., Gao, J., Wang, C., Li, L., Jebara, T., Subgoal discovery for hierarchical dialogue policy learning (2018) Proceedings of the 2018 Conference on Empirical Methods in Natural Language Processing, pp. 2298-2309; Ultes, S., Budzianowski, P., Casanueva, I., Mrkšić, N., Rojas-Barahona, L., Su, P., Wen, T., Young, S., Domain-independent user satisfaction reward estimation for dialogue policy learning (2017) Proceedings of the Annual Conference of the International Speech Communication Association INTERSPEECH, pp. 1721-1725; Wang, Y., Ren, F., Quan, C., A new factored pomdp model framework for affective tutoring systems (2018) IEEJ Trans. Electr. Electron. Eng., 13, pp. 1603-1611; Weizenbaum, J., Eliza–a computer program for the study of natural language communication between man and machine (1966) Commun. ACM, 9, pp. 36-45; Williams, J.D., Atui, K.A., Zweig, G., Hybrid code networks: practical and efficient end-to-end dialog control with supervised and reinforcement learning (2017) Proceedings of the 55th Annual Meeting of the Association for Computational Linguistics (Volume 1: Long Papers), pp. 665-677; Williams, J.D., Poupart, P., Young, S., Factored partially observable markov decision processes for dialogue management (2005) Proc. IJCAI Workshop on Knowledge and Reasoning in Practical Dialogue Systems, pp. 76-82; Wu, Y., Li, X., Liu, J., Gao, J., Yang, Y., Switch-based active deep dyna-q: Efficient adaptive planning for task-completion dialogue policy learning (2019), pp. 7289-7296. , Proceedings of the AAAI Conference on Artificial Intelligence; Young, S., Breslin, C., Gašić, M., Henderson, M., Kim, D., Szummer, M., Thomson, B., Hancock, E.T., Evaluation of statistical pomdp-based dialogue systems in noisy environments (2016) Situated Dialog in Speech-Based Human-Computer Interaction, pp. 3-14. , Springer; Young, S., Gašić, M., Thomson, B., Williams, J.D., Pomdp-based statistical spoken dialog systems: a review (2013) Proc. IEEE, 101, pp. 1160-1179; Yu, Z., Papangelis, A., Rudnicky, A., Ticktock: a non-goal-oriented multimodal dialog system with engagement awareness (2015) 2015 AAAI Spring symposium series; Zhang, Z., Li, X., Gao, J., Chen, E., Budgeted policy learning for task-oriented dialogue systems (2019) Proceedings of the 57th Annual Meeting of the Association for Computational Linguistics, pp. 3742-3751; Zhao, T., Eskenazi, M., Towards end-to-end learning for dialog state tracking and management using deep reinforcement learning (2016) Proceedings of the 17th Annual Meeting of the Special Interest Group on Discourse and Dialogue, pp. 1-10; Zhao, Y., Wang, Z., Yin, K., Zhang, R., Huang, Z., Wang, P., Dynamic reward-based dueling deep dyna-q: Robust policy learning in noisy environments (2020), Thirty-Fourth AAAI Conference on Artificial Intelligence</t>
  </si>
  <si>
    <t>2-s2.0-85109428901</t>
  </si>
  <si>
    <t>Emotion-sensitive deep dyna-q learning for task-completion dialogue policy learning</t>
  </si>
  <si>
    <t>Mendu S., Baglione A., Baee S., Wu C., Ng B., Shaked A., Clore G., Boukhechba M., Barnes L.</t>
  </si>
  <si>
    <t>57204426452;57202043613;57203192543;57197731819;55641419600;56245050800;57191445503;56912293100;7103077338;</t>
  </si>
  <si>
    <t>A Framework for Understanding the Relationship between Social Media Discourse and Mental Health</t>
  </si>
  <si>
    <t>Proceedings of the ACM on Human-Computer Interaction</t>
  </si>
  <si>
    <t>CSCW2</t>
  </si>
  <si>
    <t>144</t>
  </si>
  <si>
    <t>10.1145/3415215</t>
  </si>
  <si>
    <t>https://www.scopus.com/inward/record.uri?eid=2-s2.0-85094179656&amp;doi=10.1145%2f3415215&amp;partnerID=40&amp;md5=fae3bcc87f9f50864c4d46c59f75993e</t>
  </si>
  <si>
    <t>University of Virginia, Charlottesville, VA, United States; University of Texas at Austin, Austin, TX, United States; University of Richmond, Richmond, VA, United States</t>
  </si>
  <si>
    <t>Mendu, S., University of Virginia, Charlottesville, VA, United States; Baglione, A., University of Virginia, Charlottesville, VA, United States; Baee, S., University of Virginia, Charlottesville, VA, United States; Wu, C., University of Texas at Austin, Austin, TX, United States; Ng, B., University of Richmond, Richmond, VA, United States; Shaked, A., University of Virginia, Charlottesville, VA, United States; Clore, G., University of Virginia, Charlottesville, VA, United States; Boukhechba, M., University of Virginia, Charlottesville, VA, United States; Barnes, L., University of Virginia, Charlottesville, VA, United States</t>
  </si>
  <si>
    <t>Over 35% of the world's population uses social media. Platforms like Facebook, Twitter, and Instagram have radically influenced the way individuals interact and communicate. These platforms facilitate both public and private communication with strangers and friends alike, providing rich insight into an individual's personality, health, and wellbeing. To date, many researchers have employed a variety of methods for extracting mental health-centric features from digital text communication (DTC) data, including natural language processing, social network analysis, and extraction of temporal discourse patterns. However, none have explored a hierarchical framework for extracting features from private messages with the goal of unifying approaches across methodological domains. Furthermore, while analyses of large, public corpora abound in existing literature, limited work has been done to explore the relationship between of private textual communications, personality traits, and symptoms of mental illness. We present a framework for constructing rich feature spaces from digital text communications. We then demonstrate the efficacy of our framework by applying it to a dataset of private Facebook messages in a college student population (N=103). Our results reveal key individual differences in temporal and relational behaviors, as well as language usage in relation to validated measures of trait-level anxiety, loneliness, and personality. This work represents a critical step forward in linking features of private social media messages to validated measures of mental health, wellbeing, and personality. © 2020 ACM.</t>
  </si>
  <si>
    <t>language; machine learning; mental health; social media; text mining</t>
  </si>
  <si>
    <t>Diseases; Natural language processing systems; Students; Discourse patterns; Extracting features; Individual Differences; Linking features; NAtural language processing; Personality traits; Private communication; Relational behaviors; Social networking (online)</t>
  </si>
  <si>
    <t>Abdullah, S., Choudhury, T., Sensing technologies for monitoring serious mental illnesses (2018) IEEE MultiMedia, 25 (1), pp. 61-75. , 2018-01; Alshamsi, A., Pianesi, F., Lepri, B., Pentland, A., Rahwan, I., Network diversity and affect dynamics: The role of personality traits (2016) PLOS ONE, 11 (4), p. 0152358; Angster, A., Frank, M., Lester, D., (2010) An Exploratory Study of Students' Use of Cell Phones, Texting, and Social Networking Sites, 107 (2), pp. 402-404. , 2010-10; Attai, D.J., Cowher, M.S., Al-Hamadani, M., Schoger, J.M., Staley, A.C., Landercasper, J., Twitter social media is an effective tool for breast cancer patient education and support: Patient-reported outcomes by survey (2015) Journal of Medical Internet Research, 17 (7), p. 188; Aung, M.H., Matthews, M., Choudhury, T., Sensing behavioral symptoms of mental health and delivering personalized interventions using mobile technologies: Aung et al (2017) Depression and Anxiety, 34 (7), pp. 603-609. , July 2017; Bachrach, Y., Graepel, T., Kohli, P., (2014) Your Digital Image: Factors behind Demographic and Psychometric Predictions from Social Network Profiles (Demonstration)., p. 2; Bagroy, S., Kumaraguru, P., De Choudhury, M., A social media based index of mental well-being in college campuses (2017) Proceedings of the 2017 CHI Conference on Human Factors in Computing Systems-CHI '17, pp. 1634-1646. , ACM Press, Denver, Colorado, USA; Baumeister, R.F., Leary, M.R., The need to belong: Desire for interpersonal attachments as a fundamental human motivation (1995) Psychological Bulletin, 117 (3), p. 497; Bazarova, N.N., Choi, Y.H., Sosik, V.S., Cosley, D., Whitlock, J., Social sharing of emotions on Facebook: Channel differences, satisfaction, and replies (2015) Proceedings of the 18th ACM Conference on Computer Supported Cooperative Work &amp; Social Computing. ACM, pp. 154-164; Benton, A., Mitchell, M., Hovy, D., (2017) Multi-Task Learning for Mental Health Using Social Media Text, , http://arxiv.org/abs/1712.03538, arXiv:1712.03538 [cs], Dec, arXiv:1712.03538; Blei, D.M., Ng, A.Y., Jordan, M.I., Latent dirichlet allocation (2003) Journal of Machine Learning Research, 3, pp. 993-1022. , Jan; Bollen, J., Mao, H., Pepe, A., Modeling public mood and emotion: Twitter sentiment and socio-economic phenomena (2011) Fifth International AAAI Conference on Weblogs and Social Media; Burke, M., Kraut, R., Using Facebook after losing a job: Differential benefits of strong and weak ties (2013) Proceedings of the 2013 Conference on Computer Supported Cooperative Work, pp. 1419-1430; Burke, M., Kraut, R., Marlow, C., Social capital on facebook: Differentiating uses and users (2011) Proceedings of the 2011 CHI Conference on Human Factors in Computing Systems-CHI '11, p. 571. , ACM Press, Vancouver, BC, Canada; Burke, M., Kraut, R.E., Growing closer on facebook: Changes in tie strength through social network site use (2014) Proceedings of the 32nd Annual ACM Conference on Human Factors in Computing Systems-CHI '14, pp. 4187-4196. , ACM Press, Toronto, Ontario, Canada; Burke, M., Kraut, R.E., The relationship between facebook use and well-being depends on communication type and tie strength: Facebook and well-being (2016) Journal of Computer-Mediated Communication, 21 (4), pp. 265-281. , July 2016; Burns, M.N., Begale, M., Duffecy, J., Gergle, D., Karr, C.J., Giangrande, E., Mohr, D.C., Harnessing context sensing to develop a mobile intervention for depression (2011) Journal of Medical Internet Research, 13 (3), p. 55. , Aug 2011; Buysse, D.J., Angst, J., Gamma, A., Ajdacic, V., Eich, D., Róssler, W., Prevalence, course, and comorbidity of insomnia and depression in young adults (2008) Sleep, 31 (4), pp. 473-480; Cacioppo, J.T., Hawkley, L.C., Berntson, G.G., Ernst, J.M., Gibbs, A.C., Stickgold, R., Hobson, J.A., Do lonely days invade the nights? Potential social modulation of sleep efficiency (2002) Psychological Science, 13 (4), pp. 384-387. , 2002; Cacioppo, J.T., Hawkley, L.C., Crawford, L.E., Ernst, J.M., Burleson, M.H., Kowalewski, R.B., Malarkey, W.B., Berntson, G.G., Loneliness and health: Potential mechanisms (2002) Psychosomatic Medicine, 64 (3), pp. 407-417. , 2002; Centellegher, S., López, E., Saramäki, J., Lepri, B., Personality traits and ego-network dynamics (2017) PLOS ONE, 12 (3), p. 0173110; Chase, R.M., Pincus, D.B., Sleep-related problems in children and adolescents with anxiety disorders (2011) Behavioral Sleep Medicine, 9 (4), pp. 224-236; Church, K.W., Hanks, P., Word association norms, mutual information, and lexicography (1990) Computational Linguistics, 16 (1), pp. 22-29; Coppersmith, G., Dredze, M., Harman, C., Quantifying mental health signals in Twitter (2014) Proceedings of the Workshop on Computational Linguistics and Clinical Psychology: From Linguistic Signal to Clinical Reality., pp. 51-60; Coppersmith, G., Dredze, M., Harman, C., Hollingshead, K., From ADHD to SAD: Analyzing the language of mental health on twitter through self-reported diagnoses (2015) Proceedings of the 2nd Workshop on Computational Linguistics and Clinical Psychology: From Linguistic Signal to Clinical Reality, pp. 1-10. , Association for Computational Linguistics; De Choudhury, M., Counts, S., Horvitz, E., Predicting postpartum changes in emotion and behavior via social media (2013) Proceedings of the SIGCHI Conference on Human Factors in Computing Systems-CHI '13, p. 3267. , ACM Press; De Choudhury, M., Gamon, M., Counts, S., Horvitz, E., Predicting depression via social media (2013) ICWSM, 13, pp. 1-10. , 2013; De Choudhury, M., Kiciman, E., Dredze, M., Coppersmith, G., Kumar, M., Discovering shifts to suicidal ideation from mental health content in social media (2016) Proceedings of the 2016 CHI Conference on Human Factors in Computing Systems-CHI '16, pp. 2098-2110. , ACM Press; DeAndrea, D.C., Ellison, N.B., Larose, R., Steinfield, C., Fiore, A., Serious social media: On the use of social media for improving students' adjustment to college (2012) The Internet and Higher Education, 15 (1), pp. 15-23; Doryab, A., Villalba, D.K., Chikersal, P., Dutcher, J.M., Tumminia, M., Liu, X., Cohen, S., Dey, A.K., Identifying behavioral phenotypes of loneliness and social isolation with passive sensing: Statistical analysis, data mining and machine learning of smartphone and fitbit data (2019) JMIR MHealth and UHealth, 7 (7), p. 13209. , July 2019; Ehrenberg, A., Juckes, S., White, K.M., Walsh, S.P., Personality and self-esteem as predictors of young people's technology use (2008) CyberPsychology &amp; Behavior, 11 (6), pp. 739-741; Eichstaedt, J.C., Smith, R.J., Merchant, R.M., Ungar, L.H., Crutchley, P., Preotiuc-Pietro, D., Asch, D.A., Schwartz, H.A., Facebook language predicts depression in medical records (2018) Proceedings of the National Academy of Sciences, 115 (44), pp. 11203-11208. , Oct 2018; Elhai, J.D., Tiamiyu, M.F., Weeks, J.W., Levine, J.C., Picard, K.J., Hall, B.J., Depression and emotion regulation predict objective smartphone use measured over oneweek (2018) Personality and Individual Differences, 133, pp. 21-28. , Oct 2018; Ellison, N.B., Steinfield, C., Lampe, C., The benefits of facebook friends:" Social capital and college students' use of online social network sites (2007) Journal of Computer-Mediated Communication, 12 (4), pp. 1143-1168. , July 2007; Ellison, N.B., Steinfield, C., Lampe, C., Connection strategies: Social capital implications of Facebook-enabled communication practices (2011) New Media &amp; Society, 13 (6), pp. 873-892; Endler, N.S., Kocovski, N.L., State and trait anxiety revisited (2001) Journal of Anxiety Disorders, 15 (3), pp. 231-245; Farnadi, G., Zoghbi, S., Moens, M.-F., De Cock, M., Recognising personality traits using Facebook status updates (2013) Seventh International AAAI Conference on Weblogs and Social Media; Fergie, G., Hilton, S., Hunt, K., Young adults' experiences of seeking online information about diabetes and mental health in the age of social media (2016) Health Expectations, 19 (6), pp. 1324-1335; Fernandez, K.C., Levinson, C.A., Rodebaugh, T.L., Profiling: Predicting social anxiety from facebook profiles (2012) Social Psychological and Personality Science, 3 (6), pp. 706-713. , Nov. 2012; Gardner, W.L., Pickett, C.L., Jefferis, V., Knowles, M., On the outside looking in: Loneliness and social monitoring (2005) Personality and Social Psychology Bulletin, 31 (11), pp. 1549-1560; Pillai, R.G., Thelwall, M., Orasan, C., Detection of stress and relaxation magnitudes for tweets (2018) Companion of the the Web Conference 2018 on the Web Conference 2018. International World Wide Web Conferences Steering Committee, pp. 1677-1684; Gosling, S.D., Rentfrow, P.J., Swann, W.B., A very brief measure of the Big-Five personality domains (2003) Journal of Research in Personality, 37 (6), pp. 504-528. , Dec. 2003; Grieve, R., Indian, M., Witteveen, K., Anne Tolan, G., Marrington, J., Face-to-face or Facebook: Can social connectedness be derived online? (2013) Computers in Human Behavior, 29 (3), pp. 604-609; Griffiths, T., (2002) Gibbs Sampling in the Generative Model of Latent Dirichlet Allocation, 2002; Harris, R.A., Qualter, P., Robinson, S.J., Loneliness trajectories from middle childhood to pre-adolescence: Impact on perceived health and sleep disturbance (2013) Journal of Adolescence, 36 (6), pp. 1295-1304; Hawkley, L.C., Cacioppo, J.T., Loneliness matters: A theoretical and empirical review of consequences and mechanisms (2010) Annals of Behavioral Medicine, 40 (2), pp. 218-227; Hays, R.D., DiMatteo, M.R., A short-form measure of loneliness (1987) Journal of Personality Assessment, 51 (1), pp. 69-81; Holtgraves, T., Text messaging, personality, and the social context (2011) Journal of Research in Personality, 45 (1), pp. 92-99. , Feb; Hoyt, L.T., Zeiders, K.H., Chaku, N., Toomey, R.B., Nair, R.L., Young adults' psychological and physiological reactions to the 2016 US presidential election (2018) Psychoneuroendocrinology, 92, pp. 162-169; Indian, M., Grieve, R., When Facebook is easier than face-to-face: Social support derived from Facebook in socially anxious individuals (2014) Personality and Individual Differences, 59, pp. 102-106. , 2014-03; Jin, B., How lonely people use and perceive Facebook (2013) Computers in Human Behavior, 29 (6), pp. 2463-2470. , Nov. 2013; Kari, T., Arjoranta, J., Salo, M., Behavior change types with Pokémon GO (2017) Proceedings of the International Conference on the Foundations of Digital Games-FDG '17, pp. 1-10. , ACM Press, Hyannis, Massachusetts; Kross, E., Verduyn, P., Demiralp, E., Park, J., Seungjae Lee, D., Lin, N., Shablack, H., Ybarra, O., Facebook use predicts declines in subjective well-being in young adults (2013) PLOS ONE, 8 (8), p. 69841; Lin, D., Extracting collocations from text corpora (1998) First Workshop on Computational Terminology. Citeseer, pp. 57-63; Lin, S.-T., Yang, P., Lai, C.-Y., Su, Y.-Y., Yeh, Y.-C., Huang, M.-F., Chen, C.-C., Mental health implications of music: Insight from neuroscientific and clinical studies (2011) Harvard Review of Psychiatry, 19 (1), pp. 34-46; Loper, E., Bird, S., (2002) NLTK: The Natural Language Toolkit, , arXiv preprint cs/0205028; Loveys, K., Crutchley, P., Wyatt, E., Coppersmith, G., Small but mighty: Affective micropatterns for quantifying mental health from social media language (2017) Proceedings of the Fourth Workshop on Computational Linguistics and Clinical Psychology-From Linguistic Signal to Clinical Reality, pp. 85-95. , http://aclweb.org/anthology/W17-3110, Association for Computational Linguistics; McCallum, A.K., (2002) MALLET: A Machine Learning for Language Toolkit., 2002. , http://mallet.cs.umass.edu; Mohr, D.C., Zhang, M., Schueller, S.M., Personal sensing: Understanding mental health using ubiquitous sensors and machine learning (2017) Annual Review of Clinical Psychology, 13 (1), pp. 23-47. , May 2017; Mushtaq, R., Shoib, S., Shah, T., Mushtaq, S., Relationship between loneliness, psychiatric disorders and physical health ? A review on the psychological aspects of loneliness (2014) Journal of Clinical and Diagnostic Research: JCDR, 8, p. 9. , Sept; Nabi, R.L., Prestin, A., So, J., Facebook friends with (health) benefits? Exploring social network site use and perceptions of social support, stress, and well-being (2013) Cyberpsychology, Behavior, and Social Networking, 16 (10), pp. 721-727. , Oct. 2013; Naslund, J.A., Grande, S.W., Aschbrenner, K.A., Elwyn, G., (2014) Naturally Occurring Peer Support through Social Media: The Experiences of Individuals with Severe Mental Illness Using YouTube., 9 (10), p. 110171. , 2014; Neckelmann, D., Mykletun, A., Dahl, A.A., Chronic insomnia as a risk factor for developing anxiety and depression (2007) Sleep, 30 (7), pp. 873-880; (2020) Depression., 2020. , https://www.nimh.nih.gov/health/topics/depression/index.shtml; Nobles, A.L., Glenn, J.J., Kowsari, K., Teachman, B.A., Barnes, L.E., Identification of imminent suicide risk among young adults using text messages (2018) Proceedings of the 2018 CHI Conference on Human Factors in Computing Systems, 413; Park, J., Seungjae Lee, D., Shablack, H., Verduyn, P., Deldin, P., Ybarra, O., Jonides, J., Kross, E., When perceptions defy reality: The relationships between depression and actual and perceived Facebook social support (2016) Journal of Affective Disorders, 200, pp. 37-44; Park, S., Kim, I., Won Lee, S., Yoo, J., Jeong, B., Cha, M., Manifestation of depression and loneliness on social networks: A case study of young adults on facebook (2015) Proceedings of the 18th ACM Conference on Computer Supported Cooperative Work &amp; Social Computing-CSCW '15, pp. 557-570. , ACM Press; Pendse, S.R., (2018) Sochiatrist: Inferring the Relationship between Emotion and Private Social Messages., 2018; Pickett, C.L., Gardner, W.L., The social monitoring system: Enhanced sensitivity to social cues as an adaptive response to social exclusion (2005) The Social Outcast: Ostracism, Social Exclusion, Rejection, and Bullying., pp. 213-226. , 2005, Place: New York, NY, US Publisher: Psychology Press; Pickett, C.L., Gardner, W.L., Knowles, M., Getting a cue: The need to belong and enhanced sensitivity to social cues (2004) Personality and Social Psychology Bulletin, 30 (9), pp. 1095-1107; Reid, D.J., Reid, F.J.M., Text or talk? Social anxiety, loneliness, and divergent preferences for cell phone use (2007) CyberPsychology &amp; Behavior, 10 (3), pp. 424-435. , June 2007; Reissmann, A., Hauser, J., Stollberg, E., Kaunzinger, I., Lange, K.W., The role of loneliness in emerging adults' everyday use of Facebook-an experience sampling approach (2018) Computers in Human Behavior, 88, pp. 47-60; Rice, E., Kurzban, S., Ray, D., (2012) Homeless but Connected: The Role of Heterogeneous Social Network Ties and Social Networking Technology in the Mental Health Outcomes of Street-Living Adolescents., 48 (6), pp. 692-698. , 2012; Richman, L.S., Martin, J., Guadagno, J., Stigma-based rejection and the detection of signs of acceptance (2016) Social Psychological and Personality Science, 7 (1), pp. 53-60; Russell, D., Peplau, L.A., Cutrona, C.E., The revised UCLA Loneliness Scale: Concurrent and discriminant validity evidence (1980) Journal of Personality and Social Psychology, 39 (3), p. 472; Saeb, S., Zhang, M., Karr, C.J., Schueller, S.M., Corden, M.E., Kording, K., Mohr, D.C., Mobile phone sensor correlates of depressive symptom severity in daily-life behavior: An exploratory study (2015) Journal of Medical Internet Research, 17 (7), p. 175. , July 2015; Saha, K., Bayraktaroglu, A.E., Campbell, A.T., Chawla, N.V., De Choudhury, M., D'Mello, S.K., Dey, A.K., Jagannath, K., Social media as a passive sensor in longitudinal studies of human behavior and wellbeing (2019) Extended Abstracts of the 2019 CHI Conference on Human Factors in Computing Systems., pp. 1-8; Sano, A., Phillips, A.J., Amy, Z.Y., McHill, A.W., Taylor, S., Jaques, N., Czeisler, C.A., Picard, R.W., Recognizing academic performance, sleep quality, stress level, and mental health using personality traits, wearable sensors and mobile phones (2015) 2015 IEEE 12th International Conference on Wearable and Implantable Body Sensor Networks (BSN). IEEE, pp. 1-6; Schwartz, H.A., Eichstaedt, J.C., Kern, M.L., Dziurzynski, L., Ramones, S.M., Agrawal, M., Shah, A., Ungar, L.H., Personality, gender, and age in the language of social media: The open-vocabulary approach (2013) PLOS ONE, 8 (9), p. 73791. , Sept. 2013; Schwartz, H.A., Eichstaedt, J.C., Kern, M.L., Dziurzynski, L., Ramones, S.M., Agrawal, M., Shah, A., Ungar, L.H., Personality, gender, and age in the language of social media: The open-vocabulary approach (2013) PLOS ONE, 8 (9), pp. 1-16. , 09 2013; Schwartz, H.A., Sap, M., Kern, M.L., Eichstaedt, J.C., Kapelner, A., Agrawal, M., Blanco, E., Ungar, L.H., Predicting individual well-being through the language of social media (2016) Biocomputing 2016, pp. 516-527. , World Scientific, Kohala Coast, Hawaii, USA; Seybold, K.S., Hill, P.C., The role of religion and spirituality in mental and physical health (2001) Current Directions in Psychological Science, 10 (1), pp. 21-24; Shaver, P., Furman, W., Buhrmester, D., (1985) Transition to College: Network Changes, Social Skills, and Loneliness., 1985; Shensa, A., Sidani, J.E., Escobar-Viera, C.G., Chu, K.-H., Bowman, N.D., Knight, J.M., Primack, B.A., Real-life closeness of social media contacts and depressive symptoms among university students (2018) Journal of American College Health, 66 (8), pp. 747-753; Skowron, M., Tkalčič, M., Ferwerda, B., Schedl, M., Fusing social media cues: Personality prediction from twitter and instagram (2016) Proceedings of the 25th International Conference Companion on World Wide Web, pp. 107-108. , International World Wide Web Conferences Steering Committee; Spielberger, C.D., Gorsuch, R.L., Lushene, R., Vagg, P.R., Jacobs, G.A., (1983) Manual for the State-Trait Anxiety Inventory, , Consulting Psychologists Press; Staiano, J., Lepri, B., Aharony, N., Pianesi, F., Sebe, N., Pentland, A., Friends don't lie: Inferring personality traits from social network structure (2012) Proceedings of the 2012 ACM Conference on Ubiquitous Computing. ACM, pp. 321-330; Tausczik, Y.R., Pennebaker, J.W., The psychological meaning of words: LIWC and computerized text analysis methods (2010) Journal of Language and Social Psychology, 29 (1), pp. 24-54; Volkova, S., Han, K., Corley, C., Using social media to measure student wellbeing: A large-scale study of emotional response in academic discourse (2016) International Conference on Social Informatics, pp. 510-526. , Springer; Wang, T., Brede, M., Ianni, A., Mentzakis, E., Detecting and characterizing eatingdisorder communities on social media (2017) Proceedings of the Tenth ACM International Conference on Web Search and Data Mining. ACM, pp. 91-100; Wang, X., Zhang, C., Sun, L., An improved model for depression detection in micro-blog social network (2013) 2013 IEEE 13th International Conference on Data Mining Workshops. IEEE, pp. 80-87; Wilson, J., (2016) Pokémon Go Launches in US on IOS and Android., 2016. , https://venturebeat.com/2016/07/06/pokemon-go-launches-worldwide-on-ios-and-android/; Wolpert, D.H., Stacked generalization (1992) Neural Networks, 5, pp. 241-259; Wright, K.B., Emotional support and perceived stress among college students using Facebook.com: An exploration of the relationship between source perceptions and emotional support (2012) Communication Research Reports, 29 (3), pp. 175-184. , July 2012; Wu, C., Boukhechba, M., Cai, L., Barnes, L.E., Gerber, M.S., Improving momentary stress measurement and prediction with bluetooth encounter networks (2018) Smart Health; Yang, C.-C., Lee, Y., Interactants and activities on Facebook, Instagram, and Twitter: Associations between social media use and social adjustment to college (2018) Applied Developmental Science, pp. 1-17; Ziegele, M., Reinecke, L., No place for negative emotions? The effects of message valence, communication channel, and social distance on users' willingness to respond to SNS status updates (2017) Computers in Human Behavior, 75, pp. 704-713</t>
  </si>
  <si>
    <t>25730142</t>
  </si>
  <si>
    <t>Proc. ACM Hum. Comput. Interact.</t>
  </si>
  <si>
    <t>2-s2.0-85094179656</t>
  </si>
  <si>
    <t>A framework for understanding the relationship between social media discourse and mental health</t>
  </si>
  <si>
    <t>Li B., Su Z.</t>
  </si>
  <si>
    <t>57226853768;57211181875;</t>
  </si>
  <si>
    <t>Research on data mining equipment for teaching English writing based on application</t>
  </si>
  <si>
    <t>Journal of Intelligent and Fuzzy Systems</t>
  </si>
  <si>
    <t>40</t>
  </si>
  <si>
    <t>3263</t>
  </si>
  <si>
    <t>3269</t>
  </si>
  <si>
    <t>10.3233/JIFS-189366</t>
  </si>
  <si>
    <t>https://www.scopus.com/inward/record.uri?eid=2-s2.0-85100577131&amp;doi=10.3233%2fJIFS-189366&amp;partnerID=40&amp;md5=3e6fa27504fef25ef01e3deec6d21464</t>
  </si>
  <si>
    <t>Foreign Language Teaching and Research Institute, Jilin University of Finance and Economics, Changchun, Jilin, China; Foreign Language Department, Changchun University of Chinese Medicine, Changchun, Jilin, China</t>
  </si>
  <si>
    <t>Li, B., Foreign Language Teaching and Research Institute, Jilin University of Finance and Economics, Changchun, Jilin, China; Su, Z., Foreign Language Department, Changchun University of Chinese Medicine, Changchun, Jilin, China</t>
  </si>
  <si>
    <t>'College English teaching guide' puts in forth unique challenges and needs for College teaching skills of English. It is pressing to cultivate innovative talents with quality writing in English. Teaching in English, as a subject to check the mastery of students' English knowledge. The successful instructional project of English writing is an assurance and support smooth growth of English writing. It can make education get double the efforts, and allow the students development.' writing ability y, but in fact, the current situation of structural design of writing English in college is not optimistic. With the rise of 'Web in addition to', varying backgrounds have experienced emotional changes. 'Web in addition to training' has become a pattern of advancement, which has brought new chances and difficulties for the educating and learning of College English composition. This research first describes the research status of data mining and College English writing at places of abroad and input the future the content of research and methods of research. Taking college English writing teaching as the research object, the association rules algorithm in data mining is applied to analyze the correlation factors of students' writing performance and provide decision-making suggestions for teachers' teaching. © 2021-IOS Press. All rights reserved.</t>
  </si>
  <si>
    <t>association rules; Data mining; English writing; internet plus; teaching</t>
  </si>
  <si>
    <t>Decision making; Mining equipment; Structural design; Students; Teaching; College english teachings; Correlation factors; Current situation; Innovative talents; Methods of researches; Varying background; Writing abilities; Writing performance; Data mining</t>
  </si>
  <si>
    <t>Kumari, A., Tanwar, S., Tyagi, S., Kumar, N., Maasberg, M., Choo, K.K.R., Multimedia big data computing and Internet of Things applications: A taxonomy and process model [J] Journal of Network and Computer Applications, 124, pp. 169-195; Angeli, C., Howard, S., Ma, J., Data mining in educational technology classroom research: Can it make a contribution?[J] (2017) Computers &amp; Education; Cai, J., Challenges to Traditional College English Teaching Concepts: A Study of College English Teaching Guidelines[ J] (2017) Foreign Language Education; Zhang, D., Zhang, D., Xiong, H., Hsu, C.-H., Vasilakos, A.V., BASA: Building mobile Ad-Hoc social networks on top of android [J] Ieee Network, 28 (1), pp. 4-9; Feng, J.Y., The application of intercultural communication in college English teaching[J] Journal of Jiamusi Vocational Institute, 2017; Khari, M., Garg, A.K., Gonzalez-Crespo, R., Verdu, E., Gesture Recognition of RGB and RGB-D Static Images Using Convolutional Neural Networks [J] International Journal of Interactive Multimedia and Artificial Intelligence, 5 (2019), pp. 22-27; Khari, M., Garg, A.K., Gonzalez-Crespo, R., Verdu, E., Gesture Recognition of RGB and RGB-D Static Images Using Convolutional Neural Networks International Journal of Interactive Multimedia and Artificial Intelligence, 5 (2019), pp. 22-27; Khosravi, V., Ardejani, F.D., Yousefi, S., Monitoring soil lead and zinc contents via combination of spectroscopy with extreme learning machine and other data mining methods[ J] Geoderma, 318 (2018), pp. 29-41; Li, T., Research on College English Classroom Teaching in the Perspective of Educational Ecology[J] (2017) Theory &amp; Practice of Education; Elhoseny, M., Shehab, A., Yuan, X., Optimizing Robot Path in Dynamic Environments Using Genetic Algorithm and Bezier Curve [J] (2017) Journal of Intelligent&amp;Fuzzy Systems, 33 (4), pp. 2305-2316; Yuri, N., Vicente, G.-D., Carlos, M., Ruben, G.C., Supporting academic decision making at higher educational institutions using machine learning-based algorithms [J] Soft Computing, 23 (2019), pp. 4145-4153; Nisbet, R., Miner, G., Yale, K., Chapter 5-Feature Selection[ J], Handbook of Statistical Analysis &amp; Data Mining Applications, 2018, pp. 83-97; Prathik, A., Anuradha, J., Uma, K., Survey on Spatial Data Mining, Challenges and Its Applications [J] (2018) Journal of Computational and Theoretical Nanoscience, 15 (9-10), pp. 2769-2776; Sepulveda, A., (2017) A New Application for Data Mining and Analytics[J]; Silva, C., Fonseca, J., (2017) Educational Data Mining A Literature Review[J]; Tharwat, A., Mahdi, H., Elhoseny, M., Hassanien, A.E., Recognizing human activity in mobile crowdsensing environment using optimized k-NN algorithm [J] Expert Systems with Applications, 107 (2018), pp. 32-44; Tiwari, M., (2017) Strategic Decision Making: A Data Mining Approach[J]; Zhao, J., Liu, G.H., Yang, L., Basic Connotation of College English Teachers? Professional Development and Promotion Strategies[J] (2018) Journal of Northeast Normal University</t>
  </si>
  <si>
    <t>IOS Press BV</t>
  </si>
  <si>
    <t>10641246</t>
  </si>
  <si>
    <t>J. Intelligent Fuzzy Syst.</t>
  </si>
  <si>
    <t>2-s2.0-85100577131</t>
  </si>
  <si>
    <t>Research on data mining equipment for teaching english writing based on application</t>
  </si>
  <si>
    <t>O'Sullivan P., Kraisornsuthasinee S.</t>
  </si>
  <si>
    <t>56215403100;55241820700;</t>
  </si>
  <si>
    <t>YOU EARN as YOU LIVE as YOU VALUE: Consumption–work dialectic and its implications for sustainability</t>
  </si>
  <si>
    <t>Sustainability Accounting, Management and Policy Journal</t>
  </si>
  <si>
    <t>450</t>
  </si>
  <si>
    <t>10.1108/SAMPJ-12-2018-0362</t>
  </si>
  <si>
    <t>https://www.scopus.com/inward/record.uri?eid=2-s2.0-85079194423&amp;doi=10.1108%2fSAMPJ-12-2018-0362&amp;partnerID=40&amp;md5=f9cd8fe9cee75797ddad9bf17884cf89</t>
  </si>
  <si>
    <t>Grenoble Ecole de Management, Grenoble, France; Thammasat University Business School, Bangkok, Thailand</t>
  </si>
  <si>
    <t>O'Sullivan, P., Grenoble Ecole de Management, Grenoble, France, Thammasat University Business School, Bangkok, Thailand; Kraisornsuthasinee, S., Thammasat University Business School, Bangkok, Thailand</t>
  </si>
  <si>
    <t>Purpose: In economic theory, the relationship between working/earning decisions and consumption/lifestyle decisions has been conceptualised in an almost entirely unidirectional manner: income from work taken as a given governs consumption and so lifestyle. This involves a narrowly inaccurate view of the consumption–work interaction. The purpose of this paper is to argue that this economist’s way of thinking about consumption and work needs to be replaced by a conception in which not only does realised income determine one’s consumption possibilities but also the desired level of consumption is itself a choice and a key determinant of how and how much one decides to work. Design/methodology/approach: The paper is designed as a conceptual contribution in which the above insight is linked to the extensive literature on sustainability. Findings: When consumption is no longer thought of as determined by a given income constraint, it becomes possible to consider how people by modifying their consumption aspirations may be led not only to work less or differently but also to live and consume in a more sustainable manner. As a result of lesser pressure to work ever more, they may also be led to an ethical reappraisal of the way they work. Research limitations/implications: The conceptualisation suggested is rich in implications for future research, for example, on links between consumerism and corruption; and on the impact of more ethical work choices on well-being. There is an implicit critique of much of HRM theory and practice which tends to instrumentalise work. The implications of artificial intelligence for future work are noted and, in this context, are surprisingly positive. The macro level implication of the need to move away from gross domestic product to more appropriate measures of socio-economic performance and well-being such as Social Progress Index (SPI) are noted. Practical implications: The link between this widened conceptualisation of the consumption–work decision and the notion of voluntary simplicity is explored in detail and the latter is shown to apply also to the types of work/job chosen. This in turn is shown to have implications for management (especially HR) practice and for government policies both at micro and macro levels. Social implications: This carries clear implications for work-life balance in people’s daily lives; and by choosing more ethical ways of working or types of job, there may be a significant pro-social impact. Originality/value: This paper points to a widening of the notion of voluntary simplicity beyond merely consumption choices to apply also to work choices. In the discussion of moral philosophical underpinning of voluntary simplicity, the link is made with Buddhist wisdom of the Middle Way and sufficiency economy and with the Golden Mean of Stoicism. © 2019, Emerald Publishing Limited.</t>
  </si>
  <si>
    <t>Consumerism; Eastern (Buddhist) wisdom; Meaningful work; Sustainable consumption; Voluntary simplicity; Work-life balance</t>
  </si>
  <si>
    <t>Balderjahn, I., Buerke, A., Kirchgeorg, M., Pyer, M., Seegebarth, B., Wiedmann, K., Consciousness for sustainable consumption: scale development and new insights in the economic dimension of sustainability (2013) Ams Review, 3 (4), pp. 181-192; Ballantine, P.W., Creery, S., The consumption and disposition behaviour of voluntary simplifiers (2010) Journal of Consumer Behaviour, 9 (1), pp. 45-56; Beadle, R., Knight, K., Virtue and meaningful work (2012) Business Ethics Quarterly, 22 (2), pp. 433-450; Bekin, C., Carrigan, M., Szmigin, I., Defying marketing sovereignty: voluntary simplicity at new consumption communities (2005) Qualitative Market Research: An International Journal, 8 (4), pp. 413-429; Belk, E.J., (2006) Quote, , www.supertopo.com/climbing/thread.php?topic_id=187908&amp;tn=20, (accessed: 22 April 2019; Belk, R.W., Bahn, K.D., Mayer, R.N., Developmental recognition of consumption symbolism (1982) Journal of Consumer Research, 9 (1), pp. 4-17; Belk, R.W., Ger, G., Askergaard, S., The fire of desire: a multisited inquiry into consumer passion (2003) Journal of Consumer Research, 30 (3), pp. 326-351; Black, I.R., Cherrier, H., Anti-consumption as part of living a sustainable lifestyle: daily practices, contextual motivations and subjective values (2010) Journal of Consumer Behaviour, 9 (6), pp. 437-453; Borjas, G., (2019) Labor Economics, , 8th ed, McGraw Hill, New York, NY; (2018) The state of sustainable business in 2018, , www.bsr.org/reports/BSR_Globescan_State_of_Sustainable_Business_2018.pdf, (accessed, Globescan and Business for a Better World, BSR, Hong Kong: :, 6 August 2019; Campbell, C., (1987) The Romantic Ethic and Spirit of Modern Consumerism, , Blackwell, Oxford; Carrington, M.J., Zwick, D., Neville, B., The ideology of the ethical consumption gap (2015) Marketing Theory, 16 (1), pp. 21-38; Cherrier, H., Drifting away from the consumption spiral: trait aspects of voluntary simplicity (2002) Asia Pacific Advances in Consumer Research, 5, pp. 280-281; Daoud, A., The modus vivendi of material simplicity: counteracting scarcity via deflation of wants (2011) Review of Social Economy, 69 (3), pp. 275-305; De Graaf, J., Wann, D., Naylor, T.H., (2005) Affluenza: The All-Consuming Epidemic, , 2nd ed., Berrett-Koehler, San Francisco; Denham, J., (2016) Minimalism v. Voluntary simplicity, , www.jessicadenham.com/dealing-with-stuff/minimalism-vs-voluntary-simplicity, (accessed, 23 August 2016 blog: 20 April 2019; Elgin, D., (2010) Voluntary Simplicity, , Harper Collins, New York, NY; Elgin, D., Mitchell, A., Voluntary simplicity: lifestyle of the future? (1977) The Futurist, 11 (4), pp. 200-261; Elgin, D., Mitchell, A., Voluntary simplicity (1977) The Co-Evolution Quarterly, 3, pp. 4-19; Elliot, R., Addictive consumption: function and fragmentation in postmodernity (1994) Journal of Consumer Policy, 17 (2), pp. 159-179; Etzioni, A., Voluntary simplicity: characterization, select psychological implications, and societal consequences (1998) Journal of Economic Psychology, 19, pp. 619-643; Etzioni, A., The post affluent society (2004) Review of Social Economy, 62 (3), pp. 407-420; Friedman, M., A positive approach to organize consumer action: the ‘buycott’ as an alternative to the boycott (1996) Journal of Consumer Policy, 19 (4), pp. 439-451; Fromm, E., (1976) To Have or to Be, , Routledge and Kegan Paul, London; Gabriel, Y., Lang, T., (1995) The Unmanageable Consumer: Contemporary Consumption and Its Fragmentation, , Sage Books, London; (2016) Accounts, , www.footprintnetwork.org/, (accessed: 29 October 2018; Gokcekus, O., Suzuki, Y., Is there a corruption-effect on conspicuous consumption? (2014) Margin: The Journal of Applied Economic Research, 8 (3), pp. 215-235; Golden, L., Wiens-Tuers, B., Overtime work and wellbeing at home (2008) Review of Social Economy, 66 (1), pp. 25-49; Gould, S.J., An Asian approach to the understanding of consumer energy, drives, and states (1991) Research in Consumer Behavior, 5. , Hirschman, E.C. (Ed.), Greenwich, CT; Grant, A.M., Relational job design and the motivation to make a prosocial difference (2007) Academy of Management Review, 32 (2), pp. 393-417; Grant, A.M., The significance of task significance: job performance effects, relational mechanisms, and boundary conditions (2008) Journal of Applied Psychology, 93 (1), pp. 108-124; Heiskanen, E., Pantzar, M., Toward sustainable consumption: two new perspectives (1997) Journal of Consumer Policy, 20 (4), pp. 409-442; Hendriks, I., Duarte, C., Alvarez, M., Vulnerability of marine biodiversity to ocean acidification (2010) Estuarine Coastal and Shelf Science, 86 (2), pp. 157-164; Hetrick, W.P., Lozada, H.R., Constructing the critical imagination: comments and necessary diversions (1994) Journal of Consumer Research, 21 (3), pp. 548-565; Hill, L., Adam smith on thumos and irrational economic ‘man’ (2012) The European Journal of the History of Economic Thought, 19 (1), pp. 1-22; Holm, S.O., Englund, G., Increased eco-efficiency and gross rebound effect: evidence from USA and six european countries 1960-2002 (2009) Ecological Economics, 86, pp. 879-887; Hume, D., (1985) A Treatise on Human Nature, , Penguin Classic, London; Jackson, T.C., Live better by consuming less? Is there a ‘double dividend’ in sustainable consumption? (2005) Journal of Industrial Ecology, 9 (1-2), pp. 19-36; Jackson, T.C., Michaelis, L., (2003) Policies for Sustainable Consumption, , Sustainable Development Commission, London; Kaun, D., Income and happiness: earning and spending as sources of discontent (2005) The Journal of Socio-Economics, 34 (2), pp. 161-177; Kjellberg, H., Market practices and over-consumption (2008) Consumption Markets and Culture, 11 (2), pp. 151-167; Kraisornsuthasinee, S., CSR through the heart of the Bodhi tree (2012) Social Responsibility Journal, 8 (2), pp. 186-198; Kraisornsuthasinee, S., Swierczek, F.W., Beyond consumption: the promising contribution of voluntary simplicity (2018) Social Responsibility Journal, 14 (1), pp. 80-95; Landefeld, J., Seskin, E., The economic value of life; linking theory to practice (1982) American Journal of Public Health, 72 (6), pp. 555-566; McDonald, S., Oates, C.J., Alevizou, P.J., Young, C.W., Hwang, K., Individual strategies for sustainable consumption (2012) Journal of Marketing Management, 28 (3-4), pp. 445-468; McDonald, S., Oates, C.J., Young, C.W., Hwang, K., Toward sustainable consumption: researching voluntary simplifiers (2006) Psychology and Marketing, 23 (6), pp. 515-534; McGinnis, L.P., Frendle, A.M., Gentry, J.W., The simple man: the consumption behaviour of the principled life (2013) Journal of Consumer Behaviour, 12 (1), pp. 70-80; Manoukian, G., (2018) How a sustainability agenda is driven by risk management, , https://enablon.com/blog/2018/10/11/how-a-sustainability-agenda-is-driven-by-risk-management, (accessed, Blog: 6 August 2019; Marsden, D., Littler, D., A dialectical approach to consumer research: beyond positivism and postmodernism (1999) European Advances in Consumer Research, 4, pp. 341-346; Michaelson, C., Pratt, M.G., Grant, A.M., Dunn, C.P., Meaningful work: connecting business ethics and organization studies (2014) Journal of Business Ethics, 121 (1), pp. 77-90; Mittelstaedt, J.D., Shultz, C.J., Kilbourne, W., Peterson, M., Sustainability as megatrend: two schools of macromarketing thought (2014) Journal of Macromarketing, 34 (3), pp. 253-264; Moore, G.E., (1903) Principia Ethica, , Cambridge University Press, Cambridge; Neufeind, M., O’Reilly, J., Ranft, F., (2018) Work in the Digital Age, , (Eds), (, Rowman and Littlefield, London; Newholm, T., Shaw, D., Studying the ethical consumer: a review research (2007) Journal of Consumer Behaviour, 6 (5), pp. 253-270; O’Shaughnessy, J., O’Shaughnessy, N.J., Marketing, the consumer society and hedonism (2002) European Journal of Marketing, 36 (5-6), pp. 524-547; O’Sullivan, P., (1987) Economic Methodology and Freedom to Choose, , Allen and Unwin, London: Reprinted 2012 by Routledge London as a Routledge Revival; O’Sullivan, P., Pisalyaput, N., The sufficiency economy: a thai response to the Asian financial crisis (2015) The Philosophy Politics and Economics of Finance in the 21st Century, Chapter 15, , O’Sullivan, P., Allington, N. and Esposito, M. and,(Eds), Routledge, London; Peattie, K., Green consumption: behaviour and norms (2010) Annual Review of Environment and Resources, 35 (1), pp. 195-228; Pepper, M., Jackson, T., Uzzell, D., An examination of the values that motivate socially conscious and frugal consumer behaviour (2009) International Journal of Consumer Studies, 33 (2), pp. 126-136; Peyer, M., Bahlderjahn, I., Seegebarth, B., Klemm, A., The role of sustainability in profiling voluntary simplifiers (2017) Journal of Business Research, 70, pp. 37-43; Piketty, T., (2014) Capitalism in the 21st Century, , Harvard University Press, Boston; Prothero, A., Dobscha, S., Freund, J., Kilbourne, W.E., Luchs, M.G., Ozanne, L.K., Thǿgerson, J., Sustainable consumption: opportunities for consumer research and public policy (2011) Journal of Public Policy and Marketing, 30 (1), pp. 31-38; Randers, J., (2012) 2052: A Global Forecast for the Next Forty Years, , Chelsea Green Publishing, White River Junction, VT; Rice, D., Estimating the costs of illness (1967) American Journal of Public Health and the Nations Health, 57 (3), pp. 424-440; Richins, M.L., Materialism, transformation expectations, and spending: implications for credit use (2011) Journal of Public Policy and Marketing, 30 (2), pp. 141-156; Richins, M.L., Dawson, S., A consumer values orientation for materialism and its measurement: scale development and validation (1992) Journal of Consumer Research, 19 (3), pp. 303-316; Rifkin, J., (2004) The European Dream, , Polity Press, Cambridge; Robinson, S., Bennett, R.J., A typology of deviant workplace behaviors: a multi-dimensional scaling study (1995) Academy of Management Journal, 38 (2), pp. 55-572; Salimath, M., Chandna, V., Sustainable consumption and growth: complementary perspectives (2018) Management Decision, , https://doi.org/10.1108/MD-12-2016-0934, (accessed: 12 October 2019; Sapsford, D., (1981) Labour Market Economics, , Allen and Unwin, London: Reprinted 2013 by Routledge London as a Routledge Revival; Saren, M., Buy buy miss american pie’: the day the consumer died (2015) Marketing Theory, 15 (4), pp. 565-569; Sayer, A., Contributive justice and meaningful work (2009) Res Publica, 15 (1), pp. 1-16; Schumacher, E., (1973) Small Is Beautiful: Economics as If People Mattered, , Blond and Briggs, London; Schwartz, S.H., Bardi, A., Value hierarchies across cultures: taking a similarities perspective (2001) Journal of Cross-Cultural Psychology, 32 (3), pp. 268-290; Shankar, A., Cherrier, H., Canniford, R., Consumer empowerment, a foucaultian interpretation (2006) European Journal of Marketing, 40 (9-10), pp. 1013-1030; Shankar, A., Whittaker, J., Fitchett, J.A., Heaven knows I’m miserable now (2006) Marketing Theory, 6 (4), pp. 485-505; Shaw, D., Moraes, C., Voluntary simplicity: an exploration of market interactions (2009) International Journal of Consumer Studies, 33 (2), pp. 215-223; Shaw, D., Newholm, T., Voluntary simplicity and the ethics of consumption (2002) Psychology and Marketing, 19 (2), pp. 165-185; Sloman, J., Wride, A., (2009) Economics, , 7th ed., Pearson Prentice Hall, Harlow; Smith, A., (1776) An Enquiry into the Nature and Causes of the Wealth of Nations, , Penguin, London; (2018) Social progress index executive summary 2018, , www.socialprogress.org/assets/downloads/resources/2018/2018-Social-Progress-Index-Exec-Summary.pdf, Social Progress Imperative, Washington, DC; Szmigin, I., Carrigan, M., McEachern, M., The conscious consumer: taking a flexible approach to ethical behavior (2009) International Journal of Consumer Studies, 33 (2), pp. 224-231; Tang, T.L.P., Chiu, R.K., Income, money ethic, pay satisfaction, commitment, and unethical behavior: is the love of money the root of evil for Hong Kong employees? (2003) Journal of Business Ethics, 46 (1), pp. 13-30; Tang, T.L.P., Chen, Y.J., Sutarso, T., Bad apples in bad (business) barrels: the love of money, machiavellianism, risk tolerance, and unethical behaviour (2008) Management Decision, 46 (2), pp. 243-263; Trigg, A., Veblen, bourdieu and conspicuous consumption (2001) Journal of Economic Issues, 35 (1), pp. 99-115; Veblen, T., (1899) The Theory of the Leisure Class, the Collected Works of Thorstein Veblen, 1. , Routledge, London; Wachtel, P.L., Simplifying voluntary simplicity (1996) Consumption and Marketing: Macro Dimensions, pp. 225-231. , Belk, R., Dholakia, N. and Venkatesh, A.,(Eds), South-Western College Publishing, Cincinnati; Walsh, A., Meaningful work as a distributive good (1994) The Southern Journal of Philosophy, 32 (2), pp. 233-250; Wattanasuwan, K., The self and symbolic consumption (2005) Journal of American Academy of Business, 6 (1), pp. 179-184; Weber, M., (2002) The Protestant Ethic and the Spirit of Capitalism, , Penguin, London: First publishedGerman1905; Zavestoski, S., The social –psychological bases of anti-consumption attitudes (2002) Psychology and Marketing, 19 (2), pp. 149-165; Ewing, B., Goldfinger, S., Oursler, A., Reed, A., Moore, D., Wackernagel, M., (2009) The Ecological Footprint Atlas, , Global Footprint Network, Oakland; Grant, A.M., Campbell, E.M., Doing good, doing harm, being well, and burning out: the interactions of perceived pro-social impact and anti-social impact in service work (2007) Journal of Occupational and Organizational Psychology, 80 (4), pp. 665-691; Johnston, T.C., Burton, J.B., Voluntary simplicity: definitions and dimensions (2003) Academy of Marketing Studies Journal, 7 (1), pp. 19-36; Porter, M.E., Kramer, M.R., Creating shared value: how to reinvent capitalism and unleash a wave of innovation and growth (2011) Harvard Business Review, 85 (1), pp. 62-77</t>
  </si>
  <si>
    <t>Emerald Group Holdings Ltd.</t>
  </si>
  <si>
    <t>20408021</t>
  </si>
  <si>
    <t>Sustainability Account. Manage. Policy J.</t>
  </si>
  <si>
    <t>2-s2.0-85079194423</t>
  </si>
  <si>
    <t>You earn as you live as you value: consumption–work dialectic and its implications for sustainability</t>
  </si>
  <si>
    <t>Choung H., David P., Ross A.</t>
  </si>
  <si>
    <t>57203654251;7201509433;7402568052;</t>
  </si>
  <si>
    <t>Trust and ethics in AI</t>
  </si>
  <si>
    <t>AI and Society</t>
  </si>
  <si>
    <t>733</t>
  </si>
  <si>
    <t>745</t>
  </si>
  <si>
    <t>10.1007/s00146-022-01473-4</t>
  </si>
  <si>
    <t>https://www.scopus.com/inward/record.uri?eid=2-s2.0-85130305430&amp;doi=10.1007%2fs00146-022-01473-4&amp;partnerID=40&amp;md5=678ede58aa1880ee7310c7c95af2bf77</t>
  </si>
  <si>
    <t>Michigan State University, East Lansing, MI, United States</t>
  </si>
  <si>
    <t>Choung, H., Michigan State University, East Lansing, MI, United States; David, P., Michigan State University, East Lansing, MI, United States; Ross, A., Michigan State University, East Lansing, MI, United States</t>
  </si>
  <si>
    <t>With the growing influence of artificial intelligence (AI) in our lives, the ethical implications of AI have received attention from various communities. Building on previous work on trust in people and technology, we advance a multidimensional, multilevel conceptualization of trust in AI and examine the relationship between trust and ethics using the data from a survey of a national sample in the U.S. This paper offers two key dimensions of trust in AI—human-like trust and functionality trust—and presents a multilevel conceptualization of trust with dispositional, institutional, and experiential trust each significantly correlated with trust dimensions. Along with trust in AI, we examine perceptions of the importance of seven ethics requirements of AI offered by the European Commission’s High-Level Expert Group. Then the association between ethics requirements and trust is evaluated through regression analysis. Findings suggest that the ethical requirement of societal and environmental well-being is positively associated with human-like trust in AI. Accountability and technical robustness are two other ethical requirements, which are significantly associated with functionality trust in AI. Further, trust in AI was observed to be higher than trust in other institutions. Drawing from our findings, we offer a multidimensional framework of trust that is inspired by ethical values to ensure the acceptance of AI as a trustworthy technology. © 2022, The Author(s), under exclusive licence to Springer-Verlag London Ltd., part of Springer Nature.</t>
  </si>
  <si>
    <t>Ethics requirements of AI; Public perceptions of AI; Trust in AI</t>
  </si>
  <si>
    <t>Regression analysis; Ethic requirement of artificial intelligence; Ethical implications; European Commission; Human like; Key dimensions; Multilevels; Public perception; Public perception of artificial intelligence; Trust dimensions; Trust in artificial intelligence; Ethical technology</t>
  </si>
  <si>
    <t>Abney, K., Robotics, ethical theory, and metaethics: A guide for the perplexed (2012) Robot ethics: the ethical and social implications of robotics, First MIT Press, pp. 35-54. , Lin P, Abney K, Bekey GA, (eds), paperback, The MIT Press, Cambridge, Massachusetts London, England; Alarcon, G.M., Lyons, J.B., Christensen, J.C., The effect of propensity to trust and perceptions of trustworthiness on trust behaviors in dyads (2018) Behav Res Methods, 50, pp. 1906-1920; Allen, C., Wallach, W., Moral machines: Contradiction in terms of abdication of human responsibility? (2012) Robot ethics: the ethical and social implications of robotics, First MIT Press, pp. 55-68. , Lin P, Abney K, Bekey GA, (eds), paperback, The MIT Press, Cambridge, Massachusetts London, England; Araujo, T., Helberger, N., Kruikemeier, S., de Vreese, C.H., In AI we trust? Perceptions about automated decision-making by artificial intelligence (2020) AI Soc, 35, pp. 611-623; Arogyaswamy, B., Big tech and societal sustainability: an ethical framework (2020) AI Soc, 35, pp. 829-840; Borgesius, F.J., Discrimination, artificial intelligence, and algorithmic (2018) Directorate General of Democracy, , Council of Europe, Strasbourg; Burton, J.W., Stein, M.-K., Jensen, T.B., A systematic review of algorithm aversion in augmented decision making (2020) J Behav Decis Mak, 33, pp. 220-239; Calhoun, C.S., Bobko, P., Gallimore, J.J., Lyons, J.B., Linking precursors of interpersonal trust to human-automation trust: An expanded typology and exploratory experiment (2019) J Trust Res, 9, pp. 28-46; Chatila, R., Havens, J.C., The IEEE global initiative on ethics of autonomous and intelligent systems (2019) Robotics and Well-Being, pp. 11-16. , Aldinhas Ferreira MI, Silva Sequeira J, Singh Virk G, (eds), Springer International Publishing, Cham; Chen, S.C., Dhillon, G.S., Interpreting Dimensions of Consumer Trust in E-Commerce (2003) Inf Technol Manag, 4, pp. 303-318; Choung, H., David, P., Ross, A., Trust in AI and its role in the acceptance of AI technologies (2022) Int J Hum-Comput Interact; Colquitt, J.A., Scott, B.A., LePine, J.A., Trust, trustworthiness, and trust propensity: a meta-analytic test of their unique relationships with risk taking and job performance (2007) J Appl Psychol, 92, pp. 909-927; Dietvorst, B.J., Simmons, J.P., Massey, C., Algorithm aversion: people erroneously avoid algorithms after seeing them err (2015) J Exp Psychol Gen, 144, pp. 114-126; (2021) Edelman Trust Barometer 2021; Epstein, Z., Payne, B.H., Shen, J.H., TuringBox: An experimental platform for the evaluation of AI systems (2018) Proceedings of the Twenty-Seventh International Joint Conference on Artificial Intelligence. International Joint Conferences on Artificial Intelligence Organization, pp. 5826-5828. , Stockholm, Sweden; Floridi, L., Cowls, J., A unified framework of five principles for AI in society (2019) Harv Data Sci Rev; Floridi, L., Cowls, J., Beltrametti, M., AI4People—an ethical framework for a good AI society: opportunities, risks, principles, and recommendations (2018) Minds Mach, 28, pp. 689-707; Frazier, M.L., Johnson, P.D., Fainshmidt, S., Development and validation of a propensity to trust scale (2013) J Trust Res, 3, pp. 76-97; Fulmer, A., Dirks, K., Multilevel trust: a theoretical and practical imperative (2018) J Trust Res, 8, pp. 137-141; Gefen, D., E-commerce: the role of familiarity and trust (2000) Omega, 28, pp. 725-737; Gefen, D., Karahanna, E., Straub, D.W., Trust and TAM in online shopping: an integrated model (2003) MIS Q, 27, pp. 51-90; Gillath, O., Ai, T., Branicky, M.S., Attachment and trust in artificial intelligence (2021) Comput Hum Behav, 10; Gulati, R., Does familiarity breed trust? The implications of repeated ties for contractual choice in alliances (1995) Acad Manag J, 38, pp. 85-112; Hagendorff, T., The ethics of AI ethics: an evaluation of guidelines (2020) Minds Mach, 30, pp. 99-120; Hancock, P.A., Billings, D.R., Schaefer, K.E., A meta-analysis of factors affecting trust in human-robot interaction (2011) Hum Fact, 53, pp. 517-527; Helberger, N., Araujo, T., de Vreese, C.H., Who is the fairest of them all? Public attitudes and expectations regarding automated decision-making (2020) Comput Law Secur Rev, 39; Hleg, A.I., (2019) Ethics guidelines for trustworthy AI, , European Commission, Brussels; Hoff, K.A., Bashir, M., Trust in automation: integrating empirical evidence on factors that influence trust (2015) Hum Factors J Hum Factors Ergon Soc, 57, pp. 407-434; Jobin, A., Ienca, M., Vayena, E., The global landscape of AI ethics guidelines (2019) Nat Mach Intell, 1, pp. 389-399; Lankton, N., McKnight, D.H., Tripp, J., Technology, humanness, and trust: Rethinking trust in technology (2015) J Assoc Inf Syst, 16, pp. 880-918. , https://doi.org/10.17705/1jais.00411; Lee, M.K., Understanding perception of algorithmic decisions: fairness, trust, and emotion in response to algorithmic management (2018) Big Data Soc, 5. , 205395171875668; Lee, J.D., See, K.A., Trust in automation: designing for appropriate reliance (2004) Hum Factors, 46, pp. 50-80; Logg, J.M., Minson, J.A., Moore, D.A., Algorithm appreciation: People prefer algorithmic to human judgment (2019) Org Behav Hum Decis Process, 151, pp. 90-103; Madhavan, P., Wiegmann, D.A., Effects of information source, pedigree, and reliability on operator interaction with decision support systems (2007) Hum Fact J Hum Fact Ergon Soc, 49, pp. 773-785; Mayer, R.C., Davis, J.H., Schoorman, F.D., An integrative model of organizational trust: past, present, and future (1995) Acad Manage Rev, 20, pp. 709-734; Mcknight, D.H., Carter, M., Thatcher, J.B., Clay, P.F., Trust in a specific technology: an investigation of its components and measures (2011) ACM Trans Manag Inf Syst, 2, pp. 1-25; Mittelstadt, B., Principles alone cannot guarantee ethical AI (2019) Nat Mach Intell, 1, pp. 501-507; Mökander, J., Axente, M., Ethics-based auditing of automated decision-making systems: intervention points and policy implications (2021) AI Soc; Mökander, J., Floridi, L., Ethics-based auditing to develop trustworthy AI (2021) Minds Mach, 31, pp. 323-327; Mökander, J., Morley, J., Taddeo, M., Floridi, L., Ethics-based auditing of automated decision-making systems: nature, scope, and limitations (2021) Sci Eng Ethics, 27, p. 44; (2019) Artificial intelligence in society, , OECD Publishing, Paris; Roski, J., Maier, E.J., Vigilante, K., Enhancing trust in AI through industry self-governance (2021) J Am Med Inform Assoc, 28, pp. 1582-1590; Rotenberg, K.J., (2019) The psychology of interpersonal trust: theory and research, , Routledge, Abingdon, Oxon, New York; Rousseau, D.M., Sitkin, S.B., Burt, R.S., Camerer, C., Not so different after all: a cross-discipline view of trust (1998) Acad Manag Rev, 23, pp. 393-404; Schoorman, F.D., Mayer, R.C., Davis, J.H., An integrative model of organizational trust: Past, present, and future (2007) Acad Manag Rev, 32, pp. 344-354; Shin, D., The effects of explainability and causability on perception, trust, and acceptance: Implications for explainable AI (2021) Int J Hum-Comput Stud, 146; Shin, D., Park, Y.J., Role of fairness, accountability, and transparency in algorithmic affordance (2019) Comput Hum Behav, 98, pp. 277-284; Simonite, T., (2021), What Really Happened When Google Ousted Timnit Gebru. Wired; Sundar, S.S., Kim, J., Machine heuristic: When we trust computers more than humans with our personal information (2019) . In: Proceedings of the 2019 CHI Conference on Human Factors in Computing Systems - CHI ’19., pp. 1-9. , ACM Press, Glasgow, Scotland Uk; Thiebes, S., Lins, S., Sunyaev, A., (2021) Trustworthy Artificial Intelligence Electron Mark, 31, pp. 447-464; Torresen, J., A review of future and ethical perspectives of robotics and AI (2018) Front Robot AI, 4, p. 75; Wu, K., Zhao, Y., Zhu, Q., A meta-analysis of the impact of trust on technology acceptance model: investigation of moderating influence of subject and context type (2011) Int J Inf Manag, 31, pp. 572-581</t>
  </si>
  <si>
    <t>09515666</t>
  </si>
  <si>
    <t>AI Soc.</t>
  </si>
  <si>
    <t>2-s2.0-85130305430</t>
  </si>
  <si>
    <t>Trust and ethics in ai</t>
  </si>
  <si>
    <t>Berkout O.V., Cathey A.J., Berkout D.V.</t>
  </si>
  <si>
    <t>40461135600;55923508700;57218905443;</t>
  </si>
  <si>
    <t>Inflexitext: A program assessing psychological inflexibility in unstructured verbal data</t>
  </si>
  <si>
    <t>Journal of Contextual Behavioral Science</t>
  </si>
  <si>
    <t>92</t>
  </si>
  <si>
    <t>10.1016/j.jcbs.2020.09.002</t>
  </si>
  <si>
    <t>https://www.scopus.com/inward/record.uri?eid=2-s2.0-85090750143&amp;doi=10.1016%2fj.jcbs.2020.09.002&amp;partnerID=40&amp;md5=40ee4b367e68a438b069f1999a9c6534</t>
  </si>
  <si>
    <t>Department of Psychology, Texas A&amp;M Corpus Christi, United States; ENSO Group, Behavioral Science in the 21st Century, Dallas, TX, United States; DevCo Consulting, Frederick, MD, United States</t>
  </si>
  <si>
    <t>Berkout, O.V., Department of Psychology, Texas A&amp;M Corpus Christi, United States; Cathey, A.J., ENSO Group, Behavioral Science in the 21st Century, Dallas, TX, United States; Berkout, D.V., DevCo Consulting, Frederick, MD, United States</t>
  </si>
  <si>
    <t>This paper describes the development and initial support for Inflexitext, an automated program identifying psychological inflexibility in unstructured verbal data. Written in Python 3.7, Inflexitext produces a psychological inflexibility score based on patterns of word occurrence reflecting its contributing processes. Inflexitext performance was examined in a sample of 809 English speaking adults in the United States recruited using Amazon's Mechanical Turk platform. Participants wrote essays in response to a prompt to write about an emotional issue and completed self-report measures of distress and psychological flexibility relevant constructs. Participant essays were analyzed using Inflexitext and Linguistic Inquiry Word Count 2015 (LIWC), a popular text scoring program. Inflexitext scores demonstrated small positive correlations to self-report measures of experiential avoidance, cognitive fusion, challenges in progress towards one's values, and to symptoms of depression, anxiety, and stress and a medium positive correlation with LIWC coding of negative emotion. Inflexitext scores evidenced small negative correlations with progress towards one's values and LIWC scores on positive emotion. Overall, this initial examination provides preliminary support for the program, although further evaluation is needed and limitations are discussed. Potential applications for future development include unobtrusive ambient monitoring of verbal behavior and real time examination of psychological inflexibility as related to psychological functioning and therapeutic outcomes. © 2020 Association for Contextual Behavioral Science</t>
  </si>
  <si>
    <t>Digital phenotyping; Natural language processing; Psychological inflexibility; Verbal behavior</t>
  </si>
  <si>
    <t>Anderson, M., June 13). Mobile technology and home broadband 2019 (2019), https://www.pewresearch.org/internet/2019/06/13/mobile-technology-and-home-broadband-2019/, Pew Research Center; Atkins, P.W.B., Styles, R.G., Measuring self and rules in what people say: Exploring whether self-discrimination predicts long-term wellbeing (2016) Journal of Contextual Behavioral Science, 5 (2), pp. 71-79; Aung, M.H., Matthews, M., Choudhury, T., Sensing behavioral symptoms of mental health and delivering personalized interventions using mobile technologies (2017) Depression and Anxiety, 34 (7), pp. 603-609; Baer, R.A., Smith, G.T., Hopkins, J., Krietemeyer, J., Toney, L., Using self-report assessment methods to explore facets of mindfulness (2006) Assessment, 13 (1), pp. 27-45; Ben-Zeev, D., Scherer, E.A., Wang, R., Xie, H., Campbell, A.T., Next-generation psychiatric assessment: Using smartphone sensors to monitor behavior and mental health (2015) Psychiatric Rehabilitation Journal, 38 (3), pp. 218-226; Berkout, O.V., Cathey, A.J., Kellum, K.K., Scaling-up assessment from a contextual behavioral science perspective: Potential uses of technology for analysis of unstructured text data (2019) Journal of Contextual Behavioral Science, 12, pp. 216-224; Berkout, O.V., Tinsley, D., Flynn, M.K., A review of anger, hostility, and aggression from an ACT perspective (2019) Journal of Contextual Behavioral Science, 11, pp. 34-43; Bishara, A.J., Hittner, J.B., Testing the significance of a correlation with nonnormal data: Comparison of Pearson, Spearman, transformation, and resampling approaches (2012) Psychological Methods, 17 (3), pp. 399-417; Bluett, E.J., Homan, K.J., Morrison, K.L., Levin, M.E., Twohig, M.P., Acceptance and commitment therapy for anxiety and OCD spectrum disorders: An empirical review (2014) Journal of Anxiety Disorders, 28 (6), pp. 612-624; Bond, F.W., Hayes, S.C., Baer, R.A., Carpenter, K.M., Guenole, N., Orcutt, H.K., Waltz, T., Zettle, R.D., Preliminary psychometric properties of the acceptance and action questionnaire–II: A revised measure of psychological inflexibility and experiential avoidance (2011) Behavior Therapy, 42 (4), pp. 676-688. , 10.1016%2Fj.beth.2011.03.007; Brown, K.W., Ryan, R.M., The benefits of being present: Mindfulness and its role in psychological well-being (2003) Journal of Personality and Social Psychology, 84 (4), pp. 822-848; Cardaciotto, L., Herbert, J.D., Forman, E.M., Moitra, E., Farrow, V., The assessment of present-moment awareness and acceptance (2008) Assessment, 15 (2), pp. 204-223; Cella, D., Riley, W., Stone, A., Rothrock, N., Reeve, B., Yount, S., Amtmann, D., R, Initial adult health item banks and first wave testing of the patient-reported outcomes measurement information system (PROMIS) network: 2005-2008 (2010) Journal of Clinical Epidemiology, 63 (11), pp. 1179-1194; Chan, C., Holosko, M.J., An overview of the use of Mechanical Turk in behavioral sciences (2015) Research on Social Work Practice, 26 (4), pp. 441-448; Cook, K.F., Jensen, S.E., Schalet, B.D., Beaumont, J.L., Amtmann, D., Czajkowski, S., Dewalt, D.A., Cella, D., PROMIS measures of pain, fatigue, negative affect, physical function, and social function demonstrated clinical validity across a range of chronic conditions (2016) Journal of Clinical Epidemiology, 73, pp. 89-102; Dudek, J.E., Białaszek, W., Ostaszewski, P., Quality of life in women with lipoedema: A contextual behavioral approach (2015) Quality of Life Research, 25 (2), pp. 401-408; Eichstaedt, J.C., Smith, R.J., Merchant, R.M., Ungar, L.H., Crutchley, P., Preoţiuc-Pietro, D., Asch, D.A., Schwartz, H.A., Facebook language predicts depression in medical records (2018) Proceedings of the National Academy of Sciences, 115 (44), pp. 11203-11208; Flake, J.K., Fried, E.I., Measurement schmeasurement: Questionable measurement practices and how to avoid them (2019), 10.31234/osf.io/hs7wm; Francis, A.W., Dawson, D.L., Golijani-Moghaddam, N., The development and validation of the comprehensive assessment of acceptance and commitment therapy processes (CompACT) (2016) Journal of Contextual Behavioral Science, 5 (3), pp. 134-145; Gerhart, J.I., Baker, C.N., Hoerger, M., Ronan, G.F., Experiential avoidance and interpersonal problems: A moderated mediation model (2014) Journal of Contextual Behavioral Science, 3 (4), pp. 291-298; Gillanders, D., Bolderston, H., Bond, F.W., Dempster, M., Flaxman, P.E., Campbell, L., Kerr, S., Remington, B., The development and initial validation of the Cognitive Fusion Questionnaire (2014) Behavior Therapy, 45 (1), pp. 83-101; Gloster, A.T., Meyer, A.H., Lieb, R., Psychological flexibility as a malleable public health target: Evidence from a representative sample (2017) Journal of Contextual Behavioral Science, 6 (2), pp. 166-171; Harari, G.M., Lane, N.D., Wang, R., Crosier, B.S., Campbell, A.T., Gosling, S.D., Using smartphones to collect behavioral data in psychological science (2016) Perspectives on Psychological Science, 11 (6), pp. 838-854; Hayes, S.C., Hofmann, S.G., Stanton, C.E., Carpenter, J.K., Sanford, B.T., Curtiss, J.E., Ciarrochi, J., The role of the individual in the coming era of process-based therapy (2019) Behaviour Research and Therapy, 117, pp. 40-53; Hayes, S.C., Levin, M.E., Plumb-Vilardaga, J., Villatte, J.L., Pistorello, J., Acceptance and commitment therapy and contextual behavioral science: Examining the progress of a distinctive model of behavioral and cognitive therapy (2013) Behavior Therapy, 44 (2), pp. 180-198; Hayes, S.C., Strosahl, K.D., Wilson, K.G., Acceptance and Commitment Therapy: The process and practice of mindful change (2012), Guilford Press; Hernandez, N., Hazem, A., PyRATA Python rule-based feature structure analysis (2018) Proceedings of the eleventh international Conference on language Resources and evaluation (LREC 2018), pp. 2093-2098. , https://www.aclweb.org/anthology/volumes/L18-1/, N. Calzolari K. Choukri C. Cieri T. Declerck K. Hasida H. Isahara B. Maegaard J. Mariani A. Moreno J. Odijk S. Piperidis T. Tokunaga European Language Resources Association; Hesser, H., Westin, V., Hayes, S.C., Andersson, G., Clients' in-session acceptance and cognitive defusion behaviors in acceptance-based treatment of tinnitus distress (2009) Behaviour Research and Therapy, 47 (6), pp. 523-528; Insel, T.R., Digital phenotyping: Technology for a new science of behavior (2017) Journal of the American Medical Association, 318 (13), pp. 1215-1216; Kivy (2019), https://kivy.org/#home, MIT; Krafft, J., Ferrell, J., Levin, M.E., Twohig, M.P., Psychological inflexibility and stigma: A meta-analytic review (2018) Journal of Contextual Behavioral Science, 7, pp. 15-28; Levin, M.E., Hayes, S.C., Vilardaga, R., Acceptance and Commitment Therapy: Applying an iterative translational research strategy in behavior analysis (2013) APA handbook of behavior analysis, Translating principles into practice, 2, pp. 455-479. , G.J. Madden W.V. Dube T.D. Hackenberg G.P. Hanley K.A. Lattal; Lovibond, P.F., Lovibond, S.H., The structure of negative emotional states: Comparison of the depression anxiety stress scales (DASS) with the beck depression and anxiety inventories (1995) Behaviour Research and Therapy, 33 (3), pp. 335-343; Lowry, R., VassarStats (2019), http://vassarstats.net/rho.html; Luoma, J.B., Hayes, S.C., Walser, R.D., Learning ACT: An Acceptance &amp; Commitment Therapy skills training manual for therapists (2007), New Harbinger Publications; McCracken, L.M., Vowles, K.E., Acceptance and Commitment Therapy and mindfulness for chronic pain: Model, process, and progress (2014) American Psychologist, 69 (2), pp. 178-187; Minor, K.S., Davis, B.J., Marggraf, M.P., Luther, L., Robbins, M.L., Words matter: Implementing the electronically activated recorder in schizotypy (2018) Personality Disorders: Theory, Research, and Treatment, 9 (2), pp. 133-143; Murphy, S.C., A hands-on guide to conducting psychological research on Twitter (2017) Social Psychological and Personality Science, 8 (4), pp. 396-412; Pedregosa, F., Varoquaux, G., Gramfort, A., Michel, V., Thirion, B., Grisel, O., Blondel, M., Duchesnay, E., Scikit-learn: Machine learning in Python (2011) Journal of Machine Learning Research, 12 (85), pp. 2825-2830; Pennebaker, J.W., Writing about emotional experiences as a therapeutic process (1997) Psychological Science, 8 (3), pp. 162-166; Pennebaker, J.W., Expressive writing in psychological science (2017) Perspectives on Psychological Science, 13 (2), pp. 226-229; Pennebaker, J.W., Booth, R.J., Boyd, R.L., Francis, M.E., Linguistic inquiry and word count: LIWC2015 (2015), www.LIWC.net, Pennebaker Conglomerates; Pennebaker, J.W., Boyd, R.L., Jordan, K., Blackburn, K., The development and psychometric properties of LIWC2015 (2015), https://repositories.lib.utexas.edu/bitstream/handle/2152/31333/LIWC2015_LanguageManual.pdf, University of Texas at Austin; (2019) Internet/broadband fact sheet, , https://www.pewinternet.org/fact-sheet/internet-broadband/; Pham, H., PyAudio. Hubert Pham (2006), https://pypi.org/project/PyAudio/; Python software foundation (2018) Python, , http://www.python.org; Robinson, M.D., Persich, M.R., Sjoblom-Schmidt, S., Penzel, I.B., Love stories: How language use patterns vary by relationship quality (2019) Discourse Processes, 57 (1), pp. 81-98; Rolffs, J.L., Rogge, R.D., Wilson, K.G., Disentangling components of flexibility via the hexaflex model: Development and validation of the multidimensional psychological flexibility inventory (MPFI) (2016) Assessment, 25 (4), pp. 458-482; Ruiz, F.J., A review of Acceptance and Commitment Therapy (ACT) empirical evidence: Correlational, experimental psychopathology, component and outcome studies (2010) International Journal of Psychology and Psychological Therapy, 10 (1), pp. 125-162; Seabold, S., Perktold, J., StatsModels. Skipper Seabold and josef Perktold (2010), https://www.statsmodels.org/stable/index.html#citation; Smout, M., Davies, M., Burns, N., Christie, A., Development of the valuing questionnaire (VQ) (2014) Journal of Contextual Behavioral Science, 3 (3), pp. 164-172; Sun, J., Schwartz, H.A., Son, Y., Kern, M.L., Vazire, S., The language of well-being: Tracking fluctuations in emotion experience through everyday speech (2020) Journal of Personality and Social Psychology, 118 (2), pp. 364-387; Tabachnik, B.G., Fidel, L.S., Using multivariate statistics (2013), 7th ed. Pearson; Tackman, A.M., Sbarra, D.A., Carey, A.L., Donnellan, M.B., Horn, A.B., Holtzman, N.S., Edwards, T.S., Mehl, M.R., Depression, negative emotionality, and self-referential language: A multi-lab, multi-measure, and multi-language-task research synthesis (2019) Journal of Personality and Social Psychology, 116 (5), pp. 817-834; Tausczik, Y.R., Pennebaker, J.W., The psychological meaning of words: LIWC and computerized text analysis methods (2009) Journal of Language and Social Psychology, 29 (1), pp. 24-54; Tibubos, A.N., Köber, C., Habermas, T., Rohrmann, S., Does self-acceptance captured by life narratives and self-report predict mental health? A longitudinal multi-method approach (2019) Journal of Research in Personality, 79, pp. 13-23; Torous, J., Onnela, J.-P., Keshavan, M., New dimensions and new tools to realize the potential of RDoC: Digital phenotyping via smartphones and connected devices (2017) Translational Psychiatry, 7 (3). , e1053–e1053; Tov, W., Ng, K.L., Lin, H., Qiu, L., Detecting well-being via computerized content analysis of brief diary entries (2013) Psychological Assessment, 25 (4), pp. 1069-1078; Twohig, M.P., Acceptance and commitment therapy (2012) Cognitive and Behavioral Practice, 19 (4), pp. 499-507; Villatte, M., Villatte, J., Hayes, S., Mastering the clinical conversation: Language as intervention (2016), Guilford Press; Wakefield, S., Roebuck, S., Boyden, P., The evidence base of acceptance and commitment therapy (ACT) in psychosis: A systematic review (2018) Journal of Contextual Behavioral Science, 10, pp. 1-13; Wilson, K.G., Sandoz, E.K., Kitchens, J., Roberts, M., The Valued Living Questionnaire: Defining and measuring valued action within a behavioral framework (2010) Psychological Record, 60 (2), pp. 249-272; Zhang, A., SpeechRecognition. Anthony Zhang (2017), https://pypi.org/project/SpeechRecognition/</t>
  </si>
  <si>
    <t>22121447</t>
  </si>
  <si>
    <t>J. Contextual Behav. Sci.</t>
  </si>
  <si>
    <t>2-s2.0-85090750143</t>
  </si>
  <si>
    <t>Inflexitext: a program assessing psychological inflexibility in unstructured verbal data</t>
  </si>
  <si>
    <t>Kim T.W., Maimone F., Pattit K., Sison A.J., Teehankee B.</t>
  </si>
  <si>
    <t>57051679300;55031469900;57211943915;6701597010;56303285200;</t>
  </si>
  <si>
    <t>Master and Slave: the Dialectic of Human-Artificial Intelligence Engagement</t>
  </si>
  <si>
    <t>Humanistic Management Journal</t>
  </si>
  <si>
    <t>371</t>
  </si>
  <si>
    <t>10.1007/s41463-021-00118-w</t>
  </si>
  <si>
    <t>https://www.scopus.com/inward/record.uri?eid=2-s2.0-85133939269&amp;doi=10.1007%2fs41463-021-00118-w&amp;partnerID=40&amp;md5=b8ad7addff2207a9bbdd3dd68b2f2323</t>
  </si>
  <si>
    <t>Tepper School of Business, Carnegie Mellon University, Pittsburgh, PA, United States; Department of Law, Economics, Politics and Modern Languages, LUMSA University, Rome, Italy; Ethics &amp; Business Law Department, University of St. Thomas, St. Paul, MN, United States; Philosophy Department, University of Navarre, Pamplona, Spain; Department of Management and Organization, De La Salle University, Manila, Philippines</t>
  </si>
  <si>
    <t>Kim, T.W., Tepper School of Business, Carnegie Mellon University, Pittsburgh, PA, United States; Maimone, F., Department of Law, Economics, Politics and Modern Languages, LUMSA University, Rome, Italy; Pattit, K., Ethics &amp; Business Law Department, University of St. Thomas, St. Paul, MN, United States; Sison, A.J., Philosophy Department, University of Navarre, Pamplona, Spain; Teehankee, B., Department of Management and Organization, De La Salle University, Manila, Philippines</t>
  </si>
  <si>
    <t>The massive introduction of artificial intelligence (AI) has triggered significant societal concerns, ranging from “technological unemployment” and the dominance of algorithms in the work place and in everyday life, among others. While AI is made by humans and is, therefore, dependent on the latter for its purpose, the increasing capabilities of AI to carry out productive activities for humans can lead the latter to unwitting slavish existence. This has become evident, for example, in the area of social media use, where AI programmers tie psychology and persuasion to the human social need for approval and validation in ways that few users can resist. We argue that AI should serve humans with humans as masters and not the other way around. Moreover, we propose that virtue ethics might play a role to solidify the human as master of AI and guard against the alternative of AI as the master. © 2021, The Author(s), under exclusive licence to Springer Nature Switzerland AG.</t>
  </si>
  <si>
    <t>Human flourishing; Human-artificial intelligence engagement; Virtue ethics</t>
  </si>
  <si>
    <t>Alford, T., Naughton, M., (2001) Managing as if faith mattered, , Notre Dame University Press, Notre Dame; André, Q., Carmon, Z., Wertenbroch, K., Crum, A., Frank, D., Goldstein, W., Yang, H., Consumer choice and autonomy in the age of artificial intelligence and big data (2018) Customer Needs and Solutions, 5, pp. 28-37; Angwin, J., Larson, S., Mattukirchner, L., Machine bias: There’s software used across the country to predict future criminals, and it’s biased against blacks (2016) Propublica, , https://www.propublica.org/article/machine-bias-risk-assessments-in-criminal-sentencing, Retrieved December 3, 2021 at; Appel, H., Gerlach, A., Crusius, J., The interplay between Facebook use, social comparison, envy, and depression (2016) Current Opinion in Psychology, 9, pp. 44-49; Bag, S., Pretorius, J.H.C., Gupta, S., Dwivedi, Y.K., Role of institutional pressures and resources in the adoption of big data analytics powered artificial intelligence, sustainable manufacturing practices and circular economy capabilities (2021) Technological Forecasting and Social Change, 163; Banaji, M.R., Greenwald, A., (2016) Blindspot: Hidden biases of good people, , Bantam, New York; Beran, O., An attitude towards an artificial soul? Responses to the “Nazi Chatbot (2018) Philosophical Investigations, 41, pp. 42-69; Bird, J.J., Ekárt, A., Faria, D.R., (2018) Learning from interaction: An intelligent networked-based human-bot and bot-bot chatbot system. UK workshop on computational intelligence, , Springer, Cham; Bosker, B., The binge breaker (2016) The Atlantic, , https://www.theatlantic.com/magazine/archive/2016/11/the-binge-breaker/501122/; Brendel, A.B., Mirbabaie, M., Lembcke, T.B., Hofeditz, L., Ethical management of artificial intelligence (2021) Sustainability, 13, p. 1974; Bucknergarson, C., Connectionism (2019) The Stanford Encyclopedia of Philosophy, , Zalta, E. N., Fall 2019 edition, Metaphysics Research Lab, Stanford University; Buer, S.-V., Strandhagen, J.O., Chan, F., The link between industry 4.0 and lean manufacturing: Mapping current research and establishing a research agenda (2018) International Journal of Production Research, 56, pp. 2924-2940; Carter, D., How real is the impact of artificial intelligence? The business information survey 2018 (2018) Business Information Review, 35 (3), pp. 99-115; Danaher, J., The threat of algocracy: Reality, resistance and accommodation (2016) Philosophy &amp; Technology, 29, pp. 245-268; Danaher, J., McArthur, N., (2017) Robot sex: Social and ethical implications, , (eds), MIT Press, Cambridge, MA; Douglas, H., (2009) Science, policy, and the value-free ideal, , University of Pittsburgh Press, Pittsburgh, PA; Florentine, S., (2016) How Artificial Intelligence Can Eliminate Bias in Hiring, , https://www.cio.com/article/3152798/artificialintelligence/how-artificial-intelligence-can-eliminate-biasin-hiring.html; Fogg, B.J., (1996) Persuasive technology: Using computers to change what we think and do, , Morgan Kaufmann, San Francisco; Frankish, K., Ramsey, W., (2014) The Cambridge handbook of artificial intelligence, , Cambridge University Press, Cambridge; Grace, K., When will AI exceed human performance? Evidence from AI experts (2018) Journal of Artificial Intelligence Research, 62, pp. 729-754; Grodzinsky, F.S., Why big data needs the virtues (2017) Philosophy and computing essays in epistemology, philosophy of mind, logic, and ethics, pp. 221-234. , Powers TM, (ed), Springer, Berlin; Harris, T., How Technology is Hijacking Your Mind — from a Magician and Google Design Ethicist (2015) Thrive Global, , https://medium.com/thrive-global/how-technology-hijacks-peoples-minds-from-a-magician-and-google-s-design-ethicist-56d62ef5edf3; Harris, T., Our minds have been hijacked by our phones. Tristan Harris wants to rescue them (2017) Wired, , https://www.wired.com/story/our-minds-have-been-hijacked-by-our-phones-tristan-harris-wants-to-rescue-them/; (2019) Ethics guidelines for trustworthy AI, , European Commission, Brussels; Jarrahi, M.H., Artificial intelligence and the future of work: Human-AI symbiosis in organizational decision making (2018) Business Horizons, 61, pp. 577-586; Khakurel, J., Penzenstadler, B., Porras, J., Knutas, A., Zhang, W., The rise of artificial intelligence under the lens of sustainability (2018) Technologies, 6 (4), p. 100; Kim, T.W., Scheller-Wolf, A., Technological unemployment, meaning in life, purpose of business, and the future of stakeholders (2019) Journal of Business Ethics, 160, pp. 319-337; Kleinberg, J., Ludwig, J., Mullainathan, S., Sunstein, C., Discrimination in the age of algorithms (2018) Journal of Legal Analysis, 10, pp. 113-174; Lee, M.K., Algorithmic bosses, robotic colleagues: Toward human-centered algorithmic workplaces. XRDS: Crossroads (2016) The ACM Magazine for Students, 23, pp. 42-47; Liao, Y., Deschamps, F., de Freitas, E., Loures, R., Ramos, F.P., Past, present and future of industry 4.0-a systematic literature review and research agenda proposal (2017) International Journal of Production Research, 55, pp. 3609-3629; Marcus, G., (2018) Deep Learning: A Critical Appraisal, , arXiv preprint; Matt, C., Hess, T., Benlian, A., Digital transformation strategies (2015) Business &amp; Information Systems Engineering, 57, pp. 339-343; (2013) Kenneth, , Big Data, A Revolution That Will Transform How We Live, Work, and Think; McInnis, Brian, Dan Cosley, Chaebong Nam and Gilly Leshed. 2016. Taking a hit: Designing around rejection, mistrust, risk, and workers’ experiences in Amazon mechanical Turk. In Proceedings of the 2016 Conference on Human Factors in Computing Systems (CHI 2016). ACM; McNamee, R., (2019) Zucked: Waking up to the Facebook catastrophe, , Penguin, New York; Morin-Major, J.K., Marin, M.-F., Durand, N., Wan, N., Juster, R.-P., Lupien, S., Facebook behaviors associated with diurnal cortisol in adolescents: Is befriending stressful? (2016) Psychoneuroendocrinology, 63, pp. 238-246; Nishant, R., Kennedy, M., Corbett, J., Artificial intelligence for sustainability: Challenges, opportunities, and a research agenda (2020) International Journal of Information Management, 53, p. 102104; O’Neil, C., (2016) Weapons of math destruction: How big data increases inequality and threatens democracy, , Crown, New York; Olteanu, A., Castillo, C., Diaz, F., Kıcıman, E., Social data: Biases, methodological pitfalls, and ethical boundaries (2019) Frontiers in Big Data, 2, p. 13; Oztemel, E., Gursev, S., Literature review of industry 4.0 and related technologies (2020) Journal of Intelligent Manufacturing, 31, pp. 127-182; Pariser, E., (2012) The filter bubble: How the new personalized web is changing what we read and how we think, , Penguin, New York; Pearl, J., Mackenzie, D., (2018) The book of why: The new science of cause and effect, , Basic Books; Phillips-Wren, G., AI tools in decision making support systems: A review (2012) International Journal on Artificial Intelligence Tools, 21, p. 1240005; Rajibuolamwini, I., Actionable auditing: Investigating the impact of publicly naming biased performance results of commercial AI products (2019) Proceedings of the 2019 Conference on Artificial Intelligence, Ethics, and Society (AIES 2019), , AAAI/ACM; Ryan, T., Chester, A., Reece, J., Xenos, S., The uses and abuses of Facebook: A review of Facebook addiction (2014) Journal of Behavioral Addictions, , https://doi.org/10.1556/JBA.3.2014.016; Sanders, A., Elangeswaran, C., Wulfsberg, J., Industry 4.0 implies lean manufacturing: Research activities in industry 4.0 function as enablers for lean manufacturing (2016) Journal of Industrial Engineering and Management, 9, pp. 811-833; Scheutz, M., Computationalism: The next generation (2002) Computationalism: New Directions, pp. 1-21; Schwab, K., (2016) The Fourth Industrial Revolution, , World Economic Forum, Geneva; Tabaka, M., Here's what's possibly causing your smartphone separation anxiety (2017) Wired, , https://www.inc.com/marla-tabaka/brain-hacking-why-you-have-smartphone-separation-anxiety.html; Vallor, S., (2016) Technology and the virtues: A philosophical guide to a future worth wanting, , Oxford, New York; Vallor, S., Bekey, G.A., Artificial intelligence and the ethics of self-learning robots (2017) Robot ethics 2.0, pp. 338-353. , Lin P, Abney L, Jenkins R, (eds), Oxford University Press, Oxford; Marisa, V., Cardonha, C., Gonçalves, B., Modeling epistemological principles for bias mitigation in AI systems: An illustration in hiring decisions (2018) Proceedings of the 2018 AAAI/ACM Conference on AI, Ethics, and Society, pp. 323-329; Wakefield, J., BBC News (2016) Microsoft Chatbot is Taught to Swear on Twitter, , http://www.bbc.co.uk/news/technology-35890188, Retrieved April 12, 2018, from; Westerman, G., Bonnet, D., McAfee, A., The nine elements of digital transformation (2014) MIT Sloan Management Review, 55, pp. 1-6; Laura, W., Griffiths, M., Internet addiction’: A critical review (2006) International Journal of Mental Health and Addiction, , https://doi.org/10.1007/s11469-006-9009-9</t>
  </si>
  <si>
    <t>Springer International Publishing</t>
  </si>
  <si>
    <t>23666048</t>
  </si>
  <si>
    <t>Humanist Manag J</t>
  </si>
  <si>
    <t>2-s2.0-85133939269</t>
  </si>
  <si>
    <t>Master and slave: the dialectic of human-artificial intelligence engagement</t>
  </si>
  <si>
    <t>Qiu M., Thuraisingham B., Daneshmand M., Ning H., Barnaghi P.</t>
  </si>
  <si>
    <t>57216130886;57217659869;17433919000;57219175113;9337843600;</t>
  </si>
  <si>
    <t>Special Issue on Robustness and Efficiency in the Convergence of Artificial Intelligence and IoT</t>
  </si>
  <si>
    <t>9447309</t>
  </si>
  <si>
    <t>9460</t>
  </si>
  <si>
    <t>9462</t>
  </si>
  <si>
    <t>10.1109/JIOT.2021.3073800</t>
  </si>
  <si>
    <t>https://www.scopus.com/inward/record.uri?eid=2-s2.0-85107477548&amp;doi=10.1109%2fJIOT.2021.3073800&amp;partnerID=40&amp;md5=e5b5a6483c9a82d5ecd16043398154ad</t>
  </si>
  <si>
    <t>Department of Electrical Engineering, Columbia University, New York, NY, United States; Department of Computer Science, University of Texas at Dallas, Richardson, TX, United States; School of Business, Stevens Institute of Technology, Hoboken, NJ, United States; School of Computer and Communication Engineering, University of Science and Technology Beijing, Beijing, China; Academic and Research Departments, University of Surrey, Guildford, United Kingdom</t>
  </si>
  <si>
    <t>Qiu, M., Department of Electrical Engineering, Columbia University, New York, NY, United States; Thuraisingham, B., Department of Computer Science, University of Texas at Dallas, Richardson, TX, United States; Daneshmand, M., School of Business, Stevens Institute of Technology, Hoboken, NJ, United States; Ning, H., School of Computer and Communication Engineering, University of Science and Technology Beijing, Beijing, China; Barnaghi, P., Academic and Research Departments, University of Surrey, Guildford, United Kingdom</t>
  </si>
  <si>
    <t>Today, the Internet of Things (IoT) is increasingly flourishing with establishing ubiquitous connections between smart devices and objects, and by 2020, there will be a total of 30 billion connected things reported by IDC. The unprecedented data explosion provides immense opportunities for valuable information mining. At the same time, it also floods the infrastructure with tremendous values it necessarily handles and proposes high challenges to traditional data storing or processing techniques. On the other hand, artificial intelligence (AI) has become a key component for many applications that profoundly change our lives. Machine learning, especially deep learning (DL) technologies, vastly improves traditional computer science and networking technologies. The convergence of AI and IoT enables data to be quickly explored and turned into significant decisions. For companies and enterprises, AI enhances the speed and accuracy of data processing for instant market strategies. © 2014 IEEE.</t>
  </si>
  <si>
    <t>2-s2.0-85107477548</t>
  </si>
  <si>
    <t>Special issue on robustness and efficiency in the convergence of artificial intelligence and iot</t>
  </si>
  <si>
    <t>Gao Y., Edelman S.</t>
  </si>
  <si>
    <t>55731395400;7101628395;</t>
  </si>
  <si>
    <t>Happiness as an intrinsic motivator in reinforcement learning</t>
  </si>
  <si>
    <t>Adaptive Behavior</t>
  </si>
  <si>
    <t>292</t>
  </si>
  <si>
    <t>305</t>
  </si>
  <si>
    <t>10.1177/1059712316667202</t>
  </si>
  <si>
    <t>https://www.scopus.com/inward/record.uri?eid=2-s2.0-84994165163&amp;doi=10.1177%2f1059712316667202&amp;partnerID=40&amp;md5=8e553257b26ce951bf8ccc28bbd87729</t>
  </si>
  <si>
    <t>Department of Computer Science, Cornell University, United States; Department of Psychology, Cornell University, United States</t>
  </si>
  <si>
    <t>Gao, Y., Department of Computer Science, Cornell University, United States; Edelman, S., Department of Psychology, Cornell University, United States</t>
  </si>
  <si>
    <t>Reinforcement learning, a general and universally useful framework for learning from experience, has been broadly recognized as a critically important concept for understanding and shaping adaptive behavior, both in ethology and in artificial intelligence. A key component in reinforcement learning is the reward function, which, according to an emerging consensus, should be intrinsic to the learning agent and a matter of appraisal rather than a simple reflection of external outcomes. We describe an approach to intrinsically motivated reinforcement learning that involves various aspects of happiness, operationalized as dynamic estimates of well-being. In four experiments, in which simulated agents learned to explore and forage in simulated environments, we show that agents whose reward function properly balances momentary (hedonic) and longer-term (eudaimonic) well-being outperform agents equipped with standard fitness-oriented reward functions. Our findings suggest that happiness-based features can be useful in developing robust, general-purpose reward mechanisms for intrinsically motivated autonomous agents. © 2016, © The Author(s) 2016.</t>
  </si>
  <si>
    <t>eudaimonic; Happiness; hedonic; intrinsic motivation; reinforcement learning; reward design; well-being</t>
  </si>
  <si>
    <t>Ahn, H., Picard, R., (2006) Affective cognitive learning and decision making: The role of emotions, , Proceedings of the 18th European meeting on cybernetics and systems research, Vienna, Austria, Austrian Society for Cybernetic Studies,. In; Akaishi, R., Kolling, N., Brown, J., Rushworth, M., Neural mechanisms of credit assignment in a multicue environment (2016) The Journal of Neuroscience, 36 (4), pp. 1096-1112; Baldassarre, G., Mirolli, M., (2013) Intrinsically motivated learning in natural and artificial systems, , Berlin, Springer; Barto, A., Adaptive critics and the basal ganglia (1995) Models of information processing in the basal ganglia, pp. 215-232. , Houk, Davis, Beiser, (eds), Cambridge, MA, MIT Press,. In, (Eds.), (; Barto, A., Intrinsic motivation and reinforcement learning (2013) Intrinsically motivated learning in natural and artificial systems, pp. 16-47. , Baldassarre, Mirolli, (eds), Berlin, Springer,. In, (Eds.), (; Barto, A., Simsek, O., (2005) Intrinsic motivation for reinforcement learning systems, pp. 113-118. , Proceedings of the thirteenth yale workshop on adaptive and learning systems, New Haven, CT, Yale University,. In, (; Bayer, H., Glimcher, P., Midbrain dopamine neurons encode a quantitative reward prediction error signal (2005) Neuron, 47, pp. 129-141; Berridge, K., Pleasures of the brain (2003) Brain and Cognition, 52, pp. 106-128; Bratman, J., Singh, S., Sorg, J., Lewis, R., (2012) Strong mitigation: Nesting search for good policies within search for good reward, pp. 407-414. , Proceedings of the 11th international conference on autonomous agents and multiagent systems-ume 1, Valencia, Spain, International Foundation for Autonomous Agents and Multiagent Systems,. In, (; Broekens, D., (2007) Affect and learning: A computational analysis, , Leiden, Faculty of Science, LIACS, Leiden University; Cohen, J., Blum, K., Reward and decision (2002) Neuron, 36, pp. 193-198; Colombo, M., Deep and beautiful. The reward prediction error hypothesis of dopamine (2014) Studies in History and Philosophy of Science Part C: Studies in History and Philosophy of Biological and Biomedical Sciences, 45, pp. 57-67; Daswani, M., Leike, J., A definition of happiness for reinforcement learning agents (2015) Artificial general intelligence, pp. 231-240. , Berlin, Germany, Springer,. In, (; Doll, B.B., Simon, D.A., Daw, N.D., The ubiquity of model-based reinforcement learning (2012) Current Opinion in Neurobiology, 22, pp. 1075-1081; Edelman, S., (2012) The happiness of pursuit, , New York, NY, Basic Books; Eiser, J., Fazio, R., Stafford, T., Prescott, T., Connectionist simulation of attitude learning: Asymmetries in the acquisition of positive and negative evaluations (2003) Personality and Social Psychology Bulletin, 29, pp. 1221-1235; Feijo, R., Cornell, J., Garzn, M., Grasp quality measures (2006) Recercat Home, 38, pp. 65-88; Gao, Y., Edelman, S., Between pleasure and contentment: Evolutionary dynamics of some possible parameters of happiness (2016) PLoS One, 11 (5); Glimcher, P., Understanding dopamine and reinforcement learning: The dopamine reward prediction error hypothesis (2011) Proceedings of the National Academy of Sciences, 108, pp. 15647-15654; Gottlieb, J., Oudeyer, P.-Y., Lopes, M., Baranes, A., Information-seeking, curiosity, and attention: Computational and neural mechanisms (2013) Trends in Cognitive Sciences, 17, pp. 585-593; Henderson, L., Knight, T., Integrating the hedonic and eudaimonic perspectives to more comprehensively understand wellbeing and pathways to wellbeing (2012) International Journal of Wellbeing, 2, pp. 196-221; Kakade, S., Dayan, P., Dopamine: Generalization and bonuses (2002) Neural Networks the Official Journal of the International Neural Network Society, 15 (4-6), pp. 549-559; Kamil, A.C., Sargent, T.D., (1981) Foraging behavior: Ecological, ethological, and psychological approaches, , New York, Garland; Kaplan, F., Oudeyer, P., Maximizing learning progress: An internal reward system for development (2004) Embodied artificial intelligence, pp. 259-270. , Iida, Pfeifer, Steels, Kuniyoshi, (eds), Berlin, Springer,. In, (Eds.), (; Knutson, B., Gibbs, S., Linking nucleus accumbens dopamine and blood oxygenation (2007) Psychopharmacology, 191, pp. 813-822; Lee, D., Seo, H., Jung, M.W., Neural basis of reinforcement learning and decision making (2012) Annual Review of Neuroscience, 35, pp. 287-308; Lindquist, K., Wager, T., Kober, H., Bliss-Moreau, E., Barrett, L., The brain basis of emotion: A meta-analytic review (2012) Behavioral and Brain Sciences, 35, pp. 121-143; Marsella, S., Gratch, J., Petta, P., Computational models of emotion (2010) A Blueprint for Affective Computing-A sourcebook and manual, pp. 21-46. , New York, NY, Oxford University Press, (; Mery, F., Natural variation in learning and memory (2013) Current Opinion in Neurobiology, 23, pp. 52-56; Minsky, M., (2006) The emotion machine: Commonsense thinking, artificial intelligence, and the future of the human mind, , New York, Simon &amp; Schuster; Mirolli, M., Santucci, V., Baldassarre, G., Phasic dopamine as a prediction error of intrinsic and extrinsic reinforcements driving both action acquisition and reward maximization: A simulated robotic study (2013) Neural Networks the Official Journal of the International Neural Network Society, 39C, pp. 40-51; Mnih, V., Kavukcuoglu, K., Silver, D., Rusu, A.A., Veness, J., Bellemare, M.G., Hassabis, D., Human-level control through deep reinforcement learning (2015) Nature, 518, pp. 529-533; Nelson, K., A bio-social-cultural approach to early cognitive development: entering the community of minds (2015) Emerging trends in the social and behavioral sciences, , Scott, Kosslyn, (eds), New York, John Wiley &amp; Sons,. In, (Eds.); Niv, Y., Reinforcement learning in the brain (2009) Journal of Mathematical Psychology, 53, pp. 139-154; Oudeyer, P., Kaplan, F., What is intrinsic motivation? A typology of computational approaches (2007) Frontiers in Neurorobotics, 1, p. 6; Oudeyer, P., Kaplan, F., Hafner, V., Intrinsic motivation systems for autonomous mental development (2007) IEEE Transactions on Evolutionary Computation, 11, pp. 265-286; Pessiglione, M., Seymour, B., Flandin, G., Dolan, R., Frith, C., Dopaminedependent prediction errors underpin reward-seeking behaviour in humans (2006) Nature, 442, pp. 1042-1045; Redgrave, P., Vautrelle, N., Reynolds, J.N.J., Functional properties of the basal ganglia’s re-entrant loop architecture: Selection and reinforcement (2011) Neuroscience, 198, pp. 138-151; Rogers, C.R., Actualizing tendency in relation to m̈otivesänd to consciousness (1963) Nebraska symposium on motivation, pp. 1-24. , Jones, (ed), Oxford, University of Nebraska Press,. In, (Ed.), (; Rumbell, T., Barnden, J., Denham, S., Wennekers, T., Emotions in autonomous agents: Comparative analysis of mechanisms and functions (2012) Autonomous Agents and Multi-Agent Systems, 25, pp. 1-45; Rutledge, R., Skandali, N., Dayan, R., Dolan, R., A computational and neural model of momentary subjective well-being (2014) Proceedings of the National Academy of Sciences, 111, pp. 12252-12257; Salichs, M.A., Malfaz, M., Using emotions on autonomous agents. The role of happiness, sadness and fear (2006) Integrative Approaches to Machine Consciousness, Part of AISB, 6, pp. 157-164; Salichs, M.A., Malfaz, M., A new approach to modeling emotions and their use on a decision-making system for artificial agents (2012) IEEE Transactions on Affective Computing, 3, pp. 56-68; Schembri, M., Mirolli, M., Baldassarre, G., (2007) Evolving internal reinforcers for an intrinsically motivated reinforcement-learning robot, pp. 282-287. , IEEE international conference oevelopment and learning, Imperial College, London, IEEE,. In, (; Scherer, K.R., Schorr, A., Johnstone, T., (2001) Appraisal processes in emotion, , New York, Oxford University Press; Schmidhuber, J., Deep learning in neural networks: An overview (2015) Neural Networks, 61, pp. 85-117; Sequeira, P., Melo, F., Paiva, A., Emotion-based intrinsic motivation for reinforcement learning agents (2011) Affective computing and intelligent interaction, pp. 326-336. , Berlin, Springer,. In, (; Sequeira, P., Pedro, M., Francisco, S., Paiva, A., Learning by appraising: An emotion-based approach to intrinsic reward design (2014) Adaptive Behavior, 22, pp. 330-349; Silver, D., Huang, A., Maddison, C.J., Guez, A., Sifre, L., van den Driessche, G., Hassabis, D., Mastering the game of Go with deep neural networks and tree search (2016) Nature, 529, pp. 484-503; Singh, S., Lewis, R., Barto, A., (2009) Where do rewards come from, pp. 2601-2606. , Proceedings of the annual conference of the cognitive science society, Amsterdam, NL, Cognitive Science Society,. In, (; Singh, S., Lewis, R., Barto, A., Sorg, J., Intrinsically motivated reinforcement learning: An evolutionary perspective (2010) IEEE Transactions on Autonomous Mental Development, 2, pp. 70-82; Singh, S., Lewis, R.L., Barto, A.G., Sorg, J., Intrinsically motivated reinforcement learning: An evolutionary perspective (2010) IEEE Transactions on Autonomous Mental Development, 2, pp. 70-82; Sorg, J., Singh, S., Lewis, R., (2010) Internal rewards mitigate agent boundedness, pp. 1007-1014. , Proceedings of the 27th international conference on machine learning, Haifa, Israel, Omnipress,. In, (; Sutton, R., Barto, A., (1998) Reinforcement learning: An introduction, , Cambridge, MA, MIT press; Tapia, D.H., Silva, A.X., Ballesteros, G.I., Figueroa, C.C., Niemeyer, H.M., Ramírez, C.C., Differences in learning and memory of host plant features between specialist and generalist phytophagous insects (2015) Animal Behaviour, 106, pp. 1-10</t>
  </si>
  <si>
    <t>10597123</t>
  </si>
  <si>
    <t>Adapt. Behav.</t>
  </si>
  <si>
    <t>2-s2.0-84994165163</t>
  </si>
  <si>
    <t>Holzinger A., Keiblinger K., Holub P., Zatloukal K., Müller H.</t>
  </si>
  <si>
    <t>57210277270;14626182000;8935314200;23989863900;7404944998;</t>
  </si>
  <si>
    <t>AI for life: Trends in artificial intelligence for biotechnology</t>
  </si>
  <si>
    <t>New Biotechnology</t>
  </si>
  <si>
    <t>10.1016/j.nbt.2023.02.001</t>
  </si>
  <si>
    <t>https://www.scopus.com/inward/record.uri?eid=2-s2.0-85147548778&amp;doi=10.1016%2fj.nbt.2023.02.001&amp;partnerID=40&amp;md5=e92588cefa544399b512279720b0cc26</t>
  </si>
  <si>
    <t>University of Natural Resources and Life Sciences Vienna, Austria; Medical University Graz, Austria; Masaryk University Brno, Czech Republic; Alberta Machine Intelligence Institute Edmonton, Canada</t>
  </si>
  <si>
    <t>Holzinger, A., University of Natural Resources and Life Sciences Vienna, Austria, Medical University Graz, Austria, Alberta Machine Intelligence Institute Edmonton, Canada; Keiblinger, K., University of Natural Resources and Life Sciences Vienna, Austria; Holub, P., Masaryk University Brno, Czech Republic; Zatloukal, K., Medical University Graz, Austria; Müller, H., Medical University Graz, Austria</t>
  </si>
  <si>
    <t>Due to popular successes (e.g., ChatGPT) Artificial Intelligence (AI) is on everyone's lips today. When advances in biotechnology are combined with advances in AI unprecedented new potential solutions become available. This can help with many global problems and contribute to important Sustainability Development Goals. Current examples include Food Security, Health and Well-being, Clean Water, Clean Energy, Responsible Consumption and Production, Climate Action, Life below Water, or protect, restore and promote sustainable use of terrestrial ecosystems, sustainably manage forests, combat desertification, and halt and reverse land degradation and halt biodiversity loss. AI is ubiquitous in the life sciences today. Topics include a wide range from machine learning and Big Data analytics, knowledge discovery and data mining, biomedical ontologies, knowledge-based reasoning, natural language processing, decision support and reasoning under uncertainty, temporal and spatial representation and inference, and methodological aspects of explainable AI (XAI) with applications of biotechnology. In this pre-Editorial paper, we provide an overview of open research issues and challenges for each of the topics addressed in this special issue. Potential authors can directly use this as a guideline for developing their paper. © 2023 The Authors</t>
  </si>
  <si>
    <t>Artificial Intelligence; Biotechnology; Deep Learning; Digital Transformation; Machine Learning</t>
  </si>
  <si>
    <t>Biotechnology; Data Analytics; Data mining; Decision support systems; Deep learning; E-learning; Food supply; Knowledge based systems; Learning algorithms; Learning systems; Natural language processing systems; 'current; Clean energy; Clean waters; Deep learning; Digital transformation; Food security; Global problems; Machine-learning; Sustainable use; Well being; Biodiversity; Article; artificial intelligence; big data; bioinformatics; biotechnology; data mining; decision support system; human; knowledge discovery; machine learning; medical ontology; natural language processing; trust; biotechnology; ecosystem; knowledge base; Artificial Intelligence; Biotechnology; Data Mining; Ecosystem; Knowledge Bases</t>
  </si>
  <si>
    <t>David, L., Thakkar, A., Mercado, R., Engkvist, O., Molecular representations in AI-driven drug discovery: a review and practical guide (2020) J Chemin-, 12 (1), pp. 1-22; Diaw, M.D., Papelier, S., Durand-Salmon, A., Felblinger, J., Oster, J., AI-assisted QT measurements for highly automated drug safety studies (2022) IEEE Trans Biomed Eng; Caudai, C., Galizia, A., Geraci, F., AI applications in functional genomics (2021) Comput Struct Biotechnol J, 19, pp. 5762-5790; Lin, J., Ngiam, K.Y., How data science and AI-based technologies impact genomics (2023) Singap Med J, 64 (1), pp. 59-66; Xiao, Q., Zhang, F., Xu, L., High-throughput proteomics and AI for cancer biomarker discovery (2021) Adv Drug Deliv Rev, 176; Mund, A., Coscia, F., Hollandi, R., AI-driven Deep Visual Proteomics defines cell identity and heterogeneity (2021) BioRxiv; Petrick, L.M., Shomron, N., AI/ML-driven advances in untargeted metabolomics and exposomics for biomedical applications (2022) Cell Rep Phys Sci, 3, p. 7; van der Lee, M., Swen, J.J., Artificial intelligence in pharmacology research and practice (2023) Clin Transl Sci, 16 (1), pp. 31-36; Roche-Lima, A., Roman-Santiago, A., Feliu-Maldonado, R., Machine learning algorithm for predicting warfarin dose in caribbean hispanics using pharmacogenetic data (2020) Front Pharmacol, 10, p. 1550; Lin, E., Lin, C.-H., Lane, H.-Y., Precision psychiatry applications with pharmacogenomics: artificial intelligence and machine learning approaches (2020) Int J Mol Sci, 21 (3), p. 969; Oliveira, A.L., Biotechnology, big data and artificial intelligence (2019) Biotechnol J, 14 (8); Goh, W.W.B., Sze, C.C., AI paradigms for teaching biotechnology (2019) Trends Biotechnol, 37 (1), pp. 1-5; Kim, H., AI, big data, and robots for the evolution of biotechnology (2019) Genom Inform, 17 (4); Turing, A.M., Computing machinery and intelligence (1950) Mind, 59 (236), pp. 433-460; Holzinger, A., Kickmeier-Rust, M., Müller, H., Kandinsky patterns as IQ-test for machine learning (2019) Lecture Notes in Computer Science LNCS 11713, pp. 1-14. , Springer/Nature Cham; McCarthy, J., Minsky, M.L., Rochester, N., Shannon, C.E., A proposal for the dartmouth summer research project on artificial intelligence, August 31, 1955 (2006) AI Mag, 27 (4), pp. 12-14; Bratko, I., Muggleton, S., Applications of inductive logic programming (1995) Commun ACM, 38 (11), pp. 65-70; Muggleton, S.H., Schmid, U., Zeller, C., Tamaddoni-Nezhad, A., Besold, T., Ultra-strong machine learning: comprehensibility of programs learned with ILP (2018) Mach Learn, 107, pp. 1119-1140; Russell, S.J., Norvig, P., (2020), Artificial intelligence: a modern approach (4th edition). Upper Saddle River: Prentice Hall;; Hendler, J., Avoiding another AI winter (2008) IEEE Intell Syst, 23 (2), pp. 2-4; King, M.R., The future of AI in medicine: a perspective from a chatbot (2022) Ann Biomed Eng, pp. 1-5; Shahriari, B., Swersky, K., Wang, Z., Adams, R.P., de Freitas, N., Taking the human out of the loop: a review of bayesian optimization (2016) Proc IEEE, 104 (1), pp. 148-175; Bengio, Y., Courville, A., Vincent, P., Representation learning: a review and new perspectives (2013) IEEE Trans Pattern Anal Mach Intell, 35 (8), pp. 1798-1828; Holzinger, A., Introduction to machine learning and knowledge extraction (MAKE) (2019) Mach Learn Knowl Extr, 1 (1), pp. 1-20; Girshick, R., Donahue, J., Darrell, T., Malik, J., (2014), Rich feature hierarchies for accurate object detection and semantic segmentation. Proceedings of the IEEE conference on computer vision and pattern recognition (CVPR) Columbus (OH). 10.1109/CVPR.2014.81; Müller, H., Holzinger, A., Plass, M., Brcic, L., Stumptner, C., Zatloukal, K., Explainability and causability for artificial intelligence-supported medical image analysis in the context of the european in vitro diagnostic regulation (2022) N Biotechnol, 70, pp. 67-72; Holzinger, A., Saranti, A., Angerschmid, A., Digital transformation in smart farm and forest operations needs human-centered ai: challenges and future directions (2022) Sensors, 22 (8), p. 3043; Kalmar, R., Rauch, B., Dörr, J., Liggesmeyer, P., Agricultural data space (2022) Designing Data Spaces: The Ecosystem Approach to Competitive Advantage, , B. Otto Mt Hompel S. Wrobel Springer/Nature Cham; Naqvi, R.Z., Siddiqui, H.A., Mahmood, M.A., Smart breeding approaches in post-genomics era for developing climate-resilient food crops (2022) Front Plant Sci, p. 13; Barnabás, B., Jäger, K., Fehér, A., The effect of drought and heat stress on reproductive processes in cereals (2008) Plant, Cell Environ, 31 (1), pp. 11-38; Barnes, M.L., Breshears, D.D., Law, D.J., Beyond greenness: detecting temporal changes in photosynthetic capacity with hyperspectral reflectance data (2017) PLoS One, 12 (12); Holzinger, A., Weippl, E., Tjoa, A.M., Kieseberg, P., Digital transformation for sustainable development goals (SDGs) - a security, safety and privacy perspective on AI (2021) Springer Lecture Notes in Computer Science, LNCS 12844, , Springer Cham; Fiorani, F., Schurr, U., Future scenarios for plant phenotyping (2013) Annu Rev Plant Biol, 64, pp. 267-291; Tester, M., Langridge, P., Breeding technologies to increase crop production in a changing world (2010) Science, 327 (5967), pp. 818-822; Jalal, A., de Oliveira Junior, J.C., Ribeiro, J.S., Hormesis in plants: physiological and biochemical responses (2021) Ecotoxicol Environ Saf, 207; Holzinger, A., Haibe-Kains, B., Jurisica, I., Why imaging data alone is not enough: AI-based integration of imaging, omics, and clinical data (2019) Eur J Nucl Med Mol Imaging, 46 (13), pp. 2722-2730; Rouphael, Y., Spíchal, L., Panzarová, K., Casa, R., Colla, G., High-throughput plant phenotyping for developing novel biostimulants: from lab to field or from field to lab (2018) Front Plant Sci, 9, p. 1197; Rico-Chávez, A.K., Franco, J.A., Fernandez-Jaramillo, A.A., Contreras-Medina, L.M., Guevara-González, R.G., Hernandez-Escobedo, Q., Machine learning for plant stress modeling: a perspective towards hormesis management (2022) Plants, 11 (7), p. 970; Jung, J., Maeda, M., Chang, A., Bhandari, M., Ashapure, A., Landivar-Bowles, J., The potential of remote sensing and artificial intelligence as tools to improve the resilience of agriculture production systems (2021) Curr Opin Biotechnol, 70, pp. 15-22; Ribaut, J., De Vicente, M., Delannay, X., Molecular breeding in developing countries: challenges and perspectives (2010) Curr Opin Plant Biol, 13 (2), pp. 213-218; Hesami, M., Jones, A.M.P., Application of artificial intelligence models and optimization algorithms in plant cell and tissue culture (2020) Appl Microbiol Biotechnol, 104, pp. 9449-9485; Zhu, Y., Cao, Z., Lu, H., Li, Y., Xiao, Y., In-field automatic observation of wheat heading stage using computer vision (2016) Biosyst Eng, 143, pp. 28-41; Deng, L., Du, H., Han, Z., A carrot sorting system using machine vision technique (2017) Appl Eng Agric, 33 (2), pp. 149-156; Iraji, M.S., Comparison between soft computing methods for tomato quality grading using machine vision (2019) J Food Meas Charact, 13 (1), pp. 1-15; Lal, R., Soil carbon sequestration to mitigate climate change (2004) Geoderma, 123 (1-2), pp. 1-22; Wilhelm, R.C., van Es, H.M., Buckley, D.H., Predicting measures of soil health using the microbiome and supervised machine learning (2022) Soil Biol Biochem, 164; de Andrade, V.H.G.Z., Redmile-Gordon, M., Barbosa, B.H.G., Andreote, F.D., Roesch, L.F.W., Pylro, V.S., Artificially intelligent soil quality and health indices for ‘next generation'food production systems (2021) Trends Food Sci Technol, 107, pp. 195-200; Marselle, M.R., Hartig, T., Cox, D.T., Pathways linking biodiversity to human health: a conceptual framework (2021) Environ Int, 150; Blum, W.E., Zechmeister-Boltenstern, S., Keiblinger, K.M., Does soil contribute to the human gut microbiome? (2019) Microorganisms, 7 (9), p. 287; Fenning, T.M., Gershenzon, J., Where will the wood come from? Plantation forests and the role of biotechnology (2002) TRENDS Biotechnol, 20 (7), pp. 291-296; Nothdurft, A., Gollob, C., Kraßnitzer, R., Estimating timber volume loss due to storm damage in Carinthia, Austria, using ALS/TLS and spatial regression models (2021) Ecol Manag, 502; Holzinger, A., Stampfer, K., Nothdurft, A., Gollob, C., Kieseberg, P., Challenges in artificial intelligence for smart forestry (2022) Eur Res Consort Inform Math (ERCIM) N, 130 (July), pp. 40-41. , 〈https://ercim-news.ercim.eu/en130/r-i/challenges-in-artificial-intelligence-for-smart-forestry〉; Janisch, M., Adelsmayr, G., Müller, H., Non-contrast-enhanced CT texture analysis of primary and metastatic pancreatic ductal adenocarcinomas: value in assessment of histopathological grade and differences between primary and metastatic lesions (2022) Abdom Radiol, pp. 1-9; Thornton, P.K., Livestock production: recent trends, future prospects (2010) Philos Trans R Soc B: Biol Sci, 365 (1554), pp. 2853-2867; Scholten, M.T., De Boer, I., Gremmen, B., Lokhorst, C., Livestock farming with care: towards sustainable production of animal-source food (2013) NJAS: Wagening J Life Sci, 66 (1), pp. 3-5; D'Agaro, E., Rosa, F., Akentieva, N.P., New technology tools and life cycle analysis (LCA) applied to a sustainable livestock production (2021) Eur J, 5 (3), pp. 130-141; De Vries, M., de Boer, I.J., Comparing environmental impacts for livestock products: a review of life cycle assessments (2010) Livest Sci, 128 (1-3), pp. 1-11; Cooper, J., Noon, M., Jones, C., Kahn, E., Arbuckle, P., Big data in life cycle assessment (2013) J Ind Ecol, 17 (6), pp. 796-799; Doelman, J.C., Stehfest, E., van Vuuren, D.P., Afforestation for climate change mitigation: potentials, risks and trade‐offs (2020) Glob Change Biol, 26 (3), pp. 1576-1591; Reel, P.S., Reel, S., Pearson, E., Trucco, E., Jefferson, E., Using machine learning approaches for multi-omics data analysis: a review (2021) Biotechnol Adv, 49; Pérez-Jaramillo, J.E., Carrión, V.J., de Hollander, M., Raaijmakers, J.M., The wild side of plant microbiomes (2018) Microbiome, 6, pp. 1-6; Trivedi, P., Leach, J.E., Tringe, S.G., Sa, T., Singh, B.K., Plant–microbiome interactions: from community assembly to plant health (2020) Nat Rev Microbiol, 18 (11), pp. 607-621; Keiblinger, K.M., Fuchs, S., Zechmeister-Boltenstern, S., Riedel, K., Soil and leaf litter metaproteomics—a brief guideline from sampling to understanding (2016) FEMS Microbiol Ecol, 92, p. 11; Schneider, M., Keiblinger, K.M., Paumann, M., Fungicide application increased copper-bioavailability and impaired nitrogen fixation through reduced root nodule formation on alfalfa (2019) Ecotoxicology, 28, pp. 599-611; Begley, C.G., Ioannidis, J.P., Reproducibility in science: improving the standard for basic and preclinical research (2015) Circ Res, 116 (1), pp. 116-126; Servick, K., Enserink, M., The pandemic's first major research scandal erupts (2020) Science, 368 (6495), pp. 1041-1042; Lagoze, C., Big Data, data integrity, and the fracturing of the control zone (2014) Big Data Soc, 1 (2), pp. 1-11; Mobley, A., Linder, S.K., Braeuer, R., Ellis, L.M., Zwelling, L., A survey on data reproducibility in cancer research provides insights into our limited ability to translate findings from the laboratory to the clinic (2013) PLoS One, 8 (5); Morrison, S.J., Time to do something about reproducibility (2014) eLife, 3; Byrne, J.A., Grima, N., Capes-Davis, A., Labbé, C., The possibility of systematic research fraud targeting under-studied human genes: causes, consequences, and potential solutions (2019) Biomark Insights, 14. , 1177271919829162; Prinz, F., Schlange, T., Asadullah, K., Believe it or not: how much can we rely on published data on potential drug targets? (2011) Nat Rev Drug Discov, 10 (9). , 712-712; Freedman, L.P., Inglese, J., The increasing urgency for standards in basic biologic research (2014) Cancer Res, 74 (15), pp. 4024-4029; Gundersen, O.E., Kjensmo, S., State of the art: Reproducibility in artificial intelligence. Paper presented at: Proceedings of the AAAI Conference on Artificial Intelligence2018. 10.1609/aaai.v32i1.11503; Ioannidis, J.P., Greenland, S., Hlatky, M.A., Increasing value and reducing waste in research design, conduct, and analysis (2014) Lancet, 383 (9912), pp. 166-175; Begley, C.G., Ellis, L.M., Drug development: Raise standards for preclinical cancer research (2012) Nature, 483 (7391), pp. 531-533; Landis, S.C., Amara, S.G., Asadullah, K., A call for transparent reporting to optimize the predictive value of preclinical research (2012) Nature, 490 (7419), pp. 187-191; Moreau, L., Freire, J., Futrelle, J., McGrath, R.E., Myers, J., Paulson, P., (2008), The open provenance model: An overview. Provenance and Annotation of Data and Processes: Second International Provenance and Annotation Workshop, IPAW 2008,; 2008; Salt Lake City, UT, USA, June 17–18 Revised Selected Papers 2. 10.1007/978–3-540–89965-5_31; Wittner, R., Mascia, C., Gallo, M., Lightweight distributed provenance model for complex real–world environments (2022) Sci Data, 9 (1), p. 503; Martins, J., Cruz, D., Vasconcelos, V., The Nagoya Protocol and its implications on the EU Atlantic Area countries (2020) J Mar Sci Eng, 8 (2), p. 92; Nijar, G.S., Louafi, S., Welch, E.W., The implementation of the Nagoya ABS Protocol for the research sector: experience and challenges (2017) Int Environ Agreem: Polit, Law Econ, 17 (5), pp. 607-621; Spitzenberger, F., Patel, J., Gebuhr, I., Kruttwig, K., Safi, A., Meisel, C., Laboratory-developed tests: design of a regulatory strategy in compliance with the international state-of-the-art and the regulation (EU) 2017/746 (EU IVDR [in vitro diagnostic medical device regulation]) (2022) Ther Innov Regul Sci, 56, pp. 47-64; Wilkinson, M.D., Dumontier, M., Aalbersberg, I.J., The FAIR guiding principles for scientific data management and stewardship (2016) Sci Data, 3; Holub, P., Kohlmayer, F., Prasser, F., Enhancing reuse of data and biological material in medical research: from FAIR to FAIR-health (2018) Biopreservation Biobanking, 16 (2), pp. 97-105; Hong, N.P.C., Katz, D.S., Barker, M., FAIR principles for research software (FAIR4RS principles) (2022) Res Data Alliance; Holzinger, A., The next frontier: AI we can really trust (2021) Proceedings of the ECML PKDD 2021, CCIS 1524, , M. Kamp Springer Nature Cham; Holzinger, A., Dehmer, M., Emmert-Streib, F., Information fusion as an integrative cross-cutting enabler to achieve robust, explainable, and trustworthy medical artificial intelligence (2022) Inf Fusion, 79 (3), pp. 263-278; Rudin, C., Stop explaining black box machine learning models for high stakes decisions and use interpretable models instead (2019) Nat Mach Intell, 1 (5), pp. 206-215; Holzinger, A., Saranti, A., Molnar, C., Biececk, P., Samek, W., Explainable AI methods - a brief overview (2022) XXAI - Lecture Notes in Artificial Intelligence LNAI 13200, , Springer Cham; Müller, H., Reihs, R., Zatloukal, K., Holzinger, A., Analysis of biomedical data with multilevel glyphs (2014) BMC Bioinforma, 15; Hund, M., Boehm, D., Sturm, W., Visual analytics for concept exploration in subspaces of patient groups: making sense of complex datasets with the doctor-in-the-loop (2016) Brain Inform, 3 (4), pp. 233-247; Carrington, A.M., Manuel, D.G., Fieguth, P.W., Deep ROC analysis and AUC as balanced average accuracy, for improved classifier selection, audit and explanation (2023) IEEE Trans Pattern Anal Mach Intell, 45 (1), pp. 329-341; Holzinger, A., Mueller, H., Toward human-AI interfaces to support explainability and causability in medical AI (2021) IEEE COMPUTER, 54 (10), pp. 78-86; Holzinger, A., Rapid prototyping for a virtual medical campus interface (2004) IEEE Softw, 21 (1), pp. 92-99; Holzinger, A., Kargl, M., Kipperer, B., Regitnig, P., Plass, M., Müller, H., Personas for artificial intelligence (AI) an open source toolbox (2022) IEEE Access, 10 (23732), p. 23747; Hussain, Z., Slany, W., Holzinger, A., Current state of agile user-centered design: a survey (2009) HCI and Usability for e-Inclusion, USAB 2009, Lecture Notes in Computer Science, LNCS 5889, , Springer Berlin, Heidelberg; Holzinger, A., Interactive machine learning for health informatics: when do we need the human-in-the-loop? (2016) Brain Inform, 3 (2), pp. 119-131; Mueller, H., Mayrhofer, M.T., Veen, E.-B.V., Holzinger, A., The ten commandments of ethical medical AI (2021) IEEE COMPUTER, 54 (7), pp. 119-123; Angerschmid, A., Zhou, J., Theuermann, K., Chen, F., Holzinger, A., Fairness and explanation in AI-informed decision making (2022) Mach Learn Knowl Extr, 4 (2), pp. 556-579; Holzinger, K., Mak, K., Kieseberg, P., Holzinger, A., Can we trust machine learning results? Artificial intelligence in safety-critical decision support (2018) ERCIM N, 112 (1), pp. 42-43</t>
  </si>
  <si>
    <t>18716784</t>
  </si>
  <si>
    <t>New Biotechnol.</t>
  </si>
  <si>
    <t>2-s2.0-85147548778</t>
  </si>
  <si>
    <t>Ai for life: trends in artificial intelligence for biotechnology</t>
  </si>
  <si>
    <t>Klishkovskaia T., Aksenov A., Sinitca A., Zamansky A., Markelov O.A., Kaplun D.</t>
  </si>
  <si>
    <t>57217248887;55267045500;57200258246;8731254400;56512189700;57205093075;</t>
  </si>
  <si>
    <t>Development of classification algorithms for the detection of postures using non-marker-based motion capture systems</t>
  </si>
  <si>
    <t>4028</t>
  </si>
  <si>
    <t>10.3390/app10114028</t>
  </si>
  <si>
    <t>https://www.scopus.com/inward/record.uri?eid=2-s2.0-85086937641&amp;doi=10.3390%2fapp10114028&amp;partnerID=40&amp;md5=b9815167d506f0184075030696011766</t>
  </si>
  <si>
    <t>Department of Bioengineering Systems, Saint Petersburg Electrotechnical University LETI, Saint Petersburg, 197376, Russian Federation; Russian Ilizarov Scientific Center for Restorative Traumatology and Orthopaedics, Kurgan, 640014, Russian Federation; Department of Automation and Control Processes, Saint Petersburg Electrotechnical University LETI, Saint Petersburg, 197376, Russian Federation; Information Systems Department, University of Haifa, Haifa, 3498838, Israel; Centre for Digital Telecommunication Technologies, Saint Petersburg Electrotechnical University LETI, 5 Professor Popov Street, Saint Petersburg, 197376, Russian Federation</t>
  </si>
  <si>
    <t>Klishkovskaia, T., Department of Bioengineering Systems, Saint Petersburg Electrotechnical University LETI, Saint Petersburg, 197376, Russian Federation; Aksenov, A., Department of Bioengineering Systems, Saint Petersburg Electrotechnical University LETI, Saint Petersburg, 197376, Russian Federation, Russian Ilizarov Scientific Center for Restorative Traumatology and Orthopaedics, Kurgan, 640014, Russian Federation; Sinitca, A., Department of Automation and Control Processes, Saint Petersburg Electrotechnical University LETI, Saint Petersburg, 197376, Russian Federation; Zamansky, A., Information Systems Department, University of Haifa, Haifa, 3498838, Israel; Markelov, O.A., Centre for Digital Telecommunication Technologies, Saint Petersburg Electrotechnical University LETI, 5 Professor Popov Street, Saint Petersburg, 197376, Russian Federation; Kaplun, D., Department of Automation and Control Processes, Saint Petersburg Electrotechnical University LETI, Saint Petersburg, 197376, Russian Federation</t>
  </si>
  <si>
    <t>The rapid development of algorithms for skeletal postural detection with relatively inexpensive contactless systems and cameras opens up the possibility of monitoring and assessing the health and wellbeing of humans. However, the evaluation and confirmation of posture classifications are still needed. The purpose of this study was therefore to develop a simple algorithm for the automatic classification of human posture detection. The most affordable solution for this project was through using a Kinect V2, enabling the identification of 25 joints, so as to record movements and postures for data analysis. A total of 10 subjects volunteered for this study. Three algorithms were developed for the classification of different postures in Matlab. These were based on a total error of vector lengths, a total error of angles, multiplication of these two parameters and the simultaneous analysis of the first and second parameters. A base of 13 exercises was then created to test the recognition of postures by the algorithm and analyze subject performance. The best results for posture classification were shown by the second algorithm, with an accuracy of 94.9%. The average degree of correctness of the exercises among the 10 participants was 94.2% (SD1.8%). It was shown that the proposed algorithms provide the same accuracy as that obtained from machine learning-based algorithms and algorithms with neural networks, but have less computational complexity and do not need resources for training. The algorithms developed and evaluated in this study have demonstrated a reasonable level of accuracy, and could potentially form the basis for developing a low-cost system for the remote monitoring of humans. © 2020 by the authors.</t>
  </si>
  <si>
    <t>Exercise classification; Motion capture; Posture classification; Skeleton detection; Virtual rehabilitation</t>
  </si>
  <si>
    <t>Eleni, K., Srinivas, A., Judith, J., The aging population: Demographics and the biology of aging (2016) Periodontal. 2000, 72, pp. 13-18; Goulding, M.R., Rodgers, M.E., Trends in aging-United states and worldwide (2003) MMWR Morb. Mortal. Wkly. Rep, 52, pp. 101-104; Kirk-Sanchez, N.J., McGough, E.L., Physical exercise and cognitive performance in the elderly: Current perspectives (2014) Clin. Interv. Aging, 9, pp. 51-62; Zhou, Z., Hou, Y., Lin, J., Wang, K., Liu, Q., Patients' views toward knee osteoarthritis exercise therapy and factors influencing adherence-A survey in china (2018) Physician Sportsmed, 46, pp. 221-227; Lawford, B.J., Delany, C., Bennell, K.L., Hinman, R.S., "I was really sceptical... But it worked really well": A qualitative study of patient perceptions of telephone-delivered exercise therapy by physiotherapists for people with knee osteoarthritis (2018) Osteoarthr. Cartil, 26, pp. 741-750; Tao, G., Archambault, P.S., Levin, M.F., Evaluation of kinect skeletal tracking in a virtual reality rehabilitation system for upper limb hemiparesis (2013) Proceedings of the 2013 International Conference on Virtual Rehabilitation (ICVR), pp. 164-165. , Philadelphia, PA, USA, 26-29 August; Su, C.-J., Chiang, C.-Y., Huang, J.-Y., Kinect-enabled home-based rehabilitation system using dynamic time warping and fuzzy logic (2014) Appl. Soft Comput, 22, pp. 652-666; Fern'ndez-Baena, A., Susín, A., Lligadas, X., Biomechanical validation of upper-body and lower-body joint movements of kinect motion capture data for rehabilitation treatments (2012) Proceedings of the 2012 Fourth International Conference on Intelligent Networking and Collaborative Systems, pp. 656-661. , Bucharest, Romania, 19-21 September; Lin, T., Hsieh, C., Lee, J., A kinect-based system for physical rehabilitation: Utilizing tai chi exercises to improve movement disorders in patients with balance ability (2013) Proceedings of the 2013 7th Asia Modelling Symposium, pp. 149-153. , Hong Kong, China, 23-25 July; Lange, B., Koenig, S., McConnell, E., Chang, C., Juang, R., Suma, E., Bolas, M., Rizzo, A., Interactive game-based rehabilitation using the microsoft Kinect (2012) Proceedings of the 2012 IEEE Virtual Reality Workshops (VRW), pp. 171-172. , Costa Mesa, CA, USA, 4-8 March; Antón, D., Goňi, A., Illarramendi, A., Torres-Unda, J.J., Seco, J., Kires: A kinect-based telerehabilitation system (2013) Proceedings of the 2013 IEEE 15th International Conference on e-Health Networking, Applications and Services (Healthcom 2013), pp. 444-448. , Lisbon, Portugal, 9-12 October; Clark, R.A., Vernon, S., Mentiplay, B.F., Miller, K.J., McGinley, J.L., Pua, Y.H., Paterson, K., Bower, K.J., Instrumenting gait assessment using the kinect in people living with stroke: Reliability and association with balance tests (2015) J. Neuroeng. Rehabil, 12, p. 15; Webster, D., Celik, O., Systematic review of kinect applications in elderly care and stroke rehabilitation (2014) J. Neuroeng. Rehabil, 11, p. 108; Pastor, I., Hayes, H.A., Bamberg, S.J.M., A feasibility study of an upper limb rehabilitation system using kinect and computer games (2012) Proceedings of the 2012 Annual International Conference of the IEEE Engineering in Medicine and Biology Society, pp. 1286-1289. , San Diego, CA, USA, 28 August-1 September; Saini, S., Rambli, D.R.A., Sulaiman, S., Zakaria, M.N., Shukri, S.R.M., A low-cost game framework for a home-based stroke rehabilitation system (2012) Proceedings of the 2012 International Conference on Computer &amp; Information Science (ICCIS), pp. 55-60. , Kuala Lumpur, Malaysia, 12-14 June; Shin, J.-H., Ryu, H., Jang, S.H., A task-specific interactive game-based virtual reality rehabilitation system for patients with stroke: A usability test and two clinical experiments (2014) J. Neuroeng. Rehabil, 11, p. 32; González-Ortega, D., Díaz-Pernas, F.J., Martínez-Zarzuela, M., Antón-Rodríguez, M., A kinect-based system for cognitive rehabilitation exercises monitoring (2014) Comput. Methods Programs Biomed, 113, pp. 620-631; Chang, Y.J., Han, W.Y., Tsai, Y.C., A kinect-based upper limb rehabilitation system to assist people with cerebral palsy (2013) Res. Dev. Disabil, 34, pp. 3654-3659; Lozano-Quilis, J.-A., Gil-Gómez, H., Gil-Gómez, J.-A., Albiol-Pérez, S., Palacios-Navarro, G., Fardoun, H.M., Mashat, A.S., Virtual rehabilitation for multiple sclerosis using a kinect-based system: Randomized controlled trial (2014) JMIR Serious Games, 2; Venugopalan, J., Cheng, C., Stokes, T.H., Wang, M.D., Kinect-based rehabilitation system for patients with traumatic brain injury (2013) Proceedings of the 2013 35th Annual International Conference of the IEEE Engineering in Medicine and Biology Society (EMBC), , Osaka, Japan, 3-7 July; Anton, D., Goni, A., Illarramendi, A., Exercise recognition for kinect-based telerehabilitation (2015) Methods Inf. Med, 54, pp. 145-155; Roh, J., Park, H.-J., Lee, K.J., Hyeong, J., Kim, S., Lee, B., Sitting Posture Monitoring System Based on a Low-Cost Load Cell Using Machine Learning (2018) Sensors, 18, p. 208; Kim, Y.M., Son, Y., Kim, W., Jin, B., Yun, M.H., Classification of Children's Sitting Postures Using Machine Learning Algorithms (2018) Appl. Sci, 8, p. 1280; Giacomozzi, C., D'Ambrogi, E., Uccioli, L., Macellari, V., Does the thickening of achilles tendon and plantar fascia contribute to the alteration of diabetic foot loading? (2005) Clin. Biomech, 20, pp. 532-539; Baratloo, A., Hosseini, M., Negida, A., El Ashal, G., Part 1: Simple Definition and Calculation of Accuracy, Sensitivity and Specificity (2015) Emergency (Tehran, Iran), 3, p. 4849; Mousavi Hondori, H., Khademi, M., A review on technical and clinical impact of microsoft kinect on physical therapy and rehabilitation (2014) J. Med. Eng, 2014; Burdea, G.C., Virtual rehabilitation-Benefits and challenges (2003) Methods Inf. Med, 42, pp. 519-523; Mealin, S., Dom'inguez, I.X., Roberts, D.L., Semi-supervised classification of static canine postures using the microsoft Kinect (2016) Proceedings of the Third International Conference on Animal-Computer Interaction, p. 16. , Milton Keynes, UK, 15-17 November 2016; ACM: New York, NY, USA; Pons, P., Jaen, J., Catala, A., Assessing machine learning classifiers for the detection of animals behavior using depth-based tracking (2017) Expert Syst. Appl, 86, pp. 235-246; Barnard, S., Calderara, S., Pistocchi, S., Cucchiara, R., Podaliri-Vulpiani, M., Messori, S., Ferri, N., Quick, accurate, smart: 3d computer vision technology helps assessing confined animals behaviour (2016) PLoS ONE, 11; Psota, E.T., Mittek, M., Pérez, L.C., Schmidt, T., Mote, B., Multi-Pig Part Detection and Association with a Fully-Convolutional Network (2019) Sensors, 19, p. 852; Feng, Y., Max, L., Accuracy and precision of a custom camera-based system for 2d and 3d motion tracking during speech and nonspeech motor tasks (2014) J. Speech Lang. Hear. Res. JSLHR, 57, pp. 426-438; Vieira, E.R., Palmer, R.C., Chaves, P.H.M., Prevention of falls in older people living in the community (2016) BMJ, 353; Prankel, S., Corbett, M., Bevins, J., Davies, J., Biomechanical analysis in veterinary practice (2016) Practice, 38, pp. 176-187; Farrell, B.J., Prilutsky, B.I., Kistenberg, R.S., Dalton, J.F.T., Pitkin, M., An animal model to evaluate skin-implant-bone integration and gait with a prosthesis directly attached to the residual limb (2014) Clin. Biomech, 29, pp. 336-349; Druen, S., Boddeker, J., Meyer-Lindenberg, A., Fehr, M., Nolte, I., Wefstaedt, P., Computer-based gait analysis of dogs: Evaluation of kinetic and kinematic parameters after cemented and cementless total hip replacement (2012) Vet. Comp. Orthop. Traumatol. VCOT, 25, pp. 375-384; Arney, D., What is animal welfare and how is it assessed? (2012) Sustainable Agriculture;, pp. 311-315. , Baltic University Press: Uppsala, Sweden</t>
  </si>
  <si>
    <t>2-s2.0-85086937641</t>
  </si>
  <si>
    <t>Leightley D., Pernet D., Velupillai S., Stewart R.J., Mark K.M., Opie E., Murphy D., Fear N.T., Stevelink S.A.M.</t>
  </si>
  <si>
    <t>56028042600;57193330242;26634565100;35594617600;57191749388;57216770190;57209809488;6603924044;55022754400;</t>
  </si>
  <si>
    <t>The development of the military service identification tool: Identifying military veterans in a clinical research database using natural language processing and machine learning</t>
  </si>
  <si>
    <t>JMIR Medical Informatics</t>
  </si>
  <si>
    <t>e15852</t>
  </si>
  <si>
    <t>10.2196/15852</t>
  </si>
  <si>
    <t>https://www.scopus.com/inward/record.uri?eid=2-s2.0-85091151535&amp;doi=10.2196%2f15852&amp;partnerID=40&amp;md5=75de6ea2587c4fd2cc6ef8e84b7eac19</t>
  </si>
  <si>
    <t>King's Centre for Military Health Research, King's College London, London, United Kingdom; Institute of Psychiatry, Psychology and Neuroscience, King's College London, London, United Kingdom; South London and Maudsley NHS Foundation Trust, London, United Kingdom; Combat Stress, Letherhead, United Kingdom; Academic Department of Military Mental Health, King's College London, London, United Kingdom; Department of Psychological Medicine, Institute of Psychiatry, Psychology and Neuroscience, King's College London, London, United Kingdom</t>
  </si>
  <si>
    <t>Leightley, D., King's Centre for Military Health Research, King's College London, London, United Kingdom; Pernet, D., King's Centre for Military Health Research, King's College London, London, United Kingdom; Velupillai, S., Institute of Psychiatry, Psychology and Neuroscience, King's College London, London, United Kingdom, South London and Maudsley NHS Foundation Trust, London, United Kingdom; Stewart, R.J., Institute of Psychiatry, Psychology and Neuroscience, King's College London, London, United Kingdom, South London and Maudsley NHS Foundation Trust, London, United Kingdom; Mark, K.M., King's Centre for Military Health Research, King's College London, London, United Kingdom; Opie, E., King's Centre for Military Health Research, King's College London, London, United Kingdom; Murphy, D., King's Centre for Military Health Research, King's College London, London, United Kingdom, Combat Stress, Letherhead, United Kingdom; Fear, N.T., King's Centre for Military Health Research, King's College London, London, United Kingdom, Academic Department of Military Mental Health, King's College London, London, United Kingdom; Stevelink, S.A.M., King's Centre for Military Health Research, King's College London, London, United Kingdom, Department of Psychological Medicine, Institute of Psychiatry, Psychology and Neuroscience, King's College London, London, United Kingdom</t>
  </si>
  <si>
    <t>Background: Electronic health care records (EHRs) are a rich source of health-related information, with potential for secondary research use. In the United Kingdom, there is no national marker for identifying those who have previously served in the Armed Forces, making analysis of the health and well-being of veterans using EHRs difficult. Objective: This study aimed to develop a tool to identify veterans from free-text clinical documents recorded in a psychiatric EHR database. Methods: Veterans were manually identified using the South London and Maudsley (SLaM) Biomedical Research Centre Clinical Record Interactive Search-a database holding secondary mental health care electronic records for the SLaM National Health Service Foundation Trust. An iterative approach was taken; first, a structured query language (SQL) method was developed, which was then refined using natural language processing and machine learning to create the Military Service Identification Tool (MSIT) to identify if a patient was a civilian or veteran. Performance, defined as correct classification of veterans compared with incorrect classification, was measured using positive predictive value, negative predictive value, sensitivity, F1 score, and accuracy (otherwise termed Youden Index). Results: A gold standard dataset of 6672 free-text clinical documents was manually annotated by human coders. Of these documents, 66.00% (4470/6672) were then used to train the SQL and MSIT approaches and 34.00% (2202/6672) were used for testing the approaches. To develop the MSIT, an iterative 2-stage approach was undertaken. In the first stage, an SQL method was developed to identify veterans using a keyword rule-based approach. This approach obtained an accuracy of 0.93 in correctly predicting civilians and veterans, a positive predictive value of 0.81, a sensitivity of 0.75, and a negative predictive value of 0.95. This method informed the second stage, which was the development of the MSIT using machine learning, which, when tested, obtained an accuracy of 0.97, a positive predictive value of 0.90, a sensitivity of 0.91, and a negative predictive value of 0.98. Conclusions: The MSIT has the potential to be used in identifying veterans in the United Kingdom from free-text clinical documents, providing new and unique insights into the health and well-being of this population and their use of mental health care services. © 2020 Daniel Leightley, David Pernet, Sumithra Velupillai, Robert J Stewart, Katharine M Mark, Elena Opie, Dominic Murphy, Nicola T Fear, Sharon A M Stevelink.</t>
  </si>
  <si>
    <t>Electronic health care records; Machine learning; Mental health; Military personnel; Natural language processing; Veteran</t>
  </si>
  <si>
    <t>(2017) Armed Forces Covenant, , https://www.armedforcescovenant.gov.uk/wp-content/uploads/2016/02/Veterans-Key-Facts.pdf, Ministry of Defense. Veteran: Key Facts [accessed 2020-03-20]; (2019), https://assets.publishing.service.gov.uk/government/uploads/system/uploads/attachment-data/file/775151/20190107-Enclosure-1-Population-Projections-UK-Armed-Forces-Veterans-residing-in-Great-Britain-2016-to-2028.pdf, Government of UK. London, UK: Ministry of Defence; Jan 10. Population Projections: UK Armed Forces Veterans Residing in Great Britain, 2016 to 2018 [accessed 2020-03-20]; Leightley, D, Chui, Z, Jones, M, Landau, S, McCrone, P, Hayes, RD, Integrating electronic healthcare records of armed forces personnel: Developing a framework for evaluating health outcomes in England, Scotland and Wales (2018) Int J Med Inform, 113, pp. 17-25. , May;: [FREE Full text] [doi] [Medline: 29602429]; Payne, RA, Abel, GA, Guthrie, B, Mercer, SW., The effect of physical multimorbidity, mental health conditions and socioeconomic deprivation on unplanned admissions to hospital: a retrospective cohort study (2013) Can Med Assoc J, 185 (5), pp. E221-E228. , Mar 19; [FREE Full text] [doi] [Medline: 23422444]; Simmonds, S, Syddall, H, Walsh, B, Evandrou, M, Dennison, E, Cooper, C, Understanding NHS hospital admissions in England: linkage of Hospital Episode Statistics to the Hertfordshire Cohort Study (2014) Age Ageing, 43 (5), pp. 653-660. , Sep; [FREE Full text] [doi] [Medline: 24598084]; Stevelink, SA, Jones, M, Hull, L, Pernet, D, MacCrimmon, S, Goodwin, L, Mental health outcomes at the end of the British involvement in the Iraq and Afghanistan conflicts: a cohort study (2018) Br J Psychiatry, 213 (6), pp. 690-697. , Dec; [FREE Full text] [doi] [Medline: 30295216]; Fear, NT, Jones, M, Murphy, D, Hull, L, Iversen, AC, Coker, B, What are the consequences of deployment to Iraq and Afghanistan on the mental health of the UK armed forces? A cohort study (2010) Lancet, 375 (9728), pp. 1783-1797. , May 22; [doi] [Medline: 20471076]; Stevelink, SA, Jones, N, Jones, M, Dyball, D, Khera, CK, Pernet, D, Do serving and ex-serving personnel of the UK armed forces seek help for perceived stress, emotional or mental health problems? (2019) Eur J Psychotraumatol, 10 (1), p. 1556552. , [FREE Full text] [doi] [Medline: 30693074]; Morgan, VA, Jablensky, AV., From inventory to benchmark: quality of psychiatric case registers in research (2010) Br J Psychiatry, 197 (1), pp. 8-10. , Jul; [doi] [Medline: 20592426]; Mark, KM, Leightley, D, Pernet, D, Murphy, D, Stevelink, SA, Fear, NT., Identifying veterans using electronic health records in the United Kingdom: a feasibility study (2019) Healthcare (Basel), 8 (1). , Dec 19; [FREE Full text] [doi] [Medline: 31861575]; Leightley, D, Williamson, V, Darby, J, Fear, NT., Identifying probable post-traumatic stress disorder: applying supervised machine learning to data from a UK military cohort (2019) J Ment Health, 28 (1), pp. 34-41. , Feb; [doi] [Medline: 30445899]; Karstoft, K, Statnikov, A, Andersen, SB, Madsen, T, Galatzer-Levy, IR., Early identification of posttraumatic stress following military deployment: Application of machine learning methods to a prospective study of Danish soldiers (2015) J Affect Disord, 184, pp. 170-175. , Sep 15;: [doi] [Medline: 26093830]; Cambria, E, White, B., Jumping NLP curves: a review of Natural Language Processing Research [Review Article] (2014) IEEE Comput Intell Mag, 9 (2), pp. 48-57. , May; [doi]; Fernandes, AC, Dutta, R, Velupillai, S, Sanyal, J, Stewart, R, Chandran, D., Identifying suicide ideation and suicidal attempts in a psychiatric clinical research database using Natural Language Processing (2018) Sci Rep, 8 (1), p. 7426. , May 9; [FREE Full text] [doi] [Medline: 29743531]; Dalianis, H., (2018) Clinical Text Mining: Secondary Use Of Electronic Patient Records, , Cham: Springer; Reeves, RM, Ong, FR, Matheny, ME, Denny, JC, Aronsky, D, Gobbel, GT, Detecting temporal expressions in medical narratives (2013) Int J Med Inform, 82 (2), pp. 118-127. , Feb; [doi] [Medline: 22595284]; Gundlapalli, AV, Carter, ME, Palmer, M, Ginter, T, Redd, A, Pickard, S, Using natural language processing on the free text of clinical documents to screen for evidence of homelessness among US veterans (2013) AMIA Annu Symp Proc, 2013, pp. 537-546. , [FREE Full text] [Medline: 24551356]; Mowery, DL, Chapman, BE, Conway, M, South, BR, Madden, E, Keyhani, S, Extracting a stroke phenotype risk factor from Veteran Health Administration clinical reports: an information content analysis (2016) J Biomed Semantics, 7, p. 26. , [FREE Full text] [doi] [Medline: 27175226]; Gundlapalli, AV, Jones, AL, Redd, A, Divita, G, Brignone, E, Pettey, WB, Combining Natural Language Processing of electronic medical notes with administrative data to determine racial/ethnic differences in the disclosure and documentation of military sexual trauma in veterans (2019) Med Care, 57, pp. S149-S156. , Jun;(Suppl 6 Suppl 2): [doi] [Medline: 31095054]; Perera, G, Broadbent, M, Callard, F, Chang, C, Downs, J, Dutta, R, Cohort profile of the South London and Maudsley NHS Foundation Trust Biomedical Research Centre (SLaM BRC) case register: current status and recent enhancement of an electronic mental health record-derived data resource (2016) BMJ Open, 6 (3), p. e008721. , Mar 1; [FREE Full text] [doi] [Medline: 26932138]; Downs, JM, Ford, T, Stewart, R, Epstein, S, Shetty, H, Little, R, An approach to linking education, social care and electronic health records for children and young people in South London: a linkage study of child and adolescent mental health service data (2019) BMJ Open, 9 (1), p. e024355. , Jan 29; [FREE Full text] [doi] [Medline: 30700480]; Velupillai, S, Hadlaczky, G, Baca-Garcia, E, Gorrell, GM, Werbeloff, N, Nguyen, D, Risk assessment tools and data-driven approaches for predicting and preventing suicidal behavior (2019) Front Psychiatry, 10, p. 36. , [FREE Full text] [doi] [Medline: 30814958]; Jackson, RG, Patel, R, Jayatilleke, N, Kolliakou, A, Ball, M, Gorrell, G, Natural language processing to extract symptoms of severe mental illness from clinical text: the Clinical Record Interactive Search Comprehensive Data Extraction (CRIS-CODE) project (2017) BMJ Open, 7 (1), p. e012012. , Jan 17; [FREE Full text] [doi] [Medline: 28096249]; Kovalchuk, Y, Stewart, R, Broadbent, M, Hubbard, TJ, Dobson, RJ., Analysis of diagnoses extracted from electronic health records in a large mental health case register (2017) PLoS One, 12 (2), p. e0171526. , [FREE Full text] [doi] [Medline: 28207753]; Mueller, C, Perera, G, Hayes, R, Shetty, H, Stewart, R., Associations of acetylcholinesterase inhibitor treatment with reduced mortality in Alzheimer's disease: a retrospective survival analysis (2018) Age Ageing, 47 (1), pp. 88-94. , Jan 1; [doi] [Medline: 28655175]; Clinical Record Interactive Search (CRIS), , https://www.maudsleybrc.nihr.ac.uk/facilities/clinical-record-interactive-search-cris/, NIHR Maudsley Biomedical Research Centre (BRC). [accessed 2020-03-20]; Juckett, D., A method for determining the number of documents needed for a gold standard corpus (2012) J Biomed Inform, 45 (3), pp. 460-470. , Jun; [FREE Full text] [doi] [Medline: 22245601]; Leng, CJ, South, B, Shen, S., (2011) Orbit, , https://orbit.nlm.nih.gov/browse-repository/software/nlp-information-extraction/62-ehost-the-extensible-human-oracle-suite-of-tools, Utah: University of Utah and SLC VA; eHOST: The Extensible Human Oracle Suite of Tools [accessed 2020-03-24]; Loper, E, Bird, S., NLTK: the Natural Language Toolkit (2002) Proceedings of the ACL-02 Workshop on Effective tools and methodologies for teaching natural language processing and computational linguistics, 1, pp. 63-70. , USA: Association for Computational Linguistics; Presented at: ETMTNLP'02; July 2002; Morristown [doi]; Pedregosa, F, Varoquaux, G, Gramfort, A, Michel, V, Thirion, B, Grisel, O., Scikit-learn: machine learning in Python (2011) J Mach Learn Res, 12, pp. 2825-2830. , [FREE Full text]; Leightley, D, Darby, J, Baihua, L, McPhee, J, Yap, MM., Human Activity Recognition for Physical Rehabilitation (2013) Proceedings of the 2013 IEEE International Conference on Systems, Man, and Cybernetics, , Presented at: SMC'13; October 13-16, 2013; Manchester, UK. [doi]; Leightley, D, McPhee, JS, Yap, MH., Automated analysis and quantification of human mobility using a depth sensor (2017) IEEE J Biomed Health Inform, 21 (4), pp. 939-948. , Jul; [doi] [Medline: 27254874]; Ahad, M, Tan, J, Kim, H, Ishikawa, S., Human Activity Recognition: Various Paradigms (2008) Proceedings of the 2008 International Conference on Control, Automation and Systems, pp. 1896-1901. , COEX, Seoul, Korea: IEEE; Presented at: ICCAS'08; October 14-17, 2008; Seoul, Korea [doi]; Cunningham, R, Sánchez, M, May, G, Loram, I., Estimating full regional skeletal muscle fibre orientation from B-mode ultrasound images using convolutional, residual, and deconvolutional neural networks (2018) J. Imaging, 4 (2), p. 29. , Jan 29; [doi]; Leightley, D., GitHub. Military Service Identification Tool, , https://github.com/DrDanL/kcmhr-msit, [accessed 2020-03-24]; Pineda, AL, Ye, Y, Visweswaran, S, Cooper, GF, Wagner, MM, Tsui, FR., Comparison of machine learning classifiers for influenza detection from emergency department free-text reports (2015) J Biomed Inform, 58, pp. 60-69. , Dec;: [FREE Full text] [doi] [Medline: 26385375]; Cronin, RM, Fabbri, D, Denny, JC, Rosenbloom, ST, Jackson, GP., A comparison of rule-based and machine learning approaches for classifying patient portal messages (2017) Int J Med Inform, 105, pp. 110-120. , Sep;: [FREE Full text] [doi] [Medline: 28750904]; Stewart, R., The big case register (2014) Acta Psychiatr Scand, 130 (2), pp. 83-86. , Aug; [doi] [Medline: 24730985]; Stewart, R, Soremekun, M, Perera, G, Broadbent, M, Callard, F, Denis, M, The South London and Maudsley NHS Foundation Trust Biomedical Research Centre (SLAM BRC) case register: development and descriptive data (2009) BMC Psychiatry, 9, p. 51. , Aug 12;: [FREE Full text] [doi] [Medline: 19674459]; Wickersham, A, Petrides, PM, Williamson, V, Leightley, D., Efficacy of mobile application interventions for the treatment of post-traumatic stress disorder: A systematic review (2019) Digit Health, 5, p. 2055207619842986. , [FREE Full text] [doi] [Medline: 31019722]</t>
  </si>
  <si>
    <t>22919694</t>
  </si>
  <si>
    <t>JMIR Med. Inform.</t>
  </si>
  <si>
    <t>2-s2.0-85091151535</t>
  </si>
  <si>
    <t>The development of the military service identification tool: identifying military veterans in a clinical research database using natural language processing and machine learning</t>
  </si>
  <si>
    <t>Farina M., Zhdanov P., Karimov A., Lavazza A.</t>
  </si>
  <si>
    <t>40661326300;57218597606;56177724200;24171318600;</t>
  </si>
  <si>
    <t>AI and society: a virtue ethics approach</t>
  </si>
  <si>
    <t>10.1007/s00146-022-01545-5</t>
  </si>
  <si>
    <t>https://www.scopus.com/inward/record.uri?eid=2-s2.0-85137877053&amp;doi=10.1007%2fs00146-022-01545-5&amp;partnerID=40&amp;md5=d8c22f1754387bc87f8704756d6dcd9e</t>
  </si>
  <si>
    <t>Faculty of Humanities and Social Sciences, Innopolis University, Universitetskaya St 1, Republic of Tatarstan, Innopolis, 420500, Russian Federation; Department of Social Philosophy, Kazan Federal University, Kremlevskaya St., 18, Republic of Tatarstan, Kazan, 420008, Russian Federation; Centro Universitario Internazionale, Via Antonio Garbasso 42, AR, Arezzo, 52100, Italy</t>
  </si>
  <si>
    <t>Farina, M., Faculty of Humanities and Social Sciences, Innopolis University, Universitetskaya St 1, Republic of Tatarstan, Innopolis, 420500, Russian Federation; Zhdanov, P., Faculty of Humanities and Social Sciences, Innopolis University, Universitetskaya St 1, Republic of Tatarstan, Innopolis, 420500, Russian Federation; Karimov, A., Department of Social Philosophy, Kazan Federal University, Kremlevskaya St., 18, Republic of Tatarstan, Kazan, 420008, Russian Federation; Lavazza, A., Centro Universitario Internazionale, Via Antonio Garbasso 42, AR, Arezzo, 52100, Italy</t>
  </si>
  <si>
    <t>Advances in artificial intelligence and robotics stand to change many aspects of our lives, including our values. If trends continue as expected, many industries will undergo automation in the near future, calling into question whether we can still value the sense of identity and security our occupations once provided us with. Likewise, the advent of social robots driven by AI, appears to be shifting the meaning of numerous, long-standing values associated with interpersonal relationships, like friendship. Furthermore, powerful actors’ and institutions’ increasing reliance on AI to make decisions that may affect how people live their lives may have a significant impact on privacy while also raising issues about algorithmic transparency and human control. In this paper, building and expanding on previous works, we will look at how the deployment of Artificial Intelligence technology may lead to changes in identity, security, and other crucial values (such as friendship, fairness, and privacy). We will discuss what challenges we may face in the process, while critically reflecting on whether such changes may be desirable. Finally, drawing on a series of considerations underlying virtue ethics, we will formulate a set of preliminary suggestions, which—we hope—can be used to more carefully guide the future roll out of AI technologies for human flourishing; that is, for social and moral good. © 2022, The Author(s), under exclusive licence to Springer-Verlag London Ltd., part of Springer Nature.</t>
  </si>
  <si>
    <t>AI technologies and applications; Human flourishing; Machine learning; Virtue ethics</t>
  </si>
  <si>
    <t>Engineering education; Ethical technology; AI applications; AI Technologies; Algorithmics; Human control; Human flourishing; Interpersonal relationship; Machine-learning; Social robots; Technologies and applications; Virtue ethics; Machine learning</t>
  </si>
  <si>
    <t>Abeliansky, A., Prettner, K., (2017) Automation and demographic change, 518, pp. 1-44. , Available at SSRN 2959977; Acemoglu, D., Restrepo, P., Robots and jobs: evidence from us labor markets (2020) J Polit Econ, 128 (6), pp. 2188-2244; Ahuja, A.S., The impact of artificial intelligence in medicine on the future role of the physician (2019) PeerJ, 7, p. 7702; Alemi, M., Ghanbarzadeh, A., Meghdari, A., Moghadam, L.J., Clinical application of a humanoid robot in pediatric cancer interventions (2016) Int J Soc Robot, 8 (5), pp. 743-759; Altman, R., Distribute AI benefits fairly (2015) Nature, 521 (7553), pp. 417-418; Alvarado, R., Should we replace radiologists with deep learning? Pigeons, error and trust in medical AI (2021) Bioethics, 36, pp. 121-133; Anderson, S.L., Anderson, M., A prima facie duty approach to machine ethics and its application to elder care (2011) Workshops at the Twenty-Fifth AAAI Conference on Artificial Intelligence, pp. 2-7; Arendt, H., (1950) The human condition, , University of Chicago Press, Chicago; Arntz, M., Gregory, T., Zierahn, U., Revisiting the risk of automation (2017) Econ Lett, 159, pp. 157-160; Barrera, E., Technology and the virtues: a philosophical guide to a future worth wanting (2020) Glob Med J, 12 (1), pp. 128-131; Bauer, W.A., Virtuous vs. utilitarian artificial moral agents (2020) AI Soc, 35 (1), pp. 263-271; Bench-Capon, T., Araszkiewicz, M., Ashley, K., Atkinson, K., Bex, F., Borges, F., Bourcier, D., Francesconi, E., A history of AI and Law in 50 papers: 25 years of the international conference on AI and Law (2012) Artif Intell Law, 20 (3), pp. 215-319; Blake, W., Bloom, H., (1982) The complete poetry and prose of William Blake, , University of California Press, Berkeley; Bostrom, N., (2017) Superintelligence, , Oxford University Press, Oxford; Breazeal, C.L., (2002) Designing sociable robots, , MIT Press, Cambridge; Breazeal, C., Dautenhahn, K., Kanda, T., (2016) Social Robotics, Cham, pp. 1935-1972. , https://doi.org/10.1007/978-3-319-32552-1_72, Siciliano B, Khatib O, Springer, Berlin; Brooks, R.A., (1999) Cambrian intelligence: the early history of the new AI, , MIT Press, Cambridge; Brynjolfsson, E., McAfee, A., (2014) The second machine age: work, progress, and prosperity in a time of brilliant technologies, , WW Norton &amp; Company, New York; Brynjolfsson, E., Mcafee, A., (2017) Artificial intelligence, for real, , Harvard Business Review, Brighton; Buchanan, B.G., A (very) brief history of artificial intelligence (2005) AI Mag, 26 (4), p. 53; Bugayenko, Y., Bakare, A., Cheverda, A., Farina, M., Kruglov, A., Plaksin, Y., Succi, G., Pedrycz, W., Automatically prioritizing and assigning tasks from code repositories in puzzle driven development (2022) . In: 2022 IEEE/ACM 19Th International Conference on Mining Software Repositories (MSR). IEEE, pp. 722-723; Bugayenko, Y., Daniakin, K., Farina, M., Jolha, F., Kruglov, A., Succi, G., Pedrycz, W., Extracting corrective actions from code repositories (2022) In: 2022 IEEE/ACM 19Th International Conference on Mining Software Repositories (MSR). IEEE, pp. 687-688; Bush, V., As we may think (1945) Atl Mon, 176 (1), pp. 101-108; Bynum, T.W., Flourishing ethics (2006) Ethics Inf Technol, 8 (4), pp. 157-173; Cath, C., Wachter, S., Mittelstadt, B., Taddeo, M., Floridi, L., Artificial intelligence and the ‘good society’: the US, EU, and UK approach (2018) Sci Eng Ethics, 24 (2), pp. 505-528; Ciancarini, P., Farina, M., Masyagin, S., Succi, G., Yermolaieva, S., Zagvozkina, N., Non verbal communication in software engineering—an empirical study (2021) IEEE Access, 9, pp. 71942-71953; Ciancarini, P., Farina, M., Masyagin, S., Succi, G., Yermolaieva, S., Zagvozkina, N., Root causes of interaction issues in agile software development teams: Status and perspectives (2021) Future of Information and Communication Conference, pp. 1017-1036. , . Springer, Berlin, pp; Clarke, S., Zohny, H., Savulescu, J., (2021) Rethinking moral status, , Oxford University Press, Oxford; Coeckelbergh, M., (2020) AI ethics, , MIT Press, Cambridge; Constantinescu, M., Crisp, R., Can robotic AI systems be virtuous and why does this matter? (2022) Int J Soc Robot; Constantinescu, M., Voinea, C., Uszkai, R., Vică, C., Understanding responsibility in responsible AI. Dianoetic virtues and the hard problem of context (2021) Ethics Inf Technol, 23, pp. 803-814; Copeland, B.J., The turing test (2000) Minds Mach, 10 (4), pp. 519-539; Cowls, J., King, T., Taddeo, M., Floridi, L., (2019) Designing AI for social good: Seven essential factors., , https://doi.org/10.2139/ssrn.3388669; Danaher, J., The philosophical case for robot friendship (2019) J Posthum Stud, 3 (1), pp. 5-24; Danziger, S., Levav, J., Avnaim-Pesso, L., Extraneous factors in judicial decisions (2011) Proc Natl Acad Sci, 108 (17), pp. 6889-6892; Daugherty, P.R., Wilson, H.J., (2018) Human + machine: reimagining work in the age of AI, , Harvard Business Press, Brighton; Davenport, T.H., Kirby, J., (2016) Only humans need apply: winners and losers in the age of smart machines, , Harper Business, New York; de Fine Licht, K., de Fine Licht, J., Artificial intelligence, transparency, and public decision-making (2020) AI Soc, 35 (4), pp. 917-926; Dean, J., Corrado, G.S., Monga, R., Chen, K., Devin, M., Le, Q.V., Mao, M.Z., Tucker, P., Large scale distributed deep networks (2012) NIPs, 2012 (1), pp. 1223-1231; Delcker, J., (2018) Europe’s silver bullet in global AI battle: Ethics., , https://www.politico.eu/article/europe-silver-bullet-global-ai-battle-ethics/, Accessed 4 Sept 2022; Dignum, V., (2018) Ethics in artificial intelligence: introduction to the special issue, , Springer, Berlin; Douglas, T., Pugh, J., Singh, I., Savulescu, J., Fazel, S., Risk assessment tools in criminal justice and forensic psychiatry: the need for better data (2017) Eur Psychiatry, 42, pp. 134-137; Dreyfus, H., (1976) What computers can’t do, , Harper Collins, New York; Dreyfus, H.L., Hubert, L., (1992) What computers still can’t do: a critique of artificial reason, , MIT Press, Cambridge; Farina, M., Lavazza, A., Knowledge prior to belief: is extended better than enacted? (2021) Behav Brain Sci, 44. , (, a,),:,., https://doi.org/10.1017/S0140525X2000076X; Farina, M., Embodiment: Dimensions, domains, and applications (2021) Adapt Behav, 29 (1), pp. 73-99. , https://doi.org/10.1177/105971232091296; Farina, M., Lavazza, A., Incorporation, transparency and cognitive extension: why the distinction between embedded and extended might be more important to ethics than to metaphysics (2022) Philos Technol, 35 (1), pp. 1-21; Farina, M., Lavazza, A., Why there are still moral reasons to prefer extended over embedded: a (short) reply to Cassinadri (2022) Philos Technol; Felzmann, H., Fosch-Villaronga, E., Lutz, C., Tamò-Larrieux, A., Towards transparency by design for artificial intelligence (2020) Sci Eng Ethics, 26 (6), pp. 3333-3361; Floridi, L., Establishing the rules for building trustworthy AI (2019) Nat Mach Intell, 1 (6), pp. 261-262; Floridi, L., What the near future of artificial intelligence could be (2020) Philos Technol, 32, pp. 1-15. , https://doi.org/10.1007/s13347-019-00345-y; Floridi, L., Cowls, J., (2022) A unified framework of five principles for AI in society, pp. 535-545. , Carta S (ed) Machine learning and the city: applications in architecture and Urban design. Wiley, Hoboken, NJ; Floridi, L., Cowls, J., Beltrametti, M., Chatila, R., Chazerand, P., Dignum, V., Luetge, C., Rossi, F., AI4People-an ethical framework for a good AI society: opportunities, risks, principles, and recommendations (2018) Minds Mach, 28 (4), pp. 689-707; Fodor, J.A., (1975) The language of thought, 5. , Harvard University Press, Cambridge; Ford, M., (2017) Rise of the robots: technology and the threat of a jobless future, , Basic Books, New York; Frey, C.B., Osborne, M.A., The future of employment: how susceptible are jobs to computerisation? (2017) Technol Forecast Soc Change, 114, pp. 254-280; Frisch, M., (1959) Homo faber, , Abelard-Schuman, London; Gabriel, I., Artificial intelligence, values, and alignment (2020) Minds Mach, 30 (3), pp. 411-437; Glöckner, A., The irrational hungry judge effect revisited: simulations reveal that the magnitude of the effect is overestimated (2016) Judgm Decis Mak, 11 (6), p. 601; Guo, Z., Liu, S., Liu, J., Li, Y., Chen, L., Lu, H., Zhou, Y., How far have we progressed in identifying self-admitted technical debts? A comprehensive empirical study (2021) ACM Trans Softw Eng Methodol (TOSEM), 30 (4), pp. 1-56; Hallamaa, J., Kalliokoski, T., How AI systems challenge the conditions of moral agency? (2020) International Conference on human–computer Interaction, pp. 54-64. , Springer, Berlin; Heerink, M., Vanderborght, B., Broekens, J., Albó-Canals, J., New friends: social robots in therapy and education (2016) Int J Soc Robot, 8 (4), pp. 443-444; Hopfield, J.J., Neural networks and physical systems with emergent collective computational abilities (1982) Proc Natl Acad Sci, 79 (8), pp. 2554-2558; Isaac, W.S., Hope, hype, and fear: the promise and potential pitfalls of artificial intelligence in criminal justice (2017) Ohio State J Crim Law, 15, p. 543; Jobin, A., Ienca, M., Vayena, E., The global landscape of AI ethics guidelines (2019) Nat Mach Intell, 1 (9), pp. 389-399; Johal, W., Research trends in social robots for learning (2020) Curr Robot Rep, 1, pp. 75-83; Johnson, D.G., Verdicchio, M., AI, agency and responsibility: the VW fraud case and beyond (2019) AI Soc, 34 (3), pp. 639-647; Jones, S.E., (2013) Against technology: from the luddites to neo-luddism, , Routledge, New York; Kahneman, D., (2011) Thinking, fast and slow, , Macmillan Publishers, London; Karimov, A., Lavazza, A., Farina, M., Epistemic responsibility, rights, and duties during the Covid-19 pandemic (2022) Soc Epistemol, , https://doi.org/10.1080/02691728.2022.2077856; Kline, R., Cybernetics, automata studies, and the Dartmouth conference on artificial intelligence (2010) IEEE Ann Hist Comput, 33 (4), pp. 5-16; Krakovsky, M., Artificial (emotional) intelligence (2018) Commun ACM, 61 (4), pp. 18-19; Krizhevsky, A., Sutskever, I., Hinton, G.E., Imagenet classification with deep convolutional neural networks (2012) Adv Neural Inf Process Syst, 25, pp. 1097-1105; Kurzweil, R., (2005) The singularity is near: when humans transcend biology, , Penguin Books, London; Lalsing, V., Kishnah, S., Pudaruth, S., People factors in agile software development and project management (2012) Int J Softw Eng Appl, 3 (1), p. 117; Lavazza, A., Farina, M., Experts, naturalism, and democracy (2021) J Theory Soc Behav, 52 (2), pp. 279-297; Le, Q., Miralles-Pechuán, L., Kulkarni, S., Su, J., Boydell, O., (2020) An overview of deep learning in industry, pp. 65-98. , Liebowitz (ed) Data analytics and AI, CRC Press, Boca Raton, FL; Lecun, Y., Haffner, P., Bottou, L., Bengio, Y., (1999) Object recognition with gradient-based learning, pp. 319-345. , In: Forsyth D, Mundy J, Gesu V, Cipolla R (eds, Shape, contour and grouping in computer vision, Lecture Notes in Computer Science. Springer, Berlin, Germany; Li, O., Problems with “friendly AI (2021) Ethics Inf Technol, 23 (3), pp. 543-550; Macintyre, A., (1981) After Virtue, , University of Notre Dame Press, Notre Dame, IN; Markoff, J., (2016) Machines of loving grace: the quest for common ground between humans and robots, , Ecco, New York; Marti, P., Robot companions: towards a new concept of friendship? (2010) Interact Stud Soc Behav Commun Biol Artif Syst, 11 (2), pp. 220-226; McCarthy, J., Minsky, M., Rochester, N., The Dartmouth summer research project on artificial intelligence (1956) Artif Intell past Present Future, pp. 1-13. , http://jmc.stanford.edu/articles/dartmouth/dartmouth.pdf; McClelland, J.L., Rumelhart, D.E., Hinton, G.E., (1986) The appeal of parallel distributed processing, pp. 3-44. , MIT Press, Cambridge; McCorduck, P., Cfe, C., (2004) Machines who think: a personal inquiry into the history and prospects of artificial intelligence, , CRC Press, Boca Raton; McKay, C., Predicting risk in criminal procedure: actuarial tools, algorithms, AI and judicial decision-making (2020) Curr Issues Crim Justice, 32 (1), pp. 22-39; Megha, S., Salem, H., Ayan, E., Mazzara, M., Aslam, H., Farina, M., Bahrami, M.R., Ahmad, M., Survey on blockchain applications for healthcare: Reflections and challenges (2021) International Conference on Advanced Information Networking and Applications, pp. 310-322. , Springer, Berlin; Minsky, M., Papert, S., (1969) Perceptrons: an introduction to computational geometry, , MIT Press, Cambridge; Mitchell, R.J., (1990) Managing complexity in software engineering, , Peter Peregrinus, London; Montague, P.R., Dolan, R.J., Friston, K.J., Dayan, P., Computational psychiatry (2012) Trends Cogn Sci, 16 (1), pp. 72-80; Montes, G.A., Goertzel, B., Distributed, decentralized, and democratized artificial intelligence (2019) Technol Forecast Soc Change, 141, pp. 354-358; Newell, A., Simon, H.A., (1972) Human problem solving, , Prentice-Hall, Englewood Cliffs; Newell, A., Shaw, J.C., Simon, H.A., Report on a general problem solving program (1959) IFIP Congress, 256, p. 64; Norvig, P.R., Intelligence, S.A., (2002) A modern approach, , Prentice Hall, Upper Saddle River; Nussbaum, M.C., Virtue ethics: a misleading category? (1999) J Ethics, 3 (3), pp. 163-201; Palmer, A., Schwan, D., Beneficent dehumanization: employing artificial intelligence and carebots to mitigate shame-induced barriers to medical care (2021) Bioethics, 36 (2), pp. 187-193; Peeters, A., Haselager, P., Designing virtuous sex robots (2021) Int J Soc Robot, 13 (1), pp. 55-66; Persson, I., Savulescu, J., (2012) Unfit for the future: the need for moral enhancement, , Oxford University Press, Oxford; Philbeck, T., Davis, N., The fourth industrial revolution (2018) J Int Aff, 72 (1), pp. 17-22; Pietrini, P., Lavazza, A., Farina, M., Covid-19 and biomedical experts: when epistemic authority is (probably) not enough (2022) J Bioeth Inq, 19 (1), pp. 135-142; Raisch, S., Krakowski, S., Artificial intelligence and management: the automation–augmentation paradox (2021) Acad Manag Rev, 46 (1), pp. 192-210; Renda, A., (2019) Artificial intelligence. ethics, governance and policy challenges, , CEPS Centre for European Policy Studies, Brussels; Rosenblatt, F., Perceptron simulation experiments (1960) Proc IRE, 48 (3), pp. 301-309; Rumelhart, D.E., Hinton, G.E., McClelland, J.L., A general framework for parallel distributed processing (1986) Parallel Distrib Process Explor Microstruct Cogn, 1 (45-76), p. 26; Rumelhart, D.E., Widrow, B., Lehr, M.A., The basic ideas in neural networks (1994) Commun ACM, 37 (3), pp. 87-93; Sand, M., Durán, J.M., Jongsma, K.R., Responsibility beyond design: physicians’ requirements for ethical medical AI (2021) Bioethics, 36 (2), pp. 162-169. , (,),., (,):., https://doi.org/10.1111/bioe.12887; Savulescu, J., Moral status of enhances beings: What do we owe the gods? (2009) Human Enhancement, pp. 211-247. , Savulescu J, Bostrom N, Oxford University Press, Oxford, UK; Savulescu, J., Maslen, H., Moral enhancement and artificial intelligence: moral AI? (2015) Beyond Artificial Intelligence: the Disappearing Human-Machine Divide, pp. 79-95. , Romportl J, Zackova E, Kelemen J, Springer, Berlin; Schuller, D., Schuller, B.W., The age of artificial emotional intelligence (2018) Computer, 51 (9), pp. 38-46; Schwaber, K., Scrum development process (1997) Business Object Design and Implementation, pp. 117-134. , Sutherland D, Patel D, Casanave C, Hollowell G, Miller J, Springer, Berlin; Searle, J.R., The Chinese room revisited (1982) Behav Brain Sci, 5 (2), pp. 345-348; Smuha, N.A., The EU approach to ethics guidelines for trustworthy artificial intelligence (2019) Comput Law Rev Int, 20 (4), pp. 97-106; Spiekermann, S., Krasnova, H., Hinz, O., Baumann, A., Benlian, A., Gimpel, H., Heimbach, I., Niehaves, B., Values and ethics in information systems (2022) Bus Inf Syst Eng, 64 (2), pp. 247-264; Spinellis, D., Version control systems (2005) IEEE Softw, 22 (5), pp. 108-109; Stahl, B.C., Concepts of ethics and their application to AI (2021) Artificial Intelligence for a Better Future, Springer Briefs in Research and Innovation Governance, pp. 19-33. , Stahl BC, Springer, Cham; Sternberg, R.J., Components of human intelligence (1983) Cognition, 15 (1-3), pp. 1-48; Storey, M.-A., Ryall, J., Bull, R.I., Myers, D., Singer, J., Todo or to bug (2008) 2008 ACM/IEEE 30Th International Conference on Software Engineering, pp. 251-260. , https://doi.org/10.1145/1368088.1368123, IEEE; Susskind, R.E., Susskind, D., (2015) The future of the professions: how technology will transform the work of human experts, , Oxford University Press, Oxford; Taddeo, M., Floridi, L., How AI can be a force for good (2018) Science, 361 (6404), pp. 751-752; Trappl, R., (2015) A construction manual for robots’ ethical systems, , Springer, Berlin; Turing, A.M., Haugeland, J., (1950) Computing machinery and intelligence, , MIT Press, Cambridge; Vallor, S., (2016) Technology and the virtues: a philosophical guide to a future worth wanting, , Oxford University Press, Oxford; Vallor, S., AI and the automation of wisdom (2017) Philosophy and Computing Essays in Epistemology, Philosophy of Mind, Logic, and Ethics, pp. 161-178. , Powers T, Springer, Berlin; Wajcman, J., Automation: is it really different this time? (2017) Br J Sociol, 68 (1), pp. 119-127; Wallach, W., Vallor, S., Moral machine: From value alignment to embodied virtue (2020) Ethics of Artificial Intelligence, pp. 383-412. , Liao M, Oxford University Press, New York, NYC; Walsh, T., Levy, N., Bell, G., Elliott, A., Maclaurin, J., Mareels, I., Wood, F., (2019) The effective and ethical development of artificial intelligence: an opportunity to improve our wellbeing, , Australian Council of Learned Academies, Melbourne; Wang, R., Legal technology in contemporary USA and China (2020) Comput Law Secur Rev, 39; Wasserman, A.I., Toward a discipline of software engineering (1996) IEEE Softw, 13 (6), pp. 23-31; Weidong, J., The change of judicial power in China in the era of artificial intelligence (2020) Asian J Law Soc, 7 (3), pp. 515-530; Weizenbaum, J., (1976) Computer power and human reason: from judgment to calculation, , WH Freeman &amp; Co, New York; Wiener, N., (1988) The human use of human beings: cybernetics and society, , Da Capo Press, Boston; Wiese, W., Friston, K.J., Ai ethics in computational psychiatry: From the neuroscience of consciousness to the ethics of consciousness (2021) Behav Brain Res, 420, p. 113704; Wright, S.A., Schultz, A.E., The rising tide of artificial intelligence and business automation: developing an ethical framework (2018) Bus Horiz, 61 (6), pp. 823-832; Xia, Q., Sifah, E.B., Asamoah, K.O., Gao, J., Du, X., Guizani, M., Medshare: trust-less medical data sharing among cloud service providers via blockchain (2017) IEEE Access, 5, pp. 14757-14767; Yang, G., Bellingham, J., Dupont, P., Fischer, P., Floridi, L., Full, R., Jacobstein, N., The grand challenges of science robotics (2018) Sci Robot, 3 (14), p. eaar7650</t>
  </si>
  <si>
    <t>Article in Press</t>
  </si>
  <si>
    <t>2-s2.0-85137877053</t>
  </si>
  <si>
    <t>Ai and society: a virtue ethics approach</t>
  </si>
  <si>
    <t>Dollmat K.S., Abdullah N.A.</t>
  </si>
  <si>
    <t>36994597500;26659416000;</t>
  </si>
  <si>
    <t>Machine learning in emotional intelligence studies: a survey</t>
  </si>
  <si>
    <t>Behaviour and Information Technology</t>
  </si>
  <si>
    <t>1485</t>
  </si>
  <si>
    <t>1502</t>
  </si>
  <si>
    <t>10.1080/0144929X.2021.1877356</t>
  </si>
  <si>
    <t>https://www.scopus.com/inward/record.uri?eid=2-s2.0-85099954220&amp;doi=10.1080%2f0144929X.2021.1877356&amp;partnerID=40&amp;md5=b645897ea31110c75104d7291155ee95</t>
  </si>
  <si>
    <t>Faculty of Computing and Informatics, Multimedia University, Cyberjaya, Malaysia; Faculty of Computer Science and Information Technology, University of Malaya, Kuala Lumpur, Malaysia</t>
  </si>
  <si>
    <t>Dollmat, K.S., Faculty of Computing and Informatics, Multimedia University, Cyberjaya, Malaysia; Abdullah, N.A., Faculty of Computer Science and Information Technology, University of Malaya, Kuala Lumpur, Malaysia</t>
  </si>
  <si>
    <t>Research has proven that having high level of emotional intelligence (EI) can reduce the chance of getting mental illness. EI, and its component, can be improved with training, but currently the process is less flexible and very time-consuming. Machine learning (ML), on the other hand, can analyse huge amount of data to discover useful trends and patterns in shortest time possible. Despite the benefits, ML usage in EI training is scarce. In this paper, we studied 92 journal articles to discover the trend of the ML utilisation in the study of EI and its components. This survey aims to pave way for future studies that could lead to implementation of ML in EI training, and to rope in researchers in psychology and computer science to find possibilities of having a generic ML algorithm for every EI’s components. Our findings show an increasing trend to apply ML on EI components, and Support Vector Machine and Neural Network are the two most popular ML algorithms used in those researches. We also found that social skill and empathy are the least exposed EI components to ML. Finally, we provide recommendations for future research direction of ML in EI domain, and EI in ML. © 2021 Informa UK Limited, trading as Taylor &amp; Francis Group.</t>
  </si>
  <si>
    <t>emotional intelligence; Machine learning; Neural Network; Support Vector Machine</t>
  </si>
  <si>
    <t>Diseases; Emotional intelligence; Support vector machines; Surveys; Future research directions; Journal articles; Mental illness; Ml algorithms; Social skills; Learning systems; article; artificial neural network; emotional intelligence; empathy; human; human experiment; machine learning; social competence; support vector machine</t>
  </si>
  <si>
    <t>Abdollahi, A., Carlbring, P., Khanbani, M., Ghahfarokhi, S.A., Emotional Intelligence Moderates Perceived Stress and Suicidal Ideation among Depressed Adolescent Inpatients (2016) Personality and Individual Differences, 102, pp. 223-228; Ahn, W.Y., Kishida, K.T., Gu, X., Lohrenz, T., Harvey, A., Alford, J.R., Smith, K.B., Nonpolitical Images Evoke Neural Predictors of Political Ideology (2014) Current Biology, 24, pp. 2693-2699; Al-Saffar, A., Awang, S., Tao, H., Omar, N., Al-Saiagh, W., Al-Bared, M., Malay Sentiment Analysis Based on Combined Classification Approaches and Senti-Lexicon Algorithm (2018) PLoS ONE, 13 (4); Ali, M., Machot, F.A., Mosa, A.H., Jdeed, M., Machot, E.A., Kyamakya, K., A Globally Generalized Emotion Recognition System Involving Different Physiological Signals (2018) Sensors, 18 (6); Alm, C.O., Roth, D., Sproat, R., Emotions from Text: Machine Learning for Text-Based Emotion Prediction (2005) Proceedings of the Human Language Technology Conference and the 2005 Conference on Empirical Methods in Natural Language Processing, pp. 579-586. , Vancouver, Canada: 6-8 October 2005, and; Álvarez, A., Sierra, B., Arruti, A., Gil, J.M.L., Vitoria, N.G., Classifier Subset Selection for the Stacked Generalization Method Applied to Emotion Recognition in Speech (2015) Sensors, 16 (21); Al Zoubi, O., Awad, M., Kasabov, N.K., Anytime Multipurpose Emotion Recognition Form EEG Data Using a Liquid State Machine Based Framework (2018) Artificial Intelligence in Medicine, 86, pp. 1-8; Amini, R., Sabourin, C., Koninck, J.D., Word Associations Contribute to Machine Learning in Automatic Scoring of Degree of Emotional Tones in Dream Reports (2011) Consciousness and Cognition, 20, pp. 1570-1576; Anaya, A.R., Boticario, J.G., A Domain-Independent, Transferable and Timely Analysis Approach to Assess Student Collaboration (2013) International Journal on Artificial Intelligence Tools, 22 (4); Arruti, A., Cearreta, I., Álvarez, A., Lazkano, E., Sierra, B., Feature Selection for Speech Emotion Recognition in Spanish and Basque: On the Use of Machine Learning to Improve Human-Computer Interaction (2014) PLoS ONE, 9 (10); Babiker, A., Faye, I., Prehn, K., Malik, A., Machine Learning to Differentiate Between Positive and Negative Emotions Using Pupil Diameter (2015) Frontiers in Psychology; Bacon, A.M., Maughan, L.L., May, J., Trait Emotional Intelligence and Social Deviance in Males and Females (2018) Personality and Individual Differences, 122, pp. 79-86; Baggott, M.J., Kirkpatrick, M.G., Bedi, G., Wit, H.D., Intimate Insight: MDMA Changes How People Talk About Significant Others (2015) Journal of Psychopharmacology, 29 (6), pp. 669-677; Bang, J., Hur, T., Kim, D., The, T.H., Lee, J., Han, Y., Banos, O., Lee, S., Adaptive Data Boosting Technique for Robust Personalized Speech Emotion in Emotionally-Imbalanced Small-Sample Environment (2018) Sensors, 18, p. 3744; Banos, O., Villalonga, C., Bang, J., Hur, T., Kang, D., Park, S., Huynh-The, T., Human Behavior Analysis by Means of Multimodal Context Mining (2016) Sensors, 16 (8), p. 1264; Bao, X., Xue, S., Kong, F., Dispositional Mindfulness and Perceived Stress: The Role of Emotional Intelligence (2015) Personality and Individual Differences, 78, pp. 48-52; Bar-On, R., (2002) EQ-i: Baron Emotional Quotient Inventory: A Measure of Emotional Intelligence. Technical Manual, , North Tonawanda, NY: Multi-Health System; Barboza, F., Kimura, H., Altman, E., Machine Learning Models and Bankruptcy Prediction (2017) Expert System with Application, 83, pp. 405-417; Bass, C.W., Suchting, R., Olvera, R.L., Williamson, D.E., Inflammatory Markers as Predictors of Depression and Anxiety in Adolescents: Statistical Model Building with Component-Wise Gradient Boosting (2018) Journal of Affective Disorder, 234, pp. 276-281; Beath, A.P., Jones, M.P., Fitness, J., Predicting Distress via Emotion Regulation and Coping: Measurement Variance in Trait EI Scales (2015) Personality and Individual Differences, 84, pp. 45-51; Bedi, G., Cecchi, G.A., Slezak, D.F., Carrillo, F., Sigman, M., Wit, H.D., A Window Into the Intoxicated Mind? Speech as an Index of Psychoactive Drug Effects (2014) Neuropsychopharmacology, 39, pp. 2340-2348; Birnbaum, M.L., Ernala, S.K., Rizvi, A.F., Choudhury, M.D., Kane, J.M., A Collaborative Approach to Identifying Social Media Markers of Schizophrenia by Employing Machine Learning and Clinical Appraisals (2017) Journal of Medical Internet Research, 19 (8), p. e289; Buolamwini, J., Gebru, T., Gender Shades: Intersectional Accuracy Disparities in Commercial Gender Classification (2018) Conference on Fairness, Accountability and Transparency, 81, pp. 77-91; Calvo, R.A., O’Rourke, S.T., Jones, J., Yacef, K., Reimann, P., Collaborative Writing Support Tools on the Cloud (2011) IEEE Transaction on Learning Technologies, 4 (1), pp. 88-97; Cardoso-Leite, P., Bavelier, D., video Game Play, Attention, and Learning: how to Shape the Development of Attention and Influence Learning? (2014) Current Opinion in Neurology, 27 (2), pp. 185-191; Cejudo, J., Effects of a Programme to Improve Emotional Intelligence on Psychosocial Adjustment and Academic Performance in Primary Education/Efectos de un programa de mejora de la inteligencia emocional sobre el ajuste psicosocial yel rendimiento académico en educación primaria (2017) Infancia y Aprendizaje / Journal for the Study of Education and Development, 40 (3), pp. 503-530; Celebi, M., Aydin, K., (2016), Unsupervised Learning Algorithms; Cen, L., Ruta, D., Powell, L., Hirsch, B., Ng, J., Quantitative Approach to Collaborative Learning: Performance Prediction, Individual Assessment, and Group Composition (2016) International Journal of Computer-Supported Collaborative Learning, 11 (2), pp. 187-225; Chen, C.M., Lee, T.H., Emotion Recognition and Communication for Reducing Second-Language Speaking Anxiety in a Web-Based one-to-one Synchronous Learning Environment (2011) British Journal of Educational Technology, 42 (3), pp. 417-440; Chimeno, Y., Zapirain, G., Beldarrain, B.G., Ruanova, M.G., Monco, B.F., Automatic Migraine Classification via Feature Selection Committee and Machine Learning Techniques Over Imaging and Questionnaire Data (2017) BMC Medical Informatics and Decision Making, 17, p. 38; Choi, E.J., Kim, D.K., Arousal and Valance Classification Model Based on Long Short-Term Memory and DEAP Data for Mental Healthcare Management (2018) Healthcare Informatics Research, 24 (4), pp. 309-316; Choi, S., Lee, J., Kang, M.G., Min, H., Chang, Y.S., Yoon, S., Large-scale Machine Learning of Media Outlets for Understanding Public Reaction to Nation-Wide Viral Infection Outbreaks (2017) Methods, 129, pp. 50-59; Cliffe, J., Emotional Intelligence: A Study of Female Secondary School Head-Teachers (2011) Educational Management Administration &amp; Leadership, 39 (2), pp. 205-218; Coutinho, E., Gentsch, K., Peer, J.V., Scherer, K.R., Schuller, B.W., Evidence of Emotion-Antecedent Appraisal Checks in Elecroencephalography and Facial Electromyography (2018) PLoS ONE, 13 (1); Dalins, J., Wilson, C., Carman, M., Criminal Motivation on the Dark web: A Categorisation Model for Law Enforcement (2018) Digital Investigation, 24, pp. 62-71; Daly, I., Williams, D., Hallowell, J., Hwang, F., Kirke, A., Malik, A., Weaver, J., Nasuto, S.J., Music-induced Emotions can be Predicted from a Combination of Brain Activity and Acoustic Features (2015) Brain and Cognition, 101; Deetjen, U., Powell, J.A., Informational and Emotional Elements in Online Support Groups: A Bayesian Approach to Large-Scale Content Analysis (2016) Journal of the American Medical Informatics Association, 23, pp. 508-513; Dehghan, A., Ortiz, E.G., Shu, G., Masood, S.Z., Dager: Deep Age, Gender and Emotion Recognition Using Convolutional Neural Network (2017) arXiv Preprint ArXiv, , CoRR abs/1702.04280; Eisenberg, I.W., Bissett, P.G., Canning, J.R., Dallery, J., Enkavi, A.Z., Gabrieli, S.W., Gonzalez, O., Applying Novel Technologies and Methods to Inform the Ontology of Self-Regulation (2018) Behaviour Research and Therapy, 101, pp. 46-57; Erol, B.A., Majumdar, A., Benavidez, P., Rad, P., Choo, K.K.R., Jamshidi, M., Toward Artificial Emotional Intelligence for Cooperative Social Human–Machine Interaction (2020) IEEE Transactions On Computational Social SystemS, 7 (1), pp. 234-246; Fabio, A.D., Saklofske, D.H., Comparing Ability and Self-Report Trait Emotional Intelligence, Fluid Intelligence, and Personality Traits in Career Decision (2014) Personality and Individual Differences, 64, pp. 174-178; Fayek, H.M., Lech, M., Cavedon, L., Evaluating Deep Learning Architectures for Speech Emotion Recognition (2017) Neural Networks, 92, pp. 60-68; Feng, C., Cui, Z., Cheng, D., Xu, R., Gu, R., Individualized Prediction of Dispositional Worry Using White Matter Connectivity (2018) Psychological Medicine; Fernández-Gavilanes, M., Juncal-Martínez, J., García-Méndez, S., Costa-Montenegro, E., González-Castaño, F.J., Creating Emoji Lexica from Unsupervised Sentiment Analysis of Their Description (2018) Expert Systems with Application, 103, pp. 74-91; Fernandez, S.A., Brown, H.R., Zhao, Y., Raithel, J.A., Bishop, S.L., Kern, S.B., Lord, C., Martino, A.D., Perceived Social Support in Adults with Autism Spectrum Disorder and Attention-Deficit/Hyperactivity Disorder (2017) International Society for Autism Research, 10, pp. 866-877; Foland-Ross, L.C., Sacchet, M.D., Prasad, G., Gilbert, B., Thompson, P.M., Gotlib, I.H., Cortical Thickness Predicts the First Onset of Major Depression in Adolescene (2015) International Journal of Developmental Neuroscience, 46, pp. 125-131; Foster, K., Fethney, J., McKenzie, H., Fisher, M., Harkness, E., Kozlowski, D., Emotional Intelligence Increases Over Time: A Longitudinal Study of Australian pre-Registration Nursing Students (2017) Nurse Education Today, 55, pp. 65-70; García-Sancho, E., Salguero, J.M., Fernández-Berrocal, P., Angry Rumination as a Mediator of the Relationship Between Ability Emotional Intelligence and Various Types of Aggression (2015) Personality and Individual Differences, 89, pp. 143-147; Gatsoulis, Y., McGinnity, T.M., Intrinsically Motivated Learning Systems Based on Biologically-Inspired Novelty Detection (2015) Robotic and Autonomous Systems, 68, pp. 12-20; Gęsiarz, F., Crockett, M.J., Goal-directed, Habitual and Pavlovian Prosocial Behavior (2015) Frontiers in Behavioral Neuroscience, 9; Goleman, D., (1995) Emotional Intelligence: Why It Can Matter More Than IQ, , New York: Bantam; Gribble, N., Ladyshewsky, R.K., Parsons, R., Changes in the Emotional Intelligence of Occupational Therapy Students During Practice Education: A Longitudinal Study (2018) British Journal of Occupational Therapy, 81 (7), pp. 413-422; Herpertz, S., Schütz, A., Nezlek, J., Enhancing Emotion Perception, a Fundamental Component of Emotional Intelligence: Using Multiple-Group SEM to Evaluate a Training Program (2016) Personality and Individual Differences, 95, pp. 11-19; Hettich, D.T., Bolinger, E., Matuz, T., Birbaumer, N., Rosenstiel, W., Spüler, M., EEG Responses to Auditory Stimuli for Automatic Affect Recognition (2016) Frontiers in Neuroscience, 10, p. 244; Hussain, M., Zhu, W., Zhang, W., Abidi, S.M.R., Student Engagement Prediction in an e-Learning System and Their Impact on Student Course Assessment Scores (2018) Computational Intelligence and Neuroscience; Inkster, B., Sarda, S., Subramanian, V., An Empathy-Drive, Conversational Artificial Intelligence Agent (Wysa) for Digital Mental Well-Being: Real-World Data Evaluation Mixed-Methods Study (2018) JMIR Mhealth and Uhealth, 6 (11); Jang, E.H., Park, B.J., Park, S.H., Sohn, J.H., Analysis of Physiological Signal for Recognition of Boredom, Pain, and Surprise Emotions (2015) Journal of Physiological Anthropology, 34, p. 25; Jeong, J.W., Wendimagegn, T.W., Chang, E., Chun, Y., Park, J.H., Kim, H.J., Kim, H.T., Classifying Schizotypy Using an Audiovisual Emotion Perception Test and Scalp Electroencephalography (2017) Frontiers in Human Neuroscience, 11, p. 450; Just, M.A., Pan, L., Cherkassky, V.L., McMakin, D., Cha, C., Nock, M.K., Brent, D., Machine Learning of Neural Representations of Suicide and Emotion Concepts Identifies Suicidal Youth (2017) Nature Human Behaviour, 1, pp. 911-919; Karstoft, K.I., Statnikov, A., Andersen, S.B., Madsen, T., Levy, I.R.G., Early Identification of Posttraumatic Stress Following Military Deployment: Application of Machine Learning Methods to a Prospective Study of Danish Soldiers (2015) Journal of Affective Disorder, 184, pp. 170-175; Kessler, R., Loo, C., Wardenaar, H.M.V., Bossarte, K.J., Brenner, R.M., Cai, L.A., Ebert, T., Testing a Machine-Learning Algorithm to Predict the Persistence and Severity of Major Depressive Disorder from Baseline Self-Report (2016) Molecular Psychiatry, 21 (10), pp. 1366-1371; Khashman, A., Modelling Cognitive and Emotional Process: A Novel Neural Network Architecture (2010) Neural Networks, 23, pp. 1155-1163; Kim, Y.B., Lee, S.H., Kang, S.J., Choi, M.J., Lee, J., Kim, C.H., Virtual World Currency Value Fluctuation Prediction System Based on User Sentiment Analysis (2015) PLoS ONE, 10, p. 8; Klebanov, B.B., Burstein, J., Harackiewicz, J.M., Priniski, S.J., Mulholland, M., Reflective Writing About the Utility Value of Science as a Tool for Increasing STEM Motivation and Retention–Can AI Help Scale Up? (2017) International Journal of Artificial Intelligence in Education, 27 (4), pp. 791-818; Kotsiantis, S., Supervised Machine Learning: A Review of Classification Techniques (2007) Informatica (Ljubljana), 31 (3), pp. 249-268; Lacoviello, D., Petracca, A., Spezialetti, M., Placidi, G., A Real-Time Classification Algorithm for EEG-Based BCI Driven by Self-Induced Emotions (2015) Computer Methods and Programs in Biomedicine, 122, pp. 293-303; Li, S., Cui, L., Zhu, C., Li, B., Zhao, N., Zhu, T., Emotion Recognition Using Kinect Motion Capture Data of Human Gaits (2018) PeerJ; Li, Y., Hou, X., Wei, D., Du, X., Zhang, Q., Liu, G., Qiu, J., Long-Term Effects of Acute Stress on the Prefrontal-Limbic System in the Healthy Adult (2017) PLoS ONE, 12 (1); Li, Y., Wang, S., Zhao, Y., Ji, Q., Simultaneous Facial Feature Tracking and Facial Expression Recognition (2013) IEEE Transactions on Image Processing, 22 (7), pp. 2559-2573; Li, L., Xu, Q., Gan, T., Tan, C., Lim, J.H., A Probabilistic Model of Social Working Memory for Information Retrieval in Social Interaction (2018) IEEE Transactions on Cybernetics, 48 (5), pp. 1540-1552; Lin, Y.P., Jao, P.K., Yang, Y.H., Improving Cross-Day EEG-Based Emotion Classification Using Robust Principal Component Analysis (2017) Frontiers in Computational Neuroscience, 11 (64); Lin, F.R., Kao, C.M., Mental Effort Detection Using EEG Data in e-Learning Contexts (2018) Computers &amp; Education, 122, pp. 63-79; Lin, Y.P., Wang, C.H., Jung, T.P., Wu, T.L., Jeng, S.K., Duann, J.R., Chen, J.H., EEG-Based Emotion Recognition in Music Listening (2010) IEEE Transactions on Biomedical Engineering, 57 (7), pp. 1789-1806; Lin, Y.P., Yang, Y.H., Jung, T.P., Fusion of Electroencephalographic Dynamics and Musical Contents for Estimating Emotional Responses in Music Listening (2014) Frontiers in Neuroscience, 8 (94); López-gil, J.M., Virgili-Gomá, J., Gil, R., Guilera, T., Batalla, I., Soler-González, J., García, R., Method for Improving EEG Based Emotion Recognition by Combining It with Synchronized Biometric and Eye Tracking Technologies in a Non-Invasive and Low Cost Way (2016) Frontiers in Computational Neuroscience, 10; Luo, Q., Ma, Y., Bhatt, M.A., Montague, P.R., Feng, J., The Functional Architecture of the Brain Underlies Strategic Deception in Impression Management (2017) Frontiers in Human Neuroscience, 11, p. 513; Marguerite, S., Laurent, B., Marine, A., Tanguy, L., Karine, B., Pascal, A., Xavier, Z., Actor-partner Interdependence Analysis in Depressed Patient-Caregiver Dyads: Influence of Emotional Intelligence and Coping Strategies on Anxiety and Depression (2017) Psychiatry Research, 258, pp. 396-401; Mattingly, V., Kraiger, K., Can Emotional Intelligence be Trained? (2018) A Meta-Analytical Investigation. Human Resource Management Review; Mayer, J.D., Salovey, P., What is Emotional Intelligence? (1997) Emotional Development and Emotional Intelligence: Implications for Educators, pp. 3-31. , Salovey P., Sluyter D., (eds), New York, NY: Basic Books, and,. edited by; Mayer, J.D., Salovey, P., Caruso, D., (2002) Mayer-Salovey-Caruso Emotional Intelligence Test (MSCEIT) User’s Manual, , Toronto, ON: MHS; Mermarian, N., Torre, J.B., Haltom, K.E., Stanton, A.L., Lieberman, M.D., Neural Activity During Affect Labelling Predicts Expressive Writing Effects on Well-Being: GLM and SVM Approach (2017) Social Cognitive and Affective Neuroscience, 12 (9), pp. 1437-1447; Merrick, K.E., A Comparative Study of Value System for Self-Motivated Exploration and Learning by Robots (2010) IEEE Transaction on Autonomous Mental Development, 2 (2), pp. 119-131; Mistry, K., Zhang, L., Neoh, S.C., Lim, C.P., Fielding, B., A Micro-GA Embedded PSO Feature Selection Approach to Intelligent Facial Emotion Recognition (2017) IEEE Transaction on Cybernetics, 47 (6), pp. 1496-1509; Modinos, G., Mechelli, A., Petterson-Yeo, W., Allen, P., McGuire, P., Aleman, A., Pattern Classification of Brain Activation During Emotional Processing in Subclinical Depression: Psychosis Proneness as Potential Confounding Factor (2013) PeerJ; Moghadam, S.M., Seyyedsalehi, S.A., Nonlinear Analysis and Synthesis of Video Images Using Deep Dynamic Bottleneck Neural Networks for Face Recognition (2018) Neural Networks, 105, pp. 304-315; Mohan, D.M., Kumar, P., Mahmood, F., Wong, K.F., Agrawal, A., Elgendi, M., Shukla, R., Effect of Subliminal Lexical Priming on the Subjective Perception of Images: A Machine Learning Approach (2016) PLoS ONE, 11, p. 2; Mokhtari, F., Rajeski, W.J., Zhu, Y., Wu, G., Simpson, S.L., Burdette, J.H., Laurienty, P.J., Dynamic fMRI Networks Predict Success in a Behavioral Weight Loss Program among Older Adults (2018) NeuroImage, 173, pp. 421-433; Molina, A.I., Jurado, F., Doque, R., Redondo, M.A., Bravo, C., Ortega, M., Applying Genetic Classifier Systems for the Analysis of Activities in Collaborative Learning Environments (2011) Computer Applications in Engineering Education, 21 (4), pp. 704-716; Monteagudo, M.C.M., Inglés, C.J., Granados, L., Aparisi, D., Fernández, J.M.G., Trait Emotional Intelligence Profiles, Burnout, Anxiety, Depression, and Stress in Secondary Education Teachers (2019) Personality and Individual Differences, 142, pp. 53-61; Negnevitsky, M., (2005) Artificial Intelligence: A Guide to Intelligent System Second Edition, , England: Pearson; Nicholson, A.A., Densmore, M., McKinnon, M.C., Neufeld, R.W.J., Frewen, P.A., Théberge, J., Jetly, R., Lanius, R.A., Machine Learning Multivariate Pattern Analysis Predicts Classification of Posttraumatic Stress Disorder and its Dissociative Subtype: A Multimodal Neuroimaging Approach (2018) Psychological Medicine, 1 (11); Özerdem, M.S., Polat, H., Emotion Recognition Based on EEG Features in Movie Clips with Channel Selection (2017) Brain Informatics, 4, pp. 241-252; Petrides, K.V., Four Thought on Trait Emotional Intelligence (2016) Emotion Review, 8 (4), p. 345; Petrides, K.V., Furnham, A., Trait Emotional Intelligence: Psychometric Investigation with Reference to Established Trait Taxonomies (2001) European Journal of Personality, 15, pp. 425-448; Petrides, K.V., Furnham, A., Trait Emotional Intelligence: Behavioural Validation in Two Studies of Emotion Recognition and Reactivity to Mood Induction (2003) European Journal of Personality, 17, pp. 39-57; Petrides, K.V., Mikolajczak, M., Mavroveli, S., Sanchez-Ruiz, M.J., Furnham, A., Pérez-González, J.C., Developments in Trait Emotional Intelligence Research (2016) Emotion Review, 8 (4), pp. 335-341; Pläschke, R.N., Cieslik, E.C., Müller, V.I., Hoffstaedter, F., Plachti, A., Varikuti, D.P., Goosses, M., On the Integrity of Functional Brain Networks in Schizophrenia, Parkinson’s Disease, and Advanced Age: Evidence from Connectivity-Based Single-Subject Classification (2017) Human Brain Mapping, 38 (12), pp. 5845-5858; Pocnet, C., Dupuis, M., Congrad, A., Jopp, D., Personality and its Links to Quality of Life: Mediating Effects of Emotion Regulation and Self-Efficacy Beliefs (2017) Motivation and Emotion, 41 (2), pp. 196-208; Polytak, S.T., Davier, A.A.V., Peterschmidt, K., Computational Psychometrics for the Measurement of Collaborative Problem Solving Skills (2017) Frontiers in Psychology; Poria, S., Cambria, E., Howard, N., Huang, G.B., Hussain, A., Fusing Audio, Visual and Textual Clues for Sentiment Analysis from Multimodal Content (2015) Neurocomputing, 174, pp. 50-59; Portugal, I., Alencar, P., Cowan, D., The use of Machine Learning Algorithm in Recommender System: A Systematic Review (2018) Expert System with Application, 97, pp. 205-227; Qin, S., Young, C.B., Duan, X., Chen, T., Supekar, K., Menon, V., Amygdala Subregional Structure and Intrinsic Functional Connectivity Predicts Individual Differences in Anxiety During Early Childhood (2014) Biological Psychiatry, 75 (11), pp. 892-900; Ramirez, R., Planas, J., Escude, N., Mercade, J., Farriols, C., EEG-Based Analysis of the Emotional Effect of Music Therapy on Palliative Care Cancer Patients (2018) Frontiers in Psychology, 9, p. 254; Rosales, J.H., Ramos, F., Ramos, M., Cervantes, J.A., Search for an Appropriate Behavior Within the Emotional Regulation in Virtual Creatures Using a Learning Classifier System (2017) Computational Intelligence and Neuroscience; Sevel, L.S., Boissoneault, J., Letzen, J.E., Robinson, M.E., Staud, R., Structural Brain Changes Versus Self-Report: Machine-Learning Classification of Chronic Fatigue Syndrome Patients (2018) Experimental Brain Research, 36, pp. 2245-2253; Shojaeilangari, S., Yau, W.Y., Li, J., Teoh, W.K., Robust Representation and Recognition of Facial Emotions Using Extreme Sparse Engineering (2015) IEEE Transactions on Image Processing, 24 (7), pp. 2140-2152; Shon, D., Im, K., Park, J.H., Lim, D.S., Jang, B., Kim, J.M., Emotional Stress State Detection Using Genetic Algorithm-Based Feature Selection on EEG Signals (2018) International Journal of Environmental Research and Public Health, 15, p. 2461; Silva, N.F.F., Coletta, L.F.S., Hruschka, E.R., Hruschka, E.R., Jr., A Survey and Comparative Study of Tweet Sentiment Analysis via Semi-Supervised Learning (2016) ACM Computing Surveys, 49 (1); Simões, M., Monteiro, R., Andrade, J., Mouga, S., França, F., Oliveira, G., Carvalho, P., Branco, M.C., A Novel Biomarker of Compensatory Recruitment of Face Emotions Imagery Networks in Autism Spectrum Disorder (2018) Frontiers in Neuroscience, 12 (791); Soleymani, M., Riegler, M., Halvorsen, P., Multimodal Analysis of User Behavior and Browsed Content Under Different Image Search Intents (2018) International Journal of Multimedia Information Retrieval, 7 (1), pp. 29-41; Soroush, M.Z., Maghooli, K., Setarehdan, S.K., Nasrabadi, S.M., "Emotion recognition through EEG phase space dynamics and Dempster-Shafer theory (2018) Medical Hypotheses, 127, pp. 34-45; Tang, D., Yusuf, B., Botzheim, J., Kubota, N., Chan, C.S., A Novel Multimodal Communication Framework Using Robot Partner for Aging Population (2015) Expert Systems with Application, 42, pp. 4540-4555; Tavakoli, H.R., Atyabi, A., Rantanen, A., Laukka, S.J., Meziani, S.N., Heikkilä, J., Predicting the Valence of a Scene from Observers’ Eye Movement (2015) PLoS ONE, 10, p. 9; Troussas, C., Virvou, M., Alepis, E., Comulang: Towards a Collaborative e-Learning System That Supports Student Group Modelling (2013) SpringerPlus; Urizar, O.J., Baig, M.S., Barakova, E.I., Regazzoni, C.S., Marcenaro, L., Rauterberg, M., A Hierarchical Bayesian Model for Crowd Emotions (2016) Frontiers in Computational Neuroscience, 10; Vaughn, D.A., Savjani, R.R., Cohen, M.S., Eagleman, D.M., Empathic Neural Responses Predict Group Allegiance (2018) Frontiers in Human Neuroscience, 12 (302); Vempala, N.N., Russo, F.A., Modelling Music Emotion Judgements Using Machine Learning Methods (2018) Frontiers in Psychology, 8, p. 2239; Vesely, A.K., Saklofske, D.H., NordStokke, D.W., EI Training and pre-Service Teacher Wellbeing (2014) Personality and Individual Differences, 65, pp. 81-85; Viswanathan, S.A., VanLehn, K., Using the Tablet Gestures and Speech of Pairs of Students to Classify Their Collaboration (2018) IEEE Transaction on Learning Technologies, 11 (2), pp. 230-242; Webster, E., Sekaviriya, N., Chang, H.Y., Kozloski, J., Predicting Cognitive States from Wearable Recordings of Autonomic Function (2017) IBM Journal of Research and Development, 61 (2-3), pp. 2:1-2:11; Wen, G., Li, H., Huang, J., Li, D., Xun, E., Random Deep Belief Networks for Recognizing Emotions from Speech Signals (2017) Computational Intelligence and Neuroscience; (2001), https://www.who.int/whr/2001/en/, The World Health Report, 2001. Retrieved from; (2018), http://www.who.int/en/news-room/fact-sheets/detail/depression, Depression,. Retrieved from; Yin, Z., Wang, Y., Zhang, W., Zhang, J., Cross-Subject EEG Feature Selection for Emotion Recognition Using Transfer Recursive Feature Elimination (2017) Frontiers in Neurorobotics, 11, p. 19; Yuvaraj, R., Murugappan, M., Ibrahim, N.M., Sundaraj, K., Omar, M.I., Mohama, K., Palaniappan, R., Optimal Set of EEG Features for Emotional State Classification and Trajectory Visualisation in Parkinson’s Disease (2014) International Journal of Psychophysiology, 94, pp. 482-495; Zanette, S., Gao, X., Brunet, M., Bartlett, M.S., Lee, K., Automated Decoding of Facial Expressions Reveals Marked Differences in Children When Telling Antisocial Versus Prosocial Lies (2016) Journal of Experimental Child Psychology, 150, pp. 165-179; Zhang, Q., Li, B., Relative Hidden Markov Models for Video-Base Evaluation of Motion Skills in Surgical Training (2015) IEEE Transactions on Pattern Analysis and Machine Intelligence, 37 (6), pp. 1206-1218; Zhu, Y., Ghosh, D., Coffman, D.L., Savage, J.S., Estimating Controlled Direct Effects on Restrictive Feeding Practices in the ‘Early Dieting in Girls’ Study (2016) Journal of The Royal Statistical Society Series C-Applied Statistics, 65 (1), pp. 115-130; Zwir, I., Arnedo, J., Val, C.D., Råback, L.P., Konte, B., Yang, S.S., Zaliz, R.R., Uncovering the Complex Genetics of Human Character (2018) Molecular Psychiatry</t>
  </si>
  <si>
    <t>0144929X</t>
  </si>
  <si>
    <t>BEITD</t>
  </si>
  <si>
    <t>Behav Inf Technol</t>
  </si>
  <si>
    <t>2-s2.0-85099954220</t>
  </si>
  <si>
    <t>Chang H., Zong Y., Zheng W., Tang C., Zhu J., Li X.</t>
  </si>
  <si>
    <t>57222146751;57038101500;7403566545;57193794835;57770267400;57559405000;</t>
  </si>
  <si>
    <t>Depression Assessment Method: An EEG Emotion Recognition Framework Based on Spatiotemporal Neural Network</t>
  </si>
  <si>
    <t>837149</t>
  </si>
  <si>
    <t>10.3389/fpsyt.2021.837149</t>
  </si>
  <si>
    <t>https://www.scopus.com/inward/record.uri?eid=2-s2.0-85127474587&amp;doi=10.3389%2ffpsyt.2021.837149&amp;partnerID=40&amp;md5=c9992c52fadd1aaac50690c14716098f</t>
  </si>
  <si>
    <t>Key Laboratory of Child Development and Learning Science, Ministry of Education, Southeast University, Nanjing, China; School of Information Science and Engineering, Southeast University, Nanjing, China</t>
  </si>
  <si>
    <t>Chang, H., Key Laboratory of Child Development and Learning Science, Ministry of Education, Southeast University, Nanjing, China, School of Information Science and Engineering, Southeast University, Nanjing, China; Zong, Y., Key Laboratory of Child Development and Learning Science, Ministry of Education, Southeast University, Nanjing, China; Zheng, W., Key Laboratory of Child Development and Learning Science, Ministry of Education, Southeast University, Nanjing, China; Tang, C., Key Laboratory of Child Development and Learning Science, Ministry of Education, Southeast University, Nanjing, China; Zhu, J., Key Laboratory of Child Development and Learning Science, Ministry of Education, Southeast University, Nanjing, China, School of Information Science and Engineering, Southeast University, Nanjing, China; Li, X., Key Laboratory of Child Development and Learning Science, Ministry of Education, Southeast University, Nanjing, China</t>
  </si>
  <si>
    <t>The main characteristic of depression is emotional dysfunction, manifested by increased levels of negative emotions and decreased levels of positive emotions. Therefore, accurate emotion recognition is an effective way to assess depression. Among the various signals used for emotion recognition, electroencephalogram (EEG) signal has attracted widespread attention due to its multiple advantages, such as rich spatiotemporal information in multi-channel EEG signals. First, we use filtering and Euclidean alignment for data preprocessing. In the feature extraction, we use short-time Fourier transform and Hilbert–Huang transform to extract time-frequency features, and convolutional neural networks to extract spatial features. Finally, bi-directional long short-term memory explored the timing relationship. Before performing the convolution operation, according to the unique topology of the EEG channel, the EEG features are converted into 3D tensors. This study has achieved good results on two emotion databases: SEED and Emotional BCI of 2020 WORLD ROBOT COMPETITION. We applied this method to the recognition of depression based on EEG and achieved a recognition rate of more than 70% under the five-fold cross-validation. In addition, the subject-independent protocol on SEED data has achieved a state-of-the-art recognition rate, which exceeds the existing research methods. We propose a novel EEG emotion recognition framework for depression detection, which provides a robust algorithm for real-time clinical depression detection based on EEG. Copyright © 2022 Chang, Zong, Zheng, Tang, Zhu and Li.</t>
  </si>
  <si>
    <t>convolutional neural network (CNN); depression; electroencephalogram (EEG); emotion recognition; long-short term memory network (LSTM)</t>
  </si>
  <si>
    <t>algorithm; Article; artificial neural network; clinical article; clinical feature; controlled study; convolutional neural network; data processing; depression; disease assessment; electroencephalogram; emotion; Fourier transform infrared spectroscopy; human; long term memory; practice guideline; short term memory; three-dimensional imaging; validation study</t>
  </si>
  <si>
    <t>Daros, A.R., Haefner, S.A., Asadi, S., Kazi, S., Rodak, T., Quilty, L.C., A meta-analysis of emotional regulation outcomes in psychological interventions for youth with depression and anxiety (2021) Nat Hum Behav, 5, pp. 1443-1457. , 34545236; Vanderlind, W.M., Millgram, Y., Baskin-Sommers, A.R., Clark, M.S., Joormann, J., Understanding positive emotion deficits in depression: from emotion preferences to emotion regulation (2020) Clin Psychol Rev, 76, p. 101826. , 32058881; Dolan, R.J., Emotion, cognition, and behavior (2002) Science, 298, pp. 1191-1194. , 12424363; Balconi, M., Lucchiari, C., EEG correlates (event-related desynchronization) of emotional face elaboration: a temporal analysis (2006) Neurosci Lett, 392, pp. 118-123. , 16202519; Bekkedal, M.Y., Rossi III, J., Panksepp, J., Human brain EEG indices of emotions: delineating responses to affective vocalizations by measuring frontal theta event-related synchronization (2011) Neurosci Biobehav Rev, 35, pp. 1959-1970. , 21596060; Davidson, P.R., Jones, R.D., Peiris, M.T., EEG-based lapse detection with high temporal resolution (2007) IEEE Trans Biomed Eng, 54, pp. 832-839. , 17518279; Zheng, W.L., Lu, B.L., Investigating critical frequency bands and channels for EEG-based emotion recognition with deep neural networks (2015) IEEE Trans Auton Ment Dev, 7, pp. 162-175; Gross, J.J., Mu noz, R.F., Emotion regulation and mental health (1995) Clin Psychol (New York), 2, pp. 151-164; Jordan, K.G., Continuous EEG and evoked potential monitoring in the neuroscience intensive care unit (1993) J Clin Neurophysiol, 10, pp. 445-475. , 8308143; Chanel, G., Kierkels, J.J., Soleymani, M., Pun, T., Short-term emotion assessment in a recall paradigm (2009) Int J Hum Comput Stud, 67, pp. 607-627; Adolphs, R., Gosselin, F., Buchanan, T.W., Tranel, D., Schyns, P., Damasio, A.R., A mechanism for impaired fear recognition after amygdala damage (2005) Nature, 433, pp. 68-72. , 15635411; Blair, R., Morris, J.S., Frith, C.D., Perrett, D.I., Dolan, R.J., Dissociable neural responses to facial expressions of sadness and anger (1999) Brain, 122, pp. 883-893. , 10355673; Adolphs, R., Tranel, D., Impaired judgments of sadness but not happiness following bilateral amygdala damage (2004) J Cogn Neurosci, 16, pp. 453-462. , 15072680; Wicker, B., Keysers, C., Plailly, J., Royet, J.P., Gallese, V., Rizzolatti, G., Both of us disgusted in My insula: the common neural basis of seeing and feeling disgust (2003) Neuron, 40, pp. 655-664. , 14642287; Balconi, M., Mazza, G., Brain oscillations and BIS/BAS (behavioral inhibition/activation system) effects on processing masked emotional cues.: ERS/ERD and coherence measures of alpha band (2009) Int J Psychophysiol, 74, pp. 158-165. , 19709636; Liu, Y., Sourina, O., Nguyen, M.K., Real-time EEG-based emotion recognition and its applications (2011) Transactions on Computational Science XII, pp. 256-277. , Berlin; Heidelberg, Springer, In:, :; p; Jatupaiboon, N., Pan-ngum, S., Israsena, P., Emotion classification using minimal EEG channels and frequency bands (2013) The 2013 10th International Joint Conference on Computer Science and Software Engineering (JCSSE), pp. 21-24. , In:, Khon Kaen: IEEE p; Li, M., Lu, B.L., Emotion classification based on gamma-band EEG (2009) 2009 Annual International Conference of the IEEE Engineering in Medicine and Biology Society, pp. 1223-1226. , Minneapolis, MN, IEEE, 19964505, In:, :, p; Park, K.S., Choi, H., Lee, K.J., Lee, J.Y., An, K.O., Kim, E.J., Emotion recognition based on the asymmetric left and right activation (2011) Int J Medical Sci, 3, pp. 201-209. , 27263509; Hjorth, B., EEG analysis based on time domain properties (1970) Electroencephalogr Clin Neurophysiol, 29, pp. 306-310. , 4450070; Petrantonakis, P.C., Hadjileontiadis, L.J., Emotion recognition from EEG using higher order crossings (2009) IEEE Trans Learn Technol, 14, pp. 186-197. , 19858033; Khosrowabadi, R., Quek, H.C., Wahab, A., Ang, K.K., EEG-based emotion recognition using self-organizing map for boundary detection (2010) 2010 20th International Conference on Pattern Recognition, pp. 4242-4245. , Istanbul, IEEE, In:, :, (,) p; Bos, D.O., EEG-based emotion recognition (2006) Influence Visual Auditory Stimuli, 56, pp. 1-17; Musha, T., Terasaki, Y., Haque, H.A., Ivamitsky, G.A., Feature extraction from EEGs associated with emotions (1997) Artif Life Rob, 1, pp. 15-19; Song, T., Zheng, W., Lu, C., Zong, Y., Zhang, X., Cui, Z., MPED: a multi-modal physiological emotion database for discrete emotion recognition (2019) IEEE Access, 7, pp. 12177-12191; Hatamikia, S., Maghooli, K., Nasrabadi, A.M., The emotion recognition system based on autoregressive model and sequential forward feature selection of electroencephalogram signals (2014) J Med Signals Sens, 4, p. 194. , 25298928; Huang, D., Guan, C., Ang, K.K., Zhang, H., Pan, Y., Asymmetric spatial pattern for EEG-based emotion detection (2012) The 2012 International Joint Conference on Neural Networks (IJCNN), pp. 1-7. , Brisbane, QLD, IEEE, In:, :, p; Jie, X., Cao, R., Li, L., Emotion recognition based on the sample entropy of EEG (2014) Biomed Mater Eng, 24, pp. 1185-1192. , 24212012; Hosseini, S.A., Naghibi-Sistani, M.B., Emotion recognition method using entropy analysis of EEG signals (2011) Int J Image Graph Signal Process, 3, p. 30; Wang, X.W., Nie, D., Lu, B.L., EEG-based emotion recognition using frequency domain features and support vector machines (2011) International Conference on Neural Information Processing, pp. 734-743. , Berlin; Heidelberg, Springer, In:, :, p; Pan, J., Li, Y., Wang, J., An EEG-based brain-computer interface for emotion recognition (2016) 2016 International Joint Conference on Neural Networks (IJCNN), pp. 2063-2067. , Vancouver, BC, IEEE, In:, :, p; Koelstra, S., Patras, I., Fusion of facial expressions and EEG for implicit affective tagging (2013) Image Vis Comput, 31, pp. 164-174; Thammasan, N., Fukui, K., Numao, M., Application of deep belief networks in eeg-based dynamic music-emotion recognition (2016) 2016 International Joint Conference on Neural Networks (IJCNN), pp. 881-888. , Vancouver, BC, IEEE, In:, :, p; Alarcao, S.M., Fonseca, M.J., Emotions recognition using EEG signals: a survey (2017) IEEE Trans Affect Comput, 10, pp. 374-393; Wu, D., Peng, R., Huang, J., Zeng, Z., Transfer learning for brain-computer interfaces: a complete pipeline (2020) arXiv preprint, , 31443868; Wu, D., Xu, Y., Lu, B.L., Transfer learning for EEG-based brain-computer interfaces: a review of progress made since 2016 (2020) IEEE Trans Cogn Dev Syst, p. 1; He, H., Wu, D., Transfer learning for Brain-Computer interfaces: A Euclidean space data alignment approach (2019) IEEE Trans Biomed Eng, 67, pp. 399-410. , 31034407; Zhang, T., Zheng, W., Cui, Z., Zong, Y., Li, Y., Spatial-temporal recurrent neural network for emotion recognition (2018) IEEE Trans Cybern, 49, pp. 839-847. , 29994572; Song, T., Zheng, W., Song, P., Cui, Z., EEG emotion recognition using dynamical graph convolutional neural networks (2018) IEEE Trans Affect Comput, 11, pp. 532-541; Li, J., Qiu, S., Du, C., Wang, Y., He, H., Domain adaptation for EEG emotion recognition based on latent representation similarity (2019) IEEE Trans Cogn Develop Syst, 12, pp. 344-353; Li, Y., Zheng, W., Zong, Y., Cui, Z., Zhang, T., Zhou, X., A bi-hemisphere domain adversarial neural network model for EEG emotion recognition (2018) IEEE Trans Affect Comput, 12, pp. 494-504; Lan, Z., Sourina, O., Wang, L., Scherer, R., Müller-Putz, G.R., Domain adaptation techniques for EEG-based emotion recognition: a comparative study on two public datasets (2018) IEEE Trans Cogn Develop Syst, 11, pp. 85-94; Duan, R.N., Zhu, J.Y., Lu, B.L., Differential entropy feature for EEG-based emotion classification (2013) 2013 6th International IEEE/EMBS Conference on Neural Engineering (NER), pp. 81-84. , San Diego, CA, IEEE, In:, :, p; Teplan, M., Fundamentals of EEG measurement (2002) Meas Sci Rev, 2, pp. 1-11. , http://www.edumed.org.br/cursos/neurociencia/MethodsEEGMeasurement.pdf, –, Available online at; Zhang, W., Wu, D., Manifold Embedded Knowledge Transfer for Brain-Computer Interfaces (2020) IEEE Trans Neural Syst Rehabilitation Eng, 28, pp. 1117-1127. , 32286993; Boashash, B., (2015) Time-Frequency Signal Analysis and Processing: A Comprehensive Reference, , Cambridge, MA, Academic Press, 12595175; Delorme, A., Makeig, S., EEGLAB: an open source toolbox for analysis of single-trial EEG dynamics including independent component analysis (2004) J Neurosci Methods, 134, pp. 9-21. , 15102499; Lin, Y.P., Wang, C.H., Jung, T.P., Wu, T.L., Jeng, S.K., Duann, J.R., EEG-based emotion recognition in music listening (2010) IEEE Trans Biomed Eng, 57, pp. 1798-1806. , 20442037; Sammler, D., Grigutsch, M., Fritz, T., Koelsch, S., Music and emotion: electrophysiological correlates of the processing of pleasant and unpleasant music (2007) Psychophysiology, 44, pp. 293-304. , 17343712; Huang, N.E., (2014) Hilbert-Huang transform and Its Applications, Vol. 16, , Singapore, World Scientific; Huang, N.E., Wu, Z., A review on Hilbert-Huang transform: method and its applications to geophysical studies (2008) Rev Geophys, 46, pp. 1-23; Zhang, D., Yao, L., Zhang, X., Wang, S., Chen, W., Boots, R., Cascade and parallel convolutional recurrent neural networks on EEG-based intention recognition for brain computer interface (2018) AAAI, pp. 1703-1710. , 31021810, In:, New Orleans. p; Cai, H., Gao, Y., Sun, S., Li, N., Tian, F., Xiao, H., MODMA dataset: a multi-modal open dataset for mental-disorder analysis (2020) arXiv preprint, , 34512301; Hu, B., Rao, J., Li, X., Cao, T., Li, J., Majoe, D., Emotion regulating attentional control abnormalities in major depressive disorder: an event-related potential study (2017) Sci Rep, 7, pp. 1-21. , 29051523; Li, X., Li, J., Hu, B., Zhu, J., Zhang, X., Wei, L., Attentional bias in MDD: ERP components analysis and classification using a dot-probe task (2018) Comput Methods Programs Biomed, 164, pp. 169-179. , 30195425; Suykens, J.A., Vandewalle, J., Least squares support vector machine classifiers (1999) Neural Process Lett, 9, pp. 293-300. , 11972910; Schölkopf, B., Smola, A., Müller, K.R., Nonlinear component analysis as a kernel eigenvalue problem (1998) Neural Comput, 10, pp. 1299-1319. , 11860687; Pan, S.J., Tsang, I.W., Kwok, J.T., Yang, Q., Domain adaptation via transfer component analysis (2010) IEEE Trans Neural Netw, 22, pp. 199-210. , 21095864; Sangineto, E., Zen, G., Ricci, E., Sebe, N., We are not all equal: personalizing models for facial expression analysis with transductive parameter transfer (2014) Proceedings of the 22nd ACM International Conference on Multimedia, pp. 357-366. , In:, Lisboa. p; Ganin, Y., Ustinova, E., Ajakan, H., Germain, P., Larochelle, H., Laviolette, F., Domain-adversarial training of neural networks (2016) J Mach Learn Res, 17, pp. 1-35. , https://www.jmlr.org/papers/volume17/15-239/15-239.pdf, –, Available online at; Li, Y., Zheng, W., Cui, Z., Zhang, T., Zong, Y., A novel neural network model based on cerebral hemispheric asymmetry for EEG emotion recognition (2018) Proceedings of the Twenty-Seventh International Joint Conference on Artificial Intelligence, pp. 1561-1567. , In:, Stockholm. p; Li, Y., Zheng, W., Wang, L., Zong, Y., Cui, Z., From regional to global brain: a novel hierarchical spatial-temporal neural network model for EEG emotion recognition (2019) IEEE Trans Affect Comput, p. 1; Song, T., Liu, S., Zheng, W., Zong, Y., Cui, Z., Instance-adaptive graph for EEG emotion recognition (2020) AAAI, pp. 2701-2708. , In:, p</t>
  </si>
  <si>
    <t>2-s2.0-85127474587</t>
  </si>
  <si>
    <t>Depression assessment method: an eeg emotion recognition framework based on spatiotemporal neural network</t>
  </si>
  <si>
    <t>Kövi Z., Wongpakaran T., Wongpakaran N., Kuntawong P., Berghauer-Olasz E., Mirnics Z.</t>
  </si>
  <si>
    <t>56558792400;6603556014;8555085300;57200168411;57426423300;22944909800;</t>
  </si>
  <si>
    <t>Relationship between Personality Traits and the Inner Strengths</t>
  </si>
  <si>
    <t>Psychiatria Danubina</t>
  </si>
  <si>
    <t>33</t>
  </si>
  <si>
    <t>844</t>
  </si>
  <si>
    <t>849</t>
  </si>
  <si>
    <t>https://www.scopus.com/inward/record.uri?eid=2-s2.0-85123461773&amp;partnerID=40&amp;md5=634346ce2615439f0f018535aa4f00c4</t>
  </si>
  <si>
    <t>Institute of Psychology, Department of General Psychology, Károli Gáspár University of the Reformed Church in Hungary, Bécsi út 324. HungaryBudapest  1037, Hungary</t>
  </si>
  <si>
    <t>Kövi, Z., Institute of Psychology, Department of General Psychology, Károli Gáspár University of the Reformed Church in Hungary, Bécsi út 324. HungaryBudapest  1037, Hungary; Wongpakaran, T.; Wongpakaran, N.; Kuntawong, P.; Berghauer-Olasz, E.; Mirnics, Z.</t>
  </si>
  <si>
    <t>BACKGROUND: Zuckerman-Kuhlman-Aluja Personality questionnaire (ZKA-PQ) measures five psychobiologically based personality factors (activity, aggression, extraversion, neuroticism, and sensation seeking). The inner strength (from the ten perfections based on Theravada Buddhism) deems positive character, which includes truthfulness, perseverance, wisdom, generosity, morality (five precepts), mindfulness and meditation, patience and endurance, equanimity, determination, and loving kindness measured by the strength-based inventory (SBI). Our aim was to unfold the relationship between ZKA factors and SBI. METHODS: 642 Thai (age mean = 28.27, SD = 10.61) individuals (males 26.2%, females 73.8%) filled out our questionnaire battery: (1) Zuckerman-Kuhlman-Aluja Personality questionnaire - 200 items, 20 facets, five factors: Aggressiveness, Sensation Seeking, Activity, Extraversion, Neuroticism. (Cronbach alphas: 0.88, 0.81, 0.83, 0.89, 0.91 for AG, SS, AC, EX, NEU, respectively). (2) Strength-based inventory - 10 items, measuring 10 inner strength (Cronbach alpha: 0.68). Pearson correlation, neural network modelling and person-oriented methodology (model-based clustering) were conducted for analysis. RESULTS: Our correlational results revealed that inner strengths are negatively related to Aggression (r=-0.44**), Neuroticism (r=-0.43**), Sensation seeking (r=-0.16**), whereas positively related to Extraversion (r=0.37**) and Activity (r=0.24**). Highest correlations were found between AG and patience (-0.43**) and NEU and perseverance (r=-0.40**), both with negative sign. According to neural network modelling Activity was most related to Perseverance, Aggression to lack of Patience, Neuroticism to lack of Perseverance and Equanimity, Sensation Seeking to lack of Morality. Extraversion was most weakly related to inner strengths, but it was related to all other personality dimensions. Model based clustering revealed four typical personality profiles: resilients (41.8%), extraverted undercontrollers (29.0%), introverted undercontrollers (10.6%) and overcontrolled (18.6%). Results showed that resilients had highest inner strength levels, whereas overcontrolled ones had the lowest. CONCLUSION: Negative traits are, as expected, conversely related with strength, while positive traits (extraversion and activity) are positively related with strength. Our results confirm that resilient personality pattern can be linked to the inner strengths measured by SBI scale, which was based on 10 Buddhist perfections. Further results should be addressed how increase in inner strength can be related to changes in biologically based personality dimensinos towards the resilient pattern.</t>
  </si>
  <si>
    <t>female; human; male; neurosis; personality; personality assessment; personality disorder; personality test; Extraversion, Psychological; Female; Humans; Male; Neuroticism; Personality; Personality Assessment; Personality Disorders; Personality Inventory</t>
  </si>
  <si>
    <t>03535053</t>
  </si>
  <si>
    <t>Psychiatr Danub</t>
  </si>
  <si>
    <t>2-s2.0-85123461773</t>
  </si>
  <si>
    <t>Relationship between personality traits and the inner strengths</t>
  </si>
  <si>
    <t>Zeng X., Zhong Y., Yang L., Wei J., Tang X.</t>
  </si>
  <si>
    <t>57748089400;15049958200;57748742600;57403997500;57747122600;</t>
  </si>
  <si>
    <t>Analysis of Forest Landscape Preferences and Emotional Features of Chinese Forest Recreationists Based on Deep Learning of Geotagged Photos</t>
  </si>
  <si>
    <t>Forests</t>
  </si>
  <si>
    <t>892</t>
  </si>
  <si>
    <t>10.3390/f13060892</t>
  </si>
  <si>
    <t>https://www.scopus.com/inward/record.uri?eid=2-s2.0-85132199356&amp;doi=10.3390%2ff13060892&amp;partnerID=40&amp;md5=fcda0d53c3060b89406e66cfa829b607</t>
  </si>
  <si>
    <t>College of Forestry, Central South University of Forestry and Technology, Changsha, 410000, China; College of Tourism, Central South University of Forestry and Technology, Changsha, 410000, China; National Forestry and Grassland Administration State Forestry Administration Engineering Research Center for Forest Tourism, Changsha, 410000, China; Beijing Zoo, Beijing, 100000, China</t>
  </si>
  <si>
    <t>Zeng, X., College of Forestry, Central South University of Forestry and Technology, Changsha, 410000, China; Zhong, Y., College of Forestry, Central South University of Forestry and Technology, Changsha, 410000, China, College of Tourism, Central South University of Forestry and Technology, Changsha, 410000, China, National Forestry and Grassland Administration State Forestry Administration Engineering Research Center for Forest Tourism, Changsha, 410000, China; Yang, L., Beijing Zoo, Beijing, 100000, China; Wei, J., College of Forestry, Central South University of Forestry and Technology, Changsha, 410000, China; Tang, X., College of Forestry, Central South University of Forestry and Technology, Changsha, 410000, China</t>
  </si>
  <si>
    <t>Forest landscape preference studies have an important role and significance for forest landscape conservation, quality improvement and utilization. However, there are few studies on objective forest landscape preferences from the perspective of plants and using photos. This study relies on Deep Learning technology to select six case sites in China and uses geotagged photos of forest landscapes posted by the forest recreationists on the “2BULU” app as research objects. The preferences of eight forest landscape scenes, including look down landscape, look forward landscape, look up landscape, single-tree-composed landscape, detailed landscape, overall landscape, forest trail landscape and intra-forest landscape, were explored. It also uses Deepsentibank to perform sentiment analysis on forest landscape photos to better understand Chinese forest recreationists’ forest landscape preferences. The research results show that: (1) From the aesthetic spatial angle, people prefer the flat view, while the attention of the elevated view is relatively low. (2) From the perspective of forest scale and level, forest trail landscape has a high preference, implying that trail landscape plays an important role in forest landscape recreation. The landscape within the forest has a certain preference, while the preference of individual, detailed and overall landscape is low. (3) Although forest landscape photographs are extremely high in positive emotions and emotional states, there are also negative emotions, thus, illustrating that people’s preferences can be both positive and negative. © 2022 by the authors. Licensee MDPI, Basel, Switzerland.</t>
  </si>
  <si>
    <t>deep learning; deepsentibank; forest landscape; geotagged photos; sentiment analysis</t>
  </si>
  <si>
    <t>Deep learning; Forestry; Image analysis; Photography; Plants (botany); Chinese forests; Deep learning; Deepsentibank; Forest landscape; Geotagged photo; Landscape conservation; Landscape preferences; Learning technology; Quality improvement; Sentiment analysis; Sentiment analysis; conservation management; forest management; landscape change; learning; nature conservation; photography; spatiotemporal analysis; Chinese; Forestry; Image Analysis; Photography; Plants; Recreation; Research; Trees; China</t>
  </si>
  <si>
    <t>Salisch, H.V., (1911) Forstästhetik, , Springer: Berlin/Heidelberg, Germany; Baskent, E.Z., Controlling spatial structure of forested landscapes: A case study towards landscape management (1999) Landsc Ecol, 14, pp. 83-97. , [CrossRef]; Deng, S., Yan, J., Guan, Q., Katoh, M., Short-term effects of thinning intensity on scenic beauty values of different stands (2012) J. For. Res, 18, pp. 209-219. , [CrossRef]; Gong, L., Zhang, Z., Xu, C., Developing a Quality Assessment Index System for Scenic Forest Management: A Case Study from Xishan Mountain, Suburban Beijing (2015) Forests, 6, pp. 225-243. , [CrossRef]; Hunziker, M., Kienast, F., Potential impacts of changing agricultural activities on scenic beauty—A prototypical technique for automated rapid assessment (2004) Landsc. Ecol, 14, pp. 161-176. , [CrossRef]; Nilsson, K., Sangster, M., Gallis, C., Hartig, T., Vries, S.D., Seeland, K., Schipperijn, J., Forests, trees and human health (2012) J. Adven. Edu. Outdoor Learn, 12, pp. 95-97. , [CrossRef]; Nordh, H., Hagerhall, C.M.P., Holmqvist, K., Tracking Restorative Components: Patterns in Eye Movements as a Consequence of a Restorative Rating Task (2013) Landsc. Res, 38, pp. 101-116. , [CrossRef]; Zhou, S., Gao, Y., Zhang, Z., Zhang, W., Meng, H., Zhang, T., Visual Behaviour and Cognitive Preferences of Users for Constituent Elements in Forest Landscape Spaces (2022) Forests, 13, p. 47. , [CrossRef]; Robinette, G.O., (1972) Plants, People, and Environmental Quality: A Study of Plants and Their Environmental functions, p. 51. , Department of the Interior, National Park Service: Washington, WA, USA; Jianwen, W., Forests—A vValuable Resource for Wild Play (Foreign Forest Play Use) (1981) Guangdong Landsc. Archit, pp. 16-21. , https://www.cnki.com.cn/Article/CJFDTOTAL-GDYL198102003.htm, (In Chinese). (accessed on 12 May 2022); Lundmark, L., Müller, D.K., (2008) Vilka är ute i Naturen? Delresultat från en Nationell enkät om Friluftsliv och Naturturism i Sverige (Who Visits Nature? Results from a Nationwide Questionnaire Study of Outdoor Life and Nature Tourism in Sweden), , Fredman, P., Karlsson, S.-E., Romild, U., Sandell, K., Eds.; Report No. 1; Forskningsprogrammet friluftsliv i förändring: Östersund, Sweden; The 13th Five-Year Plan National Forest Tourism Tourist Volume Reached 7.5 Billion_Data Highlights_Chinese Government Website, , http://www.gov.cn/shuju/2021-01/19/content_5580910.htm, (accessed on 27 February 2022); Misgav, A., Amir, S., Integration of Visual Quality Considerations in Development of Israeli Vegetation Management Policy (2001) Environ. Manag, 27, pp. 845-857. , [CrossRef]; Edwards, D., Jay, M., Jensen, F.S., Lucas, B., Marzano, M., Montagné, C., Peace, A., Weiss, G., Public preferences for structural attributes of forests: Towards a pan-European perspective (2012) For. Policy Econ, 19, pp. 12-19. , [CrossRef]; Edwards, D., Jay, M., Jensen, F., Lucas, B., Marzano, M., (2014) Public Preferences for Silvicultural Attributes of European Forests, , Technical Report from the EU FP6 Integrated Project EFORWOOD–Tools for Sustainability Impact Assessment of the Forestry-Wood Chain; European Forest Institute: Joensuu, Finland; Oku, H., Fukamachi, K., The differences in scenic perception of forest visitors through their attributes and recreational activity (2006) Landsc. Urban Plan, 75, pp. 34-42. , [CrossRef]; Wilkes-Allemann, J., Hanewinkel, M., Pütz, M., Forest recreation as a governance problem: Four case studies from Switzerland (2017) Eur. J. For. Res, 136, pp. 511-526. , [CrossRef]; Filyushkina, A., Agimass, F., Lundhede, T., Strange, N., Jacobsen, J.B., Preferences for variation in forest characteristics: Does diversity between stands matter? (2017) Ecol. Econ, 140, pp. 22-29. , [CrossRef]; Pastorella, F., Giacovelli, G., De Meo, I., Paletto, A., People’s preferences for Alpine forest landscapes: Results of an internet-based survey (2017) J. For. Res, 22, pp. 36-43. , [CrossRef]; Weller, P., Elsasser, P., Preferences for forest structural attributes in Germany—Evidence from a choice experiment (2018) For. Policy Econ, 93, pp. 1-9. , [CrossRef]; Christou, E., Examining Hotel Managers’ Acceptance of Web 2.0 in Website Development: A Case Study of Hotels in Hong Kong (2016) Business, pp. 75-88. , [CrossRef]; Yang, L., Why do we take pictures?—A study on clustering museum visitors based on their motivation for taking photographs (2018) Chinese Mus, 7. , https://www.cnki.com.cn/Article/CJFDTotal-GBWG201803014.htm, (In Chinese). (accessed on 12 May 2022); Balomenou, N., Garrod, B., Photographs in tourism research: Prejudice, power, performance and participant-generated images (2019) Tour. Manag, 70, pp. 201-217. , [CrossRef]; Chalfen, R.M., Photograph’s role in tourism Some unexplored relationships (1979) Ann. Tour. Res, 6, pp. 435-447. , [CrossRef]; James, A., Travel photography: A methodological approach (1988) Ann. Tour. Res, 15, pp. 134-158. , [CrossRef]; Urry, J., Larsen, J., (2011) The Tourist Gaze 3.0, , 3rd ed.; Sage Publications: New York, NY, USA, ISBN 978-1-84920-376-0; Kim, S.O., Lee, C.H., Shelby, B.O., Utilization of Photographs for Determining Impact Indicators for Trail Management (2003) Environ. Manag, 32, pp. 282-289. , [CrossRef] [PubMed]; Wilkins, E.J., Wood, S.A., Smith, J.W., Uses and Limitations of Social Media to Inform Visitor Use Management in Parks and Protected Areas: A Systematic Review (2021) Environ. Manag, 67, pp. 120-132. , [CrossRef] [PubMed]; Conti, E., Lexhagen, M., Instagramming nature-based tourism experiences: A netnographic study of online photography and value creation (2020) Tour Manag. Perspect, 34, p. 100650. , [CrossRef]; Jia, Y.Q., Zhang, Y.J., Preliminary Study of Photographic Behavior of the Tourist—Based on the contrast of the photographic tourist and the mass tourist (2012) J. Cent. S. Univ. For. Technol, 6, p. 5. , (In Chinese) [CrossRef]; Angradi, T.R., Launspach, J.J., Debbout, R., Determining preferences for ecosystem benefits in Great Lakes Areas of Concern from photographs posted to social media (2018) J. Great Lakes Res, 44, pp. 340-351. , [CrossRef]; Lee, H., Seo, B., Koellner, T., Lautenbach, S., Mapping cultural ecosystem services 2.0—Potential and shortcomings from unlabeled crowd sourced images (2019) Ecol. Indic, 96, pp. 505-515. , [CrossRef]; Oteros-Rozas, E., Martín-López, B., Fagerholm, N., Bieling, C., Plieninger, T., Using social media photos to explore the relation between cultural ecosystem services and landscape features across five European sites (2018) Ecol. Indic, 94, pp. 74-86. , [CrossRef]; Pastur, G.J.M., Peri, P.L., Lencinas, M.V., García-Llorente, M., Martín-López, B., Spatial patterns of cultural ecosystem services provision in Southern Patagonia (2015) Landsc. Ecol, 31, pp. 383-399. , [CrossRef]; Zhao, Y., Wang, G., Tang, C., Luo, C., Zeng, W., Zha, Z.J., (2021) A Battle of Network Structures: An Empirical Study of CNN, Transformer, and MLP, , arXiv arXiv:2108.13002; Zhang, K., Chen, Y., Li, C., Discovering the tourists’ behaviors and perceptions in a tourism destination by analyzing photos’ visual content with a computer deep learning model: The case of Beijing—ScienceDirect (2019) Tour. Manag, 75, pp. 595-608. , [CrossRef]; Kim, J., Transfer Learning of a Deep Learning Model for Exploring Tourists’ Urban Image Using Geotagged Photos (2021) ISPRS Int. J. Geo. Inf, 10, p. 137. , [CrossRef]; Deng, N., Liu, J., Niu, Y., Ji, W.X., Different perceptions of Beijing’s destination images from tourists: An analysis of Flickr photos based on deep learning method (2019) Resour. Sci, 41, pp. 416-429. , (In Chinese) [CrossRef]; Deng, N., Liu, J., Where did you take those photos? Tourists’ preference clustering based on facial and background recognition (2021) J. Destin. Mark. Manag, 21, p. 100632. , [CrossRef]; Payntar, N.D., Hsiao, W.L., Covey, R.A., Grauman, K., Learning Patterns of Tourist Movement and Photography from Geotagged Photos at Archaeological Heritage Sites in Cuzco, Peru (2020) Sociology, 82, p. 104165. , [CrossRef]; Cho, N., Kang, Y., Yoon, J., Park, S., Classification of Tourist Photo for Intelligent Tourism Service (2019) Comput. Sci, 19, pp. 84-101. , [CrossRef]; Kim, D., Kang, Y., Park, Y., Kim, N., Lee, J., Understanding tourists’ urban images with geotagged photos using convolutional neural networks (2019) Spat. Inf. Res, 28, pp. 241-255. , [CrossRef]; Wilkins, E.J., Van Berkel, D., Zhang, H., Dorning, M.A., Beck, S.M., Smith, J.W., Promises and pitfalls of using computer vision to make inferences about landscape preferences: Evidence from an urban-proximate park system (2022) Landsc. Urban Plan, 219, p. 104315. , [CrossRef]; Runge, C.A., Hausner, V.H., Daigle, R.M., Monz, C.A., Pan-Arctic analysis of cultural ecosystem services using social media and automated content analysis (2020) Environ. Res. Commun, 2, p. 075001. , [CrossRef]; China’s Forest Coverage Rate 22.96%_Forestry and Grassland Resources_State Forestry and Grassland Administration Government Website, , https://www.forestry.gov.cn/main/65/20190620/103419043834596.html, (accessed on 30 April 2022); Zhou, H., Wang, F., Research on structure characteristics of the inter-provincial tourist flow spatial network in China based on the modified gravity model (2020) Geogr. Res, 39, pp. 669-681. , (In Chinese) [CrossRef]; https://www.2bulu.com/about/about_us.htm, (accessed on 21 April 2022); Wei, X., Zhou, G., Yu, S., A preliminary study of forest landscape classification systems (1997) South Cent. For. Surv. Plann, 16, p. 5. , (In Chinese); White, M.P., Smith, A.T., Humphryes, K., Pahl, S., Snelling, D., Depledge, M.H., Blue space: The importance of water for preference, affect, and restorativeness ratings of natural and built scenes (2010) J. Environ. Psychol, 30, pp. 482-493. , [CrossRef]; Schirpke, U., Tappeiner, G., Tasser, E., Tappeiner, U., Using conjoint analysis to gain deeper insights into aesthetic landscape preferences (2019) Ecol. Indic, 96, pp. 202-212. , [CrossRef]; Tieskens, K., Zanten, B.T., van Schulp, C.J.E., Verburg, P.H., Aesthetic appreciation of the cultural landscape through social media: An analysis of revealed preference in the Dutch river landscape (2018) Landsc. Urban Plan, 177, pp. 128-137. , [CrossRef]; Chen, X., Wang, Y., An analytic study on forest beauty—mostly on form beauty of forest plants (2001) Sci. Silvae Sin, 37, pp. 122-130. , (In Chinese); Sun, C., Shrivastava, A., Singh, S., Gupta, A., Revisiting Unreasonable Effectiveness of Data in Deep Learning Era (2017) Proceedings of the 16th IEEE International Conference on Computer Vision (ICCV), , Venice, Italy, 22–29 October [CrossRef]; Tolstikhin, I.O., Houlsby, N., Kolesnikov, A., Beyer, L., Zhai, X., Unterthiner, T., Yung, J., Uszkoreit, J., MLP-Mixer: An all-MLP Architecture for Vision (2021) Proceedings of the Advances in Neural Information Processing Systems, 34, pp. 24261-24272. , Virtual, 6–14 December Ranzato, M., Beygelzimer, A., Dauphin, Y., Liang, P.S., Vaughan, J.W., Eds.; Curran Associates, Inc.: New York, NY, USA, 2021; Richter, K.-F., Winter, S., Citizens as Database: Conscious Ubiquity in Data Collection (2011) Comput. Sci, 6849, pp. 445-448. , [CrossRef]; Hull, R.B., Stewart, W., The Landscape Encountered and Experienced While Hiking (1995) Environ. Behav, 27, pp. 404-426. , [CrossRef]; Chen, T., Borth, D., Darrell, T., Chang, S.F., (2014) DeepSentiBank: Visual Sentiment Concept Classification with Deep Convolutional Neural Networks, , arXiv arXiv:1410.8586; Stepchenkova, S., Zhan, F., Visual destination images of Peru: Comparative content analysis of DMO and user-generated photography (2013) Tour. Manag, 36, pp. 590-601. , [CrossRef]; Fan, M., Zhang, H., Chen, Y., Spatiotemporal analysis of visual tourism images in Inner Mongolia from the perspective of tourists (2020) J. Arid. Land Resour. Environ, 34, pp. 194-200. , (In Chinese); Russell, J.A., A circumplex model of affect (1980) J. Pers. Soc. Psychol, 39, pp. 1161-1178. , [CrossRef]; Petrova, E.G., Mironov, Y.V., Aoki, Y., Matsushima, H., Ebine, S., Furuya, K., Petrova, A., Ueda, H., Comparing the visual perception and aesthetic evaluation of natural landscapes in Russia and Japan: Cultural and environmental factors (2015) Prog. Earth Planet. Sci, 2, p. 6. , [CrossRef]; Zhang, T., Zhang, W., Meng, H., Zhang, Z., Analyzing Visitors’ Preferences and Evaluation of Satisfaction Based on Different Attributes, with Forest Trails in the Akasawa National Recreational Forest, Central Japan (2019) Forests, 10, p. 431. , [CrossRef]; Agimass, F., Lundhede, T., Panduro, T.E., Jacobsen, J.B., The choice of forest site for recreation: A revealed preference analysis using spatial data (2018) Ecosyst. Serv, 31, pp. 445-454. , [CrossRef]; You, S., Zheng, Q., Chen, B., Xu, Z., Lin, Y., Gan, M., Zhu, C., Wang, K., Identifying the spatiotemporal dynamics of forest ecotourism values with remotely sensed images and social media data: A perspective of public preferences (2022) J. Clean. Prod, 341, p. 130715. , [CrossRef]; Gao, Y., Zhang, T., Sasaki, K., Uehara, M., Jin, Y., Qin, L., The spatial cognition of a forest landscape and its relationship with tourist viewing intention in different walking passage stages (2021) Urban For. Urban Green, 58, p. 126975. , [CrossRef]; Abildtrup, J., Garcia, S., Olsen, S.B., Stenger, A., Spatial preference heterogeneity in forest recreation (2013) Ecol. Econ, 92, pp. 67-77. , [CrossRef]; Akay, A.E., Pak, M., Yenilmez, N., Demirbağ, H., Aesthetic Evaluations of Forest Road Templates (2007) Int. J. Nat. Eng. Sci, 1, pp. 65-68; Zhang, F., Zhou, B., Liu, L., Liu, Y., Fung, H.H., Lin, H., Ratti, C., Measuring human perceptions of a large-scale urban region using machine learning (2018) Landsc. Urban Plan, 180, pp. 148-160. , [CrossRef]; Clemens, J., Swaffield, S.R., Wilson, J., (2010) Landscape and Associated Environmental Values in the Roadside Corridor: A Selected Literature Review, , Lincoln University: Canterbury, New Zealand; Oku, H., Fukamachi, K., The Relationships between Experienced Landscape Types and People’s Visiting Forms on a Trail in a Forest (1999) J. Korea Soc. Comput. Inform, 63, pp. 587-592. , [CrossRef]; Oku, H., Fukamachi, K., Occurrence pattern of landscape experience during forest recreation (2003) J. Jpn. For. Soc, 85, pp. 63-69. , [CrossRef]; Kasetani, T., Okumura, K., Yoshida, S., Takayama, N., Kagawa, T., Differences in the Physiological and Psychological Effects of Walking in Various Satoyama Landscapes (2007) Environ. Sci, 70, pp. 569-574. , [CrossRef]; Silvennoinen, H., Alho, J.M., Kolehmainen, O., Pukkala, T., Prediction models of landscape preferences at the forest stand level (2001) Landsc. Urban Plan, 56, pp. 11-20. , [CrossRef]; Foltête, J.-C., Ingensand, J., Blanc, N., Coupling crowd-sourced imagery and visibility modelling to identify landscape preferences at the panorama level (2020) Landsc. Urban Plan, 197, p. 103756. , [CrossRef]; Wu, J., Yuanyuan, X., Jianlan, R., Jie, Z., Weilong, S., Mengyu, L., Bohong, P., Progress and Geographical Response on Landscape Preference (2021) Sci. Geogr. Sin, 41, pp. 656-663. , [CrossRef]; Carvalho-Ribeiro, S.M., Lovett, A.A., Is an attractive forest also considered well managed? Public preferences for forest cover and stand structure across a rural/urban gradient in northern Portugal (2011) For. Policy Econ, 13, pp. 46-54. , [CrossRef]; Arnberger, A., Ebenberger, M., Schneider, I.E., Cottrell, S., Schlueter, A.C., Ruschkowski, E., von Venette, R.C., Gobster, P.H., Visitor Preferences for Visual Changes in Bark Beetle-Impacted Forest Recreation Settings in the United States and Germany (2017) Environ. Manag, 61, pp. 209-223. , [CrossRef]; Buhyoff, G.J., Wellman, J.D., Daniel, T.C., Predicting scenic quality for mountain pine beetle and western spruce budworm damaged forest vistas (1982) For. Sci, 28, pp. 827-838. , [CrossRef]; Ryan, R., The influence of landscape preference and environmental education on public attitudes toward wildfire management in the Northeast pine barrens (USA) (2012) Landsc. Urban Plan, 107, pp. 55-68. , [CrossRef]; Gill, N., Dun, O., Brennan-Horley, C.R., Eriksen, C., Landscape Preferences, Amenity, and Bushfire Risk in New South Wales, Australia (2015) Env. Manag, 56, pp. 738-753. , [CrossRef]; Helman, A.C., Kelly, M.C., Rouleau, M., Dickinson, Y.L., Preferences for Northern Hardwood Silviculture among Family Forest Owners in Michigan’s Upper Peninsula (2020) J. For, 119, pp. 113-129. , [CrossRef]; Nielsen, A.B., Heyman, E., Richnau, G., Liked, disliked and unseen forest attributes: Relation to modes of viewing and cognitive constructs (2012) J. Environ. Manag, 113, pp. 456-466. , [CrossRef] [PubMed]; Ding, N., Zhong, Y., Li, J., Xiao, Q., Study on selection of native greening plants based on eye-tracking technology (2022) Sci. Rep, 12, p. 1092. , [CrossRef] [PubMed]; Gao, Y., Zhang, T., Zhang, W., Meng, H., Zhang, Z., Research on visual behavior characteristics and cognitive evaluation of different types of forest landscape spaces (2020) Urban For. Urban Green, 54, p. 126788. , [CrossRef]; Russell, J.A., Pratt, G., A Description of the Affective Quality Attributed to Environments (1980) J. Pers. Soc. Psychol, 38, pp. 311-322. , [CrossRef]; Singh, S.N., Donavan, D.T., Mishra, S.K., Little, T.D., The latent structure of landscape perception: A mean and covariance structure modeling approach (2008) J. Environ. Psychol, 28, pp. 339-352. , [CrossRef]; Gobster, P.H., Nassauer, J.I., Daniel, T.C., Fry, G., The shared landscape: What does aesthetics have to do with ecology? (2007) Landsc. Ecol, 22, pp. 959-972. , [CrossRef]; Lôpez-Santiago, A.C., Oteros-Rozas, E., Martin-Lopez, B., Plieninger, T., Martin, G., González, J.A., Esther Using visual stimuli to explore the social perceptions of ecosystem services in cultural landscapes: The case of transhumance in Mediterranean Spain (2014) Ecol. Soc, 19, p. 27. , [CrossRef]; Strauss, E.D., Schloss, K.B., Palmer, S.E., Color preferences change after experience with liked/disliked colored objects (2013) Psychon. Bull. Rev, 20, pp. 935-943. , [CrossRef]; Gundersen, V., Stange, E., Kaltenborn, B.P., Vistad, O.I., Public visual preferences for dead wood in natural boreal forests: The effects of added information (2017) Landsc. Urban Plan, 158, pp. 12-24. , [CrossRef]; Sahraoui, Y., Clauzel, C., Foltête, J.-C., Spatial modelling of landscape aesthetic potential in urban-rural fringes (2016) J. Environ. Manag, 181, pp. 623-636. , [CrossRef] [PubMed]; Yoshimura, N., Hiura, T., Demand and supply of cultural ecosystem services: Use of geotagged photos to map the aesthetic value of landscapes in Hokkaido (2017) Ecosyst. Serv, 24, pp. 68-78. , [CrossRef]; Youssoufi, S., Foltête, J.-C., Determining appropriate neighborhood shapes and sizes for modeling landscape satisfaction (2013) Landsc. Urban Plan, 110, pp. 12-24. , [CrossRef]; Herzog, T.R., Bosley, P.J., Tranquility and preference as affective qualities of natural environments (1992) J. Environ. Psychol, 12, pp. 115-127. , [CrossRef]; Real, E., Arce, C., Sabucedo, J.-M., Classification of landscapes using quantitative and categorical data, and prediction of their scenic beauty in north-western spain (2000) J. Environ. Psychol, 20, pp. 355-373. , [CrossRef]; Marwijk, R., van Elands, B.H.M., Kampen, J.K., Terlouw, S., Pitt, D.G., Opdam, P., Public Perceptions of the Attractiveness of Restored Nature (2011) Restor. Ecol, 20, pp. 773-780. , [CrossRef]; Liang, X., Fan, L., Loh, Y.P., Liu, Y., Tong, S., (2017) Happy Travelers Take Big Pictures: A Psychological Study with Machine Learning and Big Data, , arXiv arXiv:1709.07584; Bubalo, M., Zanten, B.T., van Verburg, P.H., Crowdsourcing geo-information on landscape perceptions and preferences: A review (2019) Landsc. Urban Plan, 184, pp. 101-111. , [CrossRef]; Crampton, J.W., Graham, M., Poorthuis, A., Shelton, T., Stephens, M., Wilson, M.W., Zook, M., Beyond the Geotag: Situating “Big Data” and Leveraging the Potential of the Geoweb (2013) Cartogr. Geogr. Inf. Sci, 40, pp. 130-139. , [CrossRef]; Li, L., Goodchild, M.F., Xu, B., Spatial, temporal, and socioeconomic patterns in the use of Twitter and Flickr (2013) Cartogr. Geogr. Inf. Sci, 40, pp. 61-77. , [CrossRef]; Kim, J., Son, Y., Assessing and mapping cultural ecosystem services of an urban forest based on narratives from blog posts (2021) Ecol. Indic, 129, p. 107983. , [CrossRef]; Liu, Y., Hu, M., Zhao, B., Interactions between forest landscape elements and eye movement behavior under audio-visual integrated conditions (2019) J. For. Res, 25, pp. 21-30. , [CrossRef]; Liu, Y., Hu, M., Zhao, B., Audio-visual interactive evaluation of the forest landscape based on eye-tracking experiments (2019) Urban For. Urban Green, 46, p. 126476. , [CrossRef]</t>
  </si>
  <si>
    <t>19994907</t>
  </si>
  <si>
    <t>2-s2.0-85132199356</t>
  </si>
  <si>
    <t>Analysis of forest landscape preferences and emotional features of chinese forest recreationists based on deep learning of geotagged photos</t>
  </si>
  <si>
    <t>Ören T., Kazemifard M., Noori F.</t>
  </si>
  <si>
    <t>7003546974;36458422300;56845423400;</t>
  </si>
  <si>
    <t>Agents with four categories of understanding abilities and their role in two-stage (deep) emotional intelligence simulation</t>
  </si>
  <si>
    <t>International Journal of Modeling, Simulation, and Scientific Computing</t>
  </si>
  <si>
    <t>1540003</t>
  </si>
  <si>
    <t>10.1142/S1793962315400036</t>
  </si>
  <si>
    <t>https://www.scopus.com/inward/record.uri?eid=2-s2.0-84941937643&amp;doi=10.1142%2fS1793962315400036&amp;partnerID=40&amp;md5=cf14dc280d7074ef4cc1ce9174e236d5</t>
  </si>
  <si>
    <t>School of Electrical Engineering and Computer Science, University of Ottawa, Ottawa, ON  K2M 1M4, Canada; Department of Computer Engineering, Razi University, Kermanshah, Iran</t>
  </si>
  <si>
    <t>Ören, T., School of Electrical Engineering and Computer Science, University of Ottawa, Ottawa, ON  K2M 1M4, Canada; Kazemifard, M., Department of Computer Engineering, Razi University, Kermanshah, Iran; Noori, F., Department of Computer Engineering, Razi University, Kermanshah, Iran</t>
  </si>
  <si>
    <t>Understanding is the essence of any intelligent system. We revise our four machine understanding paradigms which are: (i) basic understanding, (ii) rich understanding, (iii) exploratory understanding, and (iv) theory-based understanding; and we elaborate on the first two of them. We then introduce the concept of two-stage (or deep) machine understanding which provides descriptive understandings, as well as evaluations of these understandings. After a brief systematization of emotions, we cover the following paradigms for agents with two-stage (deep) understanding abilities for emotional intelligence simulation: (i) basic understanding, (ii) rich-understanding, and (iii) switchable understanding. © 2015 World Scientific Publishing Company.</t>
  </si>
  <si>
    <t>basic understanding; descriptive understanding; emotion understanding; emotional intelligence simulation; episodic memory; evaluation of understanding; Intelligent agents; rich understanding; semantic memory; switchable understanding; two-stage (deep) understanding</t>
  </si>
  <si>
    <t>Natural sciences computing; Emotional intelligence; Machine understanding; Switchable; Intelligent systems</t>
  </si>
  <si>
    <t>Kazemifard, M., Ghasem-Aghaee, N., Koening, B., Ören, T., An emotion understanding framework for intelligent agents based on episodic and semantic memories (2014) Autonomous Agents and Multi-Agent Systems, 28, pp. 126-153; Ören, T., Abou-Rabia, O., King, D.G., Birta, L.G., Wendt, R.N., Reverse engineering in simulation program understanding (1990) Problem Solving by Simulation, Proc. IMACS European Simulation Meeting, , Jávor A. (ed.), Esztergom, Hungary; Ören, T., Abou-Rabia, O., King, D.G., Birta, L.G., Wendt, R.N., A software understanding environment for SLAM II programs (1990) Proc. European Simulation Multiconference, , Erlangen-Nuremberg, Germany, SCS International, San Diego, CA; Ören, T., Understanding systems: A taxonomy and performance factors (2000) Proc. FOODSIM, SCS, pp. 3-10. , San Diego, CA; Ören, T., Ghasem-Aghaee, N., Yilmaz, L., An ontology-based dictionary of understanding as a basis for software agents with understanding abilities (2007) Proc. 2007 Spring Simulation Multiconference, 2. , Norfolk, Virginia, Society for Computer Simulation International; Kazemifard, M., Ghasem-Aghaee, N., Ören, T., Agents with ability to understand emotions (2009) Proc. Summer Computer Simulation Conf., pp. 254-260. , Istanbul, Turkey, SCS, San Diego, CA; Ören, T., Yilmaz, L., Kazemifard, M., Ghasem-Aghaee, N., Multi-understanding, A basis for switchable understanding for agents (2009) Summer Computer Simulation Conf., pp. 395-402. , Istanbul, Turkey, SCS, San Diego, CA; Ören, T., Kazemifard, M., Yilmaz, L., Machine understanding and avoidance of misunderstanding in agent-directed simulation and in emotional intelligence (2013) 3rd Int. Conf. Simulation and Modeling Methodologies, Technologies and Applications (SIMULTECH 2013), , Iceland; Ghasem-Aghaee, N., Ören, T., Towards fuzzy agents with dynamic personality for human behavior simulation (2003) Proc. Summer Computer Simulation Conf., pp. 3-10. , Montreal, PQ, Canada, SCS, San Diego, CA; Damasio, A.R., (1994) Descartes' Error: Emotion, Reason and the Human Brain, , G. P. Putnam, New York; Ledoux, J., (1996) The Emotional Brain, , Simon &amp; Schuster, New York; Picard, R., (1997) Affective Computing, , MIT Press, Cambridge, MA; Dias, J., Paiva, A., Agents with emotional intelligence for storytelling (2009) 8th Int. Conf. Autonomous Agents and MultiAgent Systems, Doctoral Mentoring Program, , Budapest, Hungary; Kazemifard, M., Ghasem-Aghaee, N., Ören, T., Emotive and cognitive simulations by agents: Roles of three levels of information processing (2012) Cogn. Syst. Res., 13, pp. 24-38; Ören, T., Yilmaz, L., Semantic agents with understanding abilities and factors affecting misunderstanding (2011) Semantic Agent Systems: Foundations and Applications, , Elci A., Traore M. T., Organ M. A., Springer-Verlag; Tulving, E., (1983) Elements of Episodic Memory, , Oxford University Press, New York; Brom, C., Lukavsky, J., Kadlec, R., Episodic memory for human-like agents and humanlike agents for episodic memory (2010) International Journal of Machine Consciousness (IJMC), 2, pp. 227-244; Schacter, D.L., (1996) Searching for Memory: The Brain, the Mind, and the Past, , Basic Books, NewYork; Zeigler, B.P., Systems knowledge: A definition and its implications (1986) Modeling and Simulation Methodology in the Artificial Intelligence Era, , Elzas M. S., Ö ren T. I., Zeigler B. P., (eds.), North Holland, Amsterdam; Ören, T., Ghasem-Aghaee, N., Yilmaz, L., An ontology-based dictionary of understanding as a basis for software agents with understanding abilities (2007) Proc. 2007 Spring Simulation Multiconference, pp. 19-27. , Norfolk, VA., Society for Computer Simulation International; Vinz, B.L., Etzkorn, L.H., Improving program comprehension by combining code understanding with comment understanding (2008) Knowledge-Based Syst., 21, pp. 813-825; Mayrhauser, A.V., Vans, A.M., Program comprehension during software maintenance and evolution (1995) Computer, 28, pp. 44-55; Kazemifard, M., Ghasem-Aghaee, N., Ören, T., Design and implementation of GEmA: A generic emotional agent (2011) Expert Syst. Appl., 38, pp. 2640-2652; Ortony, A., Clore, G.L., Collins, A., (1988) The Cognitive Structure of Emotions, , Cambridge University Press, Cambridge, UK; Kazemifard, M., Ören, T., Toward agents with switchable emotion understanding ability (2013) Proc. 5th Int. Conf. Cognitive Science (ICCS), , Tehran, Iran</t>
  </si>
  <si>
    <t>World Scientific Publishing Co. Pte Ltd</t>
  </si>
  <si>
    <t>17939623</t>
  </si>
  <si>
    <t>Intl. J. Model. Simul. Sci. Comput.</t>
  </si>
  <si>
    <t>2-s2.0-84941937643</t>
  </si>
  <si>
    <t>Zhao W., Zhang J., Liu X., Jiang Z.</t>
  </si>
  <si>
    <t>57204176345;57338496000;57337902300;57208694138;</t>
  </si>
  <si>
    <t>Application of ISO 26000 in digital education during COVID-19</t>
  </si>
  <si>
    <t>Ain Shams Engineering Journal</t>
  </si>
  <si>
    <t>101630</t>
  </si>
  <si>
    <t>10.1016/j.asej.2021.10.025</t>
  </si>
  <si>
    <t>https://www.scopus.com/inward/record.uri?eid=2-s2.0-85119047711&amp;doi=10.1016%2fj.asej.2021.10.025&amp;partnerID=40&amp;md5=10ec9b04e535b71bb2aab4f35bd98b0e</t>
  </si>
  <si>
    <t>China National Institute of Standardization, Beijing, 100191, China</t>
  </si>
  <si>
    <t>Zhao, W., China National Institute of Standardization, Beijing, 100191, China; Zhang, J., China National Institute of Standardization, Beijing, 100191, China; Liu, X., China National Institute of Standardization, Beijing, 100191, China; Jiang, Z., China National Institute of Standardization, Beijing, 100191, China</t>
  </si>
  <si>
    <t>Digital education in schools through artificial intelligence, big data and other technologies is conducive to improving teaching efficiency and promoting teaching progress. Unfortunately, many schools lack a sense of social responsibility when applying digital education. Students are online more than ever before. There are the potential for increased exposure to risks such as exposure to harmful content, cyberbullying, age-inappropriate advertising and data misuse, which affect students’ well-being and undermine their right to privacy. Schools should bear the overall social moral level of social responsibility. This paper focuses on the social responsibility of schools under the new crown epidemic and holds that implanting social responsibility into the value system of the current digital education reform, which can promote the sustainable development of education. This is also a relatively neglected problem in the practice of educational reform. European standard: ISO26000 is adopted as a CEN-standard. 21 October 2020 the stakeholder consultation process in the European Committee for Standardization (CEN) decided that ISO 26000 is approved as a CEN-standard. For businesses and organizations committed to operating in a socially responsible way, there's ISO 26000. It provides guidance to those who recognize that respect for society and environment is a critical success factor. This paper highlights the school how to take social responsibility by using ISO 26000. Based on the seven subjects of ISO 26000, this paper constructs the social responsibility of digital education frame, focuses on analyzing the main content and core issues of social responsibility of digital education, puts forward some improved strategies and suggestions for the more prominent problems at this stage through the examination and reflection of reality. © 2021</t>
  </si>
  <si>
    <t>Artificial intelligence; Digital education; ISO 26000; ISO 45003; Social responsibility</t>
  </si>
  <si>
    <t>E-learning; Social aspects; Students; Sustainable development; Advertizing; Cyber bullying; Data misuse; Digital education; ISO 26000; ISO 45003; Right to privacies; Social responsibilities; Teaching efficiencies; Well being; Artificial intelligence</t>
  </si>
  <si>
    <t>UNESO, https://unesdoc.unesco.org/ark:/48223/pf0000376709?posInSet=1&amp;queryId=a58b4fcc-e521-4d5c-aaea-04593d82a3f6, AI and education: guidance for policy-makers[EB/OL], 2021 [2021-5-20]; (2020), OECD. A Framework to Guide an Education Response to the Covid-19 Pandemic of 2020[J]; https://ec.europa.eu/education/education-in-the-eu/digital-education-action-plan_en, Commission European. Digital Education Action Plan (2021-2027)[EB/OL], 2020 [2021-5-20]; http://www.moe.gov.cn/jyb_xwfb/s6052/moe_838/201902/t20190223_370857.html, Central committee of the communist party of china State-Council. 《Modernization of Chinese Education 2035》[EB/OL], 2019 [2021-5-20]; https://iso26000.info/iso/iso-standards/iso-26000/european-standard-iso-26000/, ISO 26000. ISO 26000 Adopted as European Standard[EB/OL]. [2021-10-7]; Organization, U., (2015), Rethinking Education: Towards a Global Common Good?[Z]: Unesco 84; Government, U.K., Science, O.F., (2016), Artificial Intelligence: Opportunities and Implications for the Future of Decision Making[J]; http://www.cnipr.com/sj/jd/202002/t20200227_237878.html, China Intellectual Property Network. Anti-epidemic “magic weapon”! How does infrared temperature measurement technology realize temperature screening? [EB/OL]. 2020: [2021-9-30]; Al Hossain, F., Lover, A.A., Corey, G.A., Reich, N.G., Rahman, T., FluSense: a contact-less syndromic surveillance platform for influenza-like illness in hospital waiting areas (2020) Proc. ACM Interact. Mob. Wearable Ubiquit. Technol., 4 (1), pp. 1-28; Kerdvibulvech, C., https://doi.org/10.1007/978-3-030-60117-1_34, Chen L. The Power of Augmented Reality and Artificial Intelligence During the Covid-19 Outbreak. In: Stephanidis C., Kurosu M., Degen H., Reinerman-Jones L. (eds) HCI International 2020 - Late Breaking Papers: Multimodality and Intelligence. HCII 2020. Lecture Notes in Computer Science, vol 12424. Springer, Cham; Li, L., Artificial intelligence distinguishes COVID-19 from community acquired pneumonia on chest CT (2020) Radiology, 296 (2); Yan, L., An interpretable mortality prediction model for COVID-19 patients (2020) Nat. Mach. Intell., 2, pp. 283-288; Markazi, D.M., Walters, K., https://doi.org/10.1007/978-3-030-71292-1_5, People's Perceptions of AI Utilization in the Context of COVID-19. In: Toeppe K., Yan H., Chu S.K.W. (eds) Diversity, Divergence, Dialogue. iConference 2021. Lecture Notes in Computer Science, vol 12645. Springer, Cham; Zhang, B., Dafoe, A., Artificial intelligence: American attitudes and trends (2019), Future of Humanity Institute, University of Oxford, Oxford, UK Center for the Governance of AI; Pedró, F., Subosa, M., Rivas, A., Artificial Intelligence in Education (2019) Challenges and Opportunities for Sustainable Development[Z]; Angeles, I., https://www.khaleejtimes.com/international/americas/hollywood-actors-ceos-among-50-charged-in-largest-college-admissions-scam, Hollywood Actors, Ceos Among 50 Charged in 'largest College Admissions Scam'[EB/OL] [2021-5-22]; (2010), ISO. Guidance on Social Responsibility: ISO 26000. [S]; https://abcnews.go.com/International/russia-investigates-student-killed-20-crimean-college-mass/story?id=58583647, Reevell Patrick. Russia investigates whether student who killed 20 in Crimean college 'mass murder' acted alone[EB/OL] [2021-5-23]; https://edition.cnn.com/2021/05/06/us/idaho-middle-school-shooting/index.html, Rose Dakin-Andone-and-Andy. Suspect in custody after Idaho middle school shooting that injured three[EB/OL], 2021 [2021-5-23]; News, A.B.C., https://www.msn.com/en-us/news/world/at-least-9-dead-in-school-shooting-in-russia/ar-BB1gBvjt, 10 killed, 21 injured in Kazan school shooting Alarms Russia's[EB/OL] [2021-5-23]; Yarrington, J.S., Lasser, J., Garcia, D., Vargas, J.H., Couto, D.D., Marafon, T., Impact of the Covid-19 Pandemic on Mental Health Among 157,213 Americans[J] (2021) J Affect Disord, 286, pp. 64-70; Marques, G., Drissi, N., Díez, I.D.L.T., de Abajo, B.S., Ouhbi, S., Impact of Covid-19 on the Psychological Health of University Students in Spain and Their Attitudes Toward Mobile Mental Health Solutions[J] (2021) Int J Med Inf, 147, p. 104369; Xiong, J., Lipsitz, O., Nasri, F., Lui, L.M.W., Gill, H., Phan, L., Impact of Covid-19 Pandemic on Mental Health in the General Population: a Systematic Review[J] (2020) J Affect Disord, 277, pp. 55-64; Duan, L.I., Shao, X., Wang, Y., Huang, Y., Miao, J., Yang, X., An Investigation of Mental Health Status of Children and Adolescents in China During the Outbreak of Covid-19[J] (2020) J Affect Disord, 275, pp. 112-118; Martínez-Monteagudo, M.C., Delgado, B., Díaz-Herrero, Á., García-Fernández, J.M., Relationship Between Suicidal Thinking, Anxiety, Depression and Stress in University Students Who Are Victims of Cyberbullying[J] (2020) Psychiatry Res, 286, p. 112856; Anticipate, I.L.O., prepare and respond to crises – Invest now in resilient occupational safety and health systems[R]; (2018), ISO. Occupational health and safety management systems — Requirements with guidance for use: ISO 45001. [S]; (2021), ISO. Occupational health and safety management — Psychological health and safety at work — Guidelines for managing psychosocial risks: ISO 45003. [S]</t>
  </si>
  <si>
    <t>Ain Shams University</t>
  </si>
  <si>
    <t>20904479</t>
  </si>
  <si>
    <t>Ain Shams Eng. J.</t>
  </si>
  <si>
    <t>2-s2.0-85119047711</t>
  </si>
  <si>
    <t>Application of iso 26000 in digital education during covid-19</t>
  </si>
  <si>
    <t>Marreiros G., Ramos C., Machado J., Neves J.</t>
  </si>
  <si>
    <t>9332465700;35249247600;57943272100;7102055608;</t>
  </si>
  <si>
    <t>Argument-based decision making in ambient intelligence environments</t>
  </si>
  <si>
    <t>International Journal of Reasoning-based Intelligent Systems</t>
  </si>
  <si>
    <t>3-4</t>
  </si>
  <si>
    <t>182</t>
  </si>
  <si>
    <t>190</t>
  </si>
  <si>
    <t>10.1504/IJRIS.2009.028017</t>
  </si>
  <si>
    <t>https://www.scopus.com/inward/record.uri?eid=2-s2.0-84933525207&amp;doi=10.1504%2fIJRIS.2009.028017&amp;partnerID=40&amp;md5=03938a18e7087579eda03e023f79875e</t>
  </si>
  <si>
    <t>GECAD – Knowledge Engineering and Decision Support Group, Instituto Superior de Engenharia do Porto, R. Dr. António Bernardino de Almeida, 43, 4200-072 Porto, Portugal; Departamento de Informática, Universidade do Minho, Campus de Gualtar, 4710-059 Braga, Portugal</t>
  </si>
  <si>
    <t>Marreiros, G., GECAD – Knowledge Engineering and Decision Support Group, Instituto Superior de Engenharia do Porto, R. Dr. António Bernardino de Almeida, 43, 4200-072 Porto, Portugal; Ramos, C., GECAD – Knowledge Engineering and Decision Support Group, Instituto Superior de Engenharia do Porto, R. Dr. António Bernardino de Almeida, 43, 4200-072 Porto, Portugal; Machado, J., Departamento de Informática, Universidade do Minho, Campus de Gualtar, 4710-059 Braga, Portugal; Neves, J., Departamento de Informática, Universidade do Minho, Campus de Gualtar, 4710-059 Braga, Portugal</t>
  </si>
  <si>
    <t>Decision making is a cognitive process of the foremost importance to set a line of action under change; it is said to be a psychological construct, being therefore latent and not directly observable. Indeed, issues of construct validity are paramount, where the information gathered would provide insight regarding the construct of emotional intelligence and how one would attempt to clarify its meaning and measure it. In this paper, this problem will be addressed in terms of an argumentation-based system, where intelligent agents simulate the behaviour of individuals as group members that take part in a decision making process. © 2009 Inderscience Enterprises Ltd.</t>
  </si>
  <si>
    <t>agent-based simulation; argumentation; group decision support systems; quality-of-information</t>
  </si>
  <si>
    <t>Amgoud, L., Belabbès, S., Prade, H., A formal general setting for dialogue protocols (2006) Lecture Notes in Computer Science, 4183, pp. 13-23; Barsade, S., The ripple effect: emotional contagion and its influence on group behaviour (2002) Administrative Science Quarterly, 47, pp. 644-675; Bench-Capon, T., Dunne, D., Argumentation and dialogue in artificial intelligence (2005) IJCAI 2005 Tutorial Notes, , University of Liverpool, Liverpool, UK; Forgas, J., Mood and judgment: the affect infusion model (AIM) (1995) Psychological Bulletin, 117, pp. 39-66; French, J., Raven, B., (1959) The Bases of Social Power, Studies in Social Power, pp. 150-167. , The University of Michigan; Hagras, H., Callaghan, V., Colley, M., Clarke, G., Pounds-Cornish, A., Duman, H., Creating an ambient-intelligence environment using embedded agents (2004) IEEE Intelligent Systems, 19 (6), pp. 12-20; Jennings, N., Faratin, P., Lomuscio, A., Parson, S., Sierra, C., Wooldridge, M., Automated negotiation: prospects, methods and challenges (2001) Journal of Group Decision and Negotiation, 2 (10), pp. 199-215; Karlins, M., Abelson, H., (1970) Persuasion: How Opinions and Attitudes are Changed, , Springer Publishing; Kraus, S., Sycara, K., Evenchick, A., Reaching agreements through argumentation: a logical model and implementation (1998) Artificial Intelligence, 104 (1-2), pp. 1-69; Loewenstein, G., Lerner, J., The role of affect in decision making (2003) Handbook of Affective Sciences, , Davidson, R., Scherer, K. and Goldsmith, H. (Eds.) Oxford University Press; Marreiros, G., Ramos, C., Neves, J., Dealing with emotional factors in agent based ubiquitous group decision (2005) Lecture Notes in Computer Science, 3823, pp. 41-50; Marreiros, G., Santos, R., Freitas, C., Ramos, C., Neves, J., Bulas-Cruz, J., Modelling group decision making processes with artificial societies considering emotional factors (2007) Symposium on Artificial Societies for Ambient Intelligence, , Newcastle, UK; Marreiros, G., Santos, R., Ramos, C., Neves, J., Bulas-Cruz, J., ABS4GD: a multi-agent system that simulates group decision processes considering emotional and argumentative aspects (2008) AAAI Spring Symposium on Emotion, Personality and Social Behaviour, pp. 88-95. , Stanford; Marreiros, G., Santos, R., Ramos, C., Neves, J., Novais, P., Machado, J., Bulas-Cruz, J., Ambient intelligence in emotion based ubiquitous decision making (2007) Proc. Artificial Intelligence Techniques for Ambient Intelligence, IJCAI’07 – Twentieth International Joint Conference on Artificial Intelligence, , Hyderabad, India; Masthoff, J., Vasconcelos, W., Aitken, C., Correa da Silva, F., Agent-based group modelling for ambient intelligence (2007) AISB Symposium on Affective Smart Environments, , Newcastle, UK; Neves, J., A logic interpreter to handle time and negation in logic data bases (1984) Proceedings of ACM’84, The Fifth Generation Challenge, pp. 50-54; Pruitt, D., (1981) Negotiation Behavior, , Academic Press, NY; Santos, R., Marreiros, G., Ramos, C., Neves, J., Bulas-Cruz, J., Multi-agent approach for ubiquitous group decision support involving emotions (2006) Lectures Notes in Computer Science, 4159, pp. 1174-1185; Walton, D., Krabbe, E., Commitment in dialogue (1995) Basic Concepts of Interpersonal Reasoning, , State University of New York Press, Albany, NY</t>
  </si>
  <si>
    <t>17550556</t>
  </si>
  <si>
    <t>Int. J. Reasoning based Intell. Syst.</t>
  </si>
  <si>
    <t>2-s2.0-84933525207</t>
  </si>
  <si>
    <t>Raja K., Srivatsa S.K.</t>
  </si>
  <si>
    <t>57197443567;7003518102;</t>
  </si>
  <si>
    <t>Constructing a knowledge based group decision support system with enhanced cognitive analysis</t>
  </si>
  <si>
    <t>Information Technology Journal</t>
  </si>
  <si>
    <t>44</t>
  </si>
  <si>
    <t>10.3923/itj.2006.40.44</t>
  </si>
  <si>
    <t>https://www.scopus.com/inward/record.uri?eid=2-s2.0-33644582763&amp;doi=10.3923%2fitj.2006.40.44&amp;partnerID=40&amp;md5=def9846b60ba18cf50e33fb709380e3e</t>
  </si>
  <si>
    <t>SathyaBama Institute of Science and Technology, Chennai-600 119, India; Department of ECE, MIT Campus, Anna University, Chennai-600 044, India; Department of Information Technology, Sri Sairam Engg College, Chennai 600 044, India</t>
  </si>
  <si>
    <t>Raja, K., SathyaBama Institute of Science and Technology, Chennai-600 119, India, Department of Information Technology, Sri Sairam Engg College, Chennai 600 044, India; Srivatsa, S.K., Department of ECE, MIT Campus, Anna University, Chennai-600 044, India</t>
  </si>
  <si>
    <t>This study explores the possibility of adding Knowledge Based Cognitive Psychology assessment within the Group Decision Making and outlines some of the necessary guidance for designing a Knowledge Based Group Decision Support System (KBGDSS). This framework is using intelligent agent communication and graphical user interface. This prototype, which consists of a data base, knowledge base, model base and agent communication language along with the graphical user interface, will help the group of decision makers to select and solve the problem. The end result is a system that will dynamically adapt to the person using it. The system will be able to identify the nature of the decision-maker currently involved in the process and provide him/her with solutions specifically tailored to that person's unique mental composition. © 2006 Asian Network for Scientific Information.</t>
  </si>
  <si>
    <t>Emotional intelligence; Emotional quotient; Group decision making; KBGDSS; Knowledge base; Knowledge query manipulation language</t>
  </si>
  <si>
    <t>Emotional intelligence; Emotional quotient; Group decision making; KBGDSS; Knowledge base; Knowledge query manipulation language; Decision making; Graphical user interfaces; Intelligent agents; Mathematical models; Problem solving; Decision support systems</t>
  </si>
  <si>
    <t>Turban, E., Aronson, J.E., (2001) Decision Support Systems and Intelligent Systems, pp. 104-109. , Addison Wesley Longman, Singapore; Finin, T., Labrou, Y., Mayfield, J., (1995) KQML As An Agent Communication Language, pp. 17-24. , MIT Press; Finin, T., Mckay, D., Fritzson, R., McEntire, R., KQML: An information and knowledge exchange protocol (1993) International Conference on Building and Sharing of Very Large Scale Knowledge Bases, pp. 118-120; Dube, L., Pare, G., Global virtual teams (2001) Commu. ACM, 44, pp. 71-73; Gachet, A., A framework for developing distributed cooperative decision support systems (2001) Informing Science International Conference, pp. 214-221. , Krakow, Poland; Gachet, A., Haettenschwiler, P., A decentralized approach to distributed decision support systems (2003) J. Decision Systems, 12, pp. 141-158; Davis, G.B., Olsen, M.H., (1984) Management Information Systems, pp. 170-171. , McGraw Hill, Intl Edn; Shneiderman, B., (1980) Software, Psychology: Human Factors in Computer and Information Systems, pp. 46-49. , Winthrop, Cambridge, MA; Raja, K., Srivatsa, S.K., Sukanya, R., Knowledge based cognitive psychology analysis enhancing the group decision making (2005) International Conference on Management Principles, Processes and Practices in XXI Century, Proceedings, pp. 130-136; Mehrabian, A., Beyond IQ: Broad-based measurement of Individual success potential or emotional intelligence (2000) Genet. Soc. Gen. Psychol. Monographs, 126, pp. 133-239; Pinson, S., Moraitis, P., An intelligent distributed system for strategic decision making (1996) Group Dec. Negot., 6, pp. 77-108; Spangler, W., The role of artificial intelligence in understanding the strategic decision-making process (1991) IEEE Transactions Knowledge Data Eng., 3, pp. 145-159; Raja, K., Srivatsa, S.K., Developing a knowledge-based group decision support system (2004) ICFAI J. Sys. Manag., 2, pp. 14-18; Vanessa, U.D., Sala, F., Mount, G., (2005) Linking Emotional Intelligence and Performance at Work, , http://www.eiconsortium.org</t>
  </si>
  <si>
    <t>18125638</t>
  </si>
  <si>
    <t>Inf. Technol. J.</t>
  </si>
  <si>
    <t>2-s2.0-33644582763</t>
  </si>
  <si>
    <t>Rincón-Gallardo S.</t>
  </si>
  <si>
    <t>55539034300;</t>
  </si>
  <si>
    <t>De-schooling Well-being: Toward a Learning-Oriented Definition</t>
  </si>
  <si>
    <t>ECNU Review of Education</t>
  </si>
  <si>
    <t>452</t>
  </si>
  <si>
    <t>469</t>
  </si>
  <si>
    <t>10.1177/2096531120935472</t>
  </si>
  <si>
    <t>https://www.scopus.com/inward/record.uri?eid=2-s2.0-85106333628&amp;doi=10.1177%2f2096531120935472&amp;partnerID=40&amp;md5=96cc69664d718bdd9bbb1f32d4dabf1a</t>
  </si>
  <si>
    <t>Rincón-Gallardo, S.</t>
  </si>
  <si>
    <t>Purpose: (1) Critique conventional schooling as detrimental to student well-being and learning. (2) Articulate an alternative that is more conducive to learning and well-being in classrooms, schools, and educational systems. Design/Approach/Methods: I review the historical functions of compulsory schooling, the main critiques to conventional schooling developed over the past century, emerging knowledge on the neuroscience of learning and well-being, and cases of large-scale pedagogical transformation from the Global South. Findings: I argue that conventional schooling is detrimental to well-being, that deep learning is a precursor of well-being, and that compulsory schooling is not designed to cultivate it. Well-being has to be de-schooled so that students thrive in schools: The grammar of schooling has to be replaced with the language of learning. This requires deep and widespread cultural change, and some movements of pedagogical renewal from the Global South offer important lessons on how to accomplish this. Originality/Value: Expanding the scope of existing debates about student well-being by questioning the assumption that compulsory schooling is inherently good and pointing out that unless the default culture of schooling is replaced with cultures of robust learning, student well-being efforts will simply reproduce the very problems they seek to solve. © The Author(s) 2020.</t>
  </si>
  <si>
    <t>Cultural change; educational change; learning; schooling; student well-being</t>
  </si>
  <si>
    <t>Arnsten, A., Mazure, C., Simha, R., Everyday stress can shut down the brain’s chief command center (2012) Scientific American, 306 (4), pp. 48-53; Brandon, J., Hanna, P., Negropontes, D., (2015) Superintendents who lead learning: Lessons from six highly successful school jurisdictions, , University of Calgary/College of Alberta School Superintendents; Cámara, G., (2008) Otra educación básica es posible, , Siglo XXI; (2010) Charting the path from engagement to achievement: A report on the 2009 high school survey of student engagement, , Indiana University; City, E.A., Elmore, R.F., Fiarman, S.E., Teitel, L., (2009) Instructional rounds: A network approach to improving teaching and learning, , Harvard Education Press; Cohen, J., Espelage, D.L., (2020) Feeling safe in school: Bullying and violence prevention around the world, , Harvard Education Press; Colbert, V., Arboleda, J., Bringing a student-centred participatory pedagogy to scale in Colombia (2016) Journal of Educational Change, 17, pp. 385-410. , 10.1007/s10833-016-9283-7; Csikszentmihalyi, M., (1990) Flow: The psychology of optimal experience, , Harper Collins; Datnow, A., Park, V., (2019) Professional collaboration with purpose: Teacher learning towards equitable and excellent schools, , Routlege; DePaoli, J.L., Atwell, M.N., Bridgeland, J.M., Shriver, T.P., (2018) Respected: Perspectives of youth on high school and social and emotional learning, , Civic with Hard Research Associates; Doidge, N., (2007) The brain that changes itself: Stories of personal triumph from the frontiers of brain science, , Penguin Books; Trends in mood and anxiety symptoms and suicide-related outcomes among U.S. Undergraduates (2019) Journal of Adolescent Health, 65 (5), pp. 590-598. , https://doi.org/10.2139/ssrn.3102652; Durlak, J.A., Weissberg, R.P., Dymnicki, A.B., Taylor, R.D., Schellinger, K.B., The impact of enhancing students’ social and emotional learning: A meta-analysis of school-based universal interventions (2011) Child Development, 82 (1), pp. 405-432; Edwards, G.S., Rushin, S., (2018) The Effect of President Trump’s Election on Hate Crimes, , https://ssrn.com/abstract=3102652; Elmore, R.F., Getting to scale with good educational practice (1996) Harvard Educational Review, 66 (1), pp. 1-26; Ericsson, A., Pool, R., (2016) Peak: Secrets from the new science of expertise, , Houghton Mifflin Harcourt; Evans, R., The culture of resistance (1996) The human side of change, pp. 40-50. , Evans R., (ed), Jossey-Bass, (Ed.), (., –; Farrell, J., Manion, C., Rincón-Gallardo, S., Reinventing schooling: Radical alternatives from the Global South (2017) Comparative and international education. Issues for teachers, pp. 59-87. , Bickmore K., Hayhoe R., Manion C., Mundy K., Read R., (eds), 2nd ed, Canadian Scholars, (Eds.), (,.,., –; Fielding, M., Students as radical change agents (2001) Journal of Educational Change, 2 (2), pp. 123-141. , https://doi.org/10.1023/A:1017949213447; Freire, P., (1970) Pedagogy of the oppressed, , The Continuum International Publishing Group; Fullan, M., (2015) Freedom to change: Four strategies to put your inner drive into overdrive, , Jossey-Bass; Gatto, J.T., (1992) Dumbing us down: The hidden curriculum of American schools, , New Society Publishers; Gatto, J.T., (2009) Weapons of mass instruction: A schoolteacher’s journey through the dark world of compulsory schooling, , New Society Publishers; Ginwright, S., James, T., From assets to agents of change: Social justice, organizing, and youth development (2002) New Directions for Youth Development, 96, pp. 27-46; Gladwell, M., (2008) Outliers: The story of success, , Little, Brown, and Company; Guterres, A., (2019) UN chief warns of rising misogyny, xenophobia, discrimination, racism &amp; hate speech, , http://www.ipsnews.net/2019/12/un-chief-warns-rising-misogyny-xenophobia-discrimination-racism-hate-speech/, Inter Press Service News. Opinion Piece, Retrieved January 28, 2020, from; Harari, Y.N., (2018) 21 Lessons for the 21st century, , Spiegel &amp; Grau; Hattie, J., (2009) Visible Learning: A Synthesis of Over 800 Meta-Analyses Relating to Achievement, , Routledge; I, thou, and it. In (1974) Agathon Books, pp. 49-62; Holt, J., (1977) Instead of education: Ways to help people do things better, , Delacorte Press; Illich, I., (1970) Deschooling society, , Marion Boyars; Johnson, S.M., Marietta, G., Higgins, M.C., Mapp, K.L., Grossman, A.S., (2015) Achieving coherence in district reform: Managing the relationship between the central office and schools, , Harvard Education Press; Kieling, C., Baker-Henningham, H., Belfer, M., Conti, G., Ertem, L., Omigbodun, O., Rohde, L.A., Rahman, A., Child and adolescent mental health worldwide: Evidence for action (2011) The Lancet, 378 (9801), pp. 1515-1525. , https://doi.org/10.1016/S0140-6736(11)60827-1; Kim, K.H., The creativity crisis: The decrease in creative thinking scores on the Torrance tests of creative thinking (2011) Creativity Research Journal, 23 (4), pp. 285-295; Lepper, M.R., Corpus, J.H., Iyengar, S.S., Intrinsic and extrinsic motivational orientations in the classroom: Age differences and academic correlates (2005) Journal of Educational Psychology, 97 (2), pp. 184-196. , https://dx.doi.org/10.1037/0022-0663.97.2.184; Little, J.W., Norms of collegiality and experimentation: Workplace conditions of school success (1982) American Educational Research Journal, 19 (3), pp. 325-340; MacNamara, B.N., Hambrick, D.Z., Oswald, F.L., Deliberate practice and performance in music, games, sports, education, and professions: A meta-analysis (2014) Psychological Science, 25 (8), pp. 1608-1618. , https://doi.org/10.1177/0956797614535810; Mehta, J., (2013) The allure of order: High hopes, dashed expectations, and the troubled quest to remake American schooling, , Oxford University Press; Mehta, J., Fine, S., (2019) In search of deeper learning: The quest to remake the American high school, , Harvard University Press; Mourshed, M., Chijioke, C., Barber, M., (2010) How the world’s most improved school systems keep getting better, , McKinsey &amp; Company; Moyo, D., (2018) Ten warning signs that democracies are under siege, , speninstitute.org/blog-posts/ten-warning-signs-that-democracies-are-under-siege/, World Affairs, The Aspen Institute, Retrieved January 28, 2020, from; Niesz, T., Krishnamurthy, R., Bureaucratic activism and radical school change in Tamil Nadu, India (2013) Journal of Educational Change, 14, pp. 29-50; Niesz, T., Krishnamurthy, R., Movement actors in the education bureaucracy: The figured world of activity based learning in Tamil Nadu (2014) Anthropology &amp; Education Quarterly, 45 (2), pp. 148-166; (2016) A broken social elevator? How to promote social mobility, , OECD; (2017) PISA 2015 results (Volume III): Students’ well-being, , https://doi.org/10.1787/9789264273856-en, OECD; (2019) Under pressure: The squeezed middle class, , https://doi.org/10.1787/689afed1-en, OECD; Olson, K., (2009) Wounded by school: Recapturing the joy in learning and standing up to old school culture, , Teachers College Press; Pentland, A., (2014) Social physics: How good ideas spread, , Penguin Press; Perone, S., Weybright, E.H., Anderson, A.J., Over and over again: Changes in frontal EEG asymmetry across a boring task (2019) Psychophysiology, 56 (10). , https://doi.org/10.1111/psyp.13427; Pink, D., (2011) Drive: The surprising truth about what motivates us, , Riverhead Books; Rincón-Gallardo, S., Innovación pedagógica en gran escala: ¿Lujo o imperativo moral? (2014) DIDAC, 65, pp. 11-18; Rincón-Gallardo, S., Large scale pedagogical transformation as widespread cultural change in Mexican public schools (2016) Journal of Educational Change, 17, pp. 411-436. , https://doi.org/10.1007/s10833-016-9286-4; Rincón-Gallardo, S., In the pursuit of freedom and social justice: Four theses to reshape educational change (2018) Future directions of educational change: Social justice, professional capital, and systems change, pp. 17-33. , Malone H., Rincón-Gallardo S., Kew K., (eds), Routledge, (Eds.), (., –; Rincón-Gallardo, S., (2019) Liberating learning: Educational change as social movement, , Routledge; Rincón-Gallardo, S., Educational change as social movement: An emerging paradigm from the Global South (2020) Journal of Educational Change, , https://doi.org/10.1007/s10833-020-09374-3; Rincón-Gallardo, S., Elmore, R.F., Transforming teaching and learning through social movement in Mexican public middle-schools (2012) Harvard Educational Review, 82 (4), pp. 471-490; Robinson, V., Lloyd, C.A., Rowe, K.J., The impact of leadership on student outcomes (2008) Education Administration Quarterly, 44, pp. 635-674; Rogers, C.R., (1969) Freedom to learn, , Charles E. Merrill; Ryan, R.M., Deci, E.L., Self determination theory and the facilitation of intrinsic motivation, social development, and well-being (2000) American Psychologist, 55 (1), pp. 68-78; Sahlberg, P., (2011) Finnish lessons: What can the world learn from educational change in Finland?, , Teachers College Press; Sarason, S., (1982) The culture of school and the problem of change, , Allyn &amp; Bacon; Sarason, S., (2004) And what do you mean by learning?, , Heinemann; Siegel, D.J., Bryson, T.P., (2012) The whole-brain child: 12 Revolutionary strategies to nurture your child’s developing mind, , Bantam Books; Stone, D., Heen, S., (2014) Thanks for the feedback, , Viking; Taylor, R.D., Oberle, E.D., Durlak, J.A., Weissberg, R.P., Promoting positive youth development through school-based social and emotional learning interventions: A meta-analysis of follow-up effects (2017) Child Development, 88 (4), pp. 1156-1171; Thackray, R.I., The stress of boredom and monotony: A consideration of the evidence (1981) Psychosomatic Medicine, 43 (2), pp. 165-176; Tyack, D.B., (1974) The one best system: A history of American urban education, , Harvard University Press; Tyack, D., Cuban, L., (1995) Tinkering toward utopia: A century of public school reform, , Harvard University Press; (2019) The heat is on: Taking stock of global climate ambition (NDC global outlook report), , United Nations Development Programme; van Horn Melton, J., (2003) Absolutism and the eighteenth-century origins of compulsory schooling in Prussia and Austria, , Cambridge University Press; Vygotsky, L.S., (1978) Mind in society: Development and higher psychological processes, , Harvard University Press; Wagner, T., Dintersmith, T., (2015) Most likely to succeed: Preparing our kids for the innovation era, , Simon and Schuster; (2018) WMO statement on the state of the global climate in 2018, , World Meteorological Organization; Zaalouk, M., (2006) The pedagogy of empowerment: Community schools as a social movement in Egypt, , American University Cairo Press; Zhao, Y., (2014) Who’s afraid of the big bad dragon? Why China has the best (and worst) education system in the world, , Jossey-Bass</t>
  </si>
  <si>
    <t>20965311</t>
  </si>
  <si>
    <t>ECNU rev. educ.</t>
  </si>
  <si>
    <t>2-s2.0-85106333628</t>
  </si>
  <si>
    <t>De-schooling well-being: toward a learning-oriented definition</t>
  </si>
  <si>
    <t>Liaqat S., Dashtipour K., Rizwan A., Usman M., Shah S.A., Arshad K., Assaleh K., Ramzan N.</t>
  </si>
  <si>
    <t>25655127900;57189573459;57551621000;57220670769;57193316107;8727581900;55904043700;16069861100;</t>
  </si>
  <si>
    <t>Personalized wearable electrodermal sensing-based human skin hydration level detection for sports, health and wellbeing</t>
  </si>
  <si>
    <t>3715</t>
  </si>
  <si>
    <t>10.1038/s41598-022-07754-8</t>
  </si>
  <si>
    <t>https://www.scopus.com/inward/record.uri?eid=2-s2.0-85126080787&amp;doi=10.1038%2fs41598-022-07754-8&amp;partnerID=40&amp;md5=9f04808233d2509ff43f874c39d6a940</t>
  </si>
  <si>
    <t>School of Engineering and Computing, University of the West of Scotland, Paisely, PA1 2BE, United Kingdom; School of Computing, Edinburgh Napier University, Scotland, Edinburgh, EH10 5DT, United Kingdom; Qatar Mobility Innovations Center, Qatar, Qatar Science &amp; Technology Park, Doha, Qatar; James Watt School of Engineering, University of Glasgow, Glasgow, United Kingdom; Research Centre for Intelligent Healthcare, Coventry University, Coventry, United Kingdom; Artificial Intelligence Research Centre College of Engineering and Information Technology, Ajman University, Ajman, United Arab Emirates</t>
  </si>
  <si>
    <t>Liaqat, S., School of Engineering and Computing, University of the West of Scotland, Paisely, PA1 2BE, United Kingdom; Dashtipour, K., School of Computing, Edinburgh Napier University, Scotland, Edinburgh, EH10 5DT, United Kingdom; Rizwan, A., Qatar Mobility Innovations Center, Qatar, Qatar Science &amp; Technology Park, Doha, Qatar; Usman, M., James Watt School of Engineering, University of Glasgow, Glasgow, United Kingdom; Shah, S.A., Research Centre for Intelligent Healthcare, Coventry University, Coventry, United Kingdom; Arshad, K., Artificial Intelligence Research Centre College of Engineering and Information Technology, Ajman University, Ajman, United Arab Emirates; Assaleh, K., Artificial Intelligence Research Centre College of Engineering and Information Technology, Ajman University, Ajman, United Arab Emirates; Ramzan, N., School of Engineering and Computing, University of the West of Scotland, Paisely, PA1 2BE, United Kingdom</t>
  </si>
  <si>
    <t>Personalized hydration level monitoring play vital role in sports, health, wellbeing and safety of a person while performing particular set of activities. Clinical staff must be mindful of numerous physiological symptoms that identify the optimum hydration specific to the person, event and environment. Hence, it becomes extremely critical to monitor the hydration levels in a human body to avoid potential complications and fatalities. Hydration tracking solutions available in the literature are either inefficient and invasive or require clinical trials. An efficient hydration monitoring system is very required, which can regularly track the hydration level, non-invasively. To this aim, this paper proposes a machine learning (ML) and deep learning (DL) enabled hydration tracking system, which can accurately estimate the hydration level in human skin using galvanic skin response (GSR) of human body. For this study, data is collected, in three different hydration states, namely hydrated, mild dehydration (8 hours of dehydration) and extreme mild dehydration (16 hours of dehydration), and three different body postures, such as sitting, standing and walking. Eight different ML algorithms and four different DL algorithms are trained on the collected GSR data. Their accuracies are compared and a hybrid (ML+DL) model is proposed to increase the estimation accuracy. It can be reported that hybrid Bi-LSTM algorithm can achieve an accuracy of 97.83%. © 2022, The Author(s).</t>
  </si>
  <si>
    <t>dehydration; electrodermal response; electronic device; human; machine learning; sport; Dehydration; Galvanic Skin Response; Humans; Machine Learning; Sports; Wearable Electronic Devices</t>
  </si>
  <si>
    <t>El-Sharkawy, A.M., Sahota, O., Lobo, D.N., Acute and chronic effects of hydration status on health (2015) Nutr. Rev., 73, pp. 97-109; Shah, S.A., Abbas, H., Imran, M.A., Abbasi, Q.H., Rf sensing for healthcare applications (2021) Backscattering and RF Sensing for Future Wireless Communication; Rizwan, A., Non-invasive hydration level estimation in human body using galvanic skin response (2020) IEEE Sensors J., 20, pp. 4891-4900; Garrett, D.C., Engineering approaches to assessing hydration status (2017) IEEE Rev. Biomed. Eng., 11, pp. 233-248; Conduction of electrical current to and through the human body: A review (2009) Eplasty, p. 9; Liu, C., Skin mechanical properties and hydration measured with mobile phone camera (2016) IEEE Sensors J., 16, pp. 924-930; Braithwaite, J.J., Watson, D.G., Jones, R., Rowe, M., A guide for analysing electrodermal activity (eda) &amp; skin conductance responses (scrs) for psychological experiments (2013) Psychophysiology, 49, pp. 1017-1034; Huang, X., Epidermal impedance sensing sheets for precision hydration assessment and spatial mapping (2013) IEEE Trans. Biomed. Eng., 60, pp. 2848-2857; El-Sharkawy, A.M., Hydration and outcome in older patients admitted to hospital (the hoop prospective cohort study) (2015) Age Ageing, 44, pp. 943-947; Rowat, A., Graham, C., Dennis, M., Dehydration in hospital-admitted stroke patients: detection, frequency, and association (2012) Stroke, 43, pp. 857-859; Lobo, D.N., Fluid, electrolytes and nutrition: physiological and clinical aspects (2004) Proc. Nutr. Soc., 63, pp. 453-466; Laine, G.A., Allen, S.J., Katz, J., Gabel, J.C., Drake, R.E., Effect of systemic venous pressure elevation on lymph flow and lung edema formation (1986) J. Appl. Physiol., 61, pp. 1634-1638. , COI: 1:STN:280:DyaL2s%2Fls1OktQ%3D%3D; Yoneda, K., Anatomic pathway of fluid leakage in fluid-overload pulmonary edema in mice (1980) Am. J. Pathol., 101, p. 7. , COI: 1:STN:280:DyaL3M%2FotlGisA%3D%3D, PID: 7446703; Veiga, D., Postoperative delirium in intensive care patients: risk factors and outcome (2012) Braz. J. Anesthesiol., 62, pp. 469-483; Prowle, J.R., Echeverri, J.E., Ligabo, E.V., Ronco, C., Bellomo, R., Fluid balance and acute kidney injury (2010) Nat. Rev. Nephrol., 6, pp. 107-115; Wizemann, V., The mortality risk of overhydration in haemodialysis patients (2009) Nephrol. Dial. Transplant., 24, pp. 1574-1579; Boyd, J.H., Forbes, J., Nakada, T.-A., Walley, K.R., Russell, J.A., Fluid resuscitation in septic shock: a positive fluid balance and elevated central venous pressure are associated with increased mortality (2011) Critical Care Med., 39, pp. 259-265; Fortes, M.B., Is this elderly patient dehydrated? diagnostic accuracy of hydration assessment using physical signs, urine, and saliva markers (2015) J. Am. Med. Dir. Assoc., 16, pp. 221-228; Armstrong, L.E., Hydration assessment techniques (2005) Nutr. Rev., 63, pp. S40-S54; Armstrong, L.E., Assessing hydration status: the elusive gold standard (2007) J. Am. College Nutr., 26, pp. 575S-584S; Marsh, L.T.L.H.M., U.S (2013) Patent; Myers, A., Muth, J., Zhu, Y., Yao, S., Malhotra, A., (2016) Personal Hydration Monitor, , U.S. Patent; Gerald Sweeneymccluskey, J.W.P., (2014) Valve and Cap System for a Beverage Container, , U.S. Patent; Liaqat, S., Dashtipour, K., Arshad, K., Ramzan, N., Non invasive skin hydration level detection using machine learning (2020) Electronics, 9, p. 1086; da Silva, H.P., Guerreiro, J., Lourenço, A., Fred, A.L., Martins, R., Bitalino: A novel hardware framework for physiological computing (2014) Phycs, pp. 246-253; Society for Psychophysiological Research Ad Hoc Committee on Electrodermal Measures et al. Publication recommendations for electrodermal measurements (2012) Psychophysiology, 49, pp. 1017-1034; Taylor, W., A review of the state of the art in non-contact sensing for covid-19 (2020) Sensors, 20, p. 5665. , COI: 1:CAS:528:DC%2BB3cXisV2qt7nF; Singh, R., Shah, P., Bagade, J., Skin texture analysis using machine learning (2016) 2016 Conference on Advances in Signal Processing (CASP, pp. 494-497. , IEEE; Carrieri, A.P., Explainable ai reveals key changes in skin microbiome associated with menopause, smoking, aging and skin hydration (2020) Biorxiv; Kulkarni, N., Compton, C., Luna, J., Alam, M.A.U., A non-invasive context-aware dehydration alert system (2021) Proceedings of the 22Nd International Workshop on Mobile Computing Systems and Applications, pp. 157-159</t>
  </si>
  <si>
    <t>Nature Research</t>
  </si>
  <si>
    <t>2-s2.0-85126080787</t>
  </si>
  <si>
    <t>Joseph-Richard P., Uhomoibhi J., Jaffrey A.</t>
  </si>
  <si>
    <t>57192199192;10044471800;6506983611;</t>
  </si>
  <si>
    <t>Predictive learning analytics and the creation of emotionally adaptive learning environments in higher education institutions: a study of students' affect responses</t>
  </si>
  <si>
    <t>International Journal of Information and Learning Technology</t>
  </si>
  <si>
    <t>38</t>
  </si>
  <si>
    <t>243</t>
  </si>
  <si>
    <t>257</t>
  </si>
  <si>
    <t>10.1108/IJILT-05-2020-0077</t>
  </si>
  <si>
    <t>https://www.scopus.com/inward/record.uri?eid=2-s2.0-85102182640&amp;doi=10.1108%2fIJILT-05-2020-0077&amp;partnerID=40&amp;md5=badb6e8041ff4bf4bfbc7a5aaf4360f6</t>
  </si>
  <si>
    <t>Department of Management, Leadership and Marketing, Ulster University Business School, Newtownabbey, United Kingdom; Faculty of Computing and Engineering, University of Ulster, Newtownabbey, United Kingdom; Centre for Digital Learning, Ulster University – Jordanstown Campus, Newtownabbey, United Kingdom</t>
  </si>
  <si>
    <t>Joseph-Richard, P., Department of Management, Leadership and Marketing, Ulster University Business School, Newtownabbey, United Kingdom; Uhomoibhi, J., Faculty of Computing and Engineering, University of Ulster, Newtownabbey, United Kingdom; Jaffrey, A., Centre for Digital Learning, Ulster University – Jordanstown Campus, Newtownabbey, United Kingdom</t>
  </si>
  <si>
    <t>Purpose: The aims of this study are to examine affective responses of university students when viewing their own predictive learning analytics (PLA) dashboards, and to analyse how those responses are perceived to affect their self-regulated learning behaviour. Design/methodology/approach: A total of 42 Northern Irish students were shown their own predicted status of academic achievement on a dashboard. A list of emotions along with definitions was provided and the respondents were instructed to verbalise them during the experience. Post-hoc walk-through conversations with participants further clarified their responses. Content analysis methods were used to categorise response patterns. Findings: There is a significant variation in ways students respond to the predictions: they were curious and motivated, comforted and sceptical, confused and fearful and not interested and doubting the accuracy of predictions. The authors show that not all PLA-triggered affective states motivate students to act in desirable and productive ways. Research limitations/implications: This small-scale exploratory study was conducted in one higher education institution with a relatively small sample of students in one discipline. In addition to the many different categories of students included in the study, specific efforts were made to include “at-risk” students. However, none responded. A larger sample from a multi-disciplinary background that includes those who are categorised as “at-risk” could further enhance the understanding. Practical implications: The authors provide mixed evidence for students' openness to learn from predictive learning analytics scores. The implications of our study are not straightforward, except to proceed with caution, valuing benefits while ensuring that students' emotional well-being is protected through a mindful implementation of PLA systems. Social implications: Understanding students' affect responses contributes to the quality of student support in higher education institutions. In the current era on online learning and increasing adaptation to living and learning online, the findings allow for the development of appropriate strategies for implementing affect-aware predictive learning analytics (PLA) systems. Originality/value: The current study is unique in its research context, and in its examination of immediate affective states experienced by students who viewed their predicted scores, based on their own dynamic learning data, in their home institution. It brings out the complexities involved in implementing student-facing PLA dashboards in higher education institutions. © 2021, Emerald Publishing Limited.</t>
  </si>
  <si>
    <t>Affect responses; Emotional learning analytics; Emotions; Predictive learning analytics</t>
  </si>
  <si>
    <t>Afzal, S., Robinson, P., Natural affect data: collection and annotation (2011) New Perspectives on Affect and Learning Technologies, pp. 55-70. , Springer, New York, NY; Aguiar, E., Lakkaraju, H., Bhanpuri, N., Miller, D., Yuhas, B., Addison, K.L., Who, when, and why: a machine learning approach to prioritizing students at risk of not graduating high school on time (2015) Proceedings of the Fifth International Conference on Learning Analytics and Knowledge, pp. 93-102; Alhadad, S., Arnold, K., Baron, J., Whitmer, J., (2015) The Predictive Learning Analytics Revolution: Leveraging Learning, , ECAR, Louisville, CO; Baker, R.S., Corbett, A.T., Koedinger, K.R., Wagner, A.Z., Off-task behavior in the cognitive tutor classroom: when students ‘game the system’ (2004) Proceedings of the SIGCHI Conference on Human Factors in Computing Systems, pp. 383-390; Baker, R.S., Gowda, S.M., Corbett, A.T., Towards predicting future transfer of learning (2011) International Conference on Artificial Intelligence in Education, pp. 23-30. , Springer, Berlin and Heidelberg; Baker, R.S., Corbett, A.T., Roll, I., Koedinger, K.R., Aleven, V., Cocea, M., Hershkovitz, A., Mathews, M., Modeling and studying gaming the system with educational data mining (2013) International Handbook of Metacognition and Learning Technologies, pp. 97-115. , Springer, New York, NY; Bergner, Y., Measurement and its uses in learning analytics (2017) Handbook of Learning Analytics, pp. 34-48. , Lang, C., Siemens, G., Wise, A. and Gasevic, D.,(Eds), 1st ed., Society for Learning Analytics and Research, New York, NY; Bosch, N., D'Mello, S., The affective experience of novice computer programmers (2017) International Journal of Artificial Intelligence in Education, 27 (1), pp. 181-206; Brooker, A., Corrin, L., De Barba, P., Lodge, J., Kennedy, G., A tale of two MOOCs: how student motivation and participation predict learning outcomes in different MOOCs (2018) Australasian Journal of Educational Technology, 34 (1); Brooks, C., Thompson, C., Predictive modelling in teaching and learning (2017) Handbook of Learning Analytics, pp. 61-68. , Lang, C., Siemens, G., Wise, A. and Gasevic, D. and,(Eds), 1st ed., Society for Learning Analytics and Research, New York, NY; Chiu, Y.C., Hsu, H.J., Wu, J., Yang, D.L., Predicting student performance in MOOCs using learning activity data (2018) Journal of Information Science and Engineering, 34 (5), pp. 1223-1235; D'Mello, S.K., Graesser, A., Emotions during learning with AutoTutor (2012) Adaptive Technologies for Training and Education, pp. 169-187. , Durlach, P.J. and Lesgold, A.M. and,(Eds), Cambridge University Press, New York, NY; D’Mello, S.K., Craig, S.D., Sullins, J., Graesser, A.C., Predicting affective states expressed through an emote-aloud procedure from AutoTutor’s mixed-initiative dialogue (2006) International Journal of Artificial Intelligence in Education, 16 (1), pp. 3-28; D'Mello, S.K., Craig, S.D., Witherspoon, A., Mcdaniel, B., Graesser, A., Automatic detection of learner's affect from conversational cues (2008) User Modelling and User-Adapted Interaction, 18 (1-2), pp. 45-80; D'Mello, S.K., Emotional learning analytics (2017) Handbook of Learning Analytics, pp. 115-127; Hascher, T., Learning and emotion: perspectives for theory and research (2010) European Educational Research Journal, 9 (1), pp. 13-28; Hellas, A., Ihantola, P., Petersen, A., Ajanovski, V.V., Gutica, M., Hynninen, T., Knutas, A., Liao, S.N., Predicting academic performance: a systematic literature review (2018) Proceedings Companion of the 23rd Annual ACM Conference on Innovation and Technology in Computer Science Education, pp. 175-199; Herodotou, C., Rienties, B., Hlosta, M., Boroowa, A., Mangafa, C., Zdrahal, Z., The scalable implementation of predictive learning analytics at a distance learning university: insights from a longitudinal case study (2020) The Internet and Higher Education, 45; Hershkovitz, A., Baker, R., Gowda, S.M., Corbett, A.T., Predicting future learning better using quantitative analysis of moment-by-moment learning (2013) Educational Data Mining 2013; Jackson, C., Affective dimensions of learning (2018) Contemporary Theories of Learning, pp. 139-152. , 2nd ed., Routledge, Abington, Oxon; Linnenbrink, E.A., Emotion research in education: theoretical and methodological perspectives on the integration of affect, motivation, and cognition (2006) Educational Psychology Review, 18 (4), pp. 307-314; Long, P., Siemens, G., Penetrating the fog: analytics in learning and education (2011) EDUCAUSE Review, 46 (5), pp. 30-40; Pekrun, R., Stephens, E.J., Academic emotions (2011) APA Educational Psychology Handbook, Vol 2: Individual Differences and Cultural and Contextual Factors, pp. 3-31. , Harris, K., Graham, S., Urdan, T., Graham, S., Royer, J. and Zeidner, M. and,(Eds), American Psychological Association, Washington, DC; Pekrun, R., Linnenbrink-Garcia, L., Academic emotions and student engagement (2012) Handbook of Research on Student Engagement, pp. 259-282. , Springer, Boston, MA; Pekrun, R., Linnenbrink-Garcia, L., (2014) International Handbook of Emotions in Education, , Routledge, New York, NY; Pekrun, R., Goetz, T., Titz, W., Perry, R.P., Academic emotions in students' self-regulated learning and achievement: a program of qualitative and quantitative research (2002) Educational Psychologist, 37, pp. 91-106; Porayska-Pomsta, K., Mavrikis, M., D'Mello, S., Conati, C., Baker, R.S., Knowledge elicitation methods for affect modelling in education (2013) International Journal of Artificial Intelligence in Education, 22 (3), pp. 107-140; Qiu, J., Tang, J., Liu, T.X., Gong, J., Zhang, C., Zhang, Q., Xue, Y., Modeling and predicting learning behavior in MOOCs (2016) Proceedings of the Ninth ACM International Conference on Web Search and Data Mining, pp. 93-102; Sclater, N., Learning analytics: the current state of play in UK higher and further education (2014) Jisc, , http://repository.jisc.ac.uk/5657/1/Learning_analytics_.pdf; Suero Montero, C., Suhonen, J., Emotion analysis meets learning analytics: online learner profiling beyond numerical data (2014) Proceedings of the 14th Koli Calling International Conference on Computing Education Research, pp. 165-169; Vatrapu, R., Reimann, P., Bull, S., Johnson, M., An eye-tracking study of notational, informational, and emotional aspects of learning analytics representations (2013) Proceedings of the Third International Conference on Learning Analytics and Knowledge, pp. 125-134; Wosnitza, M., Volet, S., Origin, direction and impact of emotions in social online learning (2005) Learning and Instruction, 15 (5), pp. 449-464</t>
  </si>
  <si>
    <t>20564880</t>
  </si>
  <si>
    <t>Int. J. Inf. Learn. Technol.</t>
  </si>
  <si>
    <t>2-s2.0-85102182640</t>
  </si>
  <si>
    <t>Budsaratragoon P., Jitmaneeroj B.</t>
  </si>
  <si>
    <t>54929919600;52563697400;</t>
  </si>
  <si>
    <t>Reform priorities for prosperity of nations: The Legatum Index</t>
  </si>
  <si>
    <t>Journal of Policy Modeling</t>
  </si>
  <si>
    <t>43</t>
  </si>
  <si>
    <t>657</t>
  </si>
  <si>
    <t>672</t>
  </si>
  <si>
    <t>10.1016/j.jpolmod.2020.09.004</t>
  </si>
  <si>
    <t>https://www.scopus.com/inward/record.uri?eid=2-s2.0-85101042734&amp;doi=10.1016%2fj.jpolmod.2020.09.004&amp;partnerID=40&amp;md5=d661654ae271126a0be907db122e79e1</t>
  </si>
  <si>
    <t>Chulalongkorn Business School, Chulalongkorn University, Bangkok, 10330, Thailand</t>
  </si>
  <si>
    <t>Budsaratragoon, P., Chulalongkorn Business School, Chulalongkorn University, Bangkok, 10330, Thailand; Jitmaneeroj, B., Chulalongkorn Business School, Chulalongkorn University, Bangkok, 10330, Thailand</t>
  </si>
  <si>
    <t>We apply a four-stage methodology (i.e., cluster analysis, data mining, partial least square path modeling, and importance-performance analysis) to identify the critical paths to multi-dimensional prosperity of nations. Using the Legatum Prosperity Index across 142 countries as a proxy for prosperity, we find strong evidence of the positive causal mechanisms among dimensions of prosperity. This implies that individual dimensions of prosperity should not be weighted equally in designing policies that support prosperity of nations. In line with human capital theory, we find that education and the pupil to teacher ratio are the key policy drivers of prosperity enhancement. © 2021 The Society for Policy Modeling</t>
  </si>
  <si>
    <t>Education; Human capital theory; Legatum Prosperity Index; Prosperity; Wellbeing</t>
  </si>
  <si>
    <t>Annabi, N., Investment in education: What are the productivity gains? (2017) Journal of Policy Modeling, 39, pp. 499-518; Annabi, N., Harvey, S., Lan, Y., Public expenditures on education, human capital and growth in Canada: An OLG model analysis (2011) Journal of Policy Modeling, 33, pp. 852-865; Aristei, D., Perugini, C., Preference for redistribution and inequality in well-being across Europe (2010) Journal of Policy Modeling, 32, pp. 176-195; Becker, G., Human Capital: A Theoretical and Empirical Analysis with Special Reference to Education (1993), University of Chicago Press Chicago; Becker, W., Saisana, M., Paruolo, P., Vandecasteele, I., Weights and importance in composite indicators: Closing the gap (2017) Ecological Indicators, 80, pp. 12-22; Benartzi, S., Thaler, R., Naïve diversification strategies in defined contribution saving plans (2001) American Economic Review, 91, pp. 79-98; Bonaiuto, M., Fornara, F., Ariccio, S., Cancellieri, U.G., Rahimi, L., Perceived Residential Environment Quality Indicators (PREQIs) relevance for UN-HABITAT City Prosperity Index (CPI) (2015) Habitat Internation, 45, pp. 53-63; Budsaratragoon, P., Jitmaneeroj, J., A critique on the Corruption Perceptions Index: An interdisciplinary approach (2020) Socio-Economic Planning Sciences, 70; Cerquides, J., De Mantaras, R.L., TAN classifiers based on decomposable distributions (2005) Machine Learning, 59 (3), pp. 323-354; Cifuentes, M., Doogan, N., Fernandez, S., Seiber, E., Factors shaping Americans’ objective well-being: A system science approach with network analysis (2016) Journal of Policy Modeling, 38, pp. 1018-1039; Crocker, R., Human capital development and education (2007) Fulfilling potential, creating success: Perspectives on human capital development, , G. Picot R. Saunders A. Sweetman McGill-Queen's University Press Montreal/Kingston; Diener, E., Diener, C., The wealth of nations revisited: Income and quality of life (1995) Social Indicators Research, 36 (3), pp. 275-286; Droge, C., Calantone, R., Agrawal, M., Mackoy, R., The consumption culture and its critiques: A framework for analysis (1993) Journal of Macromarketing, 13 (2), pp. 32-45; Fitzsimons, P., Human capital theory and education (2017) Encyclopedia of Educational Philosophy and Theory, , M.A. Peter Springer Singapore; Fleurbaey, M., Beyond GDP: the quest for a measure of social welfare (2009) Journal of Economic Literature, 47 (4), pp. 1029-1075; Gomez-Puig, M., Sosvilla-Rivero, S., The causal relationship between debt and growth in EMU countries (2015) Journal of Policy Modeling, 37, pp. 974-989; Goyal, P., Rahman, Z., Identification and prioritization of corporate sustainability practices using analytical hierarchy process (2015) Journal of Modelling in Management, 10 (1), pp. 23-49; Grossmann, V., Risky human capital investment, income distribution, and macroeconomic dynamics (2008) Journal of Macroeconomics, 30 (1), pp. 19-42; Heckman, J., Pinto, R., Savelyev, P., Understanding the mechanism through which an influential early childhood program boosted adult outcomes (2013) American Economic Review, 103 (6), pp. 2052-2086; Holden, L., Biddle, J., The introduction of human capital theory into education policy in the United States (2017) History of Political Economy, 49 (4), pp. 537-574; Huberman, G., Jiang, W., Offering vs. choice in 401 (k) plans: Equity exposure and number of funds (2006) Journal of Finance, 61, pp. 763-801; Jitmaneeroj, B., Reform priorities for corporate sustainability: Environmental, social, governance, or economic performance (2016) Management Decision, 54 (6), pp. 1497-1521; Kelley, J., Simmons, B., Politics by number: Indicators as social pressure in international relations (2015) American Journal of Political Science, 59 (1), pp. 55-70; King, C., Du, J., China's first priority in post-war state building: A wealthy state, or a strong army? (2018) Journal of Policy Modeling, 40, pp. 851-872; Lan, L.W., Lee, Y.T., Wu, W.W., On the decision structures and knowledge discovery for ANP modeling (2013) International Journal of Intelligence Science, 3 (1A), pp. 15-23; Lemieux, T., Macleod, W.B., Parent, D., Performance pay and wage inequality (2009) Quarterly Journal of Economics, 124 (1), pp. 1-49; Ludwig, J., Sawhill, I., Success by ten: Intervening early, often, and effectively in the education of young children. Hamilton Project Discussion Paper 2007-02 (2007), Brookings (February); Mincer, J., Schooling, experience, and earnings (1974), Columbia University Press for the National Bureau of Economic Research New York; OECD, Handbook on Constructing Composite Indicators: Methodology and User Guide (2008), OECD publishing; Schultz, T.W., Investment in human capital (1961) American Economic Review, 51 (1), pp. 1-17; Stiglitz, J., Sen, A., Fitoussi, J.P., Report of the commission on the measurement of economic performance and social progress (2009), http://www.stiglitz-sen-fitoussi.fr/en/index.htm, Accessed 13 December 2015; Tomich, T., Lidder, P., Coley, M., Gollin, D., Meinzen-Dick, R., Webb, P., Carberry, P., Food and agricultural innovation pathways for prosperity (2018) Agricultural Systems; UNESCO, Teachers and educational quality: Monitoring global needs for 2015 (2015), UNESCO Institute for Statistics; Witten, I., Frank, E., Hall, M., Data mining: Practical machine learning tools and techniques (2011), Morgan Kaufmann San Francisco; Wong, C., A framework for ‘City Prosperity Index’: Linking indicators, analysis and policy (2015) Habital International, 45, pp. 3-9</t>
  </si>
  <si>
    <t>01618938</t>
  </si>
  <si>
    <t>JPMOD</t>
  </si>
  <si>
    <t>J. Policy Model.</t>
  </si>
  <si>
    <t>2-s2.0-85101042734</t>
  </si>
  <si>
    <t>Reform priorities for prosperity of nations: the legatum index</t>
  </si>
  <si>
    <t>Nishi M., Yamano M., Matoba S.</t>
  </si>
  <si>
    <t>57002357900;22137240500;7004363088;</t>
  </si>
  <si>
    <t>Prediction of well-being and insight into work-life integration among physicians using machine learning approach</t>
  </si>
  <si>
    <t>7 July</t>
  </si>
  <si>
    <t>e0254795</t>
  </si>
  <si>
    <t>10.1371/journal.pone.0254795</t>
  </si>
  <si>
    <t>https://www.scopus.com/inward/record.uri?eid=2-s2.0-85110619142&amp;doi=10.1371%2fjournal.pone.0254795&amp;partnerID=40&amp;md5=e82ef2f544fc47690ed2757032dcc19c</t>
  </si>
  <si>
    <t>Department of Cardiovascular Medicine, Graduate School of Medical Science, Kyoto Prefectural University of Medicine, Kyoto, Japan; Cardiovascular Branch, National Heart, Lung and Blood Institute, National Institutes of Health, Bethesda, MD, United States</t>
  </si>
  <si>
    <t>Nishi, M., Department of Cardiovascular Medicine, Graduate School of Medical Science, Kyoto Prefectural University of Medicine, Kyoto, Japan, Cardiovascular Branch, National Heart, Lung and Blood Institute, National Institutes of Health, Bethesda, MD, United States; Yamano, M., Department of Cardiovascular Medicine, Graduate School of Medical Science, Kyoto Prefectural University of Medicine, Kyoto, Japan; Matoba, S., Department of Cardiovascular Medicine, Graduate School of Medical Science, Kyoto Prefectural University of Medicine, Kyoto, Japan</t>
  </si>
  <si>
    <t>There has been increasing interest in examining physician well-being and its predictive factors. However, few studies have revealed the characteristics associated with physician wellbeing and work-life integration using a machine learning approach. To investigate predictive factors of well-being and obtain insights into work-life integration, the survey was conducted by letter mail in a sample of Japanese physicians. A total of 422 responses were collected from 846 physicians. The mean age was 47.9 years, males constituted 83.3% of the physicians, and 88.6% were considered to be well. The most accurate machine learning model showed a mean area under the curve of 0.72. The mean permutation importance of career satisfaction, work hours per week, existence of family support, gender, and existence of power harassment were 0.057, 0.022, 0.009, 0.01, and 0.006, respectively. Using a machine learning model, physician well-being could be predicted. It seems to be influenced by multiple factors, such as career satisfaction, work hours per week, family support, gender, and power harassment. Career satisfaction has the highest impact, while long work hours have a negative effect on well-being. These findings support the need for organizational interventions to promote physician well-being and improve the quality of medical care. © 2021 Nishi et al. This is an open access article distributed under the terms of the Creative Commons Attribution License, which permits unrestricted use, distribution, and reproduction in any medium, provided the original author and source are credited.</t>
  </si>
  <si>
    <t>adult; area under the curve; article; career; female; gender; harassment; human; machine learning; male; medical care; middle aged; physician; prediction; satisfaction; wellbeing; burnout; decision making; job satisfaction; Adult; Burnout, Professional; Career Choice; Humans; Job Satisfaction; Male; Middle Aged; Physicians</t>
  </si>
  <si>
    <t>Wallace, JE, Lemaire, JB, Ghali, WA., Physician wellness: a missing quality indicator (2009) Lancet, 374 (9702), pp. 1714-1721. , https://doi.org/10.1016/S0140-6736(09)61424-0, Epub 2009/11/17. PMID: 19914516; West, CP, Tan, AD, Habermann, TM, Sloan, JA, Shanafelt, TD., Association of resident fatigue and distress with perceived medical errors (2009) JAMA, 302 (12), pp. 1294-1300. , https://doi.org/10.1001/jama.2009.1389, Epub 2009/09/24. PMID: 19773564; Dyrbye, LN, Massie, FS, Eacker, A, Harper, W, Power, D, Durning, SJ, Relationship between burnout and professional conduct and attitudes among US medical students (2010) JAMA, 304 (11), pp. 1173-1180. , https://doi.org/10.1001/jama.2010.1318, Epub 2010/09/16. PMID: 20841530; Dewa, CS, Loong, D, Bonato, S, Trojanowski, L, Rea, M., The relationship between resident burnout and safety-related and acceptability-related quality of healthcare: a systematic literature review (2017) BMC Med Educ, 17 (1), p. 195. , https://doi.org/10.1186/s12909-017-1040-y, Epub 2017/11/11. PMID: 29121895; PubMed Central PMCID: PMC5680598; De Stefano, C, Philippon, AL, Krastinova, E, Hausfater, P, Riou, B, Adnet, F, Effect of emergency physician burnout on patient waiting times (2018) Intern Emerg Med, 13 (3), pp. 421-428. , https://doi.org/10.1007/s11739-017-1706-9, Epub 2017/07/06. PMID: 28677043; Shanafelt, TD, Balch, CM, Bechamps, G, Russell, T, Dyrbye, L, Satele, D, Burnout and medical errors among American surgeons (2010) Ann Surg, 251 (6), pp. 995-1000. , https://doi.org/10.1097/SLA.0b013e3181bfdab3, Epub 2009/11/26. PMID: 19934755; Shanafelt, TD, West, CP, Sinsky, C, Trockel, M, Tutty, M, Satele, DV, Changes in Burnout and Satisfaction With Work-Life Integration in Physicians and the General US Working Population Between 2011 and 2017 (2019) Mayo Clin Proc, 94 (9), pp. 1681-1694. , https://doi.org/10.1016/j.mayocp.2018.10.023, Epub 2019/02/26. PMID: 30803733; Eckleberry-Hunt, J, Kirkpatrick, H, Taku, K, Hunt, R, Vasappa, R., Relation Between Physicians' Work Lives and Happiness (2016) South Med J, 109 (4), pp. 207-212. , https://doi.org/10.14423/SMJ.0000000000000437, Epub 2016/04/05. PMID: 27043800; Dyrbye, LN, Shanafelt, TD, Balch, CM, Satele, D, Sloan, J, Freischlag, J., Relationship between work-home conflicts and burnout among American surgeons: a comparison by sex (2011) Arch Surg, 146 (2), pp. 211-217. , https://doi.org/10.1001/archsurg.2010.310, Epub 2011/02/23. PMID: 21339435; Dyrbye, LN, Sotile, W, Boone, S, West, CP, Tan, L, Satele, D, A survey of U.S. physicians and their partners regarding the impact of work-home conflict (2014) J Gen Intern Med, 29 (1), pp. 155-161. , https://doi.org/10.1007/s11606-013-2581-3, Epub 2013/09/18. PMID: 24043567; PubMed Central PMCID: PMC3889954; Sinsky, CA, Dyrbye, LN, West, CP, Satele, D, Tutty, M, Shanafelt, TD., Professional Satisfaction and the Career Plans of US Physicians (2017) Mayo Clin Proc, 92 (11), pp. 1625-1635. , https://doi.org/10.1016/j.mayocp.2017.08.017, Epub 2017/11/06. PMID: 29101932; Dyrbye, LN, West, CP, Halasy, M, O'Laughlin, DJ, Satele, D, Shanafelt, T., Burnout and satisfaction with work-life integration among PAs relative to other workers (2020) JAAPA, 33 (5), pp. 35-44. , https://doi.org/10.1097/01.JAA.0000660156.17502.e6, Epub 2020/04/30. PMID: 32345947; Wright, AA, Katz, IT., Beyond Burnout-Redesigning Care to Restore Meaning and Sanity for Physicians (2018) N Engl J Med, 378 (4), pp. 309-311. , https://doi.org/10.1056/NEJMp1716845, Epub 2018/01/25. PMID: 29365301; Dyrbye, LN, Shanafelt, TD., Physician burnout: a potential threat to successful health care reform (2011) JAMA, 305 (19), pp. 2009-2010. , https://doi.org/10.1001/jama.2011.652, Epub 2011/05/19. PMID: 21586718; Thomas, LR, Ripp, JA, West, CP., Charter on Physician Well-being (2018) JAMA, 319 (15), pp. 1541-1542. , https://doi.org/10.1001/jama.2018.1331, Epub 2018/03/30. PMID: 29596592; Shanafelt, TD, Boone, S, Tan, L, Dyrbye, LN, Sotile, W, Satele, D, Burnout and satisfaction with worklife balance among US physicians relative to the general US population (2012) Arch Intern Med, 172 (18), pp. 1377-1385. , https://doi.org/10.1001/archinternmed.2012.3199, Epub 2012/08/23. PMID: 22911330; Michel, JB, Sangha, DM, Erwin, JP, Burnout Among Cardiologists (2017) Am J Cardiol, 119 (6), pp. 938-940. , https://doi.org/10.1016/j.amjcard.2016.11.052, Epub 2017/01/10. PMID: 28065490; Panagioti, M, Geraghty, K, Johnson, J., How to prevent burnout in cardiologists? A review of the current evidence, gaps, and future directions (2018) Trends Cardiovasc Med, 28 (1), pp. 1-7. , https://doi.org/10.1016/j.tcm.2017.06.018, Epub 2017/07/19. PMID: 28716506; Lall, M, Gaeta, T, Chung, A, Dehon, E, Malcolm, W, Ross, A, Assessment of Physician Well-being, Part One: Burnout and Other Negative States (2019) Western Journal of Emergency Medicine, 20 (2), pp. 278-290. , https://doi.org/10.5811/westjem.2019.1.39665, PMID: 30881548; Kuhn, G, Goldberg, R, Compton, S., Tolerance for uncertainty, burnout, and satisfaction with the career of emergency medicine (2009) Ann Emerg Med, 54 (1), pp. 106-113. , https://doi.org/10.1016/j.annemergmed.2008.12.019, e6. Epub 2009/02/10. PMID: 19201058; Nishimura, K, Nakamura, F, Takegami, M, Fukuhara, S, Nakagawara, J, Ogasawara, K, Cross-sectional survey of workload and burnout among Japanese physicians working in stroke care: the nationwide survey of acute stroke care capacity for proper designation of comprehensive stroke center in Japan (J-ASPECT) study (2014) Circ Cardiovasc Qual Outcomes, 7 (3), pp. 414-422. , https://doi.org/10.1161/CIRCOUTCOMES.113.000159, Epub 2014/05/16. PMID: 24823957; Zhou, AY, Panagioti, M, Esmail, A, Agius, R, Van Tongeren, M, Bower, P., Factors Associated With Burnout and Stress in Trainee Physicians: A Systematic Review and Meta-analysis (2020) JAMA Netw Open, 3 (8), p. e2013761. , https://doi.org/10.1001/jamanetworkopen.2020.13761, Epub 2020/08/19. PMID: 32809031; PubMed Central PMCID: PMC7435345; Fisher, A, Rudin, C, Dominici, F., All Models are Wrong, but Many are Useful: Learning a Variable's Importance by Studying an Entire Class of Prediction Models Simultaneously (2019) Journal of Machine Learning Research, 20 (177), pp. 1-81; Altmann, A, Tolosi, L, Sander, O, Lengauer, T., Permutation importance: a corrected feature importance measure (2010) Bioinformatics, 26 (10), pp. 1340-1347. , https://doi.org/10.1093/bioinformatics/btq134, Epub 2010/04/14. PMID: 20385727; Shannon, P, Markiel, A, Ozier, O, Baliga, NS, Wang, JT, Ramage, D, Cytoscape: a software environment for integrated models of biomolecular interaction networks (2003) Genome Res, 13 (11), pp. 2498-2504. , https://doi.org/10.1101/gr.1239303, Epub 2003/11/05. PMID: 14597658; PubMed Central PMCID: PMC403769; Shanafelt, TD, Balch, CM, Bechamps, GJ, Russell, T, Dyrbye, L, Satele, D, Burnout and career satisfaction among American surgeons (2009) Ann Surg, 250 (3), pp. 463-471. , https://doi.org/10.1097/SLA.0b013e3181ac4dfd, Epub 2009/09/05. PMID: 19730177; Dyrbye, LN, Burke, SE, Hardeman, RR, Herrin, J, Wittlin, NM, Yeazel, M, Association of Clinical Specialty With Symptoms of Burnout and Career Choice Regret Among US Resident Physicians (2018) JAMA, 320 (11), pp. 1114-1130. , https://doi.org/10.1001/jama.2018.12615, Epub 2018/11/14. PMID: 30422299; PubMed Central PMCID: PMC6233627; Landrigan, CP, Rothschild, JM, Cronin, JW, Kaushal, R, Burdick, E, Katz, JT, Effect of reducing interns' work hours on serious medical errors in intensive care units (2004) N Engl J Med, 351 (18), pp. 1838-1848. , https://doi.org/10.1056/NEJMoa041406, Epub 2004/10/29. PMID: 15509817; Umehara, K, Ohya, Y, Kawakami, N, Tsutsumi, A, Fujimura, M., Association of work-related factors with psychosocial job stressors and psychosomatic symptoms among Japanese pediatricians (2007) J Occup Health, 49 (6), pp. 467-481. , https://doi.org/10.1539/joh.49.467, Epub 2007/12/14. PMID: 18075207; Ayas, NT, Barger, LK, Cade, BE, Hashimoto, DM, Rosner, B, Cronin, JW, Extended work duration and the risk of self-reported percutaneous injuries in interns (2006) JAMA, 296 (9), pp. 1055-1062. , https://doi.org/10.1001/jama.296.9.1055, Epub 2006/09/07. PMID: 16954484; Barger, LK, Cade, BE, Ayas, NT, Cronin, JW, Rosner, B, Speizer, FE, Extended work shifts and the risk of motor vehicle crashes among interns (2005) N Engl J Med, 352 (2), pp. 125-134. , https://doi.org/10.1056/NEJMoa041401, Epub 2005/01/14. PMID: 15647575; Fnais, N, Soobiah, C, Chen, MH, Lillie, E, Perrier, L, Tashkhandi, M, Harassment and discrimination in medical training: a systematic review and meta-analysis (2014) Acad Med, 89 (5), pp. 817-827. , https://doi.org/10.1097/ACM.0000000000000200, Epub 2014/03/29. PMID: 24667512; Garcia, LC, Shanafelt, TD, West, CP, Sinsky, CA, Trockel, MT, Nedelec, L, Burnout, Depression, Career Satisfaction, and Work-Life Integration by Physician Race/Ethnicity (2020) JAMA Netw Open, 3 (8), p. e2012762. , https://doi.org/10.1001/jamanetworkopen.2020.12762, Epub 2020/08/09. PMID: 32766802; PubMed Central PMCID: PMC7414389; Afzal, KI, Khan, FM, Mulla, Z, Akins, R, Ledger, E, Giordano, FL., Primary language and cultural background as factors in resident burnout in medical specialties: a study in a bilingual US city (2010) South Med J, 103 (7), pp. 607-615. , https://doi.org/10.1097/SMJ.0b013e3181e20cad, Epub 2010/06/10. PMID: 20531049; Meredith, LS, Schmidt Hackbarth, N, Darling, J, Rodriguez, HP, Stockdale, SE, Cordasco, KM, Emotional exhaustion in primary care during early implementation of the VA's medical home transformation: Patient-aligned Care Team (PACT) (2015) Med Care, 53 (3), pp. 253-260. , https://doi.org/10.1097/MLR.0000000000000303, Epub 2015/02/13. PMID: 25675403; Peisah, C, Latif, E, Wilhelm, K, Williams, B., Secrets to psychological success: why older doctors might have lower psychological distress and burnout than younger doctors (2009) Aging Ment Health, 13 (2), pp. 300-307. , https://doi.org/10.1080/13607860802459831, Epub 2009/04/07. PMID: 19347697; Stucky, ER, Dresselhaus, TR, Dollarhide, A, Shively, M, Maynard, G, Jain, S, Intern to attending: assessing stress among physicians (2009) Acad Med, 84 (2), pp. 251-257. , https://doi.org/10.1097/ACM.0b013e3181938aad, Epub 2009/01/29. PMID: 19174680; Dyrbye, LN, West, CP, Satele, D, Boone, S, Tan, L, Sloan, J, Burnout among U.S. medical students, residents, and early career physicians relative to the general U.S. population (2014) Acad Med, 89 (3), pp. 443-451. , https://doi.org/10.1097/ACM.0000000000000134, Epub 2014/01/23. PMID: 24448053; Villanueva, AM, Kaye, D, Abdelhak, SS, Morahan, PS., Comparing selection criteria of residency directors and physicians' employers (1995) Acad Med, 70 (4), pp. 261-271. , https://doi.org/10.1097/00001888-199504000-00008, Epub 1995/04/01. PMID: 7718057; Dumelow, C, Griffiths, S., We all need a good wife to support us (1995) J Manag Med, 9 (1), pp. 50-57. , https://doi.org/10.1108/02689239510080485, Epub 1994/12/09. PMID: 10142779</t>
  </si>
  <si>
    <t>2-s2.0-85110619142</t>
  </si>
  <si>
    <t>Vairavasundaram S., Varadarajan V., Srinivasan D., Balaganesh V., Damerla S.B., Swaminathan B., Ravi L.</t>
  </si>
  <si>
    <t>54888993500;57314747500;57835630500;57835745000;57836467400;57457293100;56728666300;</t>
  </si>
  <si>
    <t>Dynamic Physical Activity Recommendation Delivered through a Mobile Fitness App: A Deep Learning Approach</t>
  </si>
  <si>
    <t>Axioms</t>
  </si>
  <si>
    <t>346</t>
  </si>
  <si>
    <t>10.3390/axioms11070346</t>
  </si>
  <si>
    <t>https://www.scopus.com/inward/record.uri?eid=2-s2.0-85135634616&amp;doi=10.3390%2faxioms11070346&amp;partnerID=40&amp;md5=caabcbfa2d27bbbc168f02f29e426a1d</t>
  </si>
  <si>
    <t>School of Computing, SASTRA Deemed University, Thanjavur, 613401, India; School of Computer Science and Engineering, University of New South Wales, Sydney, NSW  2052, Australia; School of NUOVOS, Ajeenkya DY Patil University, Pune, 412105, India; SENSE, Vellore Institute of Technology, Chennai, 600127, India; Data Engineering Research Group, Vellore Institute of Technology, Chennai, 600127, India</t>
  </si>
  <si>
    <t>Vairavasundaram, S., School of Computing, SASTRA Deemed University, Thanjavur, 613401, India; Varadarajan, V., School of Computer Science and Engineering, University of New South Wales, Sydney, NSW  2052, Australia, School of NUOVOS, Ajeenkya DY Patil University, Pune, 412105, India; Srinivasan, D., School of Computing, SASTRA Deemed University, Thanjavur, 613401, India; Balaganesh, V., School of Computing, SASTRA Deemed University, Thanjavur, 613401, India; Damerla, S.B., School of Computing, SASTRA Deemed University, Thanjavur, 613401, India; Swaminathan, B., School of Computing, SASTRA Deemed University, Thanjavur, 613401, India; Ravi, L., SENSE, Vellore Institute of Technology, Chennai, 600127, India, Data Engineering Research Group, Vellore Institute of Technology, Chennai, 600127, India</t>
  </si>
  <si>
    <t>Regular physical activity has a positive impact on our physical and mental health. Adhering to a fixed physical activity regimen is essential for good health and mental wellbeing. Today, fitness trackers and smartphone applications are used to promote physical activity. These applications use step counts recorded by accelerometers to estimate physical activity. In this research, we performed a two-level clustering on a dataset based on individuals’ physical and physiological features, as well as past daily activity patterns. The proposed model exploits the user data with partial or complete features. To include the user with partial features, we trained the proposed model with the data of users who possess exclusive features. Additionally, we classified the users into several clusters to produce more accurate results for the users. This enables the proposed system to provide data-driven and personalized activity planning recommendations every day. A personalized physical activity plan is generated on the basis of hourly patterns for users according to their adherence and past recommended activity plans. Customization of activity plans can be achieved according to the user’s historical activity habits and current activity objective, as well as the likelihood of sticking to the plan. The proposed physical activity recommendation system was evaluated in real time, and the results demonstrated the improved performance over existing baselines. © 2022 by the authors.</t>
  </si>
  <si>
    <t>data-driven; fitness activity; machine learning; mobile apps; personalized recommendation system; tracking physical fitness; walking step count</t>
  </si>
  <si>
    <t>(2015), https://www.cdc.gov/physicalactivity/basics/pa-health/, Available online; (2015), https://www.cdc.gov/physicalactivity/data/facts.htm, Available online; Duncan, M., Vandelanotte, C., Kolt, G.S., Rosenkranz, R.R., Caperchione, C.M., George, E.S., Ding, H., Maeder, A.J., Effectiveness of a Web- and Mobile Phone-Based Intervention to Promote Physical Activity and Healthy Eating in Middle-Aged Males: Randomized Controlled Trial of the ManUp Study (2014) J. Med. Internet Res, 16, p. e136. , 24927299; Sullivan, A.N., Lachman, M.E., Behavior Change with Fitness Technology in Sedentary Adults: A Review of the Evidence for Increasing Physical Activity (2017) Front. Public Health, 4, p. 289. , 28123997; Case, M.A., Burwick, H.A., Volpp, K.G., Patel, M.S., Accuracy of Smartphone Applications and Wearable Devices for Tracking Physical Activity Data (2015) JAMA—J. Am. Med. Assoc, 313, pp. 625-626; Karantonis, D.M., Narayanan, M.R., Mathie, M., Lovell, N.H., Celler, B.G., Implementation of a Real-Time Human Movement Classifier Using a Triaxial Accelerometer for Ambulatory Monitoring (2006) IEEE Trans. Inf. Technol. Biomed, 10, pp. 156-167. , 16445260; Hii, P.-C., Chung, W.-Y., A Comprehensive Ubiquitous Healthcare Solution on an Android™ Mobile Device (2011) Sensors, 11, pp. 6799-6815. , 22163986; Triayudi, A., Fitri, I., A New Agglomerative Hierarchical Clustering to Model Student Activity in Online Learning (2019) TELKOMNIKA (Telecommun. Comput. Electron. Control.), 17, pp. 1226-1235; Li, Z., Das, S., Codella, J., Hao, T., Lin, K., Maduri, C., Chen, C.H., An Adaptive, Data-Driven Personalized Advisor for Increasing Physical Activity (2019) IEEE J. Biomed. Health Inform, 23, pp. 999-1010; Chang, H.-Y., Li, Z., Das, S., Hao, T., Maduri, C., Partovian, C., Codella, J., Chen, C.-H., A Personalized Pacing System for Real-Time Physical Activity Advising Proceedings of the 2017 IEEE/ACM International Conference on Connected Health: Applications, Systems and Engineering Technologies (CHASE), pp. 266-267. , Philadelphia, PA, USA, 17–19 July 2017; Reddy, G.T., Reddy, M.P.K., Lakshmanna, K., Kaluri, R., Rajput, D.S., Srivastava, G., Baker, T., Analysis of Dimensionality Reduction Techniques on Big Data (2020) IEEE Access, 8, pp. 54776-54788; Starczewski, A., Krzyżak, A., (2015) Performance Evaluation of the Silhouette Index BT-Artificial Intelligence and Soft Computing, pp. 49-58. , Rutkowski L., Korytkowski M., Scherer R., Tadeusiewicz R., Zadeh L.A., Zurada J.M., (eds), Springer International Publishing, Cham, Switzerland; Zhao, R., Yan, R., Wang, J., Mao, K., Learning to Monitor Machine Health with Convolutional Bi-Directional LSTM Networks (2017) Sensors, 17; Zhou, M., Fukuoka, Y., Goldberg, K., Vittinghoff, E., Aswani, A., Applying Machine Learning to Predict Future Adherence to Physical Activity Programs (2019) BMC Med. Inform. Decis. Mak, 19; Deepthi, S., Varshini, B., Bharadwaj, D.S., Subramaniyaswamy, V., Predicting the Adherence to Physical Activity Using Ensemble Machine Learning Proceedings of the 2021 Innovations in Power and Advanced Computing Technologies (i-PACT), pp. 1-8. , Kuala Lumpur, Malaysia, 27–29 November 2021; Everett, E., Kane, B., Yoo, A., Dobs, A., Mathioudakis, N., A Novel Approach for Fully Automated, Personalized Health Coaching for Adults with Prediabetes: Pilot Clinical Trial (2018) J. Med. Internet Res, 20, p. e72. , 29487046; Asimakopoulos, S., Asimakopoulos, G., Spillers, F., Motivation and User Engagement in Fitness Tracking: Heuristics for Mobile Healthcare Wearables (2017) Informatics, 4; Naglis, M., Bhatiasevi, V., Why Do People Use Fitness Tracking Devices in Thailand? An Integrated Model Approach (2019) Technol. Soc, 58, p. 101146; James, T.L., Wallace, L.G., Deane, J.K., Using Organismic Integration Theory to Explore the Associations Between Users’ Exercise Motivations and Fitness Technology Feature Set Use (2019) MIS Q, 43, pp. 287-312; Wang, C., Lizardo, O., Hachen, D.S., Using Fitbit Data to Examine Factors That Affect Daily Activity Levels of College Students (2021) PLoS ONE, 16. , 33406129; Western, M.J., Thompson, D., Peacock, O.J., Stathi, A., The Impact of Multidimensional Physical Activity Feedback on Healthcare Practitioners and Patients (2019) BJGP Open, 3, pp. 1-11; Dallinga, J.M., Zwolsman, S.E., Dekkers, V.T., De La Faille-Deutekom, M.B., Actiever En Gezonder Door Leefstijl-Apps?: Een Systematische Review (2016) Ned. Tijdschr. Geneeskd, 160, pp. 1-13; Simpson, C.C., Mazzeo, S.E., Calorie Counting and Fitness Tracking Technology: Associations with Eating Disorder Symptomatology (2017) Eat. Behav, 26, pp. 89-92; Yu-Huei, C., Ja-Shen, C., Ming-Chao, W., Why Do Older Adults Use Wearable Devices: A Case Study Adopting the Senior Technology Acceptance Model (STAM) Proceedings of the 2019 Portland International Conference on Management of Engineering and Technology (PICMET), pp. 1-8. , Portland, OR, USA, 25–29 August 2019; Abouzahra, M., Ghasemaghaei, M., The Antecedents and Results of Seniors’ Use of Activity Tracking Wearable Devices (2020) Health Policy Technol, 9, pp. 213-217; Kekade, S., Hseieh, C.-H., Islam, M.M., Atique, S., Mohammed Khalfan, A., Li, Y.-C., Abdul, S.S., The Usefulness and Actual Use of Wearable Devices among the Elderly Population (2018) Comput. Methods Progr. Biomed, 153, pp. 137-159; Farivar, S., Abouzahra, M., Ghasemaghaei, M., Wearable Device Adoption among Older Adults: A Mixed-Methods Study (2020) Int. J. Inf. Manag, 55, p. 102209. , 32834339; Goodyear, V.A., Armour, K.M., Wood, H., Young People Learning about Health: The Role of Apps and Wearable Devices (2019) Learn. Media Technol, 44, pp. 193-210; Schaefer, S.E., Ching, C.C., Breen, H., German, J.B., Wearing, Thinking, and Moving: Testing the Feasibility of Fitness Tracking with Urban Youth (2016) Am. J. Health Educ, 47, pp. 8-16; Chung, A.E., Skinner, A.C., Hasty, S.E., Perrin, E.M., Tweeting to Health: A Novel MHealth Intervention Using Fitbits and Twitter to Foster Healthy Lifestyles (2017) Clin. Pediatr, 56, pp. 26-32. , 27317609; Cheatham, S.W., Stull, K.R., Fantigrassi, M., Motel, I., The Efficacy of Wearable Activity Tracking Technology as Part of a Weight Loss Program: A Systematic Review (2018) J. Sports Med. Phys. Fit, 58, pp. 534-548. , 28488834; Shin, G., Jarrahi, M.H., Fei, Y., Karami, A., Gafinowitz, N., Byun, A., Lu, X., Wearable Activity Trackers, Accuracy, Adoption, Acceptance and Health Impact: A Systematic Literature Review (2019) J. Biomed. Inform, 93, p. 103153; Harrison, D., Marshall, P., Bianchi-Berthouze, N., Bird, J., Activity Tracking: Barriers, Workarounds and Customisation (2015) Proceedings of the UbiComp 2015, ACM International Joint Conference on Pervasive and Ubiquitous Computing, pp. 617-621. , Osaka, Japan, 7–11 September 2015, Association for Computing Machinery (ACM), New York, NY, USA; Ye, C., Xia, Y., Sun, Y., Wang, S., Yan, H., Mehmood, R., ERAR: An Event-Driven Approach for Real-Time Activity Recognition Proceedings of the 2015 International Conference on Identification, Information, and Knowledge in the Internet of Things (IIKI), pp. 288-293. , Beijing, China, 22–23 October 2015; Bernhardt, M., Castro, D.C., Tanno, R., Schwaighofer, A., Tezcan, K.C., Monteiro, M., Bannur, S., Glocker, B., Active Label Cleaning for Improved Dataset Quality under Resource Constraints (2022) Nat. Commun, 13, p. 1161; Olivier, R., Hanqiang, C., Nearest Neighbor Value Interpolation (2012) Int. J. Adv. Comput. Sci. Appl, 3, pp. 1-6; Müllner, D., Modern Hierarchical, Agglomerative Clustering Algorithms (2011) arXiv, , 1109.2378; Lukasová, A., Hierarchical Agglomerative Clustering Procedure (1979) Pattern Recognit, 11, pp. 365-381; Vijaya, Sharma, S., Batra, N.G., Comparative Study of Single Linkage, Complete Linkage, and Ward Method of Agglomerative Clustering Proceedings of the 2019 International Conference on Machine Learning, Big Data, Cloud and Parallel Computing (COMITCon), pp. 568-573. , Faridabad, India, 14–16 February 2019; Zhou, H.B., Gao, J.T., Automatic Method for Determining Cluster Number Based on Silhouette Coefficient (2014) Adv. Mater. Res, 951, pp. 227-230; Ellis, K., Kerr, J., Godbole, S., Lanckriet, G., Wing, D., Marshall, S., A Random Forest Classifier for the Prediction of Energy Expenditure and Type of Physical Activity from Wrist and Hip Accelerometers (2014) Physiol. Meas, 35, pp. 2191-2203. , 25340969; Altman, N., Krzywinski, M., Ensemble Methods: Bagging and Random Forests (2017) Nat. Methods, 14, pp. 933-934; Kadkhodaei, H.R., Moghadam, A.M.E., Dehghan, M., HBoost: A Heterogeneous Ensemble Classifier Based on the Boosting Method and Entropy Measurement (2020) Expert Syst. Appl, 157, p. 113482; Fowler, A.H., Wilson, C.W., (1966) CUBIC SPLINE: A CURVE FITTING ROUTINE, , U.S. Department of Energy Office of Scientific and Technical Information, Oak Ridge, TN, USA; Swaminathan, B., Palani, S., Kotecha, K., Kumar, V., Subramaniyaswamy, V., IoT Driven Artificial Intelligence Technique for Fertilizer Recommendation Model (2022) IEEE Consum. Electron. Mag, p. 1; Yu, Y., Si, X., Hu, C., Zhang, J., A Review of Recurrent Neural Networks: LSTM Cells and Network Architectures (2019) Neural Comput, 31, pp. 1235-1270; Wang, F., Casalino, L.P., Khullar, D., Deep Learning in Medicine—Promise, Progress, and Challenges (2019) JAMA Intern. Med, 179, pp. 293-294; Huang, Z., Xu, W., Yu, K., Bidirectional LSTM-CRF Models for Sequence Tagging (2015) arXiv, , 1508.01991; Zhang, S., Yao, L., Sun, A., Tay, Y., Deep Learning Based Recommender System: A Survey and New Perspectives (2019) ACM Comput. Surv, 52, pp. 1-35; Akay, A., Hess, H., Deep Learning: Current and Emerging Applications in Medicine and Technology (2019) IEEE J. Biomed. Health Inform, 23, pp. 906-920; Li, W., Todorov, E., Iterative Linear Quadratic Regulator Design for Nonlinear Biological Movement Systems (2011) ICINCO, 1, pp. 222-229</t>
  </si>
  <si>
    <t>20751680</t>
  </si>
  <si>
    <t>2-s2.0-85135634616</t>
  </si>
  <si>
    <t>Dynamic physical activity recommendation delivered through a mobile fitness app: a deep learning approach</t>
  </si>
  <si>
    <t>Kamiloğlu R.G., Boateng G., Balabanova A., Cao C., Sauter D.A.</t>
  </si>
  <si>
    <t>57203167246;57194410797;57226320726;57226302471;15726370900;</t>
  </si>
  <si>
    <t>Superior Communication of Positive Emotions Through Nonverbal Vocalisations Compared to Speech Prosody</t>
  </si>
  <si>
    <t>Journal of Nonverbal Behavior</t>
  </si>
  <si>
    <t>45</t>
  </si>
  <si>
    <t>419</t>
  </si>
  <si>
    <t>10.1007/s10919-021-00375-1</t>
  </si>
  <si>
    <t>https://www.scopus.com/inward/record.uri?eid=2-s2.0-85110931353&amp;doi=10.1007%2fs10919-021-00375-1&amp;partnerID=40&amp;md5=04cb3f68799bdff17a4880e2069aeb0d</t>
  </si>
  <si>
    <t>Department of Psychology, University of Amsterdam, REC G, Nieuwe Achtergracht 129 B, PO Box 15900, Amsterdam, 1001 NK, Netherlands; Department of Management, Technology, and Economics, ETH Zürich, Zurich, Switzerland</t>
  </si>
  <si>
    <t>Kamiloğlu, R.G., Department of Psychology, University of Amsterdam, REC G, Nieuwe Achtergracht 129 B, PO Box 15900, Amsterdam, 1001 NK, Netherlands; Boateng, G., Department of Management, Technology, and Economics, ETH Zürich, Zurich, Switzerland; Balabanova, A., Department of Psychology, University of Amsterdam, REC G, Nieuwe Achtergracht 129 B, PO Box 15900, Amsterdam, 1001 NK, Netherlands; Cao, C., Department of Psychology, University of Amsterdam, REC G, Nieuwe Achtergracht 129 B, PO Box 15900, Amsterdam, 1001 NK, Netherlands; Sauter, D.A., Department of Psychology, University of Amsterdam, REC G, Nieuwe Achtergracht 129 B, PO Box 15900, Amsterdam, 1001 NK, Netherlands</t>
  </si>
  <si>
    <t>The human voice communicates emotion through two different types of vocalizations: nonverbal vocalizations (brief non-linguistic sounds like laughs) and speech prosody (tone of voice). Research examining recognizability of emotions from the voice has mostly focused on either nonverbal vocalizations or speech prosody, and included few categories of positive emotions. In two preregistered experiments, we compare human listeners’ (total n = 400) recognition performance for 22 positive emotions from nonverbal vocalizations (n = 880) to that from speech prosody (n = 880). The results show that listeners were more accurate in recognizing most positive emotions from nonverbal vocalizations compared to prosodic expressions. Furthermore, acoustic classification experiments with machine learning models demonstrated that positive emotions are expressed with more distinctive acoustic patterns for nonverbal vocalizations as compared to speech prosody. Overall, the results suggest that vocal expressions of positive emotions are communicated more successfully when expressed as nonverbal vocalizations compared to speech prosody. © 2021, The Author(s).</t>
  </si>
  <si>
    <t>Acoustics; Machine learning; Nonverbal vocalizations; Positive emotions; Speech prosody; Voice</t>
  </si>
  <si>
    <t>article; controlled study; emotion; human; human experiment; machine learning; major clinical study; speech; vocalization; voice</t>
  </si>
  <si>
    <t xml:space="preserve">Ameka, F., Interjections: The universal yet neglected part of speech (1992) Journal of Pragmatics, 18, pp. 101-118; Anderson, C.L., Monroy, M., Keltner, D., Emotion in the wilds of nature: The coherence and contagion of fear during threatening group-based outdoors experiences (2018) Emotion, 18, p. 355; Anikin, A., Lima, C.F., Perceptual and acoustic differences between authentic and acted nonverbal emotional vocalizations (2018) The Quarterly Journal of Experimental Psychology, 71, pp. 1-21; Banse, R., Scherer, K.R., Acoustic profiles in vocal emotion expression (1996) Journal of Personality and Social Psychology, 70, p. 614; Bates, D., Mächler, M., Bolker, B., Walker, S., Fitting linear mixed-effects models using lme4 (2015) Journal of Statistical Software; Behrens, K.Y., A multifaceted view of the concept of amae: Reconsidering the indigenous Japanese concept of relatedness (2004) Human Development, 47, pp. 1-27; Benton, M., Dockendorf, L., Jin, W., Liu, Y., Edmondson, J.A., The continuum of speech rhythm: Computational testing of speech rhythm of large corpora from natural Chinese and English speech (2007) The 16Th Icphs, pp. 1269-1272; Berridge, K.C., Kringelbach, M.L., Pleasure systems in the brain (2015) Neuron, 86, pp. 646-664; Bryant, G.A., Aktipis, C.A., The animal nature of spontaneous human laughter (2014) Evolution and Human Behavior, 35, pp. 327-335; Buck, R., (1984) The communication of emotion, , Guilford Press; Castiajo, P., Pinheiro, A.P., Decoding emotions from nonverbal vocalizations: How much voice signal is enough? (2019) Motivation and Emotion, 43, pp. 803-813; Cordaro, D.T., Keltner, D., Tshering, S., Wangchuk, D., Flynn, L.M., The voice conveys emotion in ten globalized cultures and one remote village in Bhutan (2016) Emotion, 16, p. 117; Cordaro, D.T., Sun, R., Kamble, S., Hodder, N., Monroy, M., Cowen, A., Bai, Y., Keltner, D., The recognition of 18 facial-bodily expressions across nine cultures (2020) Emotion, 20 (7), pp. 1292-1300; Cowen, A.S., Elfenbein, H.A., Laukka, P., Keltner, D., Mapping 24 emotions conveyed by brief human vocalization (2019) American Psychologist, 74, p. 698; Doi, T., (2005) Understanding amae: The Japanese concept of need-love, , Global Orient, Kent; Ekman, P., An argument for basic emotions (1992) Cognition and Emotion, 6, pp. 169-200; Eyben, F., Scherer, K.R., Schuller, B.W., Sundberg, J., André, E., Busso, C., Devillers, L.Y., Truong, K.P., The Geneva Minimalistic acoustic parameter set (GeMAPS) for voice research and affective computing (2016) IEEE Transactions on Affective Computing, 7, pp. 190-202; Eyben, F., Weninger, F., Gross, F., Schuller, B., Recent developments in openSMILE, the Munich open-source multimedia feature extractor (2013) Proceedings of the 21St Association for Computing Machinery International Conference on Multimedia, pp. 835-838. , https://doi.org/10.1145/2502081.2502224, A. Jaimes, N. Sebe, N. Boujemaa, D. Gatica-Perez, D. A. Shamma, M. Worring, R. Zimmermann, New York, NY, Association for Computing Machinery; Fredrickson, B.L., What good are positive emotions? (1998) Review of General Psychology, 2, p. 300; Griskevicius, V., Shiota, M.N., Neufeld, S.L., Influence of different positive emotions on persuasion processing: A functional evolutionary approach (2010) Emotion, 10, pp. 190-206; Hawk, S.T., Van Kleef, G.A., Fischer, A.H., Van Der Schalk, J., "Worth a thousand words": Absolute and relative decoding of nonlinguistic affect vocalizations (2009) Emotion, 9, p. 293; Jessen, S., Kotz, S.A., The temporal dynamics of processing emotions from vocal, facial, and bodily expressions (2011) NeuroImage, 58, pp. 665-674; ﻿Juslin, P., Impact of intended emotion intensity on cue utilization and decoding accuracy in vocal expression of emotion (2001) Emotion, 4, pp. 381-412; Juslin, P.N., Laukka, P., Communication of emotions in vocal expression and music performance: Different channels, same code? (2003) Psychological Bulletin, 129, pp. 770-814; Juslin, P.N., Laukka, P., Bänziger, T., The mirror to our soul? Comparisons of spontaneous and posed vocal expression of emotion (2017) Journal of Nonverbal Behavior, 42, pp. 1-40; Kamiloğlu, R.G., Fischer, A.H., Sauter, D.A., Good vibrations: A review of vocal expressions of positive emotions (2020) Psychonomic Bulletin &amp; Review, 27, pp. 237-265; Keltner, D., Haidt, J., Shiota, M.N., Social functionalism and the evolution of emotions (2006) Evolution and social psychology, pp. 115-142. , Schaller M, Simpson JA, Kenrick DT, (eds), Psychosocial Press; Kreiman, J., Sidtis, D., (2011) Foundations of voice studies: An interdisciplinary approach to voice production and perception, , Wiley, Hoboken; Laukka, P., Elfenbein, H.A., Cross-cultural emotion recognition and in-group advantage in vocal expression: A meta-analysis (2020) Emotion Review; Laukka, P., Elfenbein, H.A., Söder, N., Nordström, H., Althoff, J., Iraki, F.K.E., Rockstuhl, T., Thingujam, N.S., Cross-cultural decoding of positive and negative non-linguistic emotion vocalizations (2013) Frontiers in Psychology, 4, p. 353; Lausen, A., Hammerschmidt, K., Emotion recognition and confidence ratings predicted by vocal stimulus type and prosodic parameters (2020) Humanities and Social Sciences Communications, 7, pp. 1-17; Lima, C.F., Castro, S.L., Scott, S.K., When voices get emotional: A corpus of nonverbal vocalizations for research on emotion processing (2013) Behavior Research Methods, 45, pp. 1234-1245; Nesse, R.M., Evolutionary explanations of emotions (1990) Human Nature, 1, pp. 261-289; Pajupuu, H., Altrov, R., Pajupuu, J., Towards a vividness in synthesized speech for audiobooks (2019) Eesti ja soome-ugri keeleteaduse ajakiri. Journal of Estonian and Finno-Ugric Linguistics, 10, pp. 167-190. , &amp;, (,).,., https://doi.org/10.12697/jeful.2019.10.1.09; Panksepp, J., Burgdorf, J., Laughing” rats and the evolutionary antecedents of human joy? (2003) Physiology &amp; Behavior, 79, pp. 533-547; Paulmann, S., Uskul, A.K., Cross-cultural emotional prosody recognition: Evidence from Chinese and British listeners (2014) Cognition and Emotion, 28, pp. 230-244; Pedregosa, F., Varoquaux, G., Gramfort, A., Michel, V., Thirion, B., Grisel, O., Blondel, M., Vanderplas, J., Scikit-learn: Machine learning in Python (2011) The Journal of Machine Learning Research, 12, pp. 2825-2830; Pell, M.D., Paulmann, S., Dara, C., Alasseri, A., Kotz, S.A., Factors in the recognition of vocally expressed emotions: A comparison of four languages (2009) Journal of Phonetics, 37, pp. 417-435; Pell, M.D., Rothermich, K., Liu, P., Paulmann, S., Sethi, S., Rigoulot, S., Preferential decoding of emotion from human non-linguistic vocalizations versus speech prosody (2015) Biological Psychology, 111, pp. 14-25; Poria, S., Cambria, E., Bajpai, R., Hussain, A., A review of affective computing: From unimodal analysis to multimodal fusion (2017) Information Fusion, 37, pp. 98-125; Russell, J.A., Is there universal recognition of emotion from facial expression? A review of the cross-cultural studies (1994) Psychological Bulletin, 115, pp. 102-141; Sauter, D., An investigation into vocal expressions of emotions: The roles of valence, culture, and acoustic factors (2007) Doctoral Dissertation, University of London; Sauter, D.A., Eisner, F., Ekman, P., Scott, S.K., Cross-cultural recognition of basic emotions through nonverbal emotional vocalizations (2010) Proceedings of the National Academy of Sciences of the United States of America, 107, pp. 2408-2412; Sauter, D.A., Fischer, A.H., Can perceivers recognize emotions from spontaneous expressions? (2018) Cognition and Emotion, 32, pp. 504-515; Schaerlaeken, S., Grandjean, D., Unfolding and dynamics of affect bursts decoding in humans (2018) PLoS ONE, 13; Scherer, K.R., Vocal affect expression: A review and a model for future research (1986) Psychological Bulletin, 99, pp. 143-165; Scherer, K.R., Affect bursts (1994) Emotions: Essays on emotion theory, pp. 161-196. , Goozen SHM, Poll NE, Sergeant JA, (eds), Erlbaum; Scherer, K.R., Banse, R., Wallbott, H.G., Emotion inferences from vocal expression correlate across languages and cultures (2001) Journal of Cross-Cultural Psychology, 32, pp. 76-98; Scherer, K.R., Banse, R., Wallbott, H.G., Goldbeck, T., Vocal cues in emotion encoding and decoding (1991) Motivation and Emotion, 15, pp. 123-148; Schröder, M., Experimental study of vocal affect bursts (2003) Speech Communication, 40, pp. 99-116; Shiota, M.N., Campos, B., Keltner, D., Hertenstein, M., Positive emotion and the regulation of interpersonal relationships (2004) Emotion regulation, pp. 127-156. , Phillipot P, Feldman R, (eds), Erlbaum; Shiota, M.N., Neufeld, S.L., Danvers, A.F., Osborne, E.A., Sng, O., Yee, C.I., Positive emotion differentiation: A functional approach (2014) Social and Personality Psychology Compass, 8, pp. 104-117; Soltysik, S., Jelen, P., In rats, sighs correlate with relief (2005) Physiology &amp; Behavior, 85, pp. 598-602; Trouvain, J., Laughing, breathing, clicking—The prosody of nonverbal vocalizations (2014) Speech Prosody, 2014, pp. 598-602; Vancleef, K., Read, J.C., Herbert, W., Goodship, N., Woodhouse, M., Serrano-Pedraza, I., Two choices good, four choices better: For measuring stereoacuity in children, a four-alternative forced-choice paradigm is more efficient than two (2018) PLoS ONE, 13; Williams, C.E., Stevens, K.N., Vocal correlates of emotional states (1981) Speech evaluation in psychiatry, pp. 221-240. , Darby JK, (ed), Grune and Stratton, New York, NY; </t>
  </si>
  <si>
    <t>01915886</t>
  </si>
  <si>
    <t>J. Nonverbal Behav.</t>
  </si>
  <si>
    <t>2-s2.0-85110931353</t>
  </si>
  <si>
    <t>Superior communication of positive emotions through nonverbal vocalisations compared to speech prosody</t>
  </si>
  <si>
    <t>del Pozo-Antúnez J.J., Molina-Sánchez H., Ariza-Montes A., Fernández-Navarro F.</t>
  </si>
  <si>
    <t>57204542493;25422232900;57217331422;35208362300;</t>
  </si>
  <si>
    <t>Promoting work Engagement in the Accounting Profession: a Machine Learning Approach</t>
  </si>
  <si>
    <t>Social Indicators Research</t>
  </si>
  <si>
    <t>157</t>
  </si>
  <si>
    <t>653</t>
  </si>
  <si>
    <t>670</t>
  </si>
  <si>
    <t>10.1007/s11205-021-02665-z</t>
  </si>
  <si>
    <t>https://www.scopus.com/inward/record.uri?eid=2-s2.0-85103151521&amp;doi=10.1007%2fs11205-021-02665-z&amp;partnerID=40&amp;md5=e4d109e1e02998761e611c50f6934916</t>
  </si>
  <si>
    <t>Financial Economy and Accounting Department, Universidad Loyola Andalucía, Córdoba, Spain; Business Department, Universidad Loyola Andalucía, Córdoba, Spain; Quantitative Methods Department, Universidad Loyola Andalucía, Córdoba, Spain</t>
  </si>
  <si>
    <t>del Pozo-Antúnez, J.J., Financial Economy and Accounting Department, Universidad Loyola Andalucía, Córdoba, Spain; Molina-Sánchez, H., Financial Economy and Accounting Department, Universidad Loyola Andalucía, Córdoba, Spain; Ariza-Montes, A., Business Department, Universidad Loyola Andalucía, Córdoba, Spain; Fernández-Navarro, F., Quantitative Methods Department, Universidad Loyola Andalucía, Córdoba, Spain</t>
  </si>
  <si>
    <t>In this paper, a non-linear multi-dimensional (machine learning-based) index for accountants that relates work engagement scores (according to accountants’ perceptions) with the seven Job Quality Indices (JQI) (proposed by Eurofound) has been proposed. The goal of the research is two-fold, namely, (i) to quantify the extent to which the JQI variables explain the work engagement scores, and (ii) to determine which JQI variables most affect the work engagement scores. The best performing regression model achieved a competitive root mean square percentage, highlighting that the selected variables primarily determine the work engagement values. Other important findings include (i) that the work engagement index is mainly influenced by the social environment index and (ii) that the skills and discretion and prospects indices are also crucial in the promotion of the work engagement of accountants. The instrument implemented could be employed by human resources practitioners to propose efficient human resources strategies that improve both individual well-being and company performance in the accounting sector. © 2021, The Author(s), under exclusive licence to Springer Nature B.V.</t>
  </si>
  <si>
    <t>Accountants; Global sensitivity analysis; Job quality; Multi-dimensional indices; Work engagement</t>
  </si>
  <si>
    <t>machine learning; regression analysis; sensitivity analysis; strategic approach; working conditions</t>
  </si>
  <si>
    <t>Anker, R., Chernyshev, I., Egger, P., Mehran, F., Measuring decent work with statistical indicators (2003) International Labour Review, 142 (2), pp. 147-177; Bailey, C., Madden, A., Alfes, K., Fletcher, L., The meaning, antecedents and outcomes of employee engagement: A narrative synthesis (2017) International Journal of Management Reviews, 19 (1), pp. 31-53; Work engagement (2015) Wiley Encyclopedia of Management, pp. 1-5; Bakker, A.B., Schaufeli, W.B., Leiter, M.P., Taris, T.W., Work engagement: An emerging concept in occupational health psychology (2008) Work Stress, 22 (3), pp. 187-200; Bakker, A.B., Albrecht, S.L., Leiter, M.P., Key questions regarding work engagement (2011) European Journal of Work and Organizational Psychology, 20 (1), pp. 4-28; Cannon, N.H., Herda, D.N., Auditors’ organizational commitment, burnout, and turnover intention: A replication (2016) Behavioral Research Accounting, 28 (2), pp. 69-74; Charlesworth, S., Welsh, J., Strazdins, L., Baird, M., Campbell, I., Measuring poor job quality amongst employees: the vicwal job quality index (2014) Labour Industry Journal Social Economic Relations Work, 24 (2), pp. 103-123; Christensen, B.E., Glover, S.M., Omer, T.C., Shelley, M.K., Understanding audit quality: Insights from audit professionals and investors (2016) Contemporary Accounting Research, 33 (4), pp. 1648-1684; Clark, A.E., What makes a good job? job quality and job satisfaction (2015) IZA World Labor, 215, pp. 1-15; Collins, K.M., Killough, L.N., Managing stress in public accounting (1989) Journal Accountancy, 167 (5), p. 92; Connell, J., Gough, R., McDonnell, A., Burgess, J., Technology, work organisation and job quality in the service sector: An introduction (2014) Labour Industry Journal Social Economic Relations Work, 24 (1), pp. 1-8; Conway, R., (2020) Potential Approach to Revision to Pcaob Quality Control Standards, , Online; Covaleski, M.A., Dirsmith, M.W., Heian, J.B., Samuel, S., The calculated and the avowed: Techniques of discipline and struggles over identity in big six public accounting firms (1998) Administrative Science Quarterly, 43 (2), pp. 293-327; Cq, L., Wang Hj, L., Dy, J.D., Bakker, A.B., Does work engagement increase person-job fit? the role of job crafting and job insecurity (2014) Journal Vocational Behavior, 84 (2), pp. 142-152; de Bustillo, M.R., Fernández-Macías, E., Esteve, F., Antón, J.I., E pluribus unum? a critical survey of job quality indicators (2011) Socio-Economic Review, 9 (3), pp. 447-475; Du Plooy, J., Roodt, G., Work engagement, burnout and related constructs as predictors of turnover intentions (2010) SA Journal of Industrial Psychology, 36 (1), pp. 1-13; Fernández-Navarro, F., Hervás-Martínez, C., Sanchez-Monedero, J., Gutiérrez, P.A., Melm-grbf: a modified version of the extreme learning machine for generalized radial basis function neural networks (2011) Neurocomputing, 74 (16), pp. 2502-2510; Fernández-Navarro, F., Carbonero-Ruz, M., Alonso, D.B., Torres-Jiménez, M., Global sensitivity estimates for neural network classifiers (2016) IEEE Transactions Neural Networks Learning Systems, 28 (11), pp. 2592-2604; Ferraro, T., dos Santos, N.R., Moreira, J.M., Pais, L., Decent work, work motivation, work engagement and burnout in physicians (2020) International Journal of Applied Positive Psychology, 5, pp. 13-35; Fogarty, T.J., Singh, J., Rhoads, G.K., Moore, R.K., Antecedents and consequences of burnout in accounting: Beyond the role stress model (2000) Behavioral Research Accounting, 12, pp. 31-68; Green, F., (2012), Mostafa, T, Trends in job quality in Europe. European Union; Green, F., (2006) Demanding work: The paradox of job quality in the affluent economy, , Princeton University Press, New Jersey; Grimshaw, D., Fagan, C., Hebson, G., (2017) Making work more equal: A new labour market segmentation approach, , Manchester University Press, Manchester; Gundry, L.C., Liyanarachchi, G.A., Time budget pressure, auditors’ personality type, and the incidence of reduced audit quality practices (2007) Pacific Accounting Review, 19 (2), pp. 125-152; Hakanen, J.J., Bakker, A.B., Schaufeli, W.B., Burnout and work engagement among teachers (2006) Journal School Psychology, 43 (6), pp. 495-513; Herda, D.N., Lavelle, J.J., The auditor-audit firm relationship and its effect on burnout and turnover intention (2012) Accounting Horizons, 26 (4), pp. 707-723; Huang, G.B., Zhu, Q.Y., Siew, C.K., Extreme learning machine: Theory and applications (2006) Neurocomputing, 70 (1-3), pp. 489-501; (2014) A Framework for Audit Quality: Key Elements that Create an Environment for Audit Quality (International Auditing and Assurance Standards Board), , Online; IESBA (2012) Handbook of the Code of Ethics for Professional Accountants (International Ethics Standards Board for Accountants), , Online; Kadous, K., Zhou, Y., How does intrinsic motivation improve auditor judgment in complex audit tasks? (2019) Contemporary Accounting Research, 36 (1), pp. 108-131; Kelly, T., Barrett, M., The leading causes and potential consequences of occupational stress: A study of irish trainee accountants (2011) Irish Accounting Review, 18 (2), pp. 31-35; Kewley, R.H., Embrechts, M.J., Breneman, C., Data strip mining for the virtual design of pharmaceuticals with neural networks (2000) Neural Networks IEEE Transactions, 11 (3), pp. 668-679; Lee, J.J., Drivers of work engagement: An examination of core self-evaluations and psychological climate among hotel employees (2015) International Journal of Hospitality Management, 44, pp. 84-98; Leroy, H., Anseel, F., Dimitrova, N.G., Sels, L., Mindfulness, authentic functioning, and work engagement: A growth modeling approach (2013) Journal Vocational Behavior, 82 (3), pp. 238-247; López-Iturriaga, F.J., Sanz, I.P., Predicting public corruption with neural networks: An analysis of spanish provinces (2018) Social Indicators Research, 140 (3), pp. 975-998; Loscalzo, Y., Giannini, M., Study engagement in italian university students: a confirmatory factor analysis of the utrecht work engagement scale-student version (2019) Social Indicators Research, 142 (2), pp. 845-854; Luu, T.T., Rowley, C., Vo, T.T., Addressing employee diversity to foster their work engagement (2019) Journal Business Research, 95, pp. 303-315; Markos, S., Sridevi, M.S., Employee engagement: The key to improving performance (2010) International Journal Business Management, 5 (12), p. 89; Mustosmäki, A., Anttila, T., Oinas, T., Engaged or not? a comparative study on factors inducing work engagement in call center and service sector work (2013) Nordic Journal Working Life Studies, 3 (1), p. 49; Navajas-Romero, V., Díaz-Carrión, R., Ariza-Montes, A., Decent work as determinant of work engagement on dependent self-employed (2019) Sustainability, 11 (9), p. 2512; Otley, D.T., Pierce, B.J., Auditor time budget pressure: Consequences and antecedents (1996) Accounting, Auditing Accountability Journal, 9 (1), pp. 31-58; Parent-Thirion, A., Biletta, I., Cabrita, J., Vargas, O., Vermeylen, G., Wilczynska, A., Wilkens, M., (2016) Sixth European Working Conditions Survey: Overview Report. Eurofound (European Foundation for the Improvement of Living and Working Conditions; Parker, R.J., Kohlmeyer, J.M., III, Organizational justice and turnover in public accounting firms: A research note (2005) Accounting Organizations Society, 30 (4), pp. 357-369; Concept release on audit quality indicators (Public company accounting oversight board) (2015) Online; Pérez-Barea, J.J., Fernández-Navarro, F., Montero-Simó, M.J., Araque-Padilla, R., A socially responsible consumption index based on non-linear dimensionality reduction and global sensitivity analysis (2018) Applied Soft Computing, 69, pp. 599-609; Persellin, J.S., Schmidt, J.J., Vandervelde, S.D., Wilkins, M.S., Auditor perceptions of audit workloads, audit quality, and job satisfaction (2019) Accounting Horizons, 33 (4), pp. 95-117; Pierce, B., Sweeney, B., Cost-quality conflict in audit firms: An empirical investigation (2004) European Accounting Review, 13 (3), pp. 415-441; Rayton, B.A., Yalabik, Z.Y., Work engagement, psychological contract breach and job satisfaction (2014) International Journal Human Resource Management, 25 (17), pp. 2382-2400; Robinson, S.N., Curtis, M.B., Robertson, J.C., Disentangling the trait and state components of professional skepticism: Specifying a process for state scale development (2018) Auditing Journal Practice Theory, 37 (1), pp. 215-235; Rothmann, S., Job satisfaction, occupational stress, burnout and work engagement as components of work-related wellbeing (2008) SA Journal Industrial Psychology, 34 (3), pp. 11-16; Saks, A.M., Antecedents and consequences of employee engagement (2006) Journal of Managerial Psychology, 21 (7), pp. 600-619; Sanders, J.C., Fulks, D.L., Knoblett, J.K., Stress and stress management in public accounting (1995) CPA Journal, 65 (8), p. 46; Schaufeli, W.B., Bakker, A.B., Job demands, job resources, and their relationship with burnout and engagement: A multi-sample study (2004) Journal Organizational Behavior International Journal Industrial Occupational Organizational Psychology Behavior, 25 (3), pp. 293-315; Schaufeli, W.B., Salanova, M., González-Romá, V., Bakker, A.B., The measurement of engagement and burnout: A two sample confirmatory factor analytic approach (2002) Journal Happiness Studies, 3 (1), pp. 71-92; Selander, K., Work engagement in the third sector (2015) VOLUNTAS: International Journal Voluntary Nonprofit Organizations, 26 (4), pp. 1391-1411; Sikka, P., Some questions about the governance of auditing firms (2004) International Journal Disclosure Governance, 1 (2), pp. 186-200; Sobol, I.M., Global sensitivity indices for nonlinear mathematical models and their monte carlo estimates (2001) Mathematics Computers Simulation, 55 (1), pp. 271-280; Sweeney, J.T., Summers, S.L., The effect of the busy season workload on public accountants’ job burnout (2002) Behavioral Research Accounting, 14 (1), pp. 223-245; Taufek, F.H.B.M., Zulkifle, Z.B., Sharif, M.Z.B.M., Sustainability in employment: Reward system and work engagement (2016) Procedia Economics Finance, 35, pp. 699-704; Umans, T., Broberg, P., Schmidt, M., Nilsson, S., Olsson, E., Feeling well by being together: Study of swedish auditors (2016) Work, 54 (1), pp. 79-86; Umar, M., Sitorus, S.M., Surya, R.L., Shauki, E.R., Diyanti, V., Pressure, dysfunctional behavior, fraud detection and role of information technology in the audit process (2017) Australasian Accounting Business Finance Journal, 11 (4), pp. 102-115; Ussahawanitchakit, P., Building job satisfaction of certified public accountants (cpas) in thailand: Effects of role stress through role conflict, role ambiguity, and role overload (2008) Journal Academy Business Economics, 8 (2), pp. 12-22; Vera, M., Martínez, I.M., Lorente, L., Chambel, M.J., The role of co-worker and supervisor support in the relationship between job autonomy and work engagement among portuguese nurses: A multilevel study (2016) Social Indicators Research, 126 (3), pp. 1143-1156; Willett, C., Page, M., A survey of time budget pressure and irregular auditing practices among newly qualified uk chartered accountants (1996) British Accounting Review, 28 (2), pp. 101-120; Yakın, M., Erdil, O., Relationships between self-efficacy and work engagement and the effects on job satisfaction: A survey on certified public accountants (2012) Procedia-Social Behavioral Sciences, 58, pp. 370-378; Yeh, C.M., Tourism involvement, work engagement and job satisfaction among frontline hotel employees (2013) Annals Tourism Research, 42, pp. 214-239; Zahrah, N., Aziz, A., Abdul Hamid, S.N., Workload and work engagement among nurses in public hospitals: Moderating role of religious spirituality (2019) Asian Journal Multidisciplinary Studies, 7 (6), pp. 1-10; Zhang, C., Bengio, S., Hardt, M., Recht, B., Vinyals, O., Understanding deep learning requires rethinking generalization (2017) Proceedings of the International Conference on Learning Representations (ICLR), , Toulon, France</t>
  </si>
  <si>
    <t>03038300</t>
  </si>
  <si>
    <t>Soc. Indic. Res.</t>
  </si>
  <si>
    <t>2-s2.0-85103151521</t>
  </si>
  <si>
    <t>Promoting work engagement in the accounting profession: a machine learning approach</t>
  </si>
  <si>
    <t>MacLaren R., Tran V.H., Chiappe D.</t>
  </si>
  <si>
    <t>24312000600;56878391700;55933713800;</t>
  </si>
  <si>
    <t>Effects of motivation orientation on schoolwork enjoyment and achievement and study habits</t>
  </si>
  <si>
    <t>Thinking Skills and Creativity</t>
  </si>
  <si>
    <t>227</t>
  </si>
  <si>
    <t>10.1016/j.tsc.2017.03.003</t>
  </si>
  <si>
    <t>https://www.scopus.com/inward/record.uri?eid=2-s2.0-85026226569&amp;doi=10.1016%2fj.tsc.2017.03.003&amp;partnerID=40&amp;md5=4f6636bb3a656c401d2db950b5768bfc</t>
  </si>
  <si>
    <t>Help!Systems, 326 Andre Avenue, Cornwall, ON  K6J 3A1, Canada; California State University, Long Beach, CA, United States</t>
  </si>
  <si>
    <t>MacLaren, R., Help!Systems, 326 Andre Avenue, Cornwall, ON  K6J 3A1, Canada; Tran, V.H., California State University, Long Beach, CA, United States; Chiappe, D., California State University, Long Beach, CA, United States</t>
  </si>
  <si>
    <t>The present study assessed the effect of student motivation and actions that support scholastic achievement on the performance, mental life and study habits of undergraduate students. Two hundred twenty one psychology students completed questionnaires, containing scales and essay texts, assessing performance, motivational orientation, measures of flow experiences and actions relevant to successful scholastic activities. Intrinsically-motivated participants adopted habits and states of mind that supported school work, resulting in better performance. The results of analyses of Likert scales and machine sentiment analyses of participants’ narrative essay texts suggest that intrinsically-oriented people seek out opportunities to perform actions that regulate their schoolwork situation and mental state, and modulate study activities and awareness to be in accord with their intentions, and report states of mind consistent with optimal, flow experiences, unlike non intrinsically-oriented participants. These flow experiences were reflected in participant reports of school experience, measured using machine sentiment analysis (Narayanan, 2016; Narayanan, Arora, &amp; Bhatia, 2013). Participant optimal experiences positively impact satisfaction, and performance. © 2017 Elsevier Ltd</t>
  </si>
  <si>
    <t>Exploratory graphical analysis; Extrinsic motivation; Flow experience; Happiness; Interest; Intrinsic motivation; Machine learning; Mixed graphical models; Network simulation; Positive psychology; School work; Self-regulation; Sentiment analysis; Spinglass; Walktrap</t>
  </si>
  <si>
    <t>Bromberg, A., (2014), http://andybromberg.com/sentiment-analysis-python/, Retrieved from August 16, 2015; Brown, T.A., Confirmatory factor analysis for applied research (2006), The Guilford Press New York; Bruner, J.S., Actual minds, possible worlds (1986), Harvard UP Cambridge, MA; Chowdhury, M.S., Shahabuddin, A.M., Self-efficacy, motivation and their relationship to academic performance of Bangladesh college students (2007) College Quarterly, 10 (1). , [Winter]; Csikszentmihalyi, M., Wong, M.M., The situational and personal correlates of happiness: A cross-national comparison (1991) Subjective well-being: An interdisciplinary perspective, pp. 193-212. , F. Strack M. Argyle N. Schwarz Pergamon Press Elmsford, NY; Csikszentmihalyi, M., Flow: The psychology of optimal experience (1990), Harper Perennial Modern Classics New York; Foygel, R., Drton, M., Extended Bayesian information criteria for Gaussian graphical models (2010) Advances in Neural Information Processing Systems, 23, pp. 2020-2028; Fried, E., (2017), http://psych-networks.com/r-tutorial-identify-communities-items-networks/, Psych Networks; Friedman, J.H., Hastie, T., Tibshirani, R., (2014), glasso: Graphical lasso- estimation of Gaussian graphical models. R package version 1.8; Golino, H.G., Epskamp, S., (2016), http://arxiv.org/abs/1605.02231, Exploratory graph analysis: a new approach for estimating the number of dimensions in psychological research, available at; Golino, H.F., (2016), https://github.com/hfgolino/EGA, Readme.html; Gottfried, A.W., Gottfried, A.E., Guerin, D.W., The Fullerton Longitudinal Study: A long term investigation of intellectual and motivational giftedness (2006) Journal for the Education of the Gifted, 29 (4), pp. 430-450; Gottfried, A.E., Academic intrinsic motivation in elementary and junior high school students (1985) Journal of Educational Psychology, 77, pp. 631-645; Gottfried, A.E., Academic intrinsic motivation in young elementary school children (1990) Journal of Educational Psychology, 82, pp. 525-538; Greaves, F., Ramirez-Cano, D., Millett, C., Darzi, A., Donaldson, L., Use of sentiment analysis for capturing patient experience from free-text comments posted online (2013) Journal of Medical Internet Research, 15 (11), p. e239; Guiffrida, D., Lynch, M.F., Wall, A., Abel, D., Do reasons for attending college affect academic outcomes? A test of a motivational model from a self-determination theory perspective (2013) Journal of College Student Development, 54, pp. 121-139; Hackman, J.R., Oldman, G.R., Motivation through the design of work: Test of a theory (1976) Organizational Behavior and Human Performance, 16, pp. 250-279; Harter, S., A new self-report scale of intrinsic versus extrinsic orientation in the classroom: Motivational and informational components (1981) Developmental Psychology, 17 (3), pp. 300-312; Haslbeck, J., Waldorp, L.J., How well do Network Models predict Observations? (2016), On the Importance of Predictability in Network Models, arxiv:1610.09108v2; Haslbeck, J., (2017), http://jmbh.github.io/; Hidi, S., Interest and its contribution as a mental resource for learning (1990) Review of Educational Research, 60 (4), pp. 549-591. , [Winter]; Hidi, S., Interest: A unique motivational variable (2006) Educational Research Review, 1, pp. 69-82; Kirschner, P.A., Karpinski, A.C., Facebook® and academic performance (2010) Computers in Human Behavior, 26 (6), pp. 1237-1245. , http://digitalcommons.kent.edu/flapubs/72, [Retrieved from]; Latapy, M., Pons, P., Computing communities in large networks using random walks (2004), arXiv preprint cond-mat/0412368; Lei, S.A., Intrinsic and extrinsic motivation: Evaluating benefits and drawbacks from college instructors' perspectives (2010) Journal of Instructional Psychology, 37 (2); Lepper, M.R., Henderlong Corpus, J., Iyengar, S.S., Intrinsic and extrinsic motivational orientations in the classroom: Age differences and academic correlates (2005) Journal of Educational Psychology, 97 (2), pp. 184-196; Lin, Y., McKeachie, W.J., College student intrinsic and extrinsic motivation and learning (1999) Paper presented at the annual conference of the american psychological association, August 20–24, , http://files.eric.ed.gov/fulltext/ED435954.pdf; Narayanan, V., Arora, I., Bhatia, A., Fast and accurate sentiment classification using an enhanced Naive Bayes model (2013), pp. 194-201. , Intelligent Data Engineering and Automated Learning IDEAL 2013 Lecture Notes in Computer Science Volume 8206, 2013; Narayanan, V., (2016), http://sentiment.vivekn.com/docs/api; Ophir, E., Nass, C., Wagner, A.D., Cognitive control in media multitaskers (2009) Proceedings of the National Academy of Sciences, 106 (37), pp. 15583-15587. , [published ahead of print August 24, 2009]; Oveido, V., Tornquist, M., Cameron, T., Chiappe, D., Effects of media multi-tasking with Faceboook on the enjoyment and encoding of TV episodes (2015) Computers in Human Behavior, 51, pp. 407-417; Perkins, J., (2011), http://streamhacker.com/tag/bayes/, Text Classification for Sentiment Analysis—Stopwords and Collocations, Retrieved from August 16, 2015; Pintrich, P.R., DeGroot, E.V., Motivational and self-regulated learning components of classroom academic performance (1990) Journal of Educational Psychology, 82 (1), pp. 33-40; Rosseel, Y., Lavaan: An R package for structural equation modeling (2012) Journal of Statistical Software, 48 (2), pp. 1-36. , http://www.jstatsoft.org/v48/i02/; Ryan, R.M., Deci, E.L., Self-determination theory and the facilitation of intrinsic motivation, social development and well-being (2000) American Psychologist, 55 (1), pp. 68-78; Ryan, R.M., Deci, E.L., Intrinsic and extrinsic motivations: Classic definitions and new directions (2000) Contemporary Educational Psychology, 25, pp. 54-67; Smith, D., (2016), Personal communication, Founder and Honorary Chair, The Dave Smith Treatment Centre Foundation; Wood, E., Zivcakova, L., Gentile, P., Archer, K., De Pasquale, D., Nosko, A., Examining the impact of off-task multi-tasking with technology on real-time classroom learning (2012) Computers and Education, 58 (1), pp. 365-374; Wrzesniewski, A., Schwartz, B., The Secret of Effective Motivation (2014) The New York Times Sunday Review, , http://www.nytimes.com/2014/07/06/opinion/sunday/the-secret-of-effective-motivation.html?_r=0; Wrzesniewski, A., McCauley, C., Rozin, P., Schwartz, B., Jobs, careers, and callings: People's relations to their work (1997) Journal of Research in Personality, 31, pp. 21-33; Wrzesniewski, A., Schwartz, B., Cong, X., Kane, M., Omar, A., Kolditz, T., Multiple types of motives don't multiply the motivations of West Point cadets (2014) Proceedings of the National Academy of Sciences, 111 (30), p. 10990; Yang, Z., Algesheimer, R., Tessone, C.J., A comparative analysis of community detection algorithms on artificial networks (2016) Scientific Reports, 6. , [2016]; Zakrzewski, V., Brunn, P., Should student success include happiness? (2015), http://greatergood.berkeley.edu/article/item/-should_student_success_include_happiness, Greater Good Science Centre, University of California Berkeley</t>
  </si>
  <si>
    <t>18711871</t>
  </si>
  <si>
    <t>Think. Skills Creat.</t>
  </si>
  <si>
    <t>2-s2.0-85026226569</t>
  </si>
  <si>
    <t>Rave J.I.P., Sánchez Figueroa G.A., González Echavarría F.</t>
  </si>
  <si>
    <t>36155088100;57732012600;57210129483;</t>
  </si>
  <si>
    <t>A scale for measuring healthcare service quality incorporating patient-centred care and using a psychometric analytics framework</t>
  </si>
  <si>
    <t>Journal of Health Organization and Management</t>
  </si>
  <si>
    <t>816</t>
  </si>
  <si>
    <t>838</t>
  </si>
  <si>
    <t>10.1108/JHOM-10-2021-0387</t>
  </si>
  <si>
    <t>https://www.scopus.com/inward/record.uri?eid=2-s2.0-85131568867&amp;doi=10.1108%2fJHOM-10-2021-0387&amp;partnerID=40&amp;md5=c68a0aa39f1a8ce6b1d6d5706c513022</t>
  </si>
  <si>
    <t>IDINNOV Research Group, IDINNOV S.A.S, Medellín, Colombia; Department of Industrial Engineering, Universidad de Antioquia, Medellin, Colombia</t>
  </si>
  <si>
    <t>Rave, J.I.P., IDINNOV Research Group, IDINNOV S.A.S, Medellín, Colombia; Sánchez Figueroa, G.A., IDINNOV Research Group, IDINNOV S.A.S, Medellín, Colombia; González Echavarría, F., Department of Industrial Engineering, Universidad de Antioquia, Medellin, Colombia</t>
  </si>
  <si>
    <t>Purpose: Recent developments in healthcare contexts increasingly emphasize patient-centred approaches to service quality measures; however, few studies consider this dimension explicitly. The present study develops and psychometrically validates a scale of healthcare service quality explicitly incorporating a patient-centred care dimension from a communicational perspective. The paper also enriches the traditional content of service quality by including equity items and presents the underlying structure of service quality in an emerging country. Design/methodology/approach: The final sample consisted of 869 healthcare users (complete cases in the service quality items derived from 917 surveys received) from Colombia. The authors used a psychometric analytics framework comprising seven processes incorporating exploratory factor analysis, structural equation modelling, and machine learning methods to examine construct plausibility, reliability, construct validity, equity, and criterion/predictive validity (e.g. explaining/predicting subjective well-being and behavioural intentions). Findings: The final scale consists of 17 items and satisfies all psychometric properties. Its validation allows for the discovery and psychometrical confirmation of two essential dimensions: patient-centred communication (eight items) and process quality (nine items). Practical implications: The authors illustrate three practical uses of the scale: the possibility for diagnoses; hypothesis contrast based on confidence intervals; and estimation of the capacity of the service to satisfy specifications. Originality/value: Both dimensions reveal users' relevant needs and complement previous studies that have focused on process aspects of healthcare service quality. © 2022, Emerald Publishing Limited.</t>
  </si>
  <si>
    <t>Constructs' mining; Data mining; Healthcare; Machine learning; Psychometric analysis; Service quality</t>
  </si>
  <si>
    <t>adult; article; Colombia; construct validity; data mining; emotional well-being; exploratory factor analysis; female; human; machine learning; major clinical study; male; mining; patient care; predictive validity; reliability; structural equation modeling; validation process; health care delivery; psychometry; questionnaire; reproducibility; Delivery of Health Care; Humans; Patient-Centered Care; Psychometrics; Reproducibility of Results; Surveys and Questionnaires</t>
  </si>
  <si>
    <t>Al-Damen, R., Health care service quality and its impact on patient satisfaction ‘case of Al-Bashir Hospital’ (2017) International Journal of Business and Management, 12 (9), pp. 136-152; Alamo, M., Moral, R., de Torres, L., Evaluation of a patient-centred approach in generalized musculoskeletal chronic pain/fibromyalgia patients in primary care (2002) Patient Education and Counseling, 48 (1), pp. 23-31; Almuhanadi, S., Alhammadi, H., Suresh, A., Alawi, S.A., Assessing service quality dimensions and their effect on patients satisfaction in Bahrain primary healthcare using a modified version of the general practice assessment questionnaire (2020) Patient Preference and Adherence, 14, pp. 2541-2549; Anguita, D., Ghelardoni, L., Ghio, A., Oneto, L., Ridella, S., The ‘K’in K-fold cross validation (2012) 20th European Symposium on Artificial Neural Networks, Computational Intelligence and Machine Learning (ESANN), pp. 441-446. , i6doc. com publ; Arboleda-Arango, A.M., Chernichovsky, D., Esperato, A., Patient satisfaction surveys in Colombia: scope for improvement (2018) Revista Salud Uninorte, 34 (1), pp. 33-46; Asiamah, N., Frimpong Opuni, F., Aggrey, M., Adu-Gyamfi, K., Adapted SERVQUAL: a health service quality scale incorporating indicators of sanitation and hygiene (2021) Quality Management in Health Care, 30 (3), pp. 184-193; (2012) National Safety and Quality Health Service Standards (ACSQHC), , Sydney; Babakus, E., Mangold, W.G., Adapting the SERVQUAL scale to hospital services: an empirical investigation (1992) Health Services Research, 26 (6), p. 767; Behmane, D., Rutitis, D., Batraga, A., Conceptual framework for attracting foreign patients to health care services (2021) Eurasian Business and Economics Perspectives, pp. 259-275. , Springer, Cham; Binnawas, M.S.H., Khalifa, G.S., Bhaumik, A., Antecedents of student's behavioral intentions in higher education institutions (2020) International Journal of Psychosocial Rehabilitation, 24 (3), pp. 1949-1962; Bonet, J., Guzmán, K., y Hahn, L., (2017) La salud en Colombia: una perspectiva regional, , Banco de la República, Bogotá; Carter, S., Ng, R., El-Den, S., Schneider, C., Low perceived service quality in community pharmacy is associated with poor medication adherence (2021) Patient Education and Counseling, 104 (2), pp. 387-394; Coulthard, L.J.M., A review and critique of research using servqual (2004) International Journal of Market Research, 46 (4), pp. 479-497; Credé, M., Harms, P.D., 25 years of higher-order confirmatory factor analysis in the organizational sciences: a critical review and development of reporting recommendations (2015) Journal of Organizational Behavior, 36 (6), pp. 845-872; Cuervo, A.A.V., Martínez, E.A.C., Quintana, J.T., Amezaga, T.R.W., Differences in types and technological means by which Mexican high schools students perform cyberbullying: its relationship with traditional bullying (2014) Journal of Educational and Developmental Psychology, 4 (1), pp. 105-113; (2019) Encuestas calidad de vida (ECV), , https://www.dane.gov.co/index.php/estadisticas-por-tema/salud/calidad-de-vida-ecv/encuesta-nacional-de-calidad-de-vida-ecv-2019; Dean, A.M., The applicability of SERVQUAL in different health care environments (1999) Health Marketing Quarterly, 16 (3), pp. 1-21; Doyle, C., Lennox, L., Bell, D., A systematic review of evidence on the links between patient experience and clinical safety and effectiveness (2013) BMJ Open, 3 (1), pp. 1-17; Endeshaw, B., Healthcare service quality-measurement models: a review (2020) Journal of Health Research, 35 (2), pp. 106-117; Epstein, R., Franks, P., Fiscella, K., Shields, C., Meldrum, S., Kravitz, R., Duberstein, P., Measuring patient-centered communication in patient–physician consultations: theoretical and practical issues (2005) Social Science and Medicine, 61 (7), pp. 1516-1528; Guedes, M., Araujo, C., Perceived quality of hospital services from the perspective of doctors and patients: an integrative model (2022) Latin American Business Review, 23 (1), pp. 1-20; Gutiérrez, H., Salazar, V., (2009) Control estadístico de calidad y seis sigma, , 2nd ed., McGraw-Hill, México DF; Horn, J., A rationale and test for the number of factors in factor analysis (1965) Psychométrika, 30 (2), pp. 179-185; Hou, J., Cai, L., Kang, J., Tang, H., Service quality evaluation of community-based TCM health management delivered by the family doctor-led team using the servqual scale (2019) Chinese General Practice, 22 (28), pp. 3441-3445; (2021) Crossing the Quality Chasm: A New Health System for the 21st Century, , National Academy Press, Washington, DC; Islam, S., Muhamad, N., Patient-centered communication: an extension of the HCAHPS survey (2021) Benchmarking: An International Journal, 28 (6), pp. 2047-2074; Jeon, Y.H., Kraus, S.G., Jowsey, T., Glasgow, N.J., The experience of living with chronic heart failure: a narrative review of qualitative studies (2010) BMC Health Services Research, 10 (1), pp. 1-9; Kennedy, D.M., Anastos, C.T., Genau, M.C., Improving healthcare service quality through performance management (2019) Leadership in Health Services, 32 (3), pp. 477-492; Kitson, A., Marshall, A., Bassett, K., Zeitz, K., What are the core elements of patient-centred care? A narrative review and synthesis of the literature from health policy, medicine and nursing (2013) Journal of Advanced Nursing, 69 (1), pp. 4-15; Knox, K., Kelly, F., Mey, A., Hattingh, L., Fowler, J.L., Wheeler, A.J., Australian mental health consumers' and carers' experiences of community pharmacy service (2015) Health Expectations, 18 (6), pp. 2107-2120; Lin, C.H., Siao, S.F., Tung, H.H., Chung, K.P., Shun, S.C., The gaps of healthcare service quality in nurse practitioner practice and its associated factors from the patients' perspective (2021) Journal of Nursing Scholarship, 53 (3), pp. 378-386; Liu, R., Shi, L., Meng, Y., He, N., Wu, J., Yan, X., Hu, R., The institutional primary healthcare service quality and patients' experiences in Chinese community health centres: results from the Greater Bay Area study, China (2021) International Journal for Equity in Health, 20 (1), pp. 1-9; Makubalo, T., Scholtz, B., Tokosi, T.O., Blockchain technology for empowering patient-centred healthcare: a pilot study (2020) Conference on e-Business, e-Services and e-Society, pp. 15-26. , Cham: Springer; Martínez, M.R., Hernández, M.J., Hernández, M.V., (2006) Psicometría, , Alianza Editorial, Madrid, España; Mathong, P., Sureeyatanapas, P., Arunyanart, S., Niyamosoth, T., The assessment of service quality for third-party logistics providers in the beverage industry (2020) Cogent Engineering, 7 (1), p. 1785214; Miles, A., Mezzich, J.E., Person-centred medicine: advancing methods, promoting implementation (2011) International Journal of Person Centred Medicine, 1, pp. 423-428; (2013) Plan decenal de Salud Pública 2012–2021: la salud en Colombia la construyes tú, , https://www.minsalud.gov.co/sites/rid/Lists/BibliotecaDigital/RIDE/VS/ED/PSP/PDSP.pdf; Mira, J.J., Aranaz, J., Rodriguez-Marín, J., Buil, J.A., Castell, M., Vitaller, J., SERVQHOS: un cuestionario para evaluar la calidad percibida de la atención hospitalaria (1998) Medicina Preventiva, 4 (4), pp. 12-18; Mody, M., Suess, C., Dogru, T., Restorative servicescapes in health care: examining the influence of hotel-like attributes on patient well-being (2020) Cornell Hospitality Quarterly, 61 (1), pp. 19-39; Monoarfa, T., Usman, O., How does service quality impact the behavioral intentions of full-service airline passengers through a hierarchical model? (2020) Management Science Letters, 10 (16), pp. 4011-4022; Newell, S., Jordan, Z., The patient experience of patient-centered communication with nurses in the hospital setting: a qualitative systematic review protocol (2015) JBI Evidence Synthesis, 13 (1), pp. 76-87; Numpaque-Pacabaque, A., Buitrago-Orjuela, L.Á., Pardo-Santamaría, D.F., Calidad de la atención en el servicio de cirugía ambulatoria desde la percepción del usuario (2019) Revista de la Facultad de Medicina, 67 (2), pp. 235-239; (2020) Panorama de la Salud: Latinoamérica y el Caribe 2020, , doi:, OECD Publishing, Paris; Ornstein, P.H., Kay, J., Enduring difficulties in medical education and training: is there a ‘cure’? (2021) The Annual of Psychoanalysis, pp. 155-172. , Routledge; Owusu-Frimpong, N., Nwankwo, S., Dason, B., Measuring service quality and patient satisfaction with access to public and private healthcare delivery (2010) International Journal of Public Sector Management, 23 (3), pp. 203-220; Pérez-Rave, J., (2021) MinerConstructo: marco inteligente para aprender, actualizarse y practicar minería de constructos con rigor científico, , p. 20., Internal technical guide, IDINNOV, nref: 10-986-55, 13-ago.-2021, Medellín; Pérez-Rave, J., Correa-Morales, J., González-Echavarría, F., A machine learning approach to big data regression analysis of real estate prices for inferential and predictive purposes (2019) Journal of Property Research, 36 (1), pp. 59-96; Pérez-Rave, J., Fernández-Guerrero, R., Salas-Vallina, A., González-Echavarría, F., A measurement model of dynamic capabilities of the continuous improvement project and its role in the renewal of the company's products/services (2022) Operations Management Research, , (in press; Pérez-Rave, J., Correa-Morales, J., González-Echavarría, F., Organizational social commitment and employee well-being: illustrating a construct mining approach in R (2022) DYNA, , (in press; Parasuraman, A., Zeithaml, V., Berry, L., SERVQUAL: a multiple item scale for measuring customer perceptions of service quality (1988) Journal of Retailing, 64 (1), pp. 13-40; Perera, S., Dabney, B.W., Case management service quality and patient-centered care (2020) Journal of Health Organization and Management, 34 (5), pp. 551-568; Pérez-Rave, J., Jaramillo-Álvarez, P., González Echavarría, F., A psychometric data science approach to study latent variables: a case of class quality and student satisfaction (2021) Total Quality Management and Business Excellence; Purcărea, V.L., Gheorghe, I.R., Petrescu, C.M., The assessment of perceived service quality of public health care services in Romania using the SERVQUAL scale (2013) Procedia Economics and Finance, 6, pp. 573-585; Pyburn, K.M., Jr., Ployhart, R.E., Kravitz, D.A., The diversity–validity dilemma: overview and legal context (2008) Personnel Psychology, 61 (1), pp. 143-151; Reichheld, F., The one number you need to grow (2003) Harvard business review, 81 (12), pp. 46-55; Setyawan, F.E.B., Supriyanto, S., Tunjungsari, F., Hanifaty, W.O.N., Lestari, R., Medical staff services quality to patients satisfaction based on SERVQUAL dimensions (2019) International Journal of Public Health Science (IJPHS), 8 (1), pp. 51-57; Skogö Nyvang, J., Hedström, M., Iversen, M.D., Andreassen Gleissman, S., Striving for a silent knee: a qualitative study of patients' experiences with knee replacement surgery and their perceptions of fulfilled expectations (2019) International Journal of Qualitative Studies on Health and Well-Being, 14 (1), p. 1620551; Sloan, L., Angell, R., (2015) Learn about Pearson's correlation coefficient in SPSS with data from the UK living cost and food survey (2010), , https://bit.ly/3pnoh4u, SAGE Publications; Stewart, A., Greenfield, S., Hays, R., Wells, K., Rogers, W., Ware, J., Functional status and well-being of patients with chronic conditions: results from the Medical Outcomes Study (1989) Jama, 262 (7), pp. 907-913; Tate, J., Newtz, C., Ali, A., Happ, M., Advancing patient-centered communication content for prelicensure nursing students using student SPEACS: a mixed-methods study (2020) Nurse Educator, 45 (4), pp. E36-E40; Thomas, H.M., Bryce, C.L., Ness, R.B., Hess, R., Dyspareunia is associated with decreased frequency of intercourse in the menopausal transition (2011) Menopause (New York, NY), 18 (2), pp. 152-157; Tobón, L.A.L., Arias, J.A.C., Evaluación de la calidad de los servicios médicos según las dimensiones del SERVQUAL en un hospital de Colombia (2018) Archivos de medicina, 14 (4), pp. 1-4. , https://dialnet.unirioja.es/servlet/articulo?codigo=6804255; Upadhyai, R., Jain, A.K., Roy, H., Pant, V., A review of healthcare service quality dimensions and their measurement (2019) Journal of Health Management, 21 (1), pp. 102-127; Alomari, F., Measuring gaps in healthcare quality using SERVQUAL model: challenges and opportunities in developing countries (2020) Measuring Business Excellence, 25 (4), pp. 407-420; Ghimire, P., Acharya, M., SERVQUAL questionnaire based health service quality assessment in a private hospital of Western Nepal (2020) Nepal Journal of Medical Sciences, 5 (1), pp. 79-85; Goula, A., Stamouli, M.A., Alexandridou, M., Vorreakou, L., Galanakis, A., Theodorou, G., Stauropoulos, E., Kaba, E., Public hospital quality assessment. Evidence from Greek health setting using SERVQUAL model (2021) International Journal of Environmental Research and Public Health, 18 (7), p. 3418; (2010) Calidad de la atención en salud Percepción de los usuarios, pp. 1-173. , Santiago de Cali; Pantouvakis, A., The relative importance of service features in explaining customer satisfaction: a comparison of measurement models (2010) Managing Service Quality: An International Journal, 20 (4), pp. 366-387; Parasuraman, A., Zeithaml, V.A., Berry, L., SERVQUAL: a multiple-item scale for measuring consumer perceptions of service quality (1988) Journal of Retailing, 64 (1), pp. 12-40; Park, S.J., Yi, Y., Lee, Y.R., Heterogeneous dimensions of SERVQUAL (2021) Total Quality Management and Business Excellence, 32 (1-2), pp. 92-118; Sarker, M., Kasem, N., Wong, B.K.M., Moghavvemi, S., Conceptualizing essential components affecting health tourism satisfaction in asia: does context matter? (2021) Journal of Quality Assurance in Hospitality and Tourism, pp. 1-29. , doi:, accessed, 27 July 2021; Tuzovic, S., Investigating the concept of potential quality: an exploratory study in the real estate industry (2008) Managing Service Quality: An International Journal, 18 (3), pp. 255-271</t>
  </si>
  <si>
    <t>Emerald Publishing</t>
  </si>
  <si>
    <t>14777266</t>
  </si>
  <si>
    <t>J. Health Organ. Manage.</t>
  </si>
  <si>
    <t>2-s2.0-85131568867</t>
  </si>
  <si>
    <t>Froud R., Hansen S.H., Ruud H.K., Foss J., Ferguson L., Fredriksen P.M.</t>
  </si>
  <si>
    <t>26321490800;57226080646;6506833508;36185345600;55123633600;35555240800;</t>
  </si>
  <si>
    <t>Relative performance of machine learning and linear regression in predicting quality of life and academic performance of school children in Norway: Data analysis of a quasi-experimental study</t>
  </si>
  <si>
    <t>Journal of Medical Internet Research</t>
  </si>
  <si>
    <t>e22021</t>
  </si>
  <si>
    <t>10.2196/22021</t>
  </si>
  <si>
    <t>https://www.scopus.com/inward/record.uri?eid=2-s2.0-85110279768&amp;doi=10.2196%2f22021&amp;partnerID=40&amp;md5=f84ac1a2f3cabe8c5cce08baea4a6533</t>
  </si>
  <si>
    <t>School of Health Sciences, Kristiania University College, Oslo, Norway; Clinical Trials Unit, Warwick Medical School, University of Warwick, Coventry, United Kingdom; Department of Computer Science, University of Warwick, Coventry, United Kingdom</t>
  </si>
  <si>
    <t>Froud, R., School of Health Sciences, Kristiania University College, Oslo, Norway, Clinical Trials Unit, Warwick Medical School, University of Warwick, Coventry, United Kingdom; Hansen, S.H., School of Health Sciences, Kristiania University College, Oslo, Norway; Ruud, H.K., School of Health Sciences, Kristiania University College, Oslo, Norway; Foss, J., Department of Computer Science, University of Warwick, Coventry, United Kingdom; Ferguson, L., School of Health Sciences, Kristiania University College, Oslo, Norway; Fredriksen, P.M., School of Health Sciences, Kristiania University College, Oslo, Norway</t>
  </si>
  <si>
    <t>Background: Machine learning techniques are increasingly being applied in health research. It is not clear how useful these approaches are for modeling continuous outcomes. Child quality of life is associated with parental socioeconomic status and physical activity and may be associated with aerobic fitness and strength. It is unclear whether diet or academic performance is associated with quality of life. Objective: The purpose of this study was to compare the predictive performance of machine learning techniques with that of linear regression in examining the extent to which continuous outcomes (physical activity, aerobic fitness, muscular strength, diet, and parental education) are predictive of academic performance and quality of life and whether academic performance and quality of life are associated. Methods: We modeled data from children attending 9 schools in a quasi-experimental study. We split data randomly into training and validation sets. Curvilinear, nonlinear, and heteroscedastic variables were simulated to examine the performance of machine learning techniques compared to that of linear models, with and without imputation. Results: We included data for 1711 children. Regression models explained 24% of academic performance variance in the real complete-case validation set, and up to 15% in quality of life. While machine learning techniques explained high proportions of variance in training sets, in validation, machine learning techniques explained approximately 0% of academic performance and 3% to 8% of quality of life. With imputation, machine learning techniques improved to 15% for academic performance. Machine learning outperformed regression for simulated nonlinear and heteroscedastic variables. The best predictors of academic performance in adjusted models were the child’s mother having a master-level education (P&lt;.001; β=1.98, 95% CI 0.25 to 3.71), increased television and computer use (P=.03; β=1.19, 95% CI 0.25 to 3.71), and dichotomized self-reported exercise (P=.001; β=2.47, 95% CI 1.08 to 3.87). For quality of life, self-reported exercise (P&lt;.001; β=1.09, 95% CI 0.53 to 1.66) and increased television and computer use (P=.002; β=−0.95, 95% CI −1.55 to −0.36) were the best predictors. Adjusted academic performance was associated with quality of life (P=.02; β=0.12, 95% CI 0.02 to 0.22). Conclusions: Linear regression was less prone to overfitting and outperformed commonly used machine learning techniques. Imputation improved the performance of machine learning, but not sufficiently to outperform regression. Machine learning techniques outperformed linear regression for modeling nonlinear and heteroscedastic relationships and may be of use in such cases. Regression with splines performed almost as well in nonlinear modeling. Lifestyle variables, including physical exercise, television and computer use, and parental education are predictive of academic performance or quality of life. Academic performance is associated with quality of life after adjusting for lifestyle variables and may offer another promising intervention target to improve quality of life in children. © Robert Froud, Solveig Hakestad Hansen, Hans Kristian Ruud, Jonathan Foss, Leila Ferguson, Per Morten Fredriksen. Originally published in the Journal of Medical Internet Research (https://www.jmir.org), 16.07.2021. This is an open-access article distributed under the terms of the Creative Commons Attribution License (https://creativecommons.org/licenses/by/4.0/), which permits unrestricted use, distribution, and reproduction in any medium, provided the original work, first published in the Journal of Medical Internet Research, is properly cited. The complete bibliographic information, a link to the original publication on https://www.jmir.org/, as well as this copyright and license information must be included.</t>
  </si>
  <si>
    <t>Academic performance; Artificial intelligence; Continuous/quasi-continuous health outcomes; Linear regression; Machine learning; Modelling; Quality of life</t>
  </si>
  <si>
    <t>academic achievement; Article; blood pressure; child; controlled study; data analysis; diet; executive function; exercise; female; fitness; hand strength; health; human; human experiment; k nearest neighbor; linear regression analysis; machine learning; major clinical study; male; mathematics; mental health; mother; muscle strength; Norway; peer group; physical activity; quality of life; quasi experimental study; random forest; school child; self report; support vector machine; television viewing; waist circumference; wellbeing; data analysis; machine learning; school; statistical model; Academic Performance; Child; Data Analysis; Humans; Linear Models; Machine Learning; Quality of Life; Schools</t>
  </si>
  <si>
    <t>Froud, R, Rajendran, D, Patel, S, Bright, P, Bjørkli, T, Eldridge, S, The power of low back pain trials: a systematic review of power, sample size, and reporting of sample size calculations over time, in trials published between 1980 and 2012 (2017) Spine (Phila Pa 1976), 42 (11), pp. E680-E686. , Jun 01; [doi] [Medline: 27792111]; Froud, R, Patel, S, Rajendran, D, Bright, P, Bjørkli, T, Buchbinder, R, A systematic review of outcome measures use, analytical approaches, reporting methods, and publication volume by year in low back pain trials published between 1980 and 2012: respice, adspice, et prospice (2016) PLoS One, 11 (10), p. e0164573. , [FREE Full _text] [doi] [Medline: 27776141]; Bhatia, A, Yu-Wei, C., (2017) Machine Learning With R Cookbook 2nd edition, , Birmingham: Pact Publishing; Michie, D, Spiegelhalter, DC., (1994) Machine Learning, Neural and Statistical Classification, , Leeds: University of Leeds; Lötsch, J, Ultsch, A., Machine learning in pain research (2018) Pain, 159 (4), pp. 623-630. , Apr; [FREE Full _text] [doi] [Medline: 29194126]; Diller, G, Kempny, A, Babu-Narayan, SV, Henrichs, M, Brida, M, Uebing, A, Machine learning algorithms estimating prognosis and guiding therapy in adult congenital heart disease: data from a single tertiary centre including 10 019 patients (2019) Eur Heart J, 40 (13), pp. 1069-1077. , Apr 01; [FREE Full _text] [doi] [Medline: 30689812]; Cleret de Langavant, L, Bayen, E, Yaffe, K., Unsupervised machine learning to identify high likelihood of dementia in population-based surveys: development and validation study (2018) J Med Internet Res, 20 (7), p. e10493. , Dec 09; [FREE Full text] [doi] [Medline: 29986849]; Wellner, B, Grand, J, Canzone, E, Coarr, M, Brady, PW, Simmons, J, Predicting unplanned transfers to the intensive care unit: a machine learning approach leveraging diverse clinical elements (2017) JMIR Med Inform, 5 (4), p. e45. , Nov 22; [FREE Full _text] [doi] [Medline: 29167089]; Sargent, DJ., Comparison of artificial neural networks with other statistical approaches: results from medical data sets (2001) Cancer, 91 (8), pp. 1636-1642. , Apr 15;(Suppl): [doi] [Medline: 11309761]; Hoffman, H, Lee, SI, Garst, JH, Lu, DS, Li, CH, Nagasawa, DT, Use of multivariate linear regression and support vector regression to predict functional outcome after surgery for cervical spondylotic myelopathy (2015) J Clin Neurosci, 22 (9), pp. 1444-1449. , Sep; [FREE Full _text] [doi] [Medline: 26115898]; Hayward, J, Alvarez, SA, Ruiz, C, Sullivan, M, Tseng, J, Whalen, G., Machine learning of clinical performance in a pancreatic cancer database (2010) Artif Intell Med, 49 (3), pp. 187-195. , Jul; [doi] [Medline: 20483571]; Solans, M, Pane, S, Estrada, M, Serra-Sutton, V, Berra, S, Herdman, M, Health-related quality of life measurement in children and adolescents: a systematic review of generic and disease-specific instruments (2008) Value Health, 11 (4), pp. 742-764. , [FREE Full _text] [doi] [Medline: 18179668]; Ringdal, K, Ringdal, GI, Olsen, HK, Mamen, A, Fredriksen, PM., Quality of life in primary school children: the Health Oriented Pedagogical Project (HOPP) (2018) Scand J Public Health, 46 (21_suppl), pp. 68-73. , May; [doi] [Medline: 29754578]; Moeijes, J, van Busschbach, JT, Bosscher, RJ, Twisk, JWR., Sports participation and health-related quality of life: a longitudinal observational study in children (2019) Qual Life Res, 28 (9), pp. 2453-2469. , Sep; [FREE Full _text] [doi] [Medline: 31161332]; Moeijes, J, van Busschbach, JT, Wieringa, TH, Kone, J, Bosscher, RJ, Twisk, JWR., Sports participation and health-related quality of life in children: results of a cross-sectional study (2019) Health Qual Life Outcomes, 17 (1), p. 64. , Apr 15; [FREE Full text] [doi] [Medline: 30987637]; Jozefiak, T, Sønnichsen Kayed, N., Self- and proxy reports of quality of life among adolescents living in residential youth care compared to adolescents in the general population and mental health services (2015) Health Qual Life Outcomes, 13, p. 104. , Jul 22;: [FREE Full _text] [doi] [Medline: 26197764]; O'Neil, A, Quirk, SE, Housden, S, Brennan, SL, Williams, LJ, Pasco, JA, Relationship between diet and mental health in children and adolescents: a systematic review (2014) Am J Public Health, 104 (10), pp. e31-e42. , Oct; [doi] [Medline: 25208008]; Jacka, FN, Kremer, PJ, Berk, M, de Silva-Sanigorski, AM, Moodie, M, Leslie, ER, A prospective study of diet quality and mental health in adolescents (2011) PLoS One, 6 (9), p. e24805. , [FREE Full _text] [doi] [Medline: 21957462]; Hughes, AR, Farewell, K, Harris, D, Reilly, JJ., Quality of life in a clinical sample of obese children (2007) Int J Obes (Lond), 31 (1), pp. 39-44. , Jan; [doi] [Medline: 16733522]; Burrows, T, Goldman, S, Olson, RK, Byrne, B, Coventry, WL., Associations between selected dietary behaviours and academic achievement: a study of Australian school aged children (2017) Appetite, 116, pp. 372-380. , Sep 01;: [doi] [Medline: 28487248]; Ren, X, Schweizer, K, Wang, T, Xu, F., The prediction of students' academic performance with fluid intelligence in giving special consideration to the contribution of learning (2015) Adv Cogn Psychol, 11 (3), pp. 97-105. , [FREE Full _text] [doi] [Medline: 26435760]; Sohr-Preston, SL, Scaramella, LV, Martin, MJ, Neppl, TK, Ontai, L, Conger, R., Parental socioeconomic status, communication, and children's vocabulary development: a third-generation test of the family investment model (2013) Child Dev, 84 (3), pp. 1046-1062. , [FREE Full _text] [doi] [Medline: 23199236]; Fredriksen, PM, Hjelle, OP, Mamen, A, Meza, TJ, Westerberg, AC., The Health Oriented Pedagogical Project (HOPP) - a controlled longitudinal school-based physical activity intervention program (2017) BMC Public Health, 17 (1), p. 370. , Apr 28; [FREE Full _text] [doi] [Medline: 28454531]; Jozefiak, T, Mattejat, F, Remschmidt, H., (2012) Inventory of Life Quality in Children and Adolescents Manual, Norwegian version, , Stockholm, Sweden: Hogrefe; Jozefiak, T, Larsson, B, Wichstrøm, L, Mattejat, F, Ravens-Sieberer, U., Quality of life as reported by school children and their parents: a cross-sectional survey (2008) Health Qual Life Outcomes, 6, p. 34. , May 19;:. [doi] [Medline: 18489777]; Bjørnsson, J., (2018) Metodegrunnlag for nasjonale prøver [Methodological basis for national tests], , Oslo: Utdanningsdirektoratet; Deng, WH, Fredriksen, PM., Objectively assessed moderate-to-vigorous physical activity levels among primary school children in Norway: the Health Oriented Pedagogical Project (HOPP) (2018) Scand J Public Health, 46 (21_suppl), pp. 38-47. , May; [doi] [Medline: 29754576]; Andersen, LB, Andersen, TE, Andersen, E, Anderssen, SA., An intermittent running test to estimate maximal oxygen uptake: the Andersen test (2008) J Sports Med Phys Fitness, 48 (4), pp. 434-437. , Dec; [Medline: 18997644]; Stroop, J., Studies of interference in serial verbal reactions (1935) J Exp Psychol, 18, pp. 643-662. , [FREE Full _text]; Scarpina, F, Tagini, S., The Stroop color and word test (2017) Front Psychol, 8, p. 557. , [FREE Full _text] [doi] [Medline: 28446889]; Øverby, N, Andersen, L., (2002) Ungkost-2000. Landsomfattende kostholdsundersøkelse blant elver i 4. og 8. klasse i Norge [Nationwide dietary survey among pupils in 4th and 8th grade in Norway], , Oslo: Sosial og helsedirektoratet; Gould, W., Linear splines and piecewise linear functions (1993) Stata Technical Bulletin, 5, pp. 13-17. , [FREE Full _text]; Froud, R, Abel, G., Using ROC curves to choose minimally important change thresholds when sensitivity and specificity are valued equally: the forgotten lesson of pythagoras. theoretical considerations and an example application of change in health status (2014) PLoS One, 9 (12), p. e114468. , [FREE Full _text] [doi] [Medline: 25474472]; Akaike, H., A new look at the statistical model identification (1974) IEEE Trans Automat Contr, 19 (6), pp. 716-723. , Dec; [doi]; James, G, Witten, D, Hastie, T, Tibshirabi, R., (2013) An Introduction to Statistical Learning With Applications in R, , New York: Springer; Bonaccorso, G., (2020) Machine Learning Algorithms second edition, , Birmingham: Packt; Cohen, J., A power primer (1992) Psychol Bull, 112 (1), pp. 155-159. , Jul; [Medline: 19565683]; Tu, J., Advantages and disadvantages of using artificial neural networks versus logistic regression for predicting medical outcomes (1996) J Clin Epidemiol, 49 (11), pp. 1225-1231. , Nov; [doi] [Medline: 8892489]; Desai, RJ, Wang, SV, Vaduganathan, M, Evers, T, Schneeweiss, S., Comparison of machine learning methods with traditional models for use of administrative claims with electronic medical records to predict heart failure outcomes (2020) JAMA Netw Open, 3 (1), p. e1918962. , Jan 03; [FREE Full _text] [doi] [Medline: 31922560]; Lorenzoni, G, Sabato, SS, Lanera, C, Bottigliengo, D, Minto, C, Ocagli, H, Comparison of machine learning techniques for prediction of hospitalization in heart failure patients (2019) J Clin Med, 8 (9), p. 1298. , Aug 24; [FREE Full _text] [doi] [Medline: 31450546]; Salcedo-Bernala, A, Villamil-Giraldoa, M, Moreno-Barbosaa, A., Clinical data analysis: an opportunity to compare machine learning methods (2016) Procedia Comput Sci, 100, pp. 731-738. , [FREE Full _text]; Faisal, M, Scally, A, Howes, R, Beatson, K, Richardson, D, Mohammed, MA., A comparison of logistic regression models with alternative machine learning methods to predict the risk of in-hospital mortality in emergency medical admissions via external validation (2020) Health Informatics J, 26 (1), pp. 34-44. , Mar; [doi] [Medline: 30488755]; Kuhle, S, Maguire, B, Zhang, H, Hamilton, D, Allen, AC, Joseph, KS, Comparison of logistic regression with machine learning methods for the prediction of fetal growth abnormalities: a retrospective cohort study (2018) BMC Pregnancy Childbirth, 18 (1), p. 333. , Aug 15; [FREE Full _text] [doi] [Medline: 30111303]; Yahya, N, Ebert, MA, Bulsara, M, House, MJ, Kennedy, A, Joseph, DJ, Statistical-learning strategies generate only modestly performing predictive models for urinary symptoms following external beam radiotherapy of the prostate: a comparison of conventional and machine-learning methods (2016) Med Phys, 43 (5), p. 2040. , May; [doi] [Medline: 27147316]; Laitinen, PO, Räsänen, J., Measured versus predicted oxygen consumption in children with congenital heart disease (1998) Heart, 80 (6), pp. 601-605. , Dec; [FREE Full _text] [doi] [Medline: 10065031]; Jirojanakul, P, Skevington, SM, Hudson, J., Predicting young children's quality of life (2003) Soc Sci Med, 57 (7), pp. 1277-1288. , Oct; [doi] [Medline: 12899910]; von Rueden, U, Gosch, A, Rajmil, L, Bisegger, C, Ravens-Sieberer, U., Socioeconomic determinants of health related quality of life in childhood and adolescence: results from a European study (2006) J Epidemiol Community Health, 60 (2), pp. 130-135. , Feb; [FREE Full _text] [doi] [Medline: 16415261]; Marques, A, Mota, J, Gaspar, T, de Matos, MG., Associations between self-reported fitness and self-rated health, life-satisfaction and health-related quality of life among adolescents (2017) J Exerc Sci Fit, 15 (1), pp. 8-11. , Jun; [FREE Full _text] [doi] [Medline: 29541124]; Rhodes, RE, Kates, A., Can the affective response to exercise predict future motives and physical activity behavior? a systematic review of published evidence (2015) Ann Behav Med, 49 (5), pp. 715-731. , Oct; [doi] [Medline: 25921307]; García-Hermoso, A, Hormazábal-Aguayo, I, Fernández-Vergara, O, Olivares, PR, Oriol-Granado, X., Physical activity, screen time and subjective well-being among children (2020) Int J Clin Health Psychol, 20 (2), pp. 126-134. , [FREE Full _text] [doi] [Medline: 32550852]; Wu, XY, Han, LH, Zhang, JH, Luo, S, Hu, JW, Sun, K., The influence of physical activity, sedentary behavior on health-related quality of life among the general population of children and adolescents: a systematic review (2017) PLoS One, 12 (11), p. e0187668. , [FREE Full _text] [doi] [Medline: 29121640]; Sirin, S., Socioeconomic status and academic achievement: a meta-analytic review of research (2005) Rev Educ Res, 75 (3), pp. 417-453. , [FREE Full _text]; Li, S, Xu, Q, Xia, R., Relationship between SES and academic achievement of junior high school students in China: the mediating effect of self-concept (2019) Front Psychol, 10, p. 2513. , [doi] [Medline: 31956315]; Singh, AS, Saliasi, E, van den Berg, V, Uijtdewilligen, L, de Groot, RHM, Jolles, J, Effects of physical activity interventions on cognitive and academic performance in children and adolescents: a novel combination of a systematic review and recommendations from an expert panel (2019) Br J Sports Med, 53 (10), pp. 640-647. , May; [doi] [Medline: 30061304]; Cotman, CW, Berchtold, NC, Christie, L., Exercise builds brain health: key roles of growth factor cascades and inflammation (2007) Trends Neurosci, 30 (9), pp. 464-472. , Sep; [doi] [Medline: 17765329]; van Praag, H., Neurogenesis and exercise: past and future directions (2008) Neuromolecular Med, 10 (2), pp. 128-140. , [doi] [Medline: 18286389]; Castelli, DM, Centeio, EE, Hwang, J, Barcelona, JM, Glowacki, EM, Calvert, HG, VII. The history of physical activity and academic performance research: informing the future (2014) Monogr Soc Res Child Dev, 79 (4), pp. 119-148. , Dec; [doi] [Medline: 25387418]; Florence, MD, Asbridge, M, Veugelers, PJ., Diet quality and academic performance (2008) J Sch Health, 78 (4), pp. 209-215. , Apr; -; quiz 239. [doi] [Medline: 18336680]; Vickers, AJ, Altman, DG., Statistics notes: missing outcomes in randomised trials (2013) BMJ, 346, p. f3438. , Jun 06;:. [doi] [Medline: 23744649]; Shoop, SJW., Should we ban the use of 'last observation carried forward' analysis in epidemiological studies? (2015) SM J Public Health Epidemiol, 1 (1), p. 1004. , [FREE Full _text]</t>
  </si>
  <si>
    <t>14388871</t>
  </si>
  <si>
    <t>J. Med. Internet Res.</t>
  </si>
  <si>
    <t>2-s2.0-85110279768</t>
  </si>
  <si>
    <t>Relative performance of machine learning and linear regression in predicting quality of life and academic performance of school children in norway: data analysis of a quasi-experimental study</t>
  </si>
  <si>
    <t>Pap J., Mako C., Illessy M., Dedaj Z., Ardabili S., Torok B., Mosavi A.</t>
  </si>
  <si>
    <t>57224545940;6508289335;55446797900;57899393700;57189099323;57226501637;57191408081;</t>
  </si>
  <si>
    <t>Correlation Analysis of Factors Affecting Firm Performance and Employees Wellbeing: Application of Advanced Machine Learning Analysis</t>
  </si>
  <si>
    <t>Algorithms</t>
  </si>
  <si>
    <t>300</t>
  </si>
  <si>
    <t>10.3390/a15090300</t>
  </si>
  <si>
    <t>https://www.scopus.com/inward/record.uri?eid=2-s2.0-85138487958&amp;doi=10.3390%2fa15090300&amp;partnerID=40&amp;md5=8ecbbe7b8c933c159c7bee283ed35870</t>
  </si>
  <si>
    <t>Szechenyi University, Doctoral School of Management (SzEEDSM), Szechenyi Istvan University, Gyor, 9026, Hungary; Institute of the Information Society, National University of Public Service, Budapest, 1083, Hungary; Center for Social Sciences, Eotvos Lorand Research Network, Budapest, 1097, Hungary; Doctoral School of Business Administration, University of Pecs, Pecs, 7622, Hungary; Institute of Information Engineering, Automation and Mathematics, Slovak University of Technology in Bratislava, Bratislava, 81243, Slovakia; John von Neumann Faculty of Informatics, Obuda University, Budapest, 1034, Hungary</t>
  </si>
  <si>
    <t>Pap, J., Szechenyi University, Doctoral School of Management (SzEEDSM), Szechenyi Istvan University, Gyor, 9026, Hungary; Mako, C., Institute of the Information Society, National University of Public Service, Budapest, 1083, Hungary; Illessy, M., Center for Social Sciences, Eotvos Lorand Research Network, Budapest, 1097, Hungary; Dedaj, Z., Doctoral School of Business Administration, University of Pecs, Pecs, 7622, Hungary; Ardabili, S., Institute of Information Engineering, Automation and Mathematics, Slovak University of Technology in Bratislava, Bratislava, 81243, Slovakia; Torok, B., Institute of the Information Society, National University of Public Service, Budapest, 1083, Hungary; Mosavi, A., Institute of Information Engineering, Automation and Mathematics, Slovak University of Technology in Bratislava, Bratislava, 81243, Slovakia, John von Neumann Faculty of Informatics, Obuda University, Budapest, 1034, Hungary</t>
  </si>
  <si>
    <t>Given the importance of identifying key performance points in organizations, this research intends to determine the most critical intra- and extra-organizational elements in assessing the performance of firms using the European Company Survey (ECS) 2019 framework. The ECS 2019 survey data were used to train an artificial neural network optimized using an imperialist competitive algorithm (ANN-ICA) to forecast business performance and employee wellbeing. In order to assess the correctness of the model, root mean square error (RMSE), mean absolute percentage error (MAPE), mean square error (MSE), correlation coefficient (r), and determination coefficient (R2) have been employed. The mean values of the performance criteria for the impact of internal and external factors on firm performance were 1.06, 0.002, 0.041, 0.9, and 0.83, and the value of the performance metrics for the impact of internal and external factors on employee wellbeing were 0.84, 0.0019, 0.0319, 0.83, and 0.71 (respectively, for MAPE, MSE, RMSE, r, and R2). The great performance of the ANN-ICA model is indicated by low values of MAPE, MSE, and RMSE, as well as high values of r and R2. The outcomes showed that “skills requirements and skill matching” and “employee voice” are the two factors that matter most in enhancing firm performance and wellbeing. © 2022 by the authors.</t>
  </si>
  <si>
    <t>artificial intelligence; artificial neural networks; big data; data science; deep learning; employee wellbeing; firm performance; imperialist competitive algorithm; machine learning; organizational performance</t>
  </si>
  <si>
    <t>Big data; Deep neural networks; Errors; Optimization; Personnel; Surveys; Deep learning; Employee wellbeing; Firm Performance; Imperialist competitive algorithms; Machine-learning; Means square errors; Organisational; Organizational performance; Percentage error; Root mean square errors; Mean square error</t>
  </si>
  <si>
    <t>Farzianpour, F., Aghababa, S., Delgoshaei, B., Haghgoo, M., Performance evaluation a teaching hospital affiliated to Tehran University of medical sciences based on baldrige excellence model (2011) Am. J. Econ. Bus. Adm, 3, p. 277; Chang, W.J.A., Huang, T.C., Relationship between strategic human resource management and firm performance (2005) Int. J. Manpow, 26, pp. 434-449; Marr, B., Schiuma, G., Business performance measurement–past, present and future (2003) Manag. Decis, 41, pp. 680-687; Morgan, A., Colebourne, D., Thomas, B., The development of ICT advisors for SME businesses: An innovative approach (2006) Technovation, 26, pp. 980-987; Maranto-Vargas, D., Rangel, R.G.-T., Development of internal resources and capabilities as sources of differentiation of SME under increased global competition: A field study in Mexico (2007) Technol. Forecast. Soc. Change, 74, pp. 90-99; Lee, H., Kim, J., Kim, J., Determinants of success for application service provider: An empirical test in small businesses (2007) Int. J. Hum. Comput. Stud, 65, pp. 796-815; Zare, M., The relationship between commanding leadership style and personality traits of nursing managers of hospitals affiliated to Tehran Medical Sciences Universities in 2014–2015 (2016) Med. Sci. J. Islam. Azad Univ.-Tehran Med. Branch, 26, pp. 238-247; Jacobs, G., Hoste, V.J.L.R., SENTiVENT: Enabling supervised information extraction of company-specific events in economic and financial news (2022) Comput. Humanit, 56, pp. 225-257; Elsharkawy, M., Sharafeldeen, A., Soliman, A., Khalifa, F., Ghazal, M., El-Daydamony, E., Atwan, A., El-Baz, A.J.D., A novel computer-aided diagnostic system for early detection of diabetic retinopathy using 3D-OCT higher-order spatial appearance model (2022) Diagnostics, 12; Meng, Y., Shao, C.J.M.S., Processing, S., Physics-informed ensemble learning for online joint strength prediction in ultrasonic metal welding (2022) Mech. Syst. Signal Process, 181, p. 109473; Sargent, B., Jafari, M., Marquez, G., Mehta, A.S., Sun, Y.-H., Yang, H.-Y., Zhu, K., Gomez, M., A machine learning based model accurately predicts cellular response to electric fields in multiple cell types (2022) Sci. Rep, 12, p. 9912; Song, W., Zou, S., Tian, Y., Fong, S., Classifying 3D objects in LiDAR point clouds with a back-propagation neural network (2018) Human-Centric Comput. Inf. Sci, 8, p. 29; Fredström, A., Parida, V., Wincent, J., Sjödin, D., Oghazi, P.J.T.F., Change, S., What is the Market Value of Artificial Intelligence and Machine Learning? The Role of Innovativeness and Collaboration for Performance (2022) Technol. Forecast. Soc. Chang, 180, p. 121716; Shaaban, A.G., Khafagy, M.H., Elmasry, M.A., El-Bei, H.H., Ibrahim, M.H., Knowledge discovery in manufacturing datasets using data mining techniques to improve business performance (2022) Indones. J. Electr. Eng. Comput. Sci, 26, pp. 1736-1746; Ahmed, A.A.A., Agarwal, S., Kurniawan, I.G.A., Anantadjaya, S.P., Krishnan, C., Business boosting through sentiment analysis using Artificial Intelligence approach (2022) Int. J. Syst. Assur. Eng. Manag, 13, pp. 699-709; Van Houten, G., Russo, G., (2020) European Company Survey 2019: Workplace Practices Unlocking Employee Potential, , Eurofound, Brussels, Belgium; (2020) European Company Survey 2019 Series, , https://www.cedefop.europa.eu/en/publications/2228, Publications Office of the European Union, Luxembourg, Available online; Valeyre, A., Lorenz, E., Cartron, D., Csizmadia, P., Gollac, M., Illéssy, M., Makó, C., Munkaszervezeti modellek Európában és az emberierőforrás-gazdálkodás néhány jellemzője Kísérlet a munkaszervezetek nemzetközi paradigmatérképének elkészítésére (II. rész) (2009) Vez. Bp. Manag. Rev, 40, pp. 36-51; Haapakorpi, A., Alasoini, T., Work organization and technology: Introduction to the theme of the special issue (2018) Nord. J. Work. Life Stud, 8, p. S3; Khosravi, A., Syri, S., Modeling of geothermal power system equipped with absorption refrigeration and solar energy using multilayer perceptron neural network optimized with imperialist competitive algorithm (2020) J. Clean. Prod, 276, p. 124216; Pham, D.T., Sagiroglu, S., Training multilayered perceptrons for pattern recognition: A comparative study of four training algorithms (2001) Int. J. Mach. Tools Manuf, 41, pp. 419-430; Plunkett, K., Marchman, V., U-shaped learning and frequency effects in a multilayered perceptron: Implications for child language acquisition (1991) Cognition, 38, pp. 487-526; Shepherd, A.J., (2012) Second-Order Methods for Neural Networks: Fast and Reliable Training Methods for Multi-Layer Perceptrons, , Springer Science &amp; Business Media, Berlin/Heidelberg, Germany; Taud, H., Mas, J., Multilayer perceptron (MLP) (2018) Geomatic Approaches for Modeling Land Change Scenarios, pp. 451-455. , Springer, Berlin/Heidelberg, Germany; Atashpaz-Gargari, E., Lucas, C., Imperialist competitive algorithm: An algorithm for optimization inspired by imperialistic competition Proceedings of the 2007 IEEE Congress on Evolutionary Computation, pp. 4661-4667. , Singapore, 25–28 September 2007; Zadeh Shirazi, A., Mohammadi, Z., A hybrid intelligent model combining ANN and imperialist competitive algorithm for prediction of corrosion rate in 3C steel under seawater environment (2017) Neural Comput. Appl, 28, pp. 3455-3464; Kim, G.G., Choi, J.H., Park, S.Y., Bhang, B.G., Nam, W.J., Cha, H.L., Park, N., Ahn, H.-K., Prediction model for PV performance with correlation analysis of environmental variables (2019) IEEE J. Photovolt, 9, pp. 832-841; Ahmad, T., Chen, H.J.E., Short and medium-term forecasting of cooling and heating load demand in building environment with data-mining based approaches (2018) Energy Build, 166, pp. 460-476; Roy, S.S., Samui, P., Nagtode, I., Jain, H., Shivaramakrishnan, V., Mohammadi-Ivatloo, B., Forecasting heating and cooling loads of buildings: A comparative performance analysis (2020) J. Ambient Intell. Humaniz. Comput, 11, pp. 1253-1264; Roy, S., Banerjee, R., Bose, P.K., Performance and exhaust emissions prediction of a CRDI assisted single cylinder diesel engine coupled with EGR using artificial neural network (2014) Appl. Energy, 119, pp. 330-340; Kertész, G., Szénási, S., Vámossy, Z., Comparative analysis of image projection-based descriptors in Siamese neural networks (2021) Adv. Eng. Softw, 154, p. 102963</t>
  </si>
  <si>
    <t>19994893</t>
  </si>
  <si>
    <t>2-s2.0-85138487958</t>
  </si>
  <si>
    <t>Correlation analysis of factors affecting firm performance and employees wellbeing: application of advanced machine learning analysis</t>
  </si>
  <si>
    <t>Sarmiento-Bolaños M.J., Gómez-Acosta A.</t>
  </si>
  <si>
    <t>56069843100;56636878400;</t>
  </si>
  <si>
    <t>Mindfulness. A proposed of aplication in neuropsychological rehabilitation [Mindfulness. Una propuesta de aplicación en rehabilitación neuropsicológica]</t>
  </si>
  <si>
    <t>Avances en Psicologia Latinoamericana</t>
  </si>
  <si>
    <t>31</t>
  </si>
  <si>
    <t>140</t>
  </si>
  <si>
    <t>https://www.scopus.com/inward/record.uri?eid=2-s2.0-84896264710&amp;partnerID=40&amp;md5=588f246668398bfa3bfa42472d012d78</t>
  </si>
  <si>
    <t>Universidad de San Buenaventura, Instituto Colombiano de Neurociencias, Colombia; Universidade Federal do Paraná, Brazil</t>
  </si>
  <si>
    <t>Sarmiento-Bolaños, M.J., Universidad de San Buenaventura, Instituto Colombiano de Neurociencias, Colombia; Gómez-Acosta, A., Universidade Federal do Paraná, Brazil</t>
  </si>
  <si>
    <t>Through meditation, people become aware of what happens in the body and mind, accepting the present experiences as they are and getting a better understanding of the true nature of things. Meditation practices and its inclusion as an intervention technique, have generated great interest in identifying the brain mechanisms through which these practices operate. Different studies suggest that the practice of meditation is associated with the use of different neural networks as well as changes in brain structure and function, represented in higher concentration of gray matter structures at the hippocampus, the right anterior insula, orbital frontal cortex (OFC) and greater involvement of the anterior cingulate cortex (ACC). These and other unrelated studies, shows the multiple implications of the regular practice of mindfulness in the structures and functions of the brain and its relation to certain observable and subjective states in people who practice it. Such evidence enabling the inclusion of mindfulness in psychological therapy where multiple applications have been developed to prove its effectiveness in treating affective and emotional problems, crisis management, social skills, verbal creativity, addiction and craving management, family and caregivers stress of dementia patients and others. However, neuropsychological rehabilitation has no formal proposals for intervention from these findings. The aim of this paper is to propose use of Mindfulness in neuropsychological rehabilitation process, taking the positions and theory of A.R. Luria.</t>
  </si>
  <si>
    <t>Attention; DAHT; Learning; Mindfulness; Neuropsychological factor; Neuropsychological rehabilitation</t>
  </si>
  <si>
    <t>Anojin, P., Psicología y la filosofía de la ciencia (1987) Metodología Del Sistema Funcional, , México: Trillas; Arango-Lasprilla, J., Parra, M., Rehabilitación de las funciones ejecutivas en caso de patología cerebral (2008) Revista Neuropsicología Neuropsiquiatría Y Neurociencias, 8 (1), pp. 159-178; Barraca, J., Clinical skills in the third-wave of behavioral therapy (2009) Clínica Y Salud, 20 (2), pp. 109-117; Bishop, S., Wath do we really know about mindfulness-based stress reduction? (2002) Psychosomatic Medicine, 64, pp. 71-84; Bonnelle, V., Leech, R., Kinnunen, K., Ham, T., Beckmann, C., Boissezon, X., Greenwood, R., Sharp, D., Default mode network connectivity predicts sustained attention deficits after traumatic brain injury (2011) The Journal of Neuroscience, 31 (38), pp. 13442-13451; Brewera, J., Worhunskya, P., Grayb, J., Tangc, Y., Weberd, J., Kobera, H., Meditation experience is associated with differences in default mode network activity and connectivity (2011) Psychological and Cognitive Sciences, , doi:10.1073/ pnas.1112029108; Bushnik, T., Englander, J., Katznelson, L., Fatigue after TBI: Association with neuroendocrine abnormalities (2007) Brain Injury, 21 (6), pp. 559-566; Castillode, R.A., (2011) Diferentes Propuestas De Rehabilitación Neuropsicológica En Latinoamérica, , México; Cebolla, A., Miró, M., Eficacia de la terapia basada en la Atención Plena en el tratamiento de la Depresión (2006) Revista De Psicoterapia, 17, pp. 133-155; Clemente, F., Sola, M., Justo, E., Reducción del malestar psicológico de la sobrecarga en familiares cuidadores de enfermos de Alzheimer mediante la aplicación de un programa de entrenamiento en Mindfulness (conciencia plena) (2010) Revista Española De Geriatria Y Gerontologia, 45, pp. 245-258; Davidson, R., Kabat-Zinn, J., Schumacher, J., Rosenkranz, M., Santorelli, S., Ferris, D., Harrington, A., Sheridan, J., Alterations in brain and immune function produced by mindfulness meditation (2003) Psychosomatic Medicine, 65, pp. 564-570; De la Fuente, M., Clemente, F., Salvador, M., Efectos de un programa de meditación (mindfulness) en la medición de la alexitimia y las habilidades sociales (2010) Psicothema, 22 (3), pp. 369-375; Engel, A., Fries, P., Singer, W., Dynamic predictions: Oscillations and synchrony in top-down processing (2001) Natural Review Neuroscience, 2 (10), pp. 704-716; Farb, N., Zindel, V., Segal, H., Bean, J., McKeon, D., Zainab, F., Anderson, A., Attending to the present: Mindfulness meditation reveals distinct neural modes of self-reference (2007) Social Cognitive and Affective Neuroscience, , doi:10.1093/scan/ nsm006; Fennell, M., Teasdale, J., Jones, S., Damle, A., Distraction in neurotic and endogenous depression: An investigation of negative thinking in mayor depressive disorder (1987) Psychological Medicine, 17, pp. 441-452; Fleming, J., Ownsworth, T., A review of awareness interventions in brain injury rehabilitation (2006) Neuropsychological Rehabilitation, 16 (4), pp. 474-500; Gallagher, S., Philosophical conceptions of the self: Implications for cognitive science (2000) Trends In Cognitive Sciences, 4 (1), pp. 14-21; Gyatzo, T., (2008) Conócete a Ti Mismo Tal Como Realmente Eres, , México: Grijalbo; Halligan, P., Awareness and knowing: Implications for rehabilitation (2006) Neuropsychological Rehabilitation, 16 (4), pp. 456-473; Hayes, S., Strosahl, K., Wilson, K., Acceptance and commitment therapy (1999) An Experiential Approach to Behavior Change, , Nueva York: Guilford Press; Hayes, S., Acceptance and commitment therapy and the new behavior therapies. Mindfulness and acceptance (2004) Expanding the Cognitive-behavioral Tradition, , New York: Guilford Press; Hölzel, B., Ott, U., Hempel, H., Hackl, A., Wolf, K., Stark, R., Vaitl, D., Differential engagement of anterior cingulate and adjacent medial frontal cortex in adept meditators and non-meditators (2007) Neuroscience Letters, 421, pp. 16-21; Hölzel, B.K., Ott, U., Gard, T., Hempel, H., Weygandt, M., Morgen, K., Vaitl, D., Investigation of mindfulness meditation practitioners with voxel-based morphometry (2008) Social Cognitive and Affective Neuroscience, 3, pp. 55-61; Kabat-Zinn, J., An outpatient program in behavioral medicine for chronic pain patients base on the practice of mindfulness meditation: Theorical considerations and preliminary results (1984) General Hospital Psychiatry, 4, pp. 33-47; Kabat-Zinn, J., Full catastrophe living. Using the wisdom of your body and mind to face stress (1990) Pain and Illness, , New York: Bantam Doubleday Dell Publishing; Kabat-Zinn, J., Wheeler, E., Light, T., Skillings, A., Scharf, M.J., Cropley, T., Hosmer, D., Bernhard, J.D., Influence on mindfulness meditationbased stress reduction intervention on rates of skin clearing patients with moderate to severe psoriasis undergoing phototherapy (UVB) and photochemotherapy (PUVA) (1998) Psychosomatic Medicine, 60, pp. 625-632; Kohlenberg, R., Tsai, M., Functional analytic psychotherapy (1991) Creating Intense and Curative Therapeutic Relationship, , Nueva York: Plenum Press; Kurland, J., Baldwin, K., Tauer, C., Treatmentinduced neuroplasticity following intensive naming therapy in a case of chronic Wernicke's aphasia (2010) Aphasiology, 24 (6-8), pp. 737-751; Lavilla, M., Molina, D., López, B., (2008) Mindfulness, , Barcelona: Paidós; Lebel, S., Rosberger, Z., Edgar, L., Devins, G.M., Comparison of four common stressors across the breast cancer trajectory (2007) Journal of Psychosomatic Research, 63, pp. 225-232; Lazar, S., Kerrb, C., Wassermana, R., Greved, D., Treadwaya, M., McGarveye, M., Quinnd, B., Fischl, B., Meditation experience is associated with increased cortical thickness (2005) Neuroreport, 16, pp. 1893-1897; Lengacher, C., Johnson-Mallard, V., Barta, M., Fitzgerald, S., Moscoso, M., Post-Write, J., Jacobsen, P., Kip, K., Feasibility of a mindfulnessBased stress reduction program for early-stage breast cancer survivors (2010) Journal of Holistic Nursing, 20 (10), pp. 1-11; Linehan, M., (1993) Cognitive-behavioural Treatment of Borderline Disorder, , New York: Guilford Press; López-Luengo, B., Orientaciones en rehabilitación cognitiva (2001) Revista De Neurología, 33 (4), pp. 383-387; Luria, A., Tsvetkova, L., (1981) La Resolución De Problemas Y Sus Trastornos, , Barcelona: Fontanella; Luria, A., (1989) El Cerebro En Acción, , México: Ediciones Roca; Luria, A., (1986) Las Funciones Corticales Superiores Del Hombre, , México: Editorial Fonatamara; Lutz, A., Slagter, H., Dunne, J., Davidson, R., Attention regulation and monitoring in meditation (2008) Trends In Cognitive Sciences, 12 (4), pp. 163-169; Machinskaya, R., Functional maturation of the brain and formation of the neurophysiological mechanisms of selective voluntary attention in young schoolchildren (2006) Human Physiology, 32 (1), pp. 20-29; Martell, C., Addis, M., Jacobson, N., (2001) Depression In Context: Strategies For Guided Action, , Nueva York: Norton; Mason, M., Norton, M., van Horn, J., Wegner, D., Grafton, S., Macrae, S., Response to comment on Wandering minds: The default network and stimulus-independent thought (2007) Science, 317, pp. 41-42; Mast, M., Survivors of breast cancer: Illness uncertainty, positive reappraisal, and emotional distress (1998) Oncology Nursing Forum, 25, pp. 555-562; McKiernana, B., D'Angelob, B., Kaufmanc, J., Binderb, J., Interrupting the "stream of consciousness": An fMRI investigation (2006) Neuroimage, 29 (4), pp. 1185-1191; Muñoz, M., Sanjuán, R., Fernández-Santaella, M., Vila, J., Montoya, P., Neuropsychological aspects of nicotine craving (2011) Adicciones, 23 (2), pp. 111-123; Nolen-Hoeksama, S., Responses to depression and their effects on the duration of depressive episodies (1991) Journal of Abnormal Psychology, 4, pp. 569-582; Norman, F., Zindel, V., Segal, H., Bean, J., McKeon, D., Attending to the present: Mindfulness meditation reveals distinct neural modes of selfreference (2007) Social Cognitive and Affective Neuroscience, , doi: 10.1093/scan/nsm030; Oken, B., Fonareva, I., Haas, M., Wahbeh, H., Lane, J., Zajdel, D., Amen, A., Pilot controlled trial of mindfulness meditation and education for dementia caregivers (2010) The Journal of Alternative and Complementary Medicine, 16 (10), pp. 1031-1038; Oliveira, A., El envejecimiento, la enfermedad de Alzheimer y las contribuciones del programa de enriquecimiento instrumental (2010) Cuadernos De Neuropsicología, 4 (1), pp. 31-41; Ostrosky-Solís, F., Lozano-Gutiérrez, A., Rehabilitación de la memoria en condiciones normales y patológicas (2003) Avances En Psicología Clínica Latinoamericana, 21, pp. 39-51; Pavlov, I., El reflejo condicionado y la fisiología de la actividad nerviosa superior (1960) Obras Escogidas, , Argentina: Editorial Quetzal; Polinsky, M., Functional status of long-term breast cancer survivors: Demonstrating Chronicity (1994) Health &amp; Social Work, 19, pp. 165-173; Quintanar, L., Solovieva, Y., (2003) Manual De Evaluación Neuropsicológica Infantil, , México; Rimpoche, B., La meditación (2000) Consejos a Los Principiantes, , Kathmandu: Ediciones Dharma; Rimpoche, T., (2006) A Guide to Shamata Meditation, , Kathmandu: Thrangu Dharma Kara Publications; Segal, Z., Williams, J., Teasdale, J., (2002) Mindfulness-based Cognitive Therapy For Depression: A New Approach to Preventing Relapse, , New York: Guilford Press; Siegel, D., Mindfulness training and neural integration: Differentiation of distinct streams of awareness and the cultivation of well-being (2007) Social Cognitive and Affective Neuroscience, , doi: 10.1093/scan/nsm034; Simon, M., Mindfulness y neurobiología (2006) Revista De Psicoterapia, 17 (66-67), pp. 5-30; Smalley, S., Loo, S., Hale, S., Shrestha, A., McGough, J., Flook, L., Reise, S., Mindfulness and attention deficit hyperactivity disorder (2009) Journal of Clinical Psychologist, 65 (10), pp. 1087-1098; Smallwood, J., Brown, B., Bairdc, B., Cooperation between the default mode network and the frontal-parietal network in the production of an internal train of thought (2011) Brain Research, , doi:10.1016/j.brainres.2011.03.072; Solovieva, Y., Pelayo, H., Quintanar, L., Rehabilitación de la agrafia en un paciente con lesión en hemisferio derecho (2002) Revista Latina De Pensamiento Y Lenguaje, 5, pp. 267-287; Solovieva, Y., Quintanar, L., Lázaro, E., Mecanismos de los lóbulos frontales en niños preescolares con déficit de atención y niños normales (2008) Acta Neurológica Colombiana, 24, pp. 64-75; Teasdale, J., Metacognition, mindfulness and the modification of mood disorders (1999) Clinical Psychology and Psycotherapy, 6, pp. 146-155; Teasdale, J., Segal, Z., Soulsby, J., Mindfulness-based cognitive therapy reduces over-general autobiographical memory in formerly depressed patients (2000) Journal of Abnormal Psychology, 109, pp. 150-155; Tsvetkova, L., (1977) Reeducación Del Lenguaje, La Escritura Y La Escritura, , Barcelona: Fontanella; Vallejo, M., (2006) Mindfulness. Papeles Del Psicólogo, 27 (2), pp. 92-99; Valiente-Barroso, C., García-García, E., Aspectos neurológicos relativos a estados alterados de conciencia asociados a la espiritualidad (2010) Revista De Neurología, 51, pp. 226-236; Vanhaudenhuyse, A., Noirhomme, Q., Tshibanda, L., Bruno, M., Boveroux, P., Schnakers, C., Soddu, A., Boly, B., Default network connectivity reflects the level of consciousness in non-communicative braindamaged patients (2010) Brain, 133, pp. 161-171; Vickberg, S., Bovbjerg, D., Duhamel, K., Currie, V., Redd, W., Intrusive thoughts and psychological distress among breast cancer survivors: Global meaning as a possible protective factor (2000) Behavioral Medicine, 25, pp. 152-160; Watkinsa, E., Teasdale, J., Adaptive and maladaptive self-focus in depression (2004) Journal of Affective Disorders, 82, pp. 1-8; Weick, K., Sutcliffe, K., Obstfeld, D., Organizing for high reliability: Processes of collective mindfulness (1999) Research In Organizational Behavior, 1, pp. 81-123; Westbrook, C., Creswell, J., Tabibnia, G., Julson, E., Kober, H., Tindle, H., Mindful attention reduces neural and self-reported cue induced craving in smokers (2011) Social Cognitive and Affective Neuroscience, , doi:10.1093/scan/nsr076; Wilson, B., Emslie, H., Quirck, K., Evans, J., Reducing everyday memory and planning problems by means of a paging system: A randomised control crossover study (2001) Journal of Neurology, Neurosurgery &amp; Psychiatry, 70 (4), pp. 477-482; Wilson, K., Luciano, M., (2002) Terapia De Aceptación Y Compromiso (ACT): Un Tratamiento Conductual Orientado a Los Valores, , Madrid: Pirámide; Xomskaya, E., El problema de los factores en la neuropsicología (2002) Revista Española De Neuropsicología, 4 (2-3), pp. 151-167</t>
  </si>
  <si>
    <t>Fundacion para el Avance de la Psicologia</t>
  </si>
  <si>
    <t>17944724</t>
  </si>
  <si>
    <t>Av. Psicol. Latinoam.</t>
  </si>
  <si>
    <t>2-s2.0-84896264710</t>
  </si>
  <si>
    <t>Mindfulness. a proposed of aplication in neuropsychological rehabilitation [mindfulness. una propuesta de aplicación en rehabilitación neuropsicológica]</t>
  </si>
  <si>
    <t>Boldt J., Orrù E.</t>
  </si>
  <si>
    <t>24177817700;54397457300;</t>
  </si>
  <si>
    <t>Towards a unified list of ethical principles for emerging technologies. An analysis of four European reports on molecular biotechnology and artificial intelligence</t>
  </si>
  <si>
    <t>Sustainable Futures</t>
  </si>
  <si>
    <t>100086</t>
  </si>
  <si>
    <t>10.1016/j.sftr.2022.100086</t>
  </si>
  <si>
    <t>https://www.scopus.com/inward/record.uri?eid=2-s2.0-85132948705&amp;doi=10.1016%2fj.sftr.2022.100086&amp;partnerID=40&amp;md5=78d4539cbee764c7126a42d6ba034afa</t>
  </si>
  <si>
    <t>Department of Medical Ethics and the History of Medicine, CIBSS – Centre for Integrative Biological Signalling Studies, University of Freiburg, Freiburg, 79104, Germany; Centre for Security and Society and Philosophy Department, University of Freiburg, Freiburg, 79098, Germany</t>
  </si>
  <si>
    <t>Boldt, J., Department of Medical Ethics and the History of Medicine, CIBSS – Centre for Integrative Biological Signalling Studies, University of Freiburg, Freiburg, 79104, Germany; Orrù, E., Centre for Security and Society and Philosophy Department, University of Freiburg, Freiburg, 79098, Germany</t>
  </si>
  <si>
    <t>Artificial intelligence (AI) and molecular biotechnologies (MB) are among the most promising, but also ethically hotly debated emerging technologies. In both fields, several ethics reports, which invoke lists of ethics principles, have been put forward. These reports and the principles lists are technology specific. This article aims to contribute to the ongoing debate on ethics of emerging technologies by comparatively analysing four European ethics reports from the two technology fields. Adopting a qualitative and in-depth approach, the article highlights how ethics principles from MB can inform AI ethics and vice versa. By synthesizing the respective ethical cores of the principles included in the analysed reports, the article derives, moreover, a unified list of principles for assessing emerging technologies. The suggested list consists of nine principles: autonomy; individual and social well-being and prevention of harm; reliability, safety and security; informational privacy; transparency; accountability; communication, participation and democracy; justice, fairness, and non-discrimination; sustainability. © 2022 The Authors</t>
  </si>
  <si>
    <t>Artificial intelligence ethics; Bioethics; Emerging technologies; Technology assessment framework; Technology governance</t>
  </si>
  <si>
    <t>Owen, R., Macnaghten, P., Stilgoe, J., Responsible research and innovation: from science in society to science for society, with society (2012) Sci. Pub. Policy, 39/6, pp. 751-760; von Schomberg, R., Prospects for technology assessment in a framework of responsible research and innovation (2012) Technikfolgen abschätzen lehren: Bildungspotenziale transdisziplinärer Methoden, pp. 39-61. , Dusseldorp M. Beecroft R. VS Verlag für Sozialwissenschaften Wiesbaden; Stahl, B.C., Timmermans, J., Flick, C., Ethics of emerging information and communication technologies: on the implementation of responsible research and innovation (2017) Sci. Pub. Policy, 44/3, pp. 369-381; Grunwald, A., Technology Assessment in Practice and Theory (2018), Routledge London/New York; Tran, T.A., Daim, T., A taxonomic review of methods and tools applied in technology assessment (2008) Technol. Forecast. Soc. Change, 75/9, pp. 1396-1405; Brey, P.A.E., Anticipating Ethical Issues in Emerging IT (2012) Ethics Inf. Technol., 14/4, pp. 305-317; Floridi, L., Strait, A., Ethical Foresight Analysis: What It Is and Why It Is Needed? (2020) Minds Mach., 30, pp. 77-97; Horizon 2020 Work Programme 2014–2015. 16 (2015) Sci. Soc., , Revised; Horizon 2020 Programme. Guidance (2019) How to complete your ethics self-assessment, , Version 6.14; (2013) Regulation (EU) No 1290/2013 of the European Parliament and of the Council of 11 December 2013; Floridi, L., Translating principles into practices of digital ethics: five risks of being unethical (2019) Philos. Technol., 32/2, pp. 185-193; Clouser, K.D., Gert, B., A critique of principlism (1990) J. Med. Philos., 15 (2), pp. 219-236; Pellegrino, E.D., The metamorphosis of medical ethics. A 30-year retrospective (1993) JAMA, 269 (9), pp. 1158-1162; Evans, J.H., A sociological account of the growth of principlism (2000) Hastings Cent Rep., 30 (5), pp. 31-38; Future technology trends (2016) OECD Science, Technology and Innovation Outlook 2016, , https://www.oecd-ilibrary.org/docserver/sti_in_outlook-2016-5-en.pdf?expires=1641385317, OECD Publishing Paris retrieved from; van Est, R., Stemerding, D., Rerimassie, V., Rerimassie, M., Timmer, J., Brom, F., From Bio to NBIC - From Medical Practice to Daily Life (2014), Rathenau Instituut The Hague; Gordijn, B., Converging NBIC technologies for improving human performance: a critical assessment of the novelty and the prospects of the project (2006) J. Law Med. Ethics, 34/4, pp. 726-732; Bennett, G., From synthetic biology to biohacking: are we prepared? (2009) Nat. Biotechnol., 27 (12), pp. 1109-1111; Church, G.M., Realizing the potential of synthetic biology (2014) Nat. Rev. Mol. Cell Biol., 15 (4), pp. 289-294; Beauchamp, T.L., Childress, J.F., Principles of biomedical ethics (2013), p. 459. , 7th ed edn. Oxford University Press New York; Floridi, L., Cowls, J., Beltrametti, M., Chatila, R., Chazerand, P., Dignum, V., Luetge, C., AI4People—an ethical framework for a good AI society: opportunities, risks, principles, and recommendations (2018) Minds Mach., 28/4, pp. 689-707; (2010) New Directions: The Ethics of Synthetic Biology and Emerging Technologies (Presidential Commission for the Study of Bioethical Issues); Gutmann, A., The ethics of synthetic biology: guiding principles for emerging technologies (2011) Hastings Cent. Rep., 41/4, pp. 17-22; Sismour, A.M., Benner, S.A., Synthetic biology (2005) Expert Opin. Biol. Ther., 5 (11), pp. 1409-1414; Jobin, A., Ienca, M., Vayena, E., The global landscape of AI ethics guidelines (2019) Nat. Mach. Intell., 1/9, pp. 389-399; (2020), https://inventory.algorithmwatch.org/about, Algorithm Watch AI Ethics Guidelines Global Inventory. Retrieved January 20, 2021, from; (2022), https://en.unesco.org/artificial-intelligence/ethics, UNESCO, Recommendation on the Ethics of Artificial Intelligence, Adopted in November 2021. Retrieved June 2, 2022 from; Berberich, N., Nishida, T., Suzuki, S., Harmonizing artificial intelligence for social good (2020) Philos. Technol., 33/4, pp. 613-638; Gupta, A., Heath, V., AI ethics groups are repeating one of society classic mistakes (2020) MIT Technol. Rev., , https://www.technologyreview.com/2020/09/14/1008323/ai-ethics-representation-artificial-intelligence-opinion/, Retrieved January 20, 2022, from; Wolpe, P.R., Rommelfanger, K.S., Ethical principles for the use of human cellular biotechnologies (2017) Nat. Biotechnol., 35, p. 1050; El Karoui, M., Hoyos-Flight, M., Fletcher, L., Future trends in synthetic biology—a report (2019) Front. Bioeng. Biotechnol., 7 (175); Khalil, A.S., Collins, J.J., Synthetic biology: applications come of age (2010) Nat. Rev. Genet., 11 (5), pp. 367-379; Weber, W., Fussenegger, M., Engineering of synthetic mammalian gene networks (2009) Chem. Biol., 16 (3), pp. 287-297; Ethics of synthetic biology (2009) The European Group of Ethics in Science and New Technologies to the European Commission, 25. , European Commission (ed.), Opinion; Emerging biotechnologies. Technology, choice and the public good (2012), London: Nuffield Council on Bioethics; Cheshire, W.P., Toward a common language of human dignity (2002) Ethics Med., 18 (2), pp. 7-10; Coeckelbergh, M., AI Ethics (2020), The MIT Press Cambridge, MA; AI HLEG, H.-L.E.G., A definition of Artificial Intelligence: main capabilities and scientific disciplines (2019), High-Level Expert Group on Artificial Intelligence; Metzinger, T., Nehmt der Industrie die Ethik weg! (2019) Der Tagesspiegel, , https://www.tagesspiegel.de/politik/eu-ethikrichtlinien-fuer-kuenstliche-intelligenz-nehmt-der-industrie-die-ethik-weg/24195388.html, 08.04.2019. Retrieved January 20, 2022, from; (2019), Ethics Guidelines for Trustworthy AI (High-Level Expert Group on Artificial Intelligence); Understanding artificial intelligence ethics and safety. A guide for the responsible design and implementation of AI systems in the public sector (2019) The Alan Turing Institute 2019; main author Leslie, D.; Parens, E., Shaping Our Selves: On Technology, Flourishing, and a Habit of Thinking (2014), p. 216. , Oxford University Press New York; Nicolás, P., Ethical and juridical issues of genetic testing: a review of the international regulation (2009) Crit. Rev. Oncol. Hematol., 69/2, pp. 98-107; Barocas, S., Selbst, A.D., Big Datas Disparate Impact (2016) Calif. Law Rev., 104, pp. 671-732; Bender, E.M., Gebru, T., McMillan-Major, A., Shmitchell, S., On the dangers of stochastic parrots: can language models be too big? (2021) Proceedings of the 2021 ACM Conference on Fairness, Accountability, and Transparency, FAccT 21, pp. 610-623; Orrù, E., Minimum Harm by Design. Reworking Privacy by Design to mitigate the risks of surveillance (2017) Computers, Privacy and Data Protection: Invisibilities and Infrastructures, pp. 107-137. , Leenes R. Van Brakel R. Gutwirth S. De Hert P. Springer Dordrecht; Extreme Genetic Engineering. An Introduction to Synthetic Biology (2007), ETC Group; Boldt, J., Müller, O., Newtons of the leaves of grass (2008) Nat. Biotechnol., 26 (4), pp. 387-389; Mitchell, M., How do you teach a car that a snowman wont walk across the road? (2019) Aeon., , https://aeon.co/ideas/how-do-you-teach-a-car-that-a-snowman-wont-walk-across-the-road, Retrieved January 20, 2022, from; Wakunuma, K.J., Stahl, B.C., Tomorrows ethics and todays response: an investigation into the ways information systems professionals perceive and address emerging ethical issues (2014) Inf. Syst. Front., 16/3, pp. 383-397; Buhmann, A., Fieseler, C., Towards a deliberative framework for responsible innovation in artificial intelligence (2021) Technol. Soc., 64; Mohamed, S., Png, M.-T., Isaac, W., Decolonial AI: decolonial theory as sociotechnical foresight in artificial intelligence (2020) Philos. Technol.; Russo, F., Digital technologies, ethical questions, and the need of an informational framework (2018) Philos. Technol., 31/4, pp. 655-667; Wellner, G., Rothman, T., Feminist AI: can we expect our AI systems to become feminist? (2020) Philos. Technol., 33/2, pp. 191-205; Mittelstadt, B., Principles alone cannot guarantee ethical AI (2019) Nat. Mach. Intell., 1/11, pp. 501-507; Lo Piano, S., Ethical principles in machine learning and artificial intelligence: cases from the field and possible ways forward (2020) Hum. Soc. Sci. Commun., 7/1, pp. 1-7. , Palgrave; Fjeld, J., Achten, N., Hilligoss, H., Nagy, A., Srikumar, M., Principled Artificial Intelligence: mapping Consensus in Ethical and Rights-Based Approaches to Principles for AI (2020) Berkman Klein Center Research Publication No. 2020-1, , https://papers.ssrn.com/abstract=3518482, Retrieved January 20, 2022, from; Hagendorff, T., The Ethics of AI Ethics: An Evaluation of Guidelines (2020) Minds Mach., 30/1, pp. 99-120</t>
  </si>
  <si>
    <t>26661888</t>
  </si>
  <si>
    <t>Sustain. Future.</t>
  </si>
  <si>
    <t>2-s2.0-85132948705</t>
  </si>
  <si>
    <t>Towards a unified list of ethical principles for emerging technologies. an analysis of four european reports on molecular biotechnology and artificial intelligence</t>
  </si>
  <si>
    <t>Higgins O., Short B.L., Chalup S.K., Wilson R.L.</t>
  </si>
  <si>
    <t>57193411242;41561998900;6507711151;57209102783;</t>
  </si>
  <si>
    <t>Artificial intelligence (AI) and machine learning (ML) based decision support systems in mental health: An integrative review</t>
  </si>
  <si>
    <t>International Journal of Mental Health Nursing</t>
  </si>
  <si>
    <t>10.1111/inm.13114</t>
  </si>
  <si>
    <t>https://www.scopus.com/inward/record.uri?eid=2-s2.0-85147269996&amp;doi=10.1111%2finm.13114&amp;partnerID=40&amp;md5=313e5737de0d955e8c596db1383caf64</t>
  </si>
  <si>
    <t>School of Nursing and Midwifery, University of Newcastle, Newcastle, NSW, Australia; Central Coast Local Health District, Gosford, NSW, Australia; School of Medicine and Public Health (Medicine), University of Newcastle, Newcastle, NSW, Australia; St Vincent's Hospital, Sydney, NSW, Australia; School of Information and Physical Sciences (Computer Science and Software Engineering), University of Newcastle, Newcastle, NSW, Australia; Massey University, Wellington, New Zealand</t>
  </si>
  <si>
    <t>Higgins, O., School of Nursing and Midwifery, University of Newcastle, Newcastle, NSW, Australia, Central Coast Local Health District, Gosford, NSW, Australia; Short, B.L., School of Medicine and Public Health (Medicine), University of Newcastle, Newcastle, NSW, Australia, St Vincent's Hospital, Sydney, NSW, Australia; Chalup, S.K., School of Information and Physical Sciences (Computer Science and Software Engineering), University of Newcastle, Newcastle, NSW, Australia; Wilson, R.L., School of Nursing and Midwifery, University of Newcastle, Newcastle, NSW, Australia, Massey University, Wellington, New Zealand</t>
  </si>
  <si>
    <t>An integrative review investigating the incorporation of artificial intelligence (AI) and machine learning (ML) based decision support systems in mental health care settings was undertaken of published literature between 2016 and 2021 across six databases. Four studies met the research question and the inclusion criteria. The primary theme identified was trust and confidence. To date, there is limited research regarding the use of AI-based decision support systems in mental health. Our review found that significant barriers exist regarding its incorporation into practice primarily arising from uncertainty related to clinician's trust and confidence, end-user acceptance and system transparency. More research is needed to understand the role of AI in assisting treatment and identifying missed care. Researchers and developers must focus on establishing trust and confidence with clinical staff before true clinical impact can be determined. Finally, further research is required to understand the attitudes and beliefs surrounding the use of AI and related impacts for the wellbeing of the end-users of care. This review highlights the necessity of involving clinicians in all stages of research, development and implementation of artificial intelligence in care delivery. Earning the trust and confidence of clinicians should be foremost in consideration in implementation of any AI-based decision support system. Clinicians should be motivated to actively embrace the opportunity to contribute to the development and implementation of new health technologies and digital tools that assist all health care professionals to identify missed care, before it occurs as a matter of importance for public safety and ethical implementation. AI-basesd decision support tools in mental health settings show most promise as trust and confidence of clinicians is achieved. © 2023 The Authors. International Journal of Mental Health Nursing published by John Wiley &amp; Sons Australia, Ltd.</t>
  </si>
  <si>
    <t>artificial intelligence; machine learning; mental health; nursing</t>
  </si>
  <si>
    <t>artificial intelligence; decision support system; human; human experiment; machine learning; mental health; mental health care; nursing; review; trust; uncertainty; wellbeing</t>
  </si>
  <si>
    <t>Asan, O., Bayrak, A.E., Choudhury, A., Artificial Intelligence and Human Trust in Healthcare: Focus on Clinicians (2020) J Med Internet Res, 22 (6). , https://doi.org/10.2196/15154, &amp;, [Accessed date 20th December 2021]; (2021) Emergency department care, , https://www.aihw.gov.au/reports-data/myhospitals/sectors/emergency-department-care, Available from URL, [Accessed 20th December 2021]; Benrimoh, D., Tanguay-Sela, M., Perlman, K., Using a simulation centre to evaluate preliminary acceptability and impact of an artificial intelligence-powered clinical decision support system for depression treatment on the physician-patient interaction (2020) BJPsych Open, 7 (1). , https://doi.org/10.1192/bjo.2020.127; Bentley, K., Zuromski, K., Fortgang, R., (2021) Implementing machine learning algorithms for suicide risk prediction in clinical practice: A focus group study, , https://doi.org/10.31234/osf.io/6m5qd; Bhatt, U., Shams, Z., Trust in artificial intelligence: Clinicians are essential (2021) Healthcare Information Technology for Cardiovascular Medicine: Telemedicine &amp; Digital Health, pp. 127-141. , https://doi.org/10.1007/978-3-030-81030-6_10, &amp;, A. B. Bhatt, (Ed)., Springer, Cham, Springer International Publishing; Brown, L.A., Benhamou, K., May, A.M., Mu, W., Berk, R., Machine learning algorithms in suicide prevention: Clinician interpretations as barriers to implementation (2020) Journal Clinical Psychiatry, 81 (3). , https://doi.org/10.4088/JCP.19m12970; Caruana, R., Lou, Y., Gehrke, J., Koch, P., Sturm, M., Elhadad, N., Intelligible models for healthcare: Predicting pneumonia risk and hospital 30-day readmission (2015) Proceedings of the 21th ACM SIGKDD international conference on knowledge discovery and data mining, pp. 1721-1730; Chang, C.-H., Tan, S., Lengerich, B.J., Goldenberg, A., Caruana, R., (2020) How interpretable and Trustworthy are GAMs? arXiv e-prints, abs/2006.06466, arXiv-2006; Collins, H., Calvo, S., Greenberg, K., Forman Neall, L., Morrison, S., Information needs in the precision medicine era: How genetics home reference can help (2016) Interactive Journal of Medical Research, 5 (2). , https://doi.org/10.2196/ijmr.5199; Farthing, S., Howell, J., Lecchi, K., Paleologos, Z., Saintilan, P., Santow, E., (2021) Human Rights and Technology, , https://tech.humanrights.gov.au/downloads, &amp;, Sydney, Australia, A. H. R. Commission, Available from URL, [Accessed 17th January 2022]; Gooding, P., Kariotis, T., Ethics and law in research on algorithmic and data-driven technology in mental health care: Scoping review (2021) JMIR Mental Health, 8 (6). , https://doi.org/10.2196/24668, &amp;, [Accessed 17th January 2022]; Gooding, P., Brown, L.X.Z., Myrick, K., (2022) Digital futures in mind: Reflecting on technological experiments in mental health and crisis support, , https://melbourne.figshare.com/articles/report/Digital_Futures_in_Mind_Reflecting_on_Technological_Experiments_in_Mental_Health_and_Crisis_Support/21113899, Available from URL; Hah, H., Goldin, D.S., How clinicians perceive artificial intelligence-assisted technologies in diagnostic decision making: Mixed methods approach (2021) Journal of Medical Internet Research, 23 (12). , https://doi.org/10.2196/33540; Higgins, O., Chalup, S.K., Short, B.L., Wilson, R.L., Interpretations of innovation: The role of technology in explanation seeking related to psychosis (2022) Perspectives in Psychiatric Care, , https://onlinelibrary.wiley.com/doi/10.1111/inm.13121; Jacobs, M., Pradier, M.F., McCoy, T.H., Jr., Perlis, R.H., Doshi-Velez, F., Gajos, K.Z., How machine-learning recommendations influence clinician treatment selections: The example of the antidepressant selection (2021) Translational Psychiatry, 11 (1), p. 108. , https://doi.org/10.1038/s41398-021-01224-x; Jones, T.L., Hamilton, P., Murry, N., Unfinished nursing care, missed care, and implicitly rationed care: State of the science review (2015) International Journal of Nursing Studies, 52 (6), pp. 1121-1137. , https://doi.org/10.1016/j.ijnurstu.2015.02.012; Lin, S., A Clinician's guide to artificial intelligence (AI): Why and how primary care should lead the health care AI revolution (2022) The Journal of the American Board of Family Medicine, 35 (1), pp. 175-184. , https://doi.org/10.3122/jabfm.2022.01.210226; Lutz, W., Deisenhofer, A.K., Rubel, J., Prospective evaluation of a clinical decision support system in psychological therapy (2021) Journal of Consulting and Clinical Psychology, 90, pp. 90-106. , https://doi.org/10.1037/ccp0000642; van Mens, K., Elzinga, E., Nielen, M., Applying machine learning on health record data from general practitioners to predict suicidality (2020) Internet Interventions, 21. , https://doi.org/10.1016/j.invent.2020.100337; Mudallal, R.H., Othman, W.M., Al Hassan, N.F., Nurses' Burnout: The Influence of leader empowering behaviors, work conditions, and demographic traits (2017) Inquiry, 54. , https://doi.org/10.1177/0046958017724944; (2016) Machine learning, , https://www.ncbi.nlm.nih.gov/mesh/2010029, [Cited 12 February 2022]. Available from URL; Nori, H., Jenkins, S., Koch, P., Caruana, R., (2019) Interpretml: A unified framework for machine learning interpretability. arXiv preprint arXiv:1909.09223; Perrault, R., Shoham, Y., Brynjolfsson, E., (2019) The AI Index 2019 Annual Report, , Stanford, CA, AI Index Steering Committee, Human-Centered AI Institute, Stanford University; Popescu, C., Golden, G., Benrimoh, D., Evaluating the clinical feasibility of an artificial intelligence-powered, web-based clinical decision support system for the treatment of depression in adults: Longitudinal feasibility study (2021) JMIR Formative Research, 5 (10). , https://doi.org/10.2196/31862; Rai, A., Explainable AI: From black box to glass box (2019) Journal of the Academy of Marketing Science, 48 (1), pp. 137-141. , https://doi.org/10.1007/s11747-019-00710-5; Reddy, S., Rogers, W., Makinen, V.P., Evaluation framework to guide implementation of AI systems into healthcare settings (2021) BMJ Health Care Inform, 28 (1). , https://doi.org/10.1136/bmjhci-2021-100444; Ryan, M., In AI we trust: Ethics, artificial intelligence, and reliability (2020) Science and Engineering Ethics, 26 (5), pp. 2749-2767. , https://doi.org/10.1007/s11948-020-00228-y; van de Sande, D., Van Genderen, M.E., Smit, J.M., Developing, implementing and governing artificial intelligence in medicine: A step-by-step approach to prevent an artificial intelligence winter (2022) BMJ Health &amp; Care Informatics, 29 (1). , https://doi.org/10.1136/bmjhci-2021-100495; Schwartz, J.M., Moy, A.J., Rossetti, S.C., Elhadad, N., Cato, K.D., Clinician involvement in research on machine learning-based predictive clinical decision support for the hospital setting: A scoping review (2021) Journal of the American Medical Informatics Association, 28 (3), pp. 653-663. , https://doi.org/10.1093/jamia/ocaa296; Seneviratne, M.G., Shah, N.H., Chu, L., Bridging the implementation gap of machine learning in healthcare (2020) BMJ Innovations, 6 (2), pp. 45-47. , https://doi.org/10.1136/bmjinnov-2019-000359; Taplin, J., (2017) Move Fast and Break Things: How Facebook, Google, and Amazon Have Cornered Culture and What it Means for all of us, , United Kingdom, Pan Macmillan; Verghese, A., Shah, N.H., Harrington, R.A., What this computer needs is a physician: Humanism and artificial intelligence (2018) Journal of the American Medical Association, 319 (1), pp. 19-20. , https://doi.org/10.1001/jama.2017.19198; Wade, V.A., Eliott, J.A., Hiller, J.E., Clinician acceptance is the key factor for sustainable telehealth services (2014) Qualitative Health Research, 24 (5), pp. 682-694. , https://doi.org/10.1177/1049732314528809; Walsh, S., de Jong, E.E.C., van Timmeren, J.E., Decision support Systems in Oncology (2019) JCO Clinical Cancer Informatics, 3 (3), pp. 1-9. , https://doi.org/10.1200/CCI.18.00001; Whittemore, R., Knafl, K., The integrative review: Updated methodology (2005) Journal of Advanced Nursing, 52 (5), pp. 546-553. , https://doi.org/10.1111/j.1365-2648.2005.03621.x; (2021) Ethics and governance of artificial intelligence for health: WHO guidance, , https://apps.who.int/iris/rest/bitstreams/1352854/retrieve, Available from URL, [Accessed 17th January 2022]</t>
  </si>
  <si>
    <t>14458330</t>
  </si>
  <si>
    <t>Int. J. Ment. Health Nurs.</t>
  </si>
  <si>
    <t>2-s2.0-85147269996</t>
  </si>
  <si>
    <t>Artificial intelligence (ai) and machine learning (ml) based decision support systems in mental health: an integrative review</t>
  </si>
  <si>
    <t>Christodoulou E., Iordanou K.</t>
  </si>
  <si>
    <t>57467583400;24829206800;</t>
  </si>
  <si>
    <t>Democracy Under Attack: Challenges of Addressing Ethical Issues of AI and Big Data for More Democratic Digital Media and Societies</t>
  </si>
  <si>
    <t>Frontiers in Political Science</t>
  </si>
  <si>
    <t>682945</t>
  </si>
  <si>
    <t>10.3389/fpos.2021.682945</t>
  </si>
  <si>
    <t>https://www.scopus.com/inward/record.uri?eid=2-s2.0-85125240047&amp;doi=10.3389%2ffpos.2021.682945&amp;partnerID=40&amp;md5=60c38ffbea16dd12a1d709044cce31dd</t>
  </si>
  <si>
    <t>School of Sciences, University of Central Lancashire, Larnaca, Cyprus</t>
  </si>
  <si>
    <t>Christodoulou, E., School of Sciences, University of Central Lancashire, Larnaca, Cyprus; Iordanou, K., School of Sciences, University of Central Lancashire, Larnaca, Cyprus</t>
  </si>
  <si>
    <t>The potency and potential of digital media to contribute to democracy has recently come under intense scrutiny. In the context of rising populism, extremism, digital surveillance and manipulation of data, there has been a shift towards more critical approaches to digital media including its producers and consumers. This shift, concomitant with calls for a path toward digital well-being, warrants a closer investigation into the study of the ethical issues arising from Artificial Intelligence (AI) and Big Data. The use of Big Data and AI in digital media are often incongruent with fundamental democratic principles and human rights. The dominant paradigm is one of covert exploitation, erosion of individual agency and autonomy, and a sheer lack of transparency and accountability, reminiscent of authoritarian dynamics rather than of a digital well-being with equal and active participation of informed citizens. Our paper contributes to the promising research landscape that seeks to address these ethical issues by providing an in-depth analysis of the challenges that stakeholders are faced with when attempts are made to mitigate the negative implications of Big Data and AI. Rich empirical evidence collected from six focus groups, across Europe, with key stakeholders in the area of shaping ethical dimensions of technology, provide useful insights into elucidating the multifaceted dilemmas, tensions and obstacles that stakeholders are confronted with when being tasked to address ethical issues of digital media, with a focus on AI and Big Data. Identifying, discussing and explicating these challenges is a crucial and necessary step if researchers and policymakers are to envisage and design ways and policies to overcome them. Our findings enrich the academic discourse and are useful for practitioners engaging in the pursuit of responsible innovation that protects the well-being of its users while defending the democratic foundations which are at stake. Copyright © 2021 Christodoulou and Iordanou.</t>
  </si>
  <si>
    <t>artificial intelligence; Big Data; democracy; digital media; digital well-being; ethics; GDPR; populism</t>
  </si>
  <si>
    <t>(2018) “World’s Largest Computing Association Affirms Obligation of Computing Professionals to Use Skills for Benefit of Society”, , https://www.acm.org/media-center/2018/july/acm-updates-code-of-ethics; Ali, M., Sapiezynski, P., Korolova, A., Mislove, A., Rieke, A., (2019) Ad Delivery Algorithms: The Hidden Arbiters of Political Messaging, , https://arxiv.org/abs/1912.04255, Cornell University; Amaro, S., (2021) Democracy Could Have Been Damaged Forever in the Last 4 years, EU Chief says.the Davos Agenda, , https://www.cnbc.com/2021/01/26/davos-democracy-might-be-damaged-forever-eu-von-der-leyen.html; Bauer, M.W., Gaskell, G., Towards a Paradigm for Research on Social Representations (1999) J. Theor. Soc. Behav, 29 (2), pp. 163-186; Bauer, M.W., Gregory, J., Bauer, M.W., Bucchi, M., From Journalism to Corporate Communication in post-war Britain (2007) Journalism, Science and Society: Science Communication Between News and Public Relations, pp. 33-51. , New York and London, Routledge, Editors; Bauer, M.W., Süerdem, A., Bauer, M.W., Süerdem, A., Pansegrau, P., Shukla, R., Four Cultures of Science across Europe (2019) The Cultural Authority of Science: Comparing across Europe, Asia, Africa and the Americas, pp. 301-318. , New York and London, Routledge, Ediors; Baytelman, A., Iordanou, K., Constantinou, C.P., Epistemic Beliefs and Prior Knowledge as Predictors of the Construction of Different Types of Arguments on Socioscientific Issues (2020) J. Res. Sci. Teach, 57 (8), pp. 1199-1227; (2021) Margaret Mitchell: Google Fires AI Ethics Founder, , https://www.bbc.com/news/technology-56135817, b; (2021) Twitter' permanently Suspends' Trump's Account, , https://www.bbc.com/news/world-us-canada-55597840, a; Boyatzis, R.E., (1998) Transforming Qualitative Information: Thematic Analysis and Code Development, , Thousand Oaks, Sage; Braun, V., Clarke, V., Using Thematic Analysis in Psychology (2006) Qual. Res. Psychol, 3 (2), pp. 77-101; Broussard, M., (2018) Artificial Unintelligence: How Computers Misunderstand the World, , Cambridge, MIT Press; Bryman, A., (2008) Social Research Methods, , 3rd edition, Oxford, Oxford University Press; Bucher, T., Want to Be on the Top? Algorithmic Power and the Threat of Invisibility on Facebook (2012) New Media Soc, 14, pp. 1164-1180; Burr, C., Floridi, L., The Ethics of Digital Well-Being: A Multidisciplinary Perspective (2020) Ethics of Digital Well-Being, A Multidisciplinary Approach, pp. 1-29. , Burr C., Floridi L., (eds), Cham, Philosophical Studies Series, Editors; Cacciatore, M.A., Yeo, S.K., Scheufele, D.A., Xenos, M.A., Brossard, D., Corley, E.A., Is Facebook Making Us Dumber? Exploring Social media Use as a Predictor of Political Knowledge (2018) Journalism Mass Commun. Q, 95 (2), pp. 404-424; Cave, S., (2019) To Save Us from a Kafkaesque Future, We Must Democratise AI, , https://www.theguardian.com/commentisfree/2019/jan/04/future-democratise-ai-artificial-intelligence-power, The Guardian; Charmaz, K., Grounded Theory (2004) The Sage Encyclopedia of Social Science Research Methods, , Lewis-Beck M.S., Bryman A., Liao T.F., (eds), Thousand Oaks, California, Sage, Editors; Costa, E., Halpern, D., (2019) The Behavioural Science of Online Harm and Manipulation, and what to Do about it, , https://www.bi.team/publications/the-behavioural-science-of-online-harm-and-manipulation-andwhat-to-do-about-it/, The Behavioural Insights Team; Danidou, Y., Trusted Computing Initiative on the Spectrum of EU Cyber-Security Legal Framework (2020) EU Internet Law in the Digital Era, , Synodinou T.E., Jougleux P., Markou C., Prastitou T., (eds), Cham, Springer, Editors; Diakopoulos, N., Algorithmic Accountability (2015) Digital Journalism, 3 (3), pp. 398-415; (2021) Shaping Europe’s Digital Future: Policy the Digital Services Act Package, , https://ec.europa.eu/digital-single-market/en/digital-services-act-package; Ferguson, C.J., Ceranoglu, T.A., Attention Problems and Pathological Gaming: Resolving the ‘Chicken and Egg' in a Prospective Analysis (2014) Psychiatr. Q, 85, pp. 103-110; Frank, R.H., (2021) The Economic Case for Regulating Social media, , New York Times, Economic View; Gibbs, S., (2018) EU: Data-Harvesting Tech Firms Are ‘sweatshops of Connected World, , https://www.theguardian.com/technology/2018/may/02/eu-tech-firms-privacy-emails-gdpr-data-protection-supervisor, The Guardian; Gillespie, T., (2018) Custodians of the Internet: Platforms, Content Moderation, and the Hidden Decisions that Shape Social Media, , New Haven, CT, Yale University Press; Goyanes, M., Borah, P., Gil de Zúñiga, H., Social Media Filtering and Democracy: Effects of Social Media News Use and Uncivil Political Discussions on Social Media Unfriending (2021) Computers in Human Behavior, 120, p. 106759; Hafen, E., Personal Data Cooperatives – A New Data Governance Framework for Data Donations and Precision Health (2019) The Ethics of Medical Data Donation. Philosophical Studies Series, Vol 137, pp. 141-149. , Krutzinna J., Floridi L., (eds), Cham, Springer, Editors; Hameleers, M., Powell, T.E., Van Der Meer, T.G.L.A., Bos, L., A Picture Paints a Thousand Lies? the Effects and Mechanisms of Multimodal Disinformation and Rebuttals Disseminated via Social media (2020) Polit. Commun, 37 (2), pp. 281-301; Hartmans, A., (2021) Bill Gates Says Trump Should Probably Be Allowed Back on Facebook, Despite His ‘corrosive' Statements about the Election, , https://www.businessinsider.com/bill-gates-trump-facebook-account-should-probably-be-reinstated-2021-2, Business Insider; Haynes, T., (2018) Dopamine, Smartphones &amp; You: A Battle for Your Time, , http://sitn.hms.harvard.edu/flash/2018/dopamine-smartphones-battle-time/, Harvard University SITN Boston; Helbing, D., Frey, B.S., Gigerenzer, G., Hafen, E., Hagner, M., Hofstetter, Y., Will Democracy Survive Big Data and Artificial Intelligence? (2019) Towards Digital Enlightenment, pp. 73-98. , Cham, Springer; Höttecke, D., Allchin, D., Reconceptualizing Nature‐of‐science Education in the Age of Social media (2020) Sci. Edu, 104 (4), pp. 641-666; Iordanou, K., Christodoulou, E., Antoniou, J., (2020) D 4.2 Evaluation Report, , De Montfort University; Iordanou, K., Kendeou, P., Zembylas, M., Examining My-Side Bias during and after reading Controversial Historical Accounts (2020) Metacognition Learn, 15 (3), pp. 319-342; Iordanou, K., Kuhn, D., Contemplating the Opposition: Does a Personal Touch Matter? (2020) Discourse Process, 57 (4), pp. 343-359; Iordanou, K., Muis, K.R., Kendeou, P., Epistemic Perspective and Online Epistemic Processing of Evidence: Developmental and Domain Differences (2019) J. Exp. Edu, 87 (4), pp. 531-551; Isaak, J., Hanna, M.J., User Data Privacy: Facebook, Cambridge Analytica, and Privacy Protection (2018) Computer, 51 (8), pp. 56-59; Jangid, H., Prabhu, A., Guhathakurta, D., Jain, J., Subramanian, M., Reddy, M., (2021) Capitol (Pat) Riots: A Comparative Study of Twitter and Parler. Computer Science, , https://arxiv.org/abs/2101.06914, arXiv preprint, [cs.CY]; Jobin, A., Ienca, M., Vayena, E., The Global Landscape of AI Ethics Guidelines (2019) Nat. Mach. Intell, 1, pp. 389-399; Kalampalikis, N., Bauer, M.W., Apostolidis, T., Science, Technology and Society: the Social Representations Approach (2013) Revue internationale de Psychol. sociale, 26 (3), pp. 5-9. , https://www.cairn.info/revue-internationale-de-psychologie-sociale-2013-3-page-5.html; Kaulartz, M., van Kranenburg–Hanspians, K., Sanders, S., (2019) The Tension between GDPR and the Rise of Blockchain Technologies' CMS Legal Services, , https://cms.law/en/int/publication/the-tension-between-gdpr-and-the-rise-of-blockchain-technologies; Lewis, S.C., Westlund, O., Big Data and Journalism (2015) Digital journalism, 3 (3), pp. 447-466; Loader, B.D., Vromen, A., Xenos, M.A., Performing for the Young Networked Citizen? Celebrity Politics, Social Networking and the Political Engagement of Young People (2016) Media, Cult. Soc, 38 (3), pp. 400-419; Loi, M., Dehaye, P.-O., Hafen, E., (2020) Critical Review of International Social and Political Philosophy, pp. 1-19. , Towards Rawlsian ‘property-Owning Democracy' through Personal Data Platform Cooperatives; Manavis, S., (2021) It Has Always Been Easy for Social media Firms to Pull the Plug on Extremism, , https://www.newstatesman.com/science-tech/social-media/2021/01/it-has-always-been-easy-pull-plug-extremism-trump-twitter-ban-parler, New Statesman; Moghaddam, F.M., (2019) Threat to Democracy: The Appeal of Authoritarianism in an Age of Uncertainty, , American Psychological Association; Müller, V.C., Ethics of Artificial Intelligence and Robotics (2020) The Stanford Encyclopedia of Philosophy (winter 2020 Edition), , https://plato.stanford.edu/archives/win2020/entries/ethics-ai/&gt;, Zalta E.N., (ed), :, Editor; Noble, S.U., (2018) Algorithms of Oppression: How Search Engines Reinforce Racism, , New York, New York University Press; O’Connor, C., Joffe, H., Intercoder Reliability in Qualitative Research: Debates and Practical Guidelines (2020) Int. J. Qual. Methods, 19. , 160940691989922; Oreskes, N., (2019) Why Trust Science?, , Princeton University Press; Orlowski, J., Rhodes, L., (2020) The Social Dilemma, , Documentary, Los Gatos, CA, Netflix Originals; Peters, C., (2021) Every Online Platform that Has Cracked Down on Trump, , https://www.vox.com/2021/1/10/22223356/every-platform-that-banned-trump-twitter-facebook-snapchat-twitch; Pierce, R., (2008) Research Methods in Politics: A Practical Guide, , London, SAGE Publications; Pols, A., Spahn, A., Design for the Values of Democracy and Justice (2015) Handbook of Ethics, Values and Technology Design, pp. 335-363. , Springer; Postill, J., Populism and Social media: a Global Perspective (2018) Media, Cult. Soc, 40 (5), pp. 754-765; Rodriguez, S., (2021) Facebook, Twitter Lock Trump’s Account Following Video Addressing Washington Rioters, , https://www.cnbc.com/2021/01/06/twitter-pledges-action-on-any-calls-for-violence-in-capitol-riot.html; Romm, T., (2020) U.S. States Sue Facebook as an Illegal Monopoly, Setting Stage for Potential Breakup, , https://www.washingtonpost.com/context/u-s-government-and-48-state-attorneys-general-files-lawsuit-against-facebook/5b97bd6f-8d7f-4ee2-b9ea-79a1fafc7661/?itid=lk_interstitial_manual_6, Washington Post, :, Accessed December 10, 2020; Roose, K., (2021) In Pulling Trump's Megaphone, Twitter Shows where Power Now Lies, , https://www.nytimes.com/2021/01/09/technology/trump-twitter-ban.html, The New York Times, Retrieved from; Ryan, M., Antoniou, J., Brooks, L., Jiya, T., Macnish, K., Stahl, B., Research and Practice of AI Ethics: A Case Study Approach Juxtaposing Academic Discourse with Organisational Reality (2021) Science and Engineering Ethics, 27. , (16; Sammut, G., Bauer, M.W., (2021) The Psychology of Social Influence: Modes and Modalities of Shifting Common Sense, , Cambridge University Press; Scheufele, D.A., Krause, N.M., Science Audiences, Misinformation, and Fake News (2019) Proc. Natl. Acad. Sci. USA, 116 (16), pp. 7662-7669; Schroeder, R., Digital media and the Rise of Right-wing Populism (2018) Social Theory after the Internet: Media, Technology, and Globalization, pp. 60-81. , London, UCL Press; Shaffer, K., Swimming Upstream (2019) Data versus Democracy, pp. 31-44. , Berkeley, CA, Apress; Shearer, E., (2021) More Than Eight-In-Ten Americans Get News from Digital Devices, , https://www.pewresearch.org/, Washington, Pew Research Center; Smolan, S., The Human Face of Big Data (2016) PBS Documentary, 24, p. 56; Stahl, B.C., Andreou, A., Brey, P., Hatzakis, T., Kirichenko, A., Macnish, K., Artificial Intelligence for Human Flourishing – beyond Principles for Machine Learning (2021) J. Business Res, 124, pp. 374-388; Stoller, M., Miller, S., (2021) Donald Trump Being Banned from Social media Is a Dangerous Distraction, , https://www.theguardian.com/commentisfree/2021/jan/11/trump-twitter-ban-capitol-attack-facebook-youtube-google, The Guardian; Talmud, I., Mesch, G., (2020) Wired Youth: The Online Social World of Adolescence, , 2nd Edition, London and New York, Routledge; Thiele, L.P., Politics of Technology-Specialty Grand Challenge (2020) Front. Polit. Sci, 2, p. 2; Van den Hoven, J., Vermaas, P.E., Van de Poel, I., Design for Values: An Introduction (2015) Handbook of Ethics, Values, and Technological Design: Sources, Theory, Values and Application Domains, pp. 1-7; Wachter, S., Mittelstadt, B., Floridi, L., Transparent, Explainable, and Accountable AI for Robotics (2017) Sci. Robot, 2 (6), p. eaan6080; White, D.E., Oelke, N.D., Friesen, S., Management of a Large Qualitative Data Set: Establishing Trustworthiness of the Data (2012) Int. J. Qual. Methods, 11, pp. 244-258; Woolley, S.C., Howard, P.N., Automation, Algorithms, and Politics| Political Communication, Computational Propaganda, and Autonomous Agents Introduction (2016) Int. J. Commun, 10, p. 9. , https://ijoc.org/index.php/ijoc/article/view/6298; Zuboff, S., (2019) The Age of Surveillance Capitalism: The Fight for Human Future at the New Frontier of Power, , London, Profile Books</t>
  </si>
  <si>
    <t>26733145</t>
  </si>
  <si>
    <t>Front. Political. Sci.</t>
  </si>
  <si>
    <t>2-s2.0-85125240047</t>
  </si>
  <si>
    <t>Democracy under attack: challenges of addressing ethical issues of ai and big data for more democratic digital media and societies</t>
  </si>
  <si>
    <t>Li J., Ma W., Zhang M., Wang P., Liu Y., Ma S.</t>
  </si>
  <si>
    <t>57217248501;57015922800;56368409100;57218556304;35327597400;57725366800;</t>
  </si>
  <si>
    <t>Know Yourself: Physical and Psychological Self-Awareness With Lifelog</t>
  </si>
  <si>
    <t>676824</t>
  </si>
  <si>
    <t>10.3389/fdgth.2021.676824</t>
  </si>
  <si>
    <t>https://www.scopus.com/inward/record.uri?eid=2-s2.0-85127428288&amp;doi=10.3389%2ffdgth.2021.676824&amp;partnerID=40&amp;md5=e2b8aad9025a58e68abe41414e1e3600</t>
  </si>
  <si>
    <t>Department of Computer Science and Technology, Institute for Artificial Intelligence, Beijing National Research Center for Information Science and Technology, Tsinghua University, Beijing, China</t>
  </si>
  <si>
    <t>Li, J., Department of Computer Science and Technology, Institute for Artificial Intelligence, Beijing National Research Center for Information Science and Technology, Tsinghua University, Beijing, China; Ma, W., Department of Computer Science and Technology, Institute for Artificial Intelligence, Beijing National Research Center for Information Science and Technology, Tsinghua University, Beijing, China; Zhang, M., Department of Computer Science and Technology, Institute for Artificial Intelligence, Beijing National Research Center for Information Science and Technology, Tsinghua University, Beijing, China; Wang, P., Department of Computer Science and Technology, Institute for Artificial Intelligence, Beijing National Research Center for Information Science and Technology, Tsinghua University, Beijing, China; Liu, Y., Department of Computer Science and Technology, Institute for Artificial Intelligence, Beijing National Research Center for Information Science and Technology, Tsinghua University, Beijing, China; Ma, S., Department of Computer Science and Technology, Institute for Artificial Intelligence, Beijing National Research Center for Information Science and Technology, Tsinghua University, Beijing, China</t>
  </si>
  <si>
    <t>Self-awareness is an essential concept in physiology and psychology. Accurate overall self-awareness benefits the development and well being of an individual. The previous research studies on self-awareness mainly collect and analyze data in the laboratory environment through questionnaires, user study, or field research study. However, these methods are usually not real-time and unavailable for daily life applications. Therefore, we propose a new direction of utilizing lifelog for self-awareness. Lifelog records about daily activities are used for analysis, prediction, and intervention on individual physical and psychological status, which can be automatically processed in real-time. With the help of lifelog, ordinary people are able to understand their condition more precisely, get effective personal advice about health, and even discover physical and mental abnormalities at an early stage. As the first step on using lifelog for self-awareness, we learn from the traditional machine learning problems, and summarize a schema on data collection, feature extraction, label tagging, and model learning in the lifelog scenario. The schema provides a flexible and privacy-protected method for lifelog applications. Following the schema, four topics were conducted: sleep quality prediction, personality detection, mood detection and prediction, and depression detection. Experiments on real datasets show encouraging results on these topics, revealing the significant relation between daily activity records and physical and psychological self-awareness. In the end, we discuss the experiment results and limitations in detail and propose an application, Lifelog Recorder, for multi-dimensional self-awareness lifelog data collection. © Copyright © 2021 Li, Ma, Zhang, Wang, Liu and Ma.</t>
  </si>
  <si>
    <t>data mining; depression; lifelog; machine laerning; mood; personality; sleep quality</t>
  </si>
  <si>
    <t>Duval, S., Wicklund, R.A., (1972) A Theory of Objective Self Awareness, , Academic Press; Rochat, P., Five levels of self-awareness as they unfold early in life (2003) Conscious Cogn, 12, pp. 717-731. , 14656513; Lou, H., Changeux, J.P., Rosenstand, A., Towards a cognitive neuroscience of self-awareness (2017) Neurosci Biobeh Rev, 83, pp. 765-773; Killian, K.D., Development and validation of the emotional Self-awareness questionnaire: a measure of emotional intelligence (2012) J Marital Family Ther, 38, pp. 502-514; Gurrin, C., Smeaton, A.F., Doherty, A.R., Lifelogging: personal big data (2014) Found Trends Inf Retrieval, 8, pp. 1-125; Bouchard, C., Blair, S.N., Haskell, W.L., Physical activity and health (2012) Hum Kinet, pp. 3-20; Gurrin, C., Le, T.K., Ninh, V.T., Dang-Nguyen, D.T., Jónsson, B., Lokoš, J., Introduction to the third annual lifelog search challenge (LSC'20) (2020) Proceedings of the 2020 International Conference on Multimedia Retrieval, pp. 584-585. , Dublin, In:, p; Silva, A., Pinho, S., Macedo, L., Moulin, C., Does SenseCam improve general cognitive performance (2013) Am J Prev Med, 44, pp. 302-307. , 23415129; Zhou, L., Hinbarji, Z., Dang-Nguyen, D.T., Gurrin, C., Lifer: an interactive lifelog retrieval system (2018) Proceedings of the 2018 ACM Workshop on The Lifelog Search Challenge, pp. 9-14. , Yokohama, In:, p; Li, J., Zhang, M., Ma, W., Liu, Y., Ma, S., A multi-level interactive lifelog search engine with user feedback (2020) Proceedings of the Third Annual Workshop on Lifelog Search Challenge, pp. 29-35. , Dublin, In:, p; Duane, A., Gurrin, C., Huerst, W., Virtual reality lifelog explorer: lifelog search challenge at ACM ICMR (2018) (2018) Proceedings of the 2018 ACM Workshop on the Lifelog Search Challenge, pp. 20-23. , Yokohama, In:, p; Bilal, H.S.M., Khan, W.A., Lee, S., Unhealthy dietary behavior based user life-log monitoring for wellness services (2017) International Conference on Smart Homes and Health Telematics, pp. 73-84. , Paris, Springer, In:, (, :, ) p; Kawamoto, K., Tanaka, T., Kuriyama, H., Your activity tracker knows when you quit smoking (2014) Proceedings of the 2014 ACM International Symposium on Wearable Computers, pp. 107-110. , Seattle, WA, In:, p; Nishiyama, Y., Okoshi, T., Yonezawa, T., Nakazawa, J., Takashio, K., Tokuda, H., Toward health exercise behavior change for teams using lifelog sharing models (2015) IEEE J Biomed Health Inf, 20, pp. 775-786; Kumar, G., Jerbi, H., Gurrin, C., O'Mahony, M.P., Towards activity recommendation from lifelogs (2014) Proceedings of the 16th International Conference on Information Integration and Web-Based Applications &amp; Services, pp. 87-96. , Hanoi, In:, (, ) p; Uno, A., Itoh, T., MALL: A life log based music recommendation system and portable music player (2014) Proceedings of the 29th Annual ACM Symposium on Applied Computing, pp. 939-944. , Gyeongju, In:, p; Nakamura, Y., Itou, T., Tezuka, H., Ishihara, T., Abe, M., Personalized TV-program recommendations based on life log (2010) 2010 Digest of Technical Papers International Conference on Consumer Electronics (ICCE), pp. 143-144. , Las Vegas, NV, IEEE, In:, :, p; Holzinger, A., Interactive machine learning for health informatics: when do we need the human-in-the-loop? (2016) Brain Inf, 3, pp. 119-131; Koelstra, S., Muhl, C., Soleymani, M., Lee, J.S., Yazdani, A., Ebrahimi, T., Deap: a database for emotion analysis; using physiological signals (2011) IEEE Trans Affect Comput, 3, pp. 18-31; Samara, A., Menezes, M.L.R., Galway, L., Feature extraction for emotion recognition and modelling using neurophysiological data (2016) 2016 15th International Conference on Ubiquitous Computing and Communications and 2016 International Symposium on Cyberspace and Security (IUCC-CSS), pp. 138-144. , Granada, IEEE, In:, :, p; Shin, D., Shin, D., Shin, D., Development of emotion recognition interface using complex EEG/ECG bio-signal for interactive contents (2017) Multimedia Tools Appl, 76, pp. 11449-11470; Tripathi, S., Acharya, S., Sharma, R.D., Mittal, S., Bhattacharya, S., Using deep and convolutional neural networks for accurate emotion classification on DEAP dataset (2017) Twenty-Ninth IAAI Conference, , San Francisco, CA, In; Ma, J., Tang, H., Zheng, W.L., Lu, B.L., Emotion recognition using multimodal residual LSTM network (2019) Proceedings of the 27th ACM International Conference on Multimedia, pp. 176-183. , Nice, In:, p; Lin, H., Jia, J., Qiu, J., Zhang, Y., Shen, G., Xie, L., Detecting stress based on social interactions in social networks (2017) IEEE Trans Knowl Data Eng, 29, pp. 1820-1833; Du, J., Zhang, Y., Luo, J., Jia, Y., Wei, Q., Tao, C., Extracting psychiatric stressors for suicide from social media using deep learning (2018) BMC Med Inf Decis Making, 18, pp. 77-87; Kołakowska, A., Szwoch, W., Szwoch, M., A review of emotion recognition methods based on data acquired via smartphone sensors (2020) Sensors, 20, p. 6367; Spathis, D., Servia-Rodriguez, S., Farrahi, K., Mascolo, C., Rentfrow, J., Sequence multi-task learning to forecast mental wellbeing from sparse self-reported data (2019) Proceedings of the 25th ACM SIGKDD International Conference on Knowledge Discovery &amp; Data Mining, pp. 2886-2894. , Anchorage, AK, In:, p; Lin, S., Wu, X., Martinez, G., Chawla, N.V., Filling missing values on wearable-sensory time series data (2020) Proceedings of the 2020 SIAM International Conference on Data Mining, pp. 46-54. , Cincinnati, OH, SIAM, In:, (, :, ) p; Horne, J., (1992) Why we Sleep, , Oxford: Oxford University Press; Sathyanarayana, A., Srivastava, J., Fernandez-Luque, L., The science of sweet dreams: predicting sleep efficiency from wearable device data (2017) Computer, 50, pp. 30-38; Fishman, E.I., Steeves, J.A., Zipunnikov, V., Koster, A., Berrigan, D., Harris, T.A., Association between objectively measured physical activity and mortality in NHANES (2016) Med Sci Sports Exerc, 48, p. 1303. , 26848889; Soleimaninejadian, P., Wang, Y., Tong, H., Feng, Z., Zhang, M., Liu, Y., THIR2 at the NTCIR-13 lifelog-2 task: bridging technology and psychology through the lifelog personality, mood and sleep quality (2017) Proceedings of the NTCIR-13 Conference, p. 20. , Tokyo, In:, p; Kato, M.P., Liu, Y., Overview of NTCIR-13 (2017) Proceedings of the NTCIR-13 Conference, , Tokyo, In; Goldberg, L.R., An alternative “description of personality”: the big-five factor structure (1990) J Pers Soc Psychol, 59, p. 1216. , 2283588; Wang, Y., Zhang, M., Soleimaninejadian, P., Tong, H., Feng, Z., Big five personality measurement based on lifelog (2017) Proceedings of the 2nd Workshop on Lifelogging Tools and Applications, pp. 25-28. , Mountain View, CA, In:, p; McCrae, R.R., Costa, P.T., Jr., A contemplated revision of the NEO Five-Factor Inventory (2004) Pers Individ Diff, 36, pp. 587-596; Soleimaninejadian, P., Zhang, M., Liu, Y., Ma, S., Mood detection and prediction based on user daily activities (2018) 2018 First Asian Conference on Affective Computing and Intelligent Interaction (ACII Asia), pp. 1-6. , Beijing, IEEE, In:, :, p; Poon, J.M., Mood: a review of its antecedents and consequences (2001) Int J Organ Theory Behav, 4, pp. 357-388; Roshanaei, M., Han, R., Mishra, S., Having fun? (2017) Prediction and Inference from Social Networks and Social Media, pp. 1-18. , Springer, : Personalized activity-based mood prediction social media. In:, p; Park, K., Lee, S., Kim, E., Park, M., Park, J., Cha, M., (2013) Mood and weather: Feeling the heat?, , In:, Cambridge, MA; Thayer, R.E., (1990) The Biopsychology of Mood and Arousal, , Oxford University Press; McClung, C.A., How might circadian rhythms control mood? Let me count the ways (2013) Biol Psychiatry, 74, pp. 242-249. , 23558300; Beck, A.T., Alford, B.A., (2009) Depression: Causes and Treatment, , University of Pennsylvania Press; Alghowinem, S., Goecke, R., Wagner, M., Parker, G., Breakspear, M., Eye movement analysis for depression detection (2013) 2013 IEEE International Conference on Image Processing, pp. 4220-4224. , Melbourne, VIC, IEEE, In:, :, p; Karp, D.A., Living with depression: Illness and identity turning points (1994) Qual Health Res, 4, pp. 6-30; Hirschfeld, R.M., Klerman, G.L., Clayton, P.J., Keller, M.B., Personality and depression: Empirical findings (1983) Arch Gen Psychiatry, 40, pp. 993-998. , 6615162</t>
  </si>
  <si>
    <t>2-s2.0-85127428288</t>
  </si>
  <si>
    <t>Know yourself: physical and psychological self-awareness with lifelog</t>
  </si>
  <si>
    <t>Oyebode O., Fowles J., Steeves D., Orji R.</t>
  </si>
  <si>
    <t>57205718069;13005301800;57207935948;36802416800;</t>
  </si>
  <si>
    <t>Machine Learning Techniques in Adaptive and Personalized Systems for Health and Wellness</t>
  </si>
  <si>
    <t>International Journal of Human-Computer Interaction</t>
  </si>
  <si>
    <t>1938</t>
  </si>
  <si>
    <t>1962</t>
  </si>
  <si>
    <t>10.1080/10447318.2022.2089085</t>
  </si>
  <si>
    <t>https://www.scopus.com/inward/record.uri?eid=2-s2.0-85135176260&amp;doi=10.1080%2f10447318.2022.2089085&amp;partnerID=40&amp;md5=8c77b121a55d5bc96f600b564b0275ee</t>
  </si>
  <si>
    <t>Faculty of Computer Science, Dalhousie University, Halifax, Canada; School of Kinesiology, Acadia University, Wolfville, Canada; School of Health and Human Performance, Dalhousie University, Halifax, Canada</t>
  </si>
  <si>
    <t>Oyebode, O., Faculty of Computer Science, Dalhousie University, Halifax, Canada; Fowles, J., School of Kinesiology, Acadia University, Wolfville, Canada; Steeves, D., School of Health and Human Performance, Dalhousie University, Halifax, Canada; Orji, R., Faculty of Computer Science, Dalhousie University, Halifax, Canada</t>
  </si>
  <si>
    <t>Traditional health systems mostly rely on rules created by experts to offer adaptive interventions to patients. However, with recent advances in artificial intelligence (AI) and machine learning (ML) techniques, health-related systems are becoming more sophisticated with higher accuracy in providing more personalized interventions or treatments to individual patients. In this paper, we present an extensive literature review to explore the current trends in ML-based adaptive systems for health and well-being. We conduct a systematic search for articles published between January 2011 and April 2022 and selected 87 articles that met our inclusion criteria for review. The selected articles target 18 health and wellness domains including disease management, assistive healthcare, medical diagnosis, mental health, physical activity, dietary management, health monitoring, substance use, smoking cessation, homeopathy remedy finding, patient privacy, mobile health (mHealth) apps finder, clinician knowledge representation for neonatal emergency care, dental and oral health, medication management, disease surveillance, medical specialty recommendation, and health awareness. Our review focuses on five key areas across the target domains: data collection strategies, model development process, ML techniques utilized, model evaluation techniques, as well as adaptive or personalization strategies for health and wellness interventions. We also identified various technical and methodological challenges including data volume constraints, data quality issues, data diversity or variability issues, infrastructure-related issues, and suitability of interventions which offer directions for future work in this area. Finally, we offer recommendations for tackling these challenges, leveraging on technological advances such as multimodality, Cloud technology, online learning, edge computing, automatic re-calibration, Bluetooth auto-reconnection, feedback pipeline, federated learning, explainable AI, and co-creation of health and wellness interventions. © 2022 Taylor &amp; Francis Group, LLC.</t>
  </si>
  <si>
    <t>Diagnosis; Engineering education; Machine learning; mHealth; Patient treatment; 'current; Artificial intelligence learning; Health and wellness; Health systems; High-accuracy; Literature reviews; Machine learning techniques; Machine-learning; Related systems; Well being; Knowledge representation</t>
  </si>
  <si>
    <t>Abd, D., Alwan, J.K., Ibrahim, M., Naeem, M.B., The utilisation of machine learning approaches for medical data classification and personal care system mangementfor sickle cell disease [Paper presentation] (2017) 2017 Annual Conference on New Trends in Information and Communications Technology Applications, NTICT 2017, pp. 213-218; Abdo, M.A., Abdel-Hamid, A.A., Elzouka, H.A., A cloud-based mobile healthcare monitoring framework with location privacy preservation [Paper presentation] (2020) 2020 International Conference on Innovation and Intelligence for Informatics, Computing and Technologies (3ICT), pp. 1-8; Afreen, N., Singh, S., Kumar, S., (2019), Individualized patient- centered type 2 diabetes recommender system. International Conference on Advances Computing and Data Sciences (ICACDS), (45–54). Springer; Akbulut, A., Ertugrul, E., Topcu, V., Fetal health status prediction based on maternal clinical history using machine learning techniques (2018) Computer Methods and Programs in Biomedicine, 163, pp. 87-100; Alfian, G., Syafrudin, M., Ijaz, M.F., Syaekhoni, M.A., Fitriyani, N.L., Rhee, J., A personalized healthcare monitoring system for diabetic patients by utilizing BLE-based sensors and real-time data processing (2018) Sensors, 18 (7), p. 2183; Alharthi, R., Alharthi, R., Guthier, B., El Saddik, A., CASP: Context-aware stress prediction system (2019) Multimedia Tools and Applications, 78 (7), pp. 9011-9031; Alloghani, M., Al-Jumeily, D., Mustafina, J., Hussain, A., Aljaaf, A.J., A systematic review on supervised and unsupervised machine learning algorithms for data science (2020) Supervised and unsupervised learning for data science, pp. 3-21. , Berry M.W., (ed), Springer, &amp;,. (Ed; https://developer.apple.com/machine-learning/core-ml/, Core ML overviewMachine learningApple developer,. Retrieved October 31, 2021, from; Arpaia, P., Crauso, F., de Benedetto, E., Duraccio, L., Improta, G., Serino, F., Soft transducer for patient’s vitals telemonitoring with deep learning-based personalized anomaly detection (2022) Sensors, 22 (2), p. 536; Asthana, S., Megahed, A., Strong, R., A recommendation system for proactive health monitoring using IoT and wearable technologies (2017) Proceedings - 2017 IEEE 6th International Conference on AI and Mobile Services, AIMS 2017, pp. 14-21. , Tata S. M.Z.H., (ed), Institute of Electrical and Electronics Engineers Inc, &amp;,. (Ed; Auffenberg, G.B., Ghani, K.R., Ramani, S., Usoro, E., Denton, B., Rogers, C., Stockton, B., Singh, K., askMUSIC: Leveraging a clinical registry to develop a new machine learning model to inform patients of prostate cancer treatments chosen by similar men (2019) European Urology, 75 (6), pp. 901-907; Aujla, G.S., Jindal, A., Chaudhary, R., Kumar, N., Vashist, S., Sharma, N., Obaidat, M.S., DLRS: Deep learning-based recommender system for smart healthcare ecosystem [Paper presentation] (2019) ICC 2019 - 2019 IEEE International Conference on Communications (ICC), pp. 1-6; Bae, S., Chung, T., Ferreira, D., Dey, A.K., Suffoletto, B., Mobile phone sensors and supervised machine learning to identify alcohol use events in young adults: Implications for just-in-time adaptive interventions (2018) Addictive Behaviors, 83 (SI), pp. 42-47; Barata, F., Kowatsch, T., Tinschert, P., Filler, A., Personal MobileCoach: Tailoring behavioral interventions to the needs of individual participants [Paper presentation] (2016) UbiComp 2016 Adjunct - Proceedings of the 2016 ACM International Joint Conference on Pervasive and Ubiquitous Computing, pp. 1089-1094; Barbosa, V.A.D.F., Gomes, J.C., de Santana, M.A., de Lima, C.L., Calado, R.B., Bertoldo Júnior, C.R., Albuquerque, J.E., dos Santos, W.P., Covid-19 rapid test by combining a Random Forest-based web system and blood tests (2021) Journal of Biomolecular Structure and Dynamics, pp. 1-20; Basu, D., Kashid, S., Pawar, S., Datta, D., An integrated detection and treatment recommendation framework for breast cancer using convolutional neural networks and TOPSIS [Paper presentation] (2020) 2020 IEEE 17th India Council International Conference, INDICON 2020, , December 10; Baumeister, H., Kraft, R., Baumel, A., Pryss, R., Messner, E.-M., Persuasive E-health design for behavior change (2019) Digital phenotyping and mobile sensing, pp. 261-276. , Springer, &amp;; Ben-Israel, D., Jacobs, W.B., Casha, S., Lang, S., Ryu, W.H.A., de Lotbiniere-Bassett, M., Cadotte, D.W., The impact of machine learning on patient care: A systematic review (2020) Artificial Intelligence in Medicine, 103, p. 101785; Bisong, E., (2019) Building machine learning and deep learning models on Google cloud platform: A comprehensive guide for beginners, , Apress; Breiman, L., Random forests (2001) Machine Learning, 45 (1), pp. 5-32; Buettner, R., Klenk, F., Ebert, M., A systematic literature review of machine learning-based disease profiling and personalized treatment [Paper presentation] (2020) Proceedings - 2020 IEEE 44th Annual Computers, Software, and Applications Conference, COMPSAC 2020, pp. 1673-1678; Burns, M.N., Begale, M., Duffecy, J., Gergle, D., Karr, C.J., Giangrande, E., Mohr, D.C., Harnessing context sensing to develop a mobile intervention for depression (2011) Journal of Medical Internet Research, 13 (3), p. e55; Chandrashekar, G., Sahin, F., A survey on feature selection methods (2014) Computers &amp; Electrical Engineering, 40 (1), pp. 16-28; Cheerla, N., Gevaert, O., MicroRNA based pan-cancer diagnosis and treatment recommendation (2017) BMC Bioinformatics, 18 (1), p. 32; Chen, M., Yang, J., Zhou, J., Hao, Y., Zhang, J., Youn, C.-H., 5G-smart diabetes: Toward personalized diabetes diagnosis with healthcare big data clouds (2018) IEEE Communications Magazine, 56 (4), pp. 16-23; Chen, T., Zhang, X., Jiang, H., Asaeikheybari, G., Goel, N., Hooper, M.W., Huang, M.-C., Are you smoking? Automatic alert system helping people keep away from cigarettes (2018) Smart Health, 9-10, pp. 158-169; Chiang, P., Dey, S., Offline and online learning techniques for personalized blood pressure prediction and health behavior recommendations (2019) IEEE Access, 7, pp. 130854-130864; Chiang, P.-H., Wong, M., Dey, S., Using wearables and machine learning to enable personalized lifestyle recommendations to improve blood pressure (2021) IEEE Journal of Translational Engineering in Health and Medicine, 9, p. 2700513; Chin, W.H., Nuo Wi Tay, N., Kubota, N., Loo, C.K., A lightweight neural-net with assistive mobile robot for human fall detection system [Paper presentation] (2020) Proceedings of the International Joint Conference on Neural Networks, pp. 1-6; Cho, G., Yim, J., Choi, Y., Ko, J., Lee, S.H., Review of machine learning algorithms for diagnosing mental illness (2019) Psychiatry Investigation, 16 (4), pp. 262-269; Copeland, M., Soh, J., Puca, A., Manning, M., Gollob, D., (2015) Microsoft azure, , Apress; Coutinho, E., Alshukri, A., de Berardinis, J., Dowrick, C., POLYHYMNIA mood-empowering people to cope with depression through music listening [Paper presentation] (2021) UbiComp/ISWC 2021 - Adjunct Proceedings of the 2021 ACM International Joint Conference on Pervasive and Ubiquitous Computing and Proceedings of the 2021 ACM International Symposium on Wearable Computers, pp. 188-193; da Silva, V.J., da Silva Souza, V., Guimarães da Cruz, R., Mesquita Vidal Martinez de Lucena, J., Jazdi, N., Ferreira de Lucena Junior, V., Commercial devices-based system designed to improve the treatment adherence of hypertensive patients (2019) Sensors, 19 (20), p. 4539; Delmastro, F., Martino, F.D., Dolciotti, C., Cognitive training and stress detection in MCI frail older people through wearable sensors and machine learning (2020) IEEE Access, 8, pp. 65573-65590; Dijkhuis, T.B., Blaauw, F.J., van Ittersum, M.W., Velthuijsen, H., Aiello, M., Personalized physical activity coaching: A machine learning approach (2018) Sensors, 18 (2), p. 623; D'mello, S.K., Kory, J., A review and meta-analysis of multimodal affect detection systems (2015) ACM Computing Surveys, 47 (3), pp. 1-36; Edara, D.C., Sistla, V., Kolli, V.K.K., Health app recommendation system using ensemble multimodel deep learning (2020) Journal of Engineering Science and Technology Review, 13 (5), pp. 7-19; El Barachi, M., Oroumchian, F., Rauf, R., Khan, U., Al Hassooni, B., Al Basosi, A., Kazia, S., EpiSense: Towards a smart solution for epileptic patients’ care [Paper presentation] (2019) 2019 4th International Conference on Smart and Sustainable Technologies (SpliTech), pp. 1-6; Elvitigala, D.S., Scholl, P.M., Suriyaarachchi, H., Dissanayake, V., Nanayakkara, S., StressShoe: A DIY toolkit for just-in-time personalised stress interventions for office workers performing sedentary tasks [Paper presentation] (2021) Proceedings of the 23rd International Conference on Mobile Human-Computer Interaction; Forman, E.M., Goldstein, S.P., Crochiere, R.J., Butryn, M.L., Juarascio, A.S., Zhang, F., Foster, G.D., Randomized controlled trial of OnTrack, a just-in-time adaptive intervention designed to enhance weight loss (2019) Translational Behavioral Medicine, 9 (6), pp. 989-1001; Forman, E.M., Goldstein, S.P., Zhang, F., Evans, B.C., Manasse, S.M., Butryn, M.L., Juarascio, A.S., Foster, G.D., OnTrack: Development and feasibility of a smartphone app designed to predict and prevent dietary lapses (2019) Translational Behavioral Medicine, 9 (2), pp. 236-245; Ganju, A., Satyan, S., Tanna, V., Menezes, S.R., AI for improving children’s health: A community case study (2021) Frontiers in Artificial Intelligence, 3, p. 544972; Ghandeharioun, A., McDuff, D., Czerwinski, M., Rowan, K., EMMA: An emotion-aware wellbeing chatbot [Paper presentation] (2019) 2019 8th International Conference on Affective Computing and Intelligent Interaction, ACII 2019, pp. 15-21; https://developers.google.com/ml-kit, a, ML Kit | Google developers,. Retrieved October 31, 2021, from; https://www.tensorflow.org/lite/, b, TensorFlow Lite | ML for mobile and edge devices,. Retrieved October 31, 2021, from; Gorbonos, E., Liu, Y., Hoang, C.T., NutRec: Nutrition oriented online recipe recommender [Paper presentation] (2018) 2018 IEEE/WIC/ACM International Conference on Web Intelligence (WI 2018) (pp, pp. 25-32; Gu, W., PhD forum abstract: Non-intrusive blood glucose monitor by multi-task deep learning [Paper presentation] (2017) Proceedings - 2017 16th ACM/IEEE International Conference on Information Processing in Sensor Networks, IPSN 2017, pp. 249-250; Gu, Y., Yang, M., Shi, Z., Wu, Z., The applications of decision-level data fusion techniques in the field of multiuser detection for DS-UWB systems (2015) Sensors, 15 (10), pp. 24771-24790; Gupta, A., Katarya, R., Social media based surveillance systems for healthcare using machine learning: A systematic review (2020) Journal of Biomedical Informatics, 108, p. 103500; Hassan, M.M., Gumaei, A., Aloi, G., Fortino, G., Zhou, M., A smartphone-enabled fall detection framework for elderly people in connected home healthcare (2019) IEEE Network., 33 (6), pp. 58-63; Hermens, H., Op den Akker, H., Tabak, M., Wijsman, J., Vollenbroek, M., Personalized coaching systems to support healthy behavior in people with chronic conditions (2014) Journal of Electromyography and Kinesiology, 24 (6), pp. 815-826; Holt, J.M., Cusatis, R., Asan, O., Williams, J., Nukuna, S., Flynn, K.E., Moore, J., Crotty, B.H., Incorporating patient-generated contextual data into care: Clinician perspectives using the consolidated framework for implementation science (2020) Healthcare, 8 (1), p. 100369; Hu, Y., Wen, G., Liao, H., Wang, C., Dai, D., Yu, Z., Automatic construction of chinese herbal prescriptions from tongue images using CNNs and auxiliary latent therapy topics (2021) IEEE Transactions on Cybernetics, 51 (2), pp. 708-721; Hung, C.Y., Lin, C.H., Chang, C.S., Li, J.L., Lee, C.C., Predicting gastrointestinal bleeding events from multimodal in-hospital electronic health records using deep fusion networks [Paper presentation] (2019) Proceedings of the Annual International Conference of the IEEE Engineering in Medicine and Biology Society, EMBS, pp. 2447-2450; https://www.ibm.com/cloud, IBM Cloud,. Retrieved October 31, 2021, from; Jamil, F., Kahng, H.K., Kim, S., Kim, D.-H., Towards secure fitness framework based on IoT-enabled blockchain network integrated with machine learning algorithms (2021) Sensors, 21 (5), p. 1640; Javed, A.R., Sarwar, M.U., Ur Rehman, S., Khan, H.U., Al-Otaibi, Y.D., Alnumay, W.S., PP-SPA: Privacy preserved smartphone-based personal assistant to improve routine life functioning of cognitive impaired individuals (2021) Neural Processing Letters, , 1–18; Jiang, F., Jiang, Y., Zhi, H., Dong, Y., Li, H., Ma, S., Wang, Y., Wang, Y., Artificial intelligence in healthcare: Past, present and future (2017) Stroke and Vascular Neurology, 2 (4), pp. 230-243; Jović, A., Brkić, K., Bogunović, N., A review of feature selection methods with applications [Paper presentation] (2015) 2015 38th International Convention on Information and Communication Technology, Electronics and Microelectronics, MIPRO 2015 - Proceedings, pp. 1200-1205; Kadri, N., Ellouze, A., Ksantini, M., Recommendation system for human physical activities using smartphones [Paper presentation] (2020) 2020 2nd International Conference on Computer and Information Sciences, ICCIS 2020; Kajiwara, Y., Kimura, H., Object identification and safe route recommendation based on human flow for the visually impaired (2019) Sensors, 19 (24), p. 5343; Kang, J.J., A military human performance management system design using machine learning algorithms [Paper presentation] (2021) 2021 31st International Telecommunication Networks and Applications Conference (ITNAC), pp. 13-18; Kariyawasam, R., Nadeeshani, M., Hamid, T., Subasinghe, I., Samarasinghe, P., Ratnayake, P., Pubudu: Deep learning based screening and intervention of dyslexia, dysgraphia and dyscalculia [Paper presentation] (2019) 2019 IEEE 14th International Conference on Industrial and Information Systems: Engineering for Innovations for Industry 4.0, ICIIS 2019 - Proceedings, pp. 476-481; Kesavan, R., Arumugam, S., Adaptive deep convolutional neural network-based secure integration of fog to cloud supported Internet of Things for health monitoring system (2020) Transactions on Emerging Telecommunications Technologies, 31 (10), p. e4104; Khalaf, M., Hussain, A.J., Al-Jumeily, D., Keenan, R., Keight, R., Fergus, P., Idowu, I.O., Applied difference techniques of machine learning algorithm and web-based management system for sickle cell disease [Paper presentation] (2016) Institute of Electrical and Electronics Engineers Inc, pp. 231-235; Khumrin, P., Ryan, A., Juddy, T., Verspoor, K., DrKnow: A diagnostic learning tool with feedback from automated clinical decision support (2018) AMIA Annual Symposium Proceedings. AMIA Symposium, 2018, pp. 1348-1357; Koren, G., Souroujon, D., Shaul, R., Bloch, A., Leventhal, A., Lockett, J., Shalev, V., “A patient like me”–An algorithm-based program to inform patients on the likely conditions people with symptoms like theirs have (2019) Medicine, 98 (42), p. e17596; Krishnan, S.P.T., Gonzalez, J.L.U., (2015) Building your next big thing with Google Cloud Platform, , Apress; Lahat, D., Adali, T., Jutten, C., Multimodal data fusion: An overview of methods, challenges, and prospects (2015) Proceedings of the IEEE, 103 (9), pp. 1449-1477; Le Glaz, A., Haralambous, Y., Kim-Dufor, D.H., Lenca, P., Billot, R., Ryan, T.C., Marsh, J., Lemey, C., Machine learning and natural language processing in mental health: Systematic review (2021) Journal of Medical Internet Research, 23 (5), p. e15708; Lee, H., Kang, J., Yeo, J., Medical specialty recommendations by an artificial intelligence chatbot on a smartphone: Development and deployment (2021) Journal of Medical Internet Research, 23 (5), p. e27460; Li, T., Sahu, A.K., Talwalkar, A., Smith, V., Federated learning: Challenges, methods, and future directions (2020) IEEE Signal Processing Magazine, 37 (3), pp. 50-60; Li, Z., Das, S., Codella, J., Hao, T., Lin, K., Maduri, C., Chen, C.-H., An adaptive, data-driven personalized advisor for increasing physical activity (2019) IEEE Journal of Biomedical and Health Informatics, 23 (3), pp. 999-1010; Liang, Z., Zhang, G., Huang, J.X., Hu, Q.V., Deep learning for healthcare decision making with EMRs [Paper presentation] (2014) Proceedings - 2014 IEEE International Conference on Bioinformatics and Biomedicine, IEEE BIBM 2014, pp. 556-559; Liao, W.X., He, P., Hao, J., Wang, X.Y., Yang, R.L., An, D., Cui, L.G., Automatic identification of breast ultrasound image based on supervised block-based region segmentation algorithm and features combination migration deep learning model (2020) IEEE Journal of Biomedical and Health Informatics, 24 (4), pp. 984-993; Liu, B., Supervised learning (2011) Web data mining, pp. 63-132. , Springer; Loftus, T.J., Filiberto, A.C., Li, Y., Balch, J., Cook, A.C., Tighe, P.J., Efron, P.A., Bihorac, A., Decision analysis and reinforcement learning in surgical decision-making (2020) Surgery, 168 (2), pp. 253-266; Lopez-Guede, J.M., Moreno-Fernandez-De-Leceta, A., Martinez-Garcia, A., Graña, M., Lynx: Automatic elderly behavior prediction in home telecare (2015) BioMed Research International, 2015, p. 201939; Loram, I., Siddique, A., Sanchez, M.B., Harding, P., Silverdale, M., Kobylecki, C., Cunningham, R., Objective analysis of neck muscle boundaries for cervical dystonia using ultrasound imaging and deep learning (2020) IEEE Journal of Biomedical and Health Informatics, 24 (4), pp. 1016-1027; Luštrek, M., Bohanec, M., Cavero Barca, C., Ciancarelli, M.C., Clays, E., Dawodu, A.A., Derboven, J., Vodopija, A., A personal health system for self-management of congestive heart failure (HeartMan): Development, technical evaluation, and proof-of-concept randomized controlled trial (2021) JMIR Medical Informatics, 9 (3), p. e24501; Mahyari, A., Pirolli, P., Physical exercise recommendation and success prediction using interconnected recurrent neural networks [Paper presentation] (2021) 2021 IEEE International Conference on Digital Health (ICDH), pp. 148-153; Martín, P., Sánchez, M., Álvarez, L., Alonso, V., Bajo, J., Multi-agent system for detecting elderly people falls through mobile devices (2011) Advances in Intelligent and Soft Computing, 92, pp. 93-99; Martin-Isla, C., Campello, V.M., Izquierdo, C., Raisi-Estabragh, Z., Baeßler, B., Petersen, S.E., Lekadir, K., Image-based cardiac diagnosis with machine learning: A review (2020) Frontiers in Cardiovascular Medicine, 7 (1), p. 1; Miotto, R., Wang, F., Wang, S., Jiang, X., Dudley, J.T., Deep learning for healthcare: Review, opportunities and challenges (2018) Briefings in Bioinformatics, 19 (6), pp. 1236-1246; Mishra, V., Künzler, F., Kramer, J.-N., Fleisch, E., Kowatsch, T., Kotz, D., Detecting receptivity for mHealth interventions in the natural environment (2021) Proceedings of the ACM on Interactive, Mobile, Wearable and Ubiquitous Technologies, 5 (2), pp. 1-24; Mlodzinski, E., Stone, D.J., Celi, L.A., Machine learning for pulmonary and critical care medicine: A narrative review (2020) Pulmonary Therapy, 6 (1), pp. 67-77; Moher, D., Liberati, A., Tetzlaff, J., Altman, D.G., Preferred reporting items for systematic reviews and meta-analyses: The PRISMA statement (2009) PLoS Medicine, 6 (7), p. e1000097; Mrozek, D., Koczur, A., Małysiak-Mrozek, B., Fall detection in older adults with mobile IoT devices and machine learning in the cloud and on the edge (2020) Information Sciences, 537, pp. 132-147; Murnane, E.L., Huffaker, D., Kossinets, G., Mobile health apps: Adoption, adherence, and abandonment [Paper presentation] (2015) UbiComp and ISWC 2015 - Proceedings of the 2015 ACM International Joint Conference on Pervasive and Ubiquitous Computing and the Proceedings of the 2015 ACM International Symposium on Wearable Computers, pp. 261-264; https://pubmed.ncbi.nlm.nih.gov/, PubMed., Retrieved October 31, 2021, from; Neloy, A.A., Alam, S., Bindu, R.A., Moni, N.J., Machine learning based health prediction system using IBM cloud as PaaS [Paper presentation] (2019) Proceedings of the International Conference on Trends in Electronics and Informatics, ICOEI 2019, pp. 444-450; Nosakhare, E., Picard, R., Toward assessing and recommending combinations of behaviors for improving health and well-being (2020) ACM Transactions on Computing for Healthcare, 1 (1), pp. 1-29; Paredes, P., Gilad-Bachrach, R., Czerwinski, M., Roseway, A., Rowan, K., Hernandez, J., PopTherapy: Coping with stress through pop-culture [Paper presentation] (2014) Proceedings - PERVASIVEHEALTH 2014: 8th International Conference on Pervasive Computing Technologies for Healthcare, pp. 109-117; Pathinarupothi, R.K., Durga, P., Rangan, E.S., Data to diagnosis in global health: A 3P approach (2018) BMC Medical Informatics and Decision Making, 18 (1), p. 78; Pelle, T., Bevers, K., van der Palen, J., van den Hoogen, F.H.J., van den Ende, C.H.M., Development and evaluation of a tailored e-self-management intervention (dr. Bart app) for knee and/or hip osteoarthritis: Study protocol (2019) BMC Musculoskeletal Disorders, 20 (1), p. 398; Popp, C.J., St-Jules, D.E., Hu, L., Ganguzza, L., Illiano, P., Curran, M., Li, H., Sevick, M.A., The rationale and design of the personal diet study, a randomized clinical trial evaluating a personalized approach to weight loss in individuals with pre-diabetes and early-stage type 2 diabetes (2019) Contemporary Clinical Trials, 79, pp. 80-88; Prabhu, G., Kuklyte, J., Gualano, L., Venkataraman, K., Ahmadi, A., Duff, O., Walsh, D., Moran, K., (2018) Design and development of the medFit app: A mobile application for cardiovascular disease rehabilitation, , International Conference on Wireless Mobile Communication and Healthcare (MobiHealth), (20–28). Springer; Priyadarshi, A., Saha, S.K., Web information extraction for finding remedy based on a patient-authored text: A study on homeopathy (2020) Network Modeling Analysis in Health Informatics and Bioinformatics, 9 (1), p. 9; Qian, K., Janott, C., Schmitt, M., Zhang, Z., Heiser, C., Hemmert, W., Yamamoto, Y., Schuller, B.W., Can machine learning assist locating the excitation of snore sound? A review (2021) IEEE Journal of Biomedical and Health Informatics, 25 (4), pp. 1233-1246; Rabbi, M., Aung, M.H., Zhang, M., Choudhury, T., MyBehavior: Automatic personalized health feedback from user behaviors and preferences using smartphones [Paper presentation] (2015) UbiComp 2015 - Proceedings of the 2015 ACM International Joint Conference on Pervasive and Ubiquitous Computing, pp. 707-718); Rachakonda, L., Mohanty, S.P., Kougianos, E., ILog: An intelligent device for automatic food intake monitoring and stress detection in the IoMT (2020) IEEE Transactions on Consumer Electronics, 66 (2), pp. 115-124; Rai, A., Explainable AI: From black box to glass box (2020) Journal of the Academy of Marketing Science, 48 (1), pp. 137-141; Rajasekaran, S., Kousalya, G., Virtual nursing using deep belief networks for elderly people (DBN-EP) (2022) Computer Systems Science and Engineering, 42 (3), pp. 985-1000; Rasley, J., Rajbhandari, S., Ruwase, O., He, Y., DeepSpeed: System optimizations enable training deep learning models with over 100 billion parameters [Paper presentation] (2020) Proceedings of the ACM SIGKDD International Conference on Knowledge Discovery and Data Mining, pp. 3505-3506; Rieke, N., Hancox, J., Li, W., Milletarì, F., Roth, H.R., Albarqouni, S., Bakas, S., Cardoso, M.J., The future of digital health with federated learning (2020) NPJ Digital Medicine, 3 (1), pp. 1-7; Salemink, K., Strijker, D., Bosworth, G., Rural development in the digital age: A systematic literature review on unequal ICT availability, adoption, and use in rural areas (2017) Journal of Rural Studies, 54, pp. 360-371; Sansrimahachai, W., Personalized walking exercise support system for elderly based on machine learning [Paper presentation] (2020) JCSSE 2020 - 17th International Joint Conference on Computer Science and Software Engineering, pp. 6-11; Sansrimahachai, W., Personalized walking exercise support system for elderly based on machine learning [Paper presentation] (2020) JCSSE 2020 - 17th International Joint Conference on Computer Science and Software Engineering, pp. 6-11; Sarwar, M.U., Javed, A.R., Collaborative health care plan through crowdsource data using ambient application [Paper presentation] (2019) Proceedings - 22nd International Multitopic Conference, INMIC 2019; Scherzer, C.R., Ranney, M.L., Jain, S., Bommaraju, S.P., Patena, J., Langdon, K., Nimaja, E., Beaudoin, F.L., Mobile peer-support for opioid use disorders: Refinement of an innovative machine learning tool (2020) Journal of Psychiatry and Brain Science, 5 (1), p. e200001; Shatte, A.B.R., Hutchinson, D.M., Teague, S.J., Machine learning in mental health: A scoping review of methods and applications (2019) Psychological Medicine, 49 (9), pp. 1426-1448; Shi, J., Zheng, X., Li, Y., Zhang, Q., Ying, S., Multimodal neuroimaging feature learning with multimodal stacked deep polynomial networks for diagnosis of Alzheimer's disease (2018) IEEE Journal of Biomedical and Health Informatics, 22 (1), pp. 173-183; Shin, D., The effects of explainability and causability on perception, trust, and acceptance: Implications for explainable AI (2021) International Journal of Human-Computer Studies, 146, p. 102551; Sookrah, R., Dhowtal, J.D., Nagowah, S.D., A DASH diet recommendation system for hypertensive patients using machine learning [Paper presentation] (2019) 2019 7th International Conference on Information and Communication Technology, ICoICT 2019, pp. 1-6; Sowah, R.A., Bampoe-Addo, A.A., Armoo, S.K., Saalia, F.K., Gatsi, F., Sarkodie-Mensah, B., Design and development of diabetes management system using machine learning (2020) International Journal of Telemedicine and Applications, 2020, p. 8870141; Spanakis, G., Weiss, G., Boh, B., Lemmens, L., Roefs, A., Machine learning techniques in eating behavior e-coaching: Balancing between generalization and personalization (2017) Personal and Ubiquitous Computing, 21 (4), pp. 645-659; Stafford, I.S., Kellermann, M., Mossotto, E., Beattie, R.M., MacArthur, B.D., Ennis, S., A systematic review of the applications of artificial intelligence and machine learning in autoimmune diseases (2020) NPJ Digital Medicine, 3 (1), pp. 1-11; Stamate, C., Magoulas, G.D., Kueppers, S., Nomikou, E., Daskalopoulos, I., Jha, A., Pons, J.S., Roussos, G., The cloudUPDRS app: A medical device for the clinical assessment of Parkinson’s disease (2018) Pervasive and Mobile Computing, 43, pp. 146-166; Stamate, C., Magoulas, G.D., Kueppers, S., Nomikou, E., Daskalopoulos, I., Luchini, M.U., Moussouri, T., Roussos, G., Deep learning Parkinson’s from smartphone data [Paper presentation] (2017) 2017 IEEE International Conference on Pervasive Computing and Communications, PerCom 2017, pp. 31-40; Stark, B., Samarah, M., Mac7: Adaptive Smart Toothbrush [Paper presentation] (2019) Institute of Electrical and Electronics Engineers Inc, pp. 153-158; Suh, M., Nahapetian, A., Woodbridge, J., Rofouei, M., Sarrafzadeh, M., Machine learning-based adaptive wireless interval training guidance system (2012) Mobile Networks and Applications, 17 (2), pp. 163-177; Sutton, R.S., Barto, A.G., (2018) Reinforcement learning: An introduction, , 2nd ed., MIT Press; Szegedy, C., Liu, W., Jia, Y., Sermanet, P., Reed, S., Anguelov, D., Erhan, D., Rabinovich, A., Going deeper with convolutions [Paper presentation] (2014) Proceedings of the IEEE Computer Society Conference on Computer Vision and Pattern Recognition, 07-12-June-2015, pp. 1-9; Thieme, A., Belgrave, D., Doherty, G., Machine learning in mental health: A systematic review of the HCI literature to support the development of effective and implementable ML systems (2020) ACM Transactions on Computer-Human Interaction, 27 (5), pp. 1-53; Thomsen, K., Iversen, L., Titlestad, T.L., Winther, O., Systematic review of machine learning for diagnosis and prognosis in dermatology (2020) Journal of Dermatological Treatment, 31 (5), pp. 496-510; Thyde, D.N., Mohebbi, A., Bengtsson, H., Jensen, M.L., Mørup, M., Machine learning-based adherence detection of type 2 diabetes patients on once-daily basal insulin injections (2021) Journal of Diabetes Science and Technology, 15 (1), pp. 98-108; Tolkachev, A., Sirazitdinov, I., Kholiavchenko, M., Mustafaev, T., Ibragimov, B., Deep learning for diagnosis and segmentation of pneumothorax: The results on the Kaggle competition and validation against radiologists (2021) IEEE Journal of Biomedical and Health Informatics, 25 (5), pp. 1660-1672; Triantafyllidis, A.K., Tsanas, A., Applications of machine learning in real-life digital health interventions: Review of the literature (2019) Journal of Medical Internet Research, 21 (4), p. e12286; Tuti, T., Paton, C., Winters, N., Learning to represent healthcare providers knowledge of neonatal emergency care: Findings from a smartphone-based learning intervention targeting clinicians from LMICs [Paper presentation] (2020) ACM International Conference Proceeding Series, pp. 320-329; Van Woensel, W., Roy, P.C., Abidi, S.S.R., Abidi, S.R., Indoor location identification of patients for directing virtual care: An AI approach using machine learning and knowledge-based methods (2020) Artificial Intelligence in Medicine, 108, p. 101931; Venne, J., Busshoff, U., Poschadel, S., Menschel, R., Evangelatos, N., Vysyaraju, K., Brand, A., International consortium for personalized medicine: An international survey about the future of personalized medicine (2020) Personalized Medicine, 17 (2), pp. 89-100; Vicente, A.M., Ballensiefen, W., Jönsson, J.I., How personalised medicine will transform healthcare by 2030: The ICPerMed vision (2020) Journal of Translational Medicine, 18 (1), p. 180; Visalakshi, S., Radha, V., A literature review of feature selection techniques and applications: Review of feature selection in data mining [Paper presentation] (2015) 2014 IEEE International Conference on Computational Intelligence and Computing Research, IEEE ICCIC 2014; Wahle, F., Kowatsch, T., Fleisch, E., Rufer, M., Weidt, S., Mobile sensing and support for people with depression: A pilot trial in the wild (2016) JMIR mHealth and uHealth, 4 (3), p. e111; Wang, L., Fan, R., Zhang, C., Hong, L., Zhang, T., Chen, Y., Liu, K., Zhong, J., Applying machine learning models to predict medication nonadherence in Crohn’s disease maintenance therapy (2020) Patient Preference and Adherence, 14, pp. 917-926; Wang, S., Sporrel, K., van Hoof, H., Simons, M., de Boer, R.D.D., Ettema, D., Nibbeling, N., Kröse, B., Reinforcement learning to send reminders at right moments in smartphone exercise application: A feasibility study (2021) International Journal of Environmental Research and Public Health, 18 (11), p. 6059; Waring, J., Lindvall, C., Umeton, R., Automated machine learning: Review of the state-of-the-art and opportunities for healthcare (2020) Artificial Intelligence in Medicine, 104, p. 101822; Wittig, M., Wittig, A., (2018) Amazon web services in action, , 2nd ed., Simon and Schuster; Xu, P., Chen, D., Liu, X., Loo, J., Image-based dietary assessment system for chinese children [Paper presentation] (2019) Institute of Electrical and Electronics Engineers Inc, pp. 5471-5473; Yang, J., Xiao, W., Lu, H., Barnawi, A., Wireless high-frequency NLOS monitoring system for heart disease combined with hospital and home (2020) Future Generation Computer Systems, 110, pp. 772-780; Yang, W., Chuah, M.C., Du, L., M&amp;M: Deep learning aided multi-facet mental health support tool for college students [Paper presentation] (2020) Proceedings of Deep Learning for Wellbeing Applications Leveraging Mobile Devices and Edge Computing, pp. 10-15; Yates, D., Islam, M.Z., (2019) Readiness of smartphones for data collection and data mining with an example application in mental health, , Australasian Conference on Data Mining (AusDM), (235–246). Springer; Ying, Z., Cao, S., Xu, S., Liu, X., Lyu, L., Chen, C., Wang, L., (2021) Privacy-preserving optimal insulin dosing decision, pp. 2640-2644. , ICASSP 2021 - 2021 IEEE International Conference on Acoustics, Speech and Signal Processing (ICASSP), 2021; Zeevi, D., Korem, T., Zmora, N., Israeli, D., Rothschild, D., Weinberger, A., Ben-Yacov, O., Segal, E., Personalized nutrition by prediction of glycemic responses (2015) Cell, 163 (5), pp. 1079-1094. , …; Zeng, J., Developing a machine learning tool for dynamic cancer treatment strategies (2020) Proceedings of the AAAI Conference on Artificial Intelligence, 34 (10), pp. 13742-13743; Zhan</t>
  </si>
  <si>
    <t>10447318</t>
  </si>
  <si>
    <t>Int. J. Hum.-Comput. Interact.</t>
  </si>
  <si>
    <t>2-s2.0-85135176260</t>
  </si>
  <si>
    <t>Machine learning techniques in adaptive and personalized systems for health and wellness</t>
  </si>
  <si>
    <t>Kazemzadeh A., Gibson J., Georgiou P., Lee S., Narayanan S.</t>
  </si>
  <si>
    <t>8280935800;7403389021;7003719827;57203597090;57203260136;</t>
  </si>
  <si>
    <t>A Socratic epistemology for verbal emotional intelligence</t>
  </si>
  <si>
    <t>PeerJ Computer Science</t>
  </si>
  <si>
    <t>2016</t>
  </si>
  <si>
    <t>e40</t>
  </si>
  <si>
    <t>10.7717/peerj-cs.40</t>
  </si>
  <si>
    <t>https://www.scopus.com/inward/record.uri?eid=2-s2.0-85030104783&amp;doi=10.7717%2fpeerj-cs.40&amp;partnerID=40&amp;md5=6eb316ffa3e44c6c63fd2139c8be5783</t>
  </si>
  <si>
    <t>Signal Analysis and Interpretation Laboratory, University of Southern California, Los Angeles, CA, United States</t>
  </si>
  <si>
    <t>Kazemzadeh, A., Signal Analysis and Interpretation Laboratory, University of Southern California, Los Angeles, CA, United States; Gibson, J., Signal Analysis and Interpretation Laboratory, University of Southern California, Los Angeles, CA, United States; Georgiou, P., Signal Analysis and Interpretation Laboratory, University of Southern California, Los Angeles, CA, United States; Lee, S., Signal Analysis and Interpretation Laboratory, University of Southern California, Los Angeles, CA, United States; Narayanan, S., Signal Analysis and Interpretation Laboratory, University of Southern California, Los Angeles, CA, United States</t>
  </si>
  <si>
    <t>We describe and experimentally validate a question-asking framework for machinelearned linguistic knowledge about human emotions. Using the Socratic method as a theoretical inspiration, we develop an experimental method and computational model for computers to learn subjective information about emotions by playing emotion twenty questions (EMO20Q), a game of twenty questions limited to words denoting emotions. Using human-human EMO20Q data we bootstrap a sequential Bayesian model that drives a generalized pushdown automaton-based dialog agent that further learns from 300 human-computer dialogs collected on Amazon Mechanical Turk. The human-human EMO20Q dialogs show the capability of humans to use a large, rich, subjective vocabulary of emotion words. Training on successive batches of human-computer EMO20Q dialogs shows that the automated agent is able to learn fromsubsequent human-computer interactions. Our results show that the training procedure enables the agent to learn a large set of emotion words. The fully trained agent successfully completes EMO20Q at 67% of human performance and 30% better than the bootstrapped agent. Even when the agent fails to guess the human opponent's emotion word in the EMO20Q game, the agent's behavior of searching for knowledge makes it appear human-like, which enables the agent to maintain user engagement and learn new, out-of-vocabulary words. These results lead us to conclude that the question-asking methodology and its implementation as a sequential Bayes pushdown automaton are a successful model for the cognitive abilities involved in learning, retrieving, and using emotion words by an automated agent in a dialog setting. © 2016 Kazemzadeh et al.</t>
  </si>
  <si>
    <t>Affective computing; Artificial intelligence; Cognitive science; Dialog agents; Dialog systems; Emotions; Games; Natural language processing; Question-asking; Sequential Bayesian</t>
  </si>
  <si>
    <t>Artificial intelligence; Bayesian networks; Cognitive systems; Computer games; Digital storage; Mechanical drives; Natural language processing systems; Affective Computing; Bayesian; Cognitive science; Dialog agents; Dialog systems; Emotions; Games; Question-asking; Human computer interaction</t>
  </si>
  <si>
    <t>Allauzen, C., Riley, M., A pushdown transducer extension for the openfst library (2012) Proceedings of the conference on implementation and application of automata.; Baddeley, A.D., The episodic buffer: a new component of working memory? (2000) Trends in Cognitive Science, 4 (11), pp. 417-423; Barrett, L.F., Are emotions natural kinds? (2006) Perspectives on Psychological Science, 1 (1), pp. 28-58; Burkhardt, F., Becker-Asano, C., Begoli, E., Cowie, R., Fobe, G., Gebhard, P., Kazemzadeh, A., Llewellyn, T., Application of emotionML (2014) Emotion, social signals, sentiment, and linked open data (ES3LOD) 2014, pp. 1-5. , Reykjavik: European Language Resources Association; Busso, C., Bulut, M., Lee, C.-C., Kazemzadeh, A., Mower, E., Kim, S., Chang, J., Narayanan, S., IEMOCAP: interactive emotional dyadic motion capture database Journal of Language Resources and Evaluation, 42 (4), pp. 335-359; Carofiglio, V., De Rosis, F., Novielli, N., Cognitive emotion modeling in natural language communication (2009) Affective information processing. London: Springer, pp. 23-44. , Tao J, Tan T, eds; Eco, U., Sebeok, T.A., The sign of three: Dupin, Holmes, Peirce. (1988) Advances in semiotics, , Bloomington: Indiana University Press; Frazier, B.N., Gelman, S.A., Wellman, H.M., Preschoolers' search for explanatory information within adult-child conversation (2009) Child Development, 80 (6), pp. 1592-1611; Griffiths, T.L., Kemp, C., Tenenbaum, J.B., (2008) The Cambridge handbook of computational psychology, pp. 99-101. , Cambridge: Cambridge University Press; Hintikka, J., (2007) Socratic epistemology: explorations of knowledge-seeking by questioning, , Cambridge: Cambridge University Press; Hockett, C.F., Altmann, S., Animal communication: Techniques of study and results of research (1968), pp. 61-72. , Bloomington: Indiana University Press; Howe, J., The rise of crowdsourcing (2006) Wired Magazine, 14 (6); Kamvar, S., Harris, J., (2009) We feel fine: an almanac of human emotion, , New York: Scribner; Kazemzadeh, A., (2013) Natural language description of emotion, , PhD thesis, University of Southern California; Kazemzadeh, A., Georgiou, P.G., Lee, S., Narayanan, S., (2011) Emotion twenty questions: toward a crowd-sourced theory of emotions, , In: Proceedings of ACII'11; Kazemzadeh, A., Gibson, J., Li, J., Lee, S., Georgiou, P.G., Narayanan, S., (2012) A sequential Bayesian agent for computational ethnography, , In: Proceedings of interspeech; King, B., (1989) The conceptual structure of emotional experience in Chinese, , PhD thesis, Ohio State University; Kovecses, Z., (2000) Metaphor and emotion: language, culture, and body in human feeling, , Cambridge: Cambridge University Press; Mihalcea, R., Liu, H., A corpus-based approach to finding happiness (2006) AAAI spring symposium on computational approaches to weblogs, , http://www.cse.unt.edu/~rada/papers/mihalcea.aaaiss06.pdf; Mower, E., Metallinou, A., Lee, C.-C., Kazemzadeh, A., Busso, C., Lee, S., Narayanan, S., Interpreting ambiguous emotional expressions. In: ACII special session: recognition of non-prototypical emotion from speech-the final frontier (2009) Amsterdam: IEEE, pp. 1-8; Peirce, C.S., Some consequences of four incapacities (1868) Journal of Speculative Philosophy, 2, pp. 140-157. , http://www.iupui.edu/~peirce/writings/v2/w2/w222/v222.htm; Rolls, E.T., What are emotions, why do we have emotions, and what is their computational basis in the brain (2005) Who needs emotions? The brain meets the robot. Oxford: Oxford University Press, pp. 117-146. , Fellous J-M, Arbib MA, eds; Russell, B., On denoting (1905) Mind, 14, pp. 479-493; Schroder, M., Baggia, P., Burkhardt, F., Pelachaud, C., Peter, C., Zovato, E., (2012) W3C candidate recommendation: emotion markup language (EmotionML), , http://www.w3.org/TR/emotionml/; Shaver, P.R., Murdaya, U., Fraley, R.C., Structure of the Indonesian emotion lexicon (2001) Asian Journal of Social Psychology, 4, pp. 201-224; Steyvers, M., Griffiths, T.L., Dennis, S., Probabilistic inference in human semantic memory (2006) Trends in Cognitive Sciences, 10 (7), pp. 327-334; Von Ahn, L., Dabbish, L., Labeling images with a computer game (2004) Proceedings of the SIGCHI conference on Human factors in computing systems.; Xu, F., Tenenbaum, J.B., Word learning as bayesian inference: evidence from preschoolers (2005) Proceedings of the twenty-seventh annual conference of the cognitive science society.; Zhong, N., Liu, J., Yao, Y.Y., Ohsuga, S., Web intelligence (2000) Computer software and applications conference.</t>
  </si>
  <si>
    <t>PeerJ Inc.</t>
  </si>
  <si>
    <t>23765992</t>
  </si>
  <si>
    <t>PeerJ Comput. Sci.</t>
  </si>
  <si>
    <t>2-s2.0-85030104783</t>
  </si>
  <si>
    <t>A socratic epistemology for verbal emotional intelligence</t>
  </si>
  <si>
    <t>Xu L., Sun Z., Wen X., Huang Z., Chao C.-J., Xu L.</t>
  </si>
  <si>
    <t>57217586837;57193701186;57217590142;57368132600;57202805430;57214826054;</t>
  </si>
  <si>
    <t>Using machine learning analysis to interpret the relationship between music emotion and lyric features</t>
  </si>
  <si>
    <t>10.7717/peerj-cs.785</t>
  </si>
  <si>
    <t>https://www.scopus.com/inward/record.uri?eid=2-s2.0-85122006685&amp;doi=10.7717%2fpeerj-cs.785&amp;partnerID=40&amp;md5=5cb11dff1d360a27f98a2cf9832a0f0f</t>
  </si>
  <si>
    <t>Department of Psychology and Behavioral Sciences, Zhejiang University, Hangzhou, China; College of Education, Zhejiang University of Technology, Hangzhou, China; Department of Information Art and Design, Tsinghua University, Beijing, China; Zhejiang Provincial Key Laboratory of Forestry Intelligent Monitoring and Information Technology, Zhejiang A&amp;F University, Hangzhou, China; College of Mathematics and Computer Science, Zhejiang A&amp;F University, Hangzhou, China</t>
  </si>
  <si>
    <t>Xu, L., Department of Psychology and Behavioral Sciences, Zhejiang University, Hangzhou, China; Sun, Z., College of Education, Zhejiang University of Technology, Hangzhou, China; Wen, X., Department of Psychology and Behavioral Sciences, Zhejiang University, Hangzhou, China; Huang, Z., Department of Psychology and Behavioral Sciences, Zhejiang University, Hangzhou, China; Chao, C.-J., Department of Information Art and Design, Tsinghua University, Beijing, China; Xu, L., Zhejiang Provincial Key Laboratory of Forestry Intelligent Monitoring and Information Technology, Zhejiang A&amp;F University, Hangzhou, China, College of Mathematics and Computer Science, Zhejiang A&amp;F University, Hangzhou, China</t>
  </si>
  <si>
    <t>Melody and lyrics, reflecting two unique human cognitive abilities, are usually combined in music to convey emotions. Although psychologists and computer scientists have made considerable progress in revealing the association between musical structure and the perceived emotions of music, the features of lyrics are relatively less discussed. Using linguistic inquiry and word count (LIWC) technology to extract lyric features in 2,372 Chinese songs, this study investigated the effects of LIWC-based lyric features on the perceived arousal and valence of music. First, correlation analysis shows that, for example, the perceived arousal of music was positively correlated with the total number of lyric words and the mean number of words per sentence and was negatively correlated with the proportion of words related to the past and insight. The perceived valence of music was negatively correlated with the proportion of negative emotion words. Second, we used audio and lyric features as inputs to construct music emotion recognition (MER) models. The performance of random forest regressions reveals that, for the recognition models of perceived valence, adding lyric features can significantly improve the prediction effect of the model using audio features only; for the recognition models of perceived arousal, lyric features are almost useless. Finally, by calculating the feature importance to interpret the MER models, we observed that the audio features played a decisive role in the recognition models of both perceived arousal and perceived valence. Unlike the uselessness of the lyric features in the arousal recognition model, several lyric features, such as the usage frequency of words related to sadness, positive emotions, and tentativeness, played important roles in the valence recognition model. © Copyright 2021 Xu et al. Distributed under Creative Commons CC-BY 4.0</t>
  </si>
  <si>
    <t>Audio signal processing; Chinese pop song; LIWC; Lyric feature extraction; Music emotion recognition</t>
  </si>
  <si>
    <t>Audio acoustics; Audio signal processing; Behavioral research; Decision trees; Machine learning; Speech recognition; Audio features; Chinese pop song; Emotion recognition; Features extraction; Human cognitive abilities; Linguistic inquiry and word count; Lyric feature extraction; Music emotion recognition; Music emotions; Recognition models; Music</t>
  </si>
  <si>
    <t>Ali, SO, Peynircioğlu, ZF., Songs and emotions: are lyrics and melodies equal partners? (2006) Psychology of Music, 34, pp. 511-534; Aljanaki, A, Yang, YH, Soleymani, M., Developing a benchmark for emotional analysis of music (2017) PLOS ONE, 12, p. e0173392; Argstatter, H., Perception of basic emotions in music: culture-specific or multicultural? (2016) Psychology of Music, 44, pp. 674-690; Baker, F, Wigram, T, Stott, D, McFerran, K., Therapeutic songwriting in music therapy, part II: comparing the literature with practice across diverse clinical populations (2009) Nordic Journal of Music Therapy, 18, pp. 32-56; Balkwill, LL, Thompson, WF., A cross-cultural investigation of the perception of emotion in music: psychophysical and cultural cues (1999) Music Perception, 17, pp. 43-64; Batcho, KI, DaRin, ML, Nave, AM, Yaworsky, RR., Nostalgia and identity in song lyrics (2008) Psychology of Aesthetics, Creativity, and the Arts, 2, pp. 236-244; Besson, M, Faïta, F, Peretz, I, Bonnel, AM, Requin, J., Singing in the brain: independence of lyrics and tunes (1998) Psychological Science, 9, pp. 494-498; Bonnel, AM, Faita, F, Peretz, I, Besson, M., Divided attention between lyrics and tunes of operatic songs: evidence for independent processing (2001) Perception &amp; Psychophysics, 63 (7), pp. 1201-1213; Brattico, E, Alluri, V, Bogert, B, Jacobsen, T, Vartiainen, N, Nieminen, S, Tervaniemi, M., A functional MRI study of happy and sad emotions in music with and without lyrics (2011) Frontiers in Psychology, 2, p. 308; Che, W, Li, Z, Liu, T., LTP: a chinese language technology platform (2010) Proceedings of the 23rd international conference on computational linguistics: demonstrations, pp. 13-16; Chen, S-H, Lee, Y-S, Hsieh, W-C, Wang, J-C., Music emotion recognition using deep Gaussian process (2015) 2015 Asia-Pacific signal and information processing association annual summit and conference (APSIPA), pp. 495-498. , a Hong Kong: IEEE; Chen, Y-A, Yang, Y-H, Wang, J-C, Chen, H., The AMG1608 dataset for music emotion recognition (2015) 2015 IEEE international conference on acoustics, speech and signal processing (ICASSP), pp. 693-697. , b South Brisbane, Queensland, Australia: IEEE; Delbouys, R, Hennequin, R, Piccoli, F, Royo-Letelier, J, Moussallam, M., Music mood detection based on audio and lyrics with deep neural net (2018) Proceedings of the 19th international society for music information retrieval conference (ISMIR), pp. 370-375; Deng, JJ, Leung, CHC, Milani, A, Chen, L., Emotional states associated with music: classification, prediction of changes, and consideration in recommendation (2015) ACM Transactions on Interactive Intelligent Systems, 5, pp. 1-36; Dingle, GA, Kelly, PJ, Flynn, LM, Baker, FA., The influence of music on emotions and cravings in clients in addiction treatment: a study of two clinical samples (2015) The Arts in Psychotherapy, 45, pp. 18-25; Downie, JS., The music information retrieval evaluation exchange (2005-2007): a window into music information retrieval research (2008) Acoustical Science and Technology, 29, pp. 247-255; Fedorenko, E, Patel, A, Casasanto, D, Winawer, J, Gibson, E., Structural integration in language and music: evidence for a shared system (2009) Memory &amp; Cognition, 37, pp. 1-9; Freeman, BC., No eminems in Asia: what’s in a song? Analyzing lyrics of top 40 songs in the east &amp; West (2012) 3rd inter-Asia popular music studies (IAPMS), , https://www.researchgate.net/publication/272997075_No_Eminems_in_Asia_Analyzing_lyrics_of_Top_40_songs_in_the_East_West; Gabrielsson, A., The relationship between musical structure and perceived expression (2016) The Oxford handbook of music psychology, pp. 215-232. , Susan H, Ian C, Michael Thaut T, eds. Oxford: Oxford University Press; Gao, R, Hao, B, Li, H, Gao, Y, Zhu, T., Developing simplified chinese psychological linguistic analysis dictionary for microblog (2013) Brain and health informatics. Lecture notes in computer science, pp. 359-368. , Imamura K, Usui S, Shirao T, Kasamatsu T, Schwabe L, Zhong N, eds. Cham: Springer International Publishing; Gendron, M, Lindquist, KA, Barsalou, L, Barrett, LF., Emotion words shape emotion percepts (2012) Emotion, 12, pp. 314-325; Gordon, RL, Schön, D, Magne, C, Astésano, C, Besson, M., Words and melody are intertwined in perception of sung words: EEG and behavioral evidence (2010) PLOS ONE, 5, p. e9889; Greenberg, DM, Kosinski, M, Stillwell, DJ, Monteiro, BL, Levitin, DJ, Rentfrow, PJ., The song is you: preferences for musical attribute dimensions reflect personality (2016) Social Psychological and Personality Science, 7, pp. 597-605; Greer, T, Ma, B, Sachs, M, Habibi, A, Narayanan, S., A multimodal view into music’s effect on human neural, physiological, and emotional experience (2019) Proceedings of the 27th ACM international conference on multimedia, pp. 167-175. , Nice France: ACM; Haselmayer, M, Jenny, M., Sentiment analysis of political communication: combining a dictionary approach with crowdcoding (2017) Quality &amp; Quantity, 51, pp. 2623-2646; Havlena, W, abd Holak, SL., The good old days: observations on nostalgia and its role in consumer behavior (1991) Advances in Consumer Research, 18, pp. 323-329; Holbrook, MB, Anand, P., Effects of tempo and situational arousal on the listener’s perceptual and affective responses to Music (1990) Psychology of Music, 18, pp. 150-162; Hu, Y, Chen, X, Yang, D., Lyric-based song emotion detection with affective lexicon and fuzzy clustering method (2009) Proceedings of the 10th international society for music information retrieval conference (ISMIR), pp. 123-128; Hu, X, Downie, JS, Ehmann, AF., Lyric text mining in music mood classification (2009) Proceedings of the 10th international society for music information retrieval conference (ISMIR), pp. 411-416; Hunter, PG, Schellenberg, EG., Music and emotion (2010) Music perception. Springer handbook of auditory research, 36, pp. 129-164. , Riess Jones M, Fay R, Popper R, eds. New York: Springer; Juslin, PN, Laukka, P., Expression, perception, and induction of musical emotions: a review and a questionnaire study of everyday listening (2004) Journal of New Music Research, 33, pp. 217-238; Juslin, PN, Sloboda, JA., Music and emotion: introduction (2001) Music and emotion: theory and research, pp. 3-19. , Juslin PN, Sloboda JA, eds. Oxford: Oxford University Press; Kahng, AB, Mantik, S, Markov, IL., Min-max placement for large-scale timing optimization (2002) Proceedings of the 2002 international symposium on physical design - ISPD ’02, p. 143. , San Diego, CA, USA: ACM Press; Kaur, R, Verma, P., Sentiment analysis of movie reviews: a study of machine learning algorithms with various feature selection methods (2017) International Journal of Computer Sciences and Engineering, 5, pp. 113-121; Kolinsky, R, Lidji, P, Peretz, I, Besson, M, Morais, J., Processing interactions between phonology and melody: vowels sing but consonants speak (2009) Cognition, 112, pp. 1-20; Lang, PJ., The emotion probe: studies of motivation and attention (1995) American Psychologist, 50, pp. 372-385; Laurier, C, Grivolla, J, Herrera, P., Multimodal music mood classification using audio and lyrics (2008) 2008 seventh international conference on machine learning and applications, pp. 688-693. , San Diego, CA, USA: IEEE; Liu, B., Sentiment analysis and opinion mining (2012) Synthesis Lectures on Human Language Technologies, 5, pp. 1-167; Liu, SM, Chen, J-H., A multi-label classification based approach for sentiment classification (2015) Expert Systems with Applications, 42, pp. 1083-1093; Lu, K, Wu, J., Sentiment analysis of film review texts based on sentiment dictionary and SVM (2019) Proceedings of the 2019 3rd international conference on innovation in artificial intelligence - ICIAI 2019, pp. 73-77. , Suzhou, China: ACM Press; Malheiro, R, Oliveira, HG, Gomes, P, Paiva, RP., Keyword-based approach for lyrics emotion variation Detection (2016) Proceedings of the 8th international joint conference on knowledge discovery, knowledge engineering and knowledge management, pp. 33-44. , a Porto, Portugal: SCITEPRESS Science and Technology Publications; Malheiro, R, Panda, R, Gomes, P, Paiva, R., Bi-modal music emotion recognition: novel lyrical features and dataset (2016) 9th international workshop on music and machine learning–mml’2016–in conjunction with the European conference on machine learning and principles and practice of knowledge discovery in databases–ECML/PKDD 2016; Malheiro, R, Panda, R, Gomes, P, Paiva, RP., Emotionally-relevant features for classification and regression of music lyrics (2018) IEEE Transactions on Affective Computing, 9, pp. 240-254; McFee, B, Raffel, C, Liang, D, Ellis, DP, McVicar, M, Battenberg, E, Nieto, O., librosa: audio and music signal analysis in python (2015) Proceedings of the 14th python in science conference, 8, pp. 18-25; McVicar, M, Freeman, T, De Bie, T., Mining the correlation between lyrical and audio features and the emergence of mood (2011) Proceedings of the 12th international society for music information retrieval conference (ISMIR), pp. 783-788; Meyer, BT, Kollmeier, B., Complementarity of MFCC, PLP and Gabor features in the presence of speech-intrinsic variabilities (2009) Tenth annual conference of the international speech communication association, pp. 2755-2758; Morton, JB, Trehub, SE., Children’s understanding of emotion in Speech (2001) Child Development, 72, pp. 834-843; Morton, JB, Trehub, SE., Children’s judgements of emotion in song (2007) Psychology of Music, 35, pp. 629-639; O’Callaghan, C, Grocke, D., Lyric analysis research in music therapy: rationales, methods and representations (2009) The Arts in Psychotherapy, 36, pp. 320-328; Panda, R, Malheiro, R, Rocha, B, Oliveira, A, Paiva, RP., Multi-modal music emotion recognition: a new dataset, methodology and comparative analysis (2013) International symposium on computer music multidisciplinary research, pp. 1-13; Peng, H, Cambria, E, Hussain, A., A review of sentiment analysis research in chinese language (2017) Cognitive Computation, 9, pp. 423-435; Pennebaker, JW., Theories, therapies, and taxpayers: on the complexities of the expressive writing paradigm (2004) Clinical Psychology: Science and Practice, 11, pp. 138-142; Pennebaker, JW, Francis, ME, Booth, RJ., (2001) Linguistic inquiry and word count (LIWC): LIWC2001, , http://downloads.liwc.net.s3.amazonaws.com/LIWC2015_OperatorManual.pdf; Petrie, KJ, Pennebaker, JW, Sivertsen, B., Things we said today: a linguistic analysis of the beatles (2008) Psychology of Aesthetics, Creativity, and the Arts, 2, pp. 197-202; Pettijohn, TF, Sacco, DF., The language of lyrics: an analysis of popular billboard songs across conditions of social and economic threat (2009) Journal of Language and Social Psychology, 28, pp. 297-311; Pieschl, S, Fegers, S., Violent lyrics = aggressive listeners?: Effects of song lyrics and tempo on cognition, affect, and self-reported arousal (2016) Journal of Media Psychology, 28, pp. 32-41; Poulin-Charronnat, B, Bigand, E, Madurell, F, Peereman, R., Musical structure modulates semantic priming in vocal music (2005) Cognition, 94, pp. B67-B78; Proverbio, AM, Benedetto, F, Guazzone, M., Shared neural mechanisms for processing emotions in music and vocalizations (2020) European Journal of Neuroscience, 51, pp. 1987-2007; Rachman, FH, Samo, R, Fatichah, C., Song emotion detection based on arousal-valence from audio and lyrics using rule based method (2019) International conference on informatics and computational Sciences (ICICoS), pp. 1-5. , Semarang, Indonesia: IEEE; Schmidt, EM, Turnbull, D, Kim, YE., Feature selection for content-based, time-varying musical emotion regression (2010) Proceedings of the international conference on Multimedia information retrieval - MIR ’10, p. 267. , Philadelphia, Pennsylvania, USA: ACM Press; Schwartz, JW, Gouzoules, H., Decoding human screams: perception of emotional arousal from pitch and duration (2019) Behaviour, 156, pp. 1283-1307; Sen, A, Srivastava, M., Multiple regression (2012) Regression analysis: theory, methods, and applications, pp. 28-49. , Sen A, Srivastava M, eds. New York: Springer Science &amp; Business Media; Serafine, M, Crowder, RG, Repp, BH., Integration of melody and text in memory for songs (1984) Cognition, 16, pp. 285-303; Serafine, ML, Davidson, J, Crowder, RG, Repp, BH., On the nature of melody-text integration in memory for songs (1986) Journal of Memory and Language, 25, pp. 123-135; Silverman, MJ., Therapeutic songwriting to address distress tolerance for adults on an acute care mental health unit: a pilot study (2020) The Arts in Psychotherapy, 71, p. 101716; Slatcher, RB, Pennebaker, JW., How do I love thee? Let me count the words: the social effects of expressive writing (2006) Psychological Science, 17, pp. 660-664; Sousou, SD., Effects of melody and lyrics on mood and memory (1997) Perceptual and Motor Skills, 85, pp. 31-40; Speck, JA, Schmidt, EM, Morton, BG, Kim, YE., A comparative study of collaborative vs. traditional musical mood annotation (2011) Proceedings of the 12th international society for music information retrieval conference (ISMIR), pp. 549-554; Stratton, VN, Zalanowski, AH., Affective impact of music vs. lyrics (1994) Empirical Studies of the Arts, 12, pp. 173-184; Swaminathan, S, Schellenberg, EG., Current emotion research in music psychology (2015) Emotion Review, 7, pp. 189-197; Van Besouw, RM, Howard, DM, Ternström, S., Towards an understanding of speech and song perception (2005) Logopedics Phoniatrics Vocology, 30, pp. 129-135; Van Waesberghe, JS., A textbook of melody: a course in functional melodic analysis (1955) Journal of Research in Music Education, 4 (1), pp. 68-69; Vempala, NN, Russo, FA., Modeling music emotion judgments using machine learning methods (2018) Frontiers in Psychology, 8, p. 2239; Vidas, D, Calligeros, R, Nelson, NL, Dingle, GA., Development of emotion recognition in popular music and vocal bursts (2020) Cognition and Emotion, 34, pp. 906-919; Viega, M, Baker, FA., What’s in a song? Combining analytical and arts-based analysis for songs created by songwriters with neurodisabilities (2017) Nordic Journal of Music Therapy, 26, pp. 235-255; Wang, J-C, Yang, Y-H, Wang, H-M, Jeng, S-K., The acoustic emotion gaussians model for emotion-based music annotation and retrieval (2012) Proceedings of the 20th ACM international conference on multimedia - MM ’12, p. 89. , Nara, Japan: ACM Press; Xu, L, Li, L, Jiang, Z, Sun, Z, Wen, X, Shi, J, Sun, R, Qian, X., A novel emotion lexicon for chinese emotional expression analysis on weibo: using grounded theory and semi-automatic methods (2021) IEEE Access, 9, pp. 92757-92768; Xu, L, Wen, X, Shi, J, Li, S, Xiao, Y, Wan, Q, Qian, X., Effects of individual factors on perceived emotion and felt emotion of music: based on machine learning methods (2020) Psychology of Music, 49 (5), pp. 1069-1087; Xu, L, Yun, Z, Sun, Z, Wen, X, Wang, J, Qian, X., (2020) PSIC3839: predicting the overall emotion and depth of entire songs, , https://github.com/xl2218066/PSIC3839; Xu, L, Zheng, Y, Xu, D, Xu, L., Predicting the preference for sad music: the role of gender, personality, and audio features (2021) IEEE Access, 9, pp. 92952-92963; Yang, X, Dong, Y, Li, J., Review of data features-based music emotion recognition methods (2018) Multimedia Systems, 24, pp. 365-389; Yu, Y, Tang, S, Raposo, F, Chen, L., Deep Cross-modal correlation learning for audio and lyrics in music retrieval (2019) ACM Transactions on Multimedia Computing, Communications, and Applications, 15, pp. 1-16; Yu, Y, Wu, D, Zhang, J, Fang, P., Lyrics only or lyrics with music? The effect of different lyric conditions on prosocial-related outcomes (2019) PsyCh Journal, 8, pp. 503-512; Zacharopoulou, K, Kyriakidou, A., A cross-cultural comparative study of the role of musical structural features in the perception of emotion in Greek traditional music (2009) Journal of Interdisciplinary Music Studies, 3, pp. 1-15; Zhang, C, Tong, T, Bu, Y., Examining differences among book reviews from various online platforms (2019) Online Information Review, 43, pp. 1169-1187; Zhao, N, Jiao, D, Bai, S, Zhu, T., Evaluating the validity of simplified chinese version of LIWC in detecting psychological expressions in short texts on social network services (2016) PLOS ONE, 11, p. e0157947; Zhou, J, Chen, X, Yang, D., Multimodel music emotion recognition using unsupervised deep neural networks (2019) Proceedings of the 6th conference on sound and music technology (CSMT). Lecture notes in electrical engineering, pp. 27-39. , Li W, Li S, Shao X, Li Z, eds. Singapore: Springer Singapore</t>
  </si>
  <si>
    <t>2-s2.0-85122006685</t>
  </si>
  <si>
    <t>Lee S., Jeong H., Ko H.</t>
  </si>
  <si>
    <t>57295046300;57295156100;57194596969;</t>
  </si>
  <si>
    <t>Classical music specific mood automatic recognition model proposal</t>
  </si>
  <si>
    <t>2489</t>
  </si>
  <si>
    <t>10.3390/electronics10202489</t>
  </si>
  <si>
    <t>https://www.scopus.com/inward/record.uri?eid=2-s2.0-85117056622&amp;doi=10.3390%2felectronics10202489&amp;partnerID=40&amp;md5=fc0fd76a5e68af6e388836d1ed81490f</t>
  </si>
  <si>
    <t>Department of Computer Science &amp; Engineering, Seoul Women’s University, Seoul, 01797, South Korea; Department of Digital Media Design and Applications, Seoul Women’s University, Seoul, 01797, South Korea</t>
  </si>
  <si>
    <t>Lee, S., Department of Computer Science &amp; Engineering, Seoul Women’s University, Seoul, 01797, South Korea; Jeong, H., Department of Digital Media Design and Applications, Seoul Women’s University, Seoul, 01797, South Korea; Ko, H., Department of Digital Media Design and Applications, Seoul Women’s University, Seoul, 01797, South Korea</t>
  </si>
  <si>
    <t>The purpose of this study was to propose an effective model for recognizing the detailed mood of classical music. First, in this study, the subject classical music was segmented via MFCC analysis by tone, which is one of the acoustic features. Short segments of 5 s or under, which are not easy to use in mood recognition or service, were merged with the preceding or rear segment using an algorithm. In addition, 18 adjective classes that can be used as representative moods of classical music were defined. Finally, after analyzing 19 kinds of acoustic features of classical music segments using XGBoost, a model was proposed that can automatically recognize the music mood through learning. The XGBoost algorithm that is proposed in this study, which uses the automatic music segmentation method according to the characteristics of tone and mood using acoustic features, was evaluated and shown to improve the performance of mood recognition. The result of this study will be used as a basis for the production of an affect convergence platform service where the mood is fused with similar visual media when listening to classical music by recognizing the mood of the detailed section. © 2021 by the authors. Licensee MDPI, Basel, Switzerland.</t>
  </si>
  <si>
    <t>Classical music mood; Classical music segmentation; Emotional intelligence; Machine learning; Mood recognition model</t>
  </si>
  <si>
    <t>Moore, K.S., A Systematic Review on the Neural Effects of Music on Emotion Regulation: Implications for Music Therapy Practice (2013) J. Music. Ther, 50, pp. 198-242. , [CrossRef] [PubMed]; Lee, Y.S., Ahn, H.J., The effect of early childhood music drama program using classical music on children’s musical creativity (2020) J. Early Child. Educ, 40, pp. 39-62. , [CrossRef]; Castillo-Pérez, S., Gómez-Pérez, V., Velasco, M.C., Pérez-Campos, E., Mayoral, M.-A., Effects of Music Therapy on Depression Compared with Psychotherapy (2010) Arts Psychother, 37, pp. 387-390. , [CrossRef]; McCraty, R., Barrios-Choplin, B., Atkinson, M., Tomasino, D., The Effects of Different Types of Music on Mood, Tension, and Mental Clarity (1998) Altern. Ther. Health Med, 4, pp. 75-84; Chi, J., Influence of classical music on the psychological state of college students under stress (2020) Rev. Argent. De Clínica Psicológica, 29, p. 906. , [CrossRef]; Lu, L., Liu, D., Zhang, H., Automatic Mood Detection and Tracking of Music Audio Signals (2006) IEEE Trans. Audio Speech Lang. Process, 14, pp. 5-18. , [CrossRef]; Tzanetakis, G., Cook, P., MARSYAS: A Framework for Audio Analysis (2000) Org. Sound, 4, pp. 169-175. , [CrossRef]; Cabrera, D., Ferguson, S., Rizwi, F., Schubert, E., PsySound3: A Program for the Analysis of Sound Recordings (2008) J. Acoust. Soc. Am, 123, p. 3247. , [CrossRef]; McKay, C., Fujinaga, I., jMIR: Tools for automatic music classification (2009) Proceedings of the 2009 International Computer Music Conference, ICMC 2009, , Montreal, QC, Canada, 16–21 August; McFee, B., Raffel, C., Liang, D., Ellis, D., McVicar, M., Battenberg, E., Nieto, O., Librosa: Audio and music signal analysis in Python Proceedings of the 14th Python in Science Conference (SCIPY 2015), pp. 18-24. , Austin, TX, USA, 6–12 July 2015; Rachman, F., Sarno, R., Fatichah, C., Music Emotion Classification Based on Lyrics-Audio Using Corpus Based Emotion (2018) Int. J. Electr. Comput. Eng. (IJECE), 8, p. 1720. , [CrossRef]; An, Y., Sun, S., Wang, S., Naive Bayes Classifiers for Music Emotion Classification Based on Lyrics Proceedings of the 2017 IEEE/ACIS 16th International Conference on Computer and Information Science (ICIS), pp. 635-638. , Wuhan, China, 24–26 May 2017; [CrossRef]; Tao, L., Ogihara, M., Toward Intelligent Music Information Retrieval (2006) IEEE Trans. Multimed, 8, pp. 564-574. , [CrossRef]; Han, B., Rho, S., Jun, S., Hwang, E., Music Emotion Classification and Context-Based Music Recommendation (2010) Multimed. Tools Appl, 47, pp. 433-460. , [CrossRef]; Lee, J.-I., Yeo, D., Kim, B.-M., Detection of Music Mood for Context-aware Music Recommendation (2010) KIPS Trans. Part B, 17B, pp. 263-274. , [CrossRef]; Seo, Y.-S., Huh, J.-H., Automatic Emotion-Based Music Classification for Supporting Intelligent IoT Applications (2019) Electronics, 8, p. 164. , [CrossRef]; Wu, B., Zhong, E., Horner, A., Yang, Q., Music Emotion Recognition by Multi-Label Multi-Layer Multi-Instance Multi-View Learning Proceedings of the MM 2014—2014 ACM Conference on Multimedia, pp. 117-126. , Orlando, FL, USA, 3–7 November 2014; [CrossRef]; Xiao, Z., Dellandrea, E., Dou, W., Chen, L., What Is the Best Segment Duration for Music Mood Analysis? Proceedings of the 2008 International Workshop on Content-Based Multimedia Indexing, pp. 17-24. , London, UK, 18–20 June 2008; [CrossRef]; Li, T., Ogihara, M., Detecting Emotion in Music (2003) Proceedings of the 4th International Conference on Music Information Retrieval, , Baltimore, MD, USA, 26–30 October [CrossRef]; Tavares, J.C.C., da Costa, Y.M.G., Music Mood Classification Using Visual and Acoustic Features Proceedings of the 2017 XLIII Latin American Computer Conference (CLEI), pp. 1-10. , Cordoba, Argentina, 4–8 September 2017; [CrossRef]; Rong, J., Li, G., Chen, Y.-P.P., Acoustic Feature Selection for Automatic Emotion Recognition from Speech (2009) Inf. Process. Manag, 45, pp. 315-328. , [CrossRef]; James, W., II.—What Is an Emotion? (1884) Mind, 9, pp. 188-205. , [CrossRef]; Ekman, P., An Argument for Basic Emotions (1992) Cogn. Emot, 6, pp. 169-200. , [CrossRef]; Chen, L., Mao, X., Xue, Y., Cheng, L.L., Speech Emotion Recognition: Features and Classification Models (2012) Digit. Signal Process, 22, pp. 1154-1160. , [CrossRef]; Xiaohua, W., Muzi, P., Lijuan, P., Min, H., Chunhua, J., Fuji, R., Two-Level Attention with Two-Stage Multi-Task Learning for Facial Emotion Recognition (2019) J. Vis. Commun. Image Represent, 62, pp. 217-225. , [CrossRef]; Giannopoulos, P., Perikos, I., Hatzilygeroudis, I., Deep Learning Approaches for facial emotion recognition: A case study on FER-2013 (2018) Advances in Hybridization of Intelligent Methods, , Springer: Cham, Switzerland; De, A., Saha, A., A Comparative Study on Different Approaches of Real Time Human Emotion Recognition Based on Facial Expression Detection Proceedings of the 2015 International Conference on Advances in Computer Engineering and Applications, pp. 483-487. , Ghaziabad, India, 19–20 March 2015; De, A., Saha, A., Pal, M.C., A Human Facial Expression Recognition Model Based on Eigen Face Approach (2015) Procedia Comput. Sci, 45, pp. 282-289. , [CrossRef]; Young, A.W., Rowland, D., Calder, A.J., Etcoff, N.L., Seth, A., Perrett, D.I., Facial Expression Megamix: Tests of Dimensional and Category Accounts of Emotion Recognition (1997) Cognition, 63, pp. 271-313. , [CrossRef]; Donato, G., Bartlett, M.S., Hager, J.C., Ekman, P., Sejnowski, T.J., Classifying Facial Actions (1999) IEEE Trans. Pattern Anal. Mach. Intell, 21, pp. 974-989. , [CrossRef]; Agrawal, S., Khatri, P., Facial Expression Detection Techniques: Based on Viola and Jones Algorithm and Principal Component Analysis Proceedings of the 2015 Fifth International Conference on Advanced Computing &amp; Communication Technologies, pp. 108-112. , Haryana, India, 21–22 February 2015; Russell, J.A., A Circumplex Model of Affect (1980) J. Personal. Soc. Psychol, 39, pp. 1161-1178. , [CrossRef]; Yang, Y.-H., Lin, Y.-C., Su, Y.-F., Chen, H.H., A Regression Approach to Music Emotion Recognition (2008) IEEE Trans. Audio Speech Lang. Process, 16, pp. 448-457. , [CrossRef]; Thayer, R.E., (1989) The Biopsychology of Mood and Arousal, , Oxford University Press: New York, NY, USA; Yang, Y., Su, Y.-F., Lin, Y.-C., Chen, H., Music Emotion Recognition: The Role of Individuality (2007) Proceedings of the ACM International Multimedia Conference and Exhibition, pp. 13-22. , Augsburg, Germany, 28 September [CrossRef]; https://www.allmusic.com/moods, AllMusic Mood Tag. (accessed on 2 September 2021); Tzanetakis, G., Cook, P., Musical Genre Classification of Audio Signals (2002) IEEE Trans. Speech Audio Process, 10, pp. 293-302. , [CrossRef]; Weihs, C., Ligges, U., Mörchen, F., Müllensiefen, D., Classification in Music Research (2007) Adv. Data Anal. Classif, 1, pp. 255-291. , [CrossRef]; Scaringella, N., Zoia, G., Mlynek, D., Automatic Genre Classification of Music Content: A Survey (2006) IEEE Signal Process. Mag, 23, pp. 133-141. , [CrossRef]; Fu, Z., Lu, G., Ting, K.M., Zhang, D., A Survey of Audio-Based Music Classification and Annotation (2011) IEEE Trans. Multimed, 13, pp. 303-319. , [CrossRef]; Bayu, Q.D.P., Suyanto, S., Arifianto, A., Hierarchical SVM-KNN to Classify Music Emotion Proceedings of the 2019 International Seminar on Research of Information Technology and Intelligent Systems (ISRITI), pp. 5-10. , Yogyakarta, Indonesia, 5–6 December 2019; [CrossRef]; Babu, P.A., Siva Nagaraju, V., Vallabhuni, R.R., Speech Emotion Recognition System With Librosa Proceedings of the 2021 10th IEEE International Conference on Communication Systems and Network Technologies (CSNT), pp. 421-424. , Bhopal, India, 18 June 2021; FMA: A Dataset for Music Analysis, , https://github.com/mdeff/fma, (accessed on 2 September 2021); https://musopen.org/music/, Musopen. (accessed on 2 September 2021); https://homes.cs.washington.edu/~{}thickstn/musicnet.html, MusicNet. (accessed on 2 September 2021); http://www.kkacl.com/, KkachilhanClassic. (accessed on 2 September 2021); http://www2.ece.rochester.edu/projects/air/projects/URMP.html, URMP. (accessed on 2 September 2021); https://www.collinsdictionary.com/dictionary/english-thesaurus, Collins English Thesaurus. (accessed on 25 September 2021); Oxford Learner’s Dictionaries, , https://www.oxfordlearnersdictionaries.com/, (accessed on 25 September 2021); Senac, C., Pellegrini, T., Mouret, F., Pinquier, J., Music Feature Maps with Convolutional Neural Networks for Music Genre Classification (2017) Proceedings of the 15th International Workshop on Content-Based Multimedia Indexing, pp. 1-5. , Florence, Italy, 19 June; Imran, D., Wadiwala, H., Tahir, M.A., Rafi, M., Semantic Feature Extraction Using Feed-Forward Neural Network for Music Genre Classification (2017) Asian J. Eng. Sci. Technol, 6, p. 1; Chen, T., Guestrin, C., XGBoost: A Scalable Tree Boosting System Proceedings of the 22nd ACM SIGKDD International Conference on Knowledge Discovery and Data Mining, pp. 785-794. , San Francisco, CA, USA, 13–17 August 2016; [CrossRef]</t>
  </si>
  <si>
    <t>2-s2.0-85117056622</t>
  </si>
  <si>
    <t>Mobasheri B., Tabbakh S.R.K., Forghani Y.</t>
  </si>
  <si>
    <t>57959893000;56539484500;26648261300;</t>
  </si>
  <si>
    <t>An Approach for Fall Prediction Based on Kinematics of Body Key Points Using LSTM</t>
  </si>
  <si>
    <t>13762</t>
  </si>
  <si>
    <t>10.3390/ijerph192113762</t>
  </si>
  <si>
    <t>https://www.scopus.com/inward/record.uri?eid=2-s2.0-85141549771&amp;doi=10.3390%2fijerph192113762&amp;partnerID=40&amp;md5=fce88f2b3d656dfcd539b35ed0fe419d</t>
  </si>
  <si>
    <t>Department of Computer Engineering, Mashhad Branch, Islamic Azad University, Mashhad, 9187147578, Iran</t>
  </si>
  <si>
    <t>Mobasheri, B., Department of Computer Engineering, Mashhad Branch, Islamic Azad University, Mashhad, 9187147578, Iran; Tabbakh, S.R.K., Department of Computer Engineering, Mashhad Branch, Islamic Azad University, Mashhad, 9187147578, Iran; Forghani, Y., Department of Computer Engineering, Mashhad Branch, Islamic Azad University, Mashhad, 9187147578, Iran</t>
  </si>
  <si>
    <t>Many studies have used sensors attached to adults in order to collect signals by which one can carry out analyses to predict falls. In addition, there are research studies in which videos and photographs were used to extract and analyze body posture and body kinematics. The present study proposes an integrated approach consisting of body kinematics and machine learning. The model data consist of video recordings collected in the UP-Fall Detection dataset experiment. Three models based on long-short-term memory (LSTM) network—4p-SAFE, 5p-SAFE, and 6p-SAFE for four, five, and six parameters—were developed in this work. The parameters needed for these models consist of some coordinates and angles extracted from videos. These models are easy to apply to the sequential images collected by ordinary cameras, which are installed everywhere, especially on aged-care premises. The accuracy of predictions was as good as 98%. Finally, the authors discuss that, by applying these models, the health and wellness of adults and elderlies will be considerably promoted. © 2022 by the authors.</t>
  </si>
  <si>
    <t>falls prediction; health promotion; image processing; LSTM; older adults; wellness</t>
  </si>
  <si>
    <t>adult; elderly population; image analysis; image processing; kinematics; parameter estimation; public health; Article; body regions; falling; health promotion; image analysis; image processing; kinematics; long short term memory network; measurement accuracy; prediction; videorecording; wellbeing; biomechanics; body position; machine learning; Biomechanical Phenomena; Machine Learning; Posture; Video Recording</t>
  </si>
  <si>
    <t>Rajagopalan, R., Litvan, I., Jung, T., Fall Prediction and Prevention Systems: Recent Trends, Challenges, and Future Research Directions (2017) Sensors, 17. , 29104256; Habib, M.A., Mokhtar, M.S., Kamaruzzaman, S.B., Lim, K.S., Pin, T.M., Ibrahim, F., Smartphone-based solutions for fall detection and prevention: Challenges and open issues (2014) Sensors, 14, pp. 7181-7208. , 24759116; Sarabia-Jácome, D., Usach, R., Palau, C., Esteve, M., Highly-Efficient Fog-based deep learning AAL Fall Detection system (2020) Internet Things J, 11, p. 100185; Yacchirema, D., Suarez, J., Fall detection system for elderly people using IoT and Big Data Proceedings of the 9th Conference on Ambient Systems, Networks and Technology, pp. 603-610. , Porto, Portugal, 8–11 May 2018, Procedia Computer Science 130; Zerkouk, M., Chikhaoui, B., Spatio-Temporal Abnormal Behavior Prediction in Elderly Persons Using Deep Learning Models (2020) Sensor, 20. , 32326349; Mauldin, T.R., Canby, M.E., Metsis, V., Ngu, A.H.H., Rivera, C.C., SmartFall: A Smartwatch-Based Fall Detection System Using Deep Learning (2018) Sensor, 18. , 30304768; Shi, J., Chen, D., Pre-Impact Fall Detection with CNN-Based ClassActivation Mapping Method (2020) Sensor, 20. , 32842652; De Marsico, M., Mecca, A., (2017) Chapter 8—Gait Recognition: The Wearable Solution in Human Recognition in Unconstrained Environments, pp. 179-194. , ScienceDirect, Rome, Italy; Merrouche, F., Baha, N., Depth Camera Based Fall Detection Using Human Shape and Movement Proceedings of the 2016 IEEE International Conference on Signal and Image Processing (ICSIP), , Beijing, China, 13–15 August 2016; Lotfi, A., Appiah, K., Supporting Independent Living for Older Adults Employing a Visual Based Fall Detection through Analysing the Motion and Shape of the Human Body (2018) IEEE Access, 6, pp. 70272-70282; Yu, M., Rhuma, A., Naqvi, S.M., Wang, L., Chambers, J., A posture recognition-based fall detection system for monitoring an elderly person in a smart home environment (2012) IEEE Trans. Inf. Technol. Biomed, 16, pp. 1274-1286. , 22922730; Boudouane, I., Makhlouf, A., Fall detection system with portable camera (2020) J. Ambient. Intell. Humaniz. Comput, 11, pp. 2647-2659; Gracewell, J.J., Pavalarajan, S., Fall detection based on posture classification for smart home environment (2019) J. Ambient. Intell. Humaniz. Comput, 12, pp. 3581-3588; Mardinez, L., Ponse, H., Up-Fall Detection Dataset: A Multimodal Approach (2019) Sensors, 19; Yun, Y., Innocenti, C., Nero, G., Lind én, H., Gu, I.Y., Fall detection in RGB-D videos for elderly care Proceedings of the 17th International Conference E-health Networking, Application &amp; Services (HealthCom), pp. 422-427. , Boston, MA, USA, 14–17 October 2015; Aguilar, V.S., van de Gronde, J.J., Lamoth, C.J.C., Maurits, N.M., Roerdink, J.B.T.M., Assessing Dynamic Balance Performance During Exergaming Based on Speed and Curvature of Body Movements (2018) IEEE Trans. Neural Syst. Rehabil. Eng, 26, pp. 171-180. , 29324408; Zhang, J., Wu, C., Human Fall Detection Based on Body Posture Spatio-Temporal Evolution (2020) Sensors, 20. , 32050727; Lin, C., Dong, Z., Kuan, W., Huang, Y., A Framework for Fall Detection Based on OpenPose Skeleton and LSTM/GRU Models (2020) Appl. Sci, 11</t>
  </si>
  <si>
    <t>2-s2.0-85141549771</t>
  </si>
  <si>
    <t>An approach for fall prediction based on kinematics of body key points using lstm</t>
  </si>
  <si>
    <t>Bjegovic-Mikanovic V., Wenzel H., Laaser U.</t>
  </si>
  <si>
    <t>55848108800;57214555641;7005289486;</t>
  </si>
  <si>
    <t>Data Mining Approach: What Determines the Wellbeing of Women in Montenegro, North Macedonia, and Serbia?</t>
  </si>
  <si>
    <t>Frontiers in Public Health</t>
  </si>
  <si>
    <t>873845</t>
  </si>
  <si>
    <t>10.3389/fpubh.2022.873845</t>
  </si>
  <si>
    <t>https://www.scopus.com/inward/record.uri?eid=2-s2.0-85132291541&amp;doi=10.3389%2ffpubh.2022.873845&amp;partnerID=40&amp;md5=eb360813440ba7baeef6cc1fe12a62ab</t>
  </si>
  <si>
    <t>Faculty of Medicine, Belgrade, Serbia; Konstanz, Germany; Faculty of Health Sciences, Bielefeld University, Bielefeld, Germany</t>
  </si>
  <si>
    <t>Bjegovic-Mikanovic, V., Faculty of Medicine, Belgrade, Serbia; Wenzel, H., Konstanz, Germany; Laaser, U., Faculty of Health Sciences, Bielefeld University, Bielefeld, Germany</t>
  </si>
  <si>
    <t>Background: Women's happiness and life satisfaction, often summarized as subjective wellbeing, are of great value for most individuals and are associated with various determinants. The countries of the Western Balkan are of particular interest after the political changes in the nineties. Are the women satisfied with their lives today? Methods: We use the most recent datasets of the Multiple Indicator Cluster Surveys (MICS) for women 15–49 years old and with comparable data coverage for three countries of the Western Balkan belonging to the former Yugoslavia, namely Montenegro, North Macedonia, and Serbia. After sorting out variables of limited relevance or quality (missing values &gt;50%), the remaining 32 variables followed a descriptive analysis. Four potential determinants of subjective wellbeing (SWB), an integration of happiness and satisfaction with life, entered an interactive Classification and Regression Tree (iC&amp;RT) to account for their mostly bivariate format: age, education, region, and wealth. Results: The iC&amp;RT analysis determines the influence of 4 independent variables (age, education, region, and wealth) on overall happiness, satisfaction with life, and subjective wellbeing, resulting in a high overall SWB of 88.9% for Montenegro, 82.1% for North Macedonia, and 83% for Serbia. The high relevance of younger age, higher education, and wealth, as critical determinants of a high SWB, and the lesser role of regions except for Serbia is confirmed. The spread of SWB in defined population subgroups ranges from 80.5–92.6% for Montenegro, 64.2–86.8% for North Macedonia, and 75.8–87.4% for Serbia. Conclusions: The three selected South-Eastern European countries of the former Yugoslavia (Montenegro, North Macedonia, Serbia) represent high levels of subjective wellbeing of women and a narrow range between the lowest and highest population groups. Women in Montenegro take a top position regarding their subjective wellbeing. Copyright © 2022 Bjegovic-Mikanovic, Wenzel and Laaser.</t>
  </si>
  <si>
    <t>happiness; life satisfaction; MICS; Montenegro; North Macedonia; Serbia; subjective wellbeing; women</t>
  </si>
  <si>
    <t>adolescent; adult; data mining; epidemiology; female; human; middle aged; Montenegro (republic); questionnaire; Serbia; young adult; Adolescent; Adult; Data Mining; Female; Humans; Middle Aged; Montenegro; Republic of North Macedonia; Serbia; Surveys and Questionnaires; Young Adult</t>
  </si>
  <si>
    <t>Diener, E., (2009) Social Indicators Research Series: Vol. 37. The Science of Wellbeing: The Collected Works of Ed Diener, , Heidelberg, Springer Science + Business Media, editor; Hommerich, C., Klien, S., Happiness: does culture matter? (2012) Int J Wellbeing, 2, pp. 292-298; Steptoe, A., Happiness and Health (2019) Annu Rev Public Health, 40, pp. 339-359. , 30601719; (2016) Lancet, 387, p. 1251. , 27025416; Jowett, B., Davis, H.W.C., (1920) Aristotle's Politics, , Oxford, Clarendon Press (cited by Sachs 2016; Steptoe, A., Deaton, A., Stone, A.A., Subjective well-being, health, and ageing (2015) Lancet, 385, pp. 640-648. , 25468152; Ljaljevic, A., Wenzel, H., Laaser, U., Women in montenegro exhibit a high degree of happiness and life satisfaction: data from the multiple indicator cluster survey 2018 (2021) S East Eur J Public Health; Ye, D., Ng, Y.K., Lian, Y., Culture and happiness (2015) Soc Indic Res, 123, pp. 519-547. , 26300581; Lietz, F., R 2.10 the concept of Wellbeing and its measurement (2016) Special Volume 2016, A Global Public Health Curriculum (2nd Edition), pp. 149-155. , Laaser U., Beluli F., (eds), South Eastern European Journal of Public Health (SEEJPH), In:, p; Aboalshamat, K.T., Alsiyud, A.O., Al-Sayed, R.A., Alreddadi, R.S., Faqiehi, S.S., Almehmadi, S.A., The relationship between resilience, happiness, and life satisfaction in dental and medical students in Jeddah, Saudi Arabia (2018) Niger J Clin Pract, 21, pp. 1038-1043. , 30074008; (2001), Paris, United Nations Educational, Scientific and Cultural Organization; Botterman, S., (2015) An empirical multilevel study of the relation between community level social cohesion indicators and individual social capital in Flanders, Belgium, , Catholic University Leuven, Centre for Politology; Saevi, T., Why mollenhauer matters: a response to klaus mollenhauer's book forgotten connections on culture and upbringing translated into english, edited and with an introduction by Norm Friesen (2012) Phenomenol Pract, 6, pp. 180-191; Read, S., Grundy, E., Foverskov, E., Socio-economic position and subjective health and well-being among older people in Europe: a systematic narrative review (2016) Aging Ment Health, 20, pp. 529-542. , 25806655; D'Agostino, A., Grilli, G., Regoli, A., The determinants of subjective well-being of young adults in Europe (2019) Appl Res Qual Life, 14, pp. 85-112. , 28355635; Abdallah, S., Shah, S., (2012) Well-being Patterns Uncovered: An Analysis of UK Data, , London, New Economics Foundation; Weich, S., Brugha, T., King, M., McManus, S., Bebbington, P., Jenkins, R., Mental well-being and mental illness: findings from the adult psychiatric morbidity survey for England 2007 (2011) Br J Psychiatry, 199, pp. 23-28. , 21719878; Jaswal, V., Kishore, K., Muniraju, M., Jaswal, N., Kapoor, R., Understanding the determinants of happiness through Gallup World Poll (2020) J Family Med Prim Care, 9, pp. 4826-4832. , 33209808; Youth Cohort Study &amp; Longitudinal Study of Young People in England. The Activities and Experiences of 19-year-olds: England 2010, 2011. Department for Education Statistical Bulletin (2010) Youth Cohort Study &amp; Longitudinal Study of Young People in England, , https://www.gov.uk/government/statistics/youth-cohort-study-and-longitudinal-study-of-young-people-in-england-the-activities-and-experiences-of-19-year-olds-2010, The Activities and Experiences of 19-year-olds, England, :, Available online at; Liu, B., Floud, S., Pirie, K., Green, J., Peto, R., Beral, V., Million women study collaborators (2016) Lancet, 387, pp. 874-881. , 26684609; Kim, E.S., Hagan, K.A., Grodstein, F., DeMeo, D.L., De Vivo, I., Kubzansky, L.D., Optimism and cause-specific mortality: a prospective cohort study (2017) Am J Epidemiol, 185, pp. 21-29. , 27927621; Trudel-Fitzgerald, C., James, P., Kim, E.S., Zevon, E.S., Grodstein, F., Kubzansky, L.D., Prospective associations of happiness and optimism with lifestyle over up to two decades (2019) Prev Med, 126, p. 105754. , 31220509; Hart, E.A.C., Lakerveld, J., McKee, M., Oppert, J.M., Rutter, H., Charreire, H., Contextual correlates of happiness in European adults (2018) PLoS ONE, 13, p. e0190387. , 29364899; Helliwell, J.F., Layard, R., Sachs, J., De Neve, J.E., (2020), https://worldhappiness.report/ed/2020/#read, New York, Sustainable Development Solutions Network, eds. World Hainess Report 2020., :, Available online at:, (accessed December 12, 2021; Ngamaba, K.H., Panagioti, M., Armitage, C.J., How strongly related are health status and subjective Well-being? Systematic review and meta-analysis (2017) Eur J Public Health, 27, pp. 879-885. , 28957478; Inglehart, R., Klingemann, H.D., Genes, Culture, democracy, and happiness (2000) Culture and Subjective Well-being, , Diener E., Suh M., (eds), Cambridge, MIT Press, In:, eds; Carver, C.S., On the continuous calibration of happiness (2000) Am J Ment Retard, 105, pp. 336-341. , 11008841; Eikemo, T.A., Huisman, M., Perlman, F., Ringdal, K., Educational health inequalities in former Yugoslavia: evidence from the South-East European Social Survey Project (2010) Eur J Public Health, 20, pp. 640-646. , 20008909; Zaharijević, A., The strange case of yugoslav feminism: feminism and socialism in “the East” (2017) Montenegrin J Soc Sci, 1, pp. 135-156; Giomi, F., Zerman, E., Stevens, A., Women, gender and the body in South-East Europe and Turkey (2018) Clio Women Gend Hist, 48, pp. 153-179. , http://cetobac.ehess.fr/index.php?2616, 27104109, : Available online at; Ford, B.Q., Dmitrieva, J.O., Heller, D., Chentsova-Dutton, Y., Grossmann, I., Tamir, M., Culture shapes whether the pursuit of happiness predicts higher or lower well-being (2015) J Exp Psychol Gen, 144, pp. 1053-1062. , 26347945; Hassenstab, C., Ramet, S.P., (2017) Gender (In)equality and Gender Politics in Southeastern Europe. A Question of Justice (Gender and Politics series), p. 380. , London, Palgrave Macmillan, eds., :, p; Multiple Indicator Cluster Surveys (MICS), , http://mics.unicef.org/surveys, Available online at:, (accessed November 16, 2020; https://mics-surveys-prod.s3.amazonaws.com/MICS6/Europe%20and%20Central%20Asia/Montenegro/2018/Survey%20findings/Montenegro%20%28National%20and%20Roma%20Settlements%29%202018%20MICS%20SFR_v4_English.pdf, Survey. Findings Report: December 2019: p.41. Available online at:, (accessed December 12, 2021; (2017), https://www.tibco.com/, Available online at:, (accessed December 12, 2021). Licence: JPZ8041377116FA-0; Inglehart, R., Foa, R., Peterson, C., Welzel, C., Development, freedom and rising happiness: a global perspective (1981–2006) (2008) Perspect Psychol Sci, 3, pp. 264-285. , 26158947; (2018) Population density/skm, , https://data.worldbank.org/indicator/EN.POP.DNST?locations=XK, Kosovo, most recent data from 2017, :, Available online at:, (accessed December 12, 2021; (2018), https://www.worldlifeexpectancy.com/bosnia-herzeg-life-expectancy, Available online at:; Bosnia Herzegovina, Available online at:, (accessed December 12, 2021; (2017), https://data.worldbank.org/indicator/NY.GDP.PCAP.PP.KD, Available online at:, (accessed December 12, 2021; https://ilostat.ilo.org/data/country-profiles/, Workforce Data. Available online at:, (accessed December 12, 2021; Helliwell, J., Layard, R., Sachs, J., (2016) World Happiness Report 2016, Update (Vol. I), , https://worldhappiness.report/ed/2016/, New York, NY, Sustainable Development Solutions Network, :, Available online at; (2019) pp. 23, 26, , https://www.freiheit.org/ost-und-sudosteuropa/human-rights-index-2019-out, Available online at; (2020), https://www.transparency.org/en/cpi/2020/index/nzl, Available online at:, (accessed December 12, 2021; Larsen, C.A., (2010) Social cohesion: Definition, measurement, and developments, , https://vbn.aau.dk/en/publications/social-cohesion-definition-measurement-and-developments, Aendix 2 (p. 46): Trust levels (standard) Measured the EVS (European Values Study weighted). Aalborg. Publisher, Institut for Statskundskab, Aalborg Universitet. Available online at; (2018), https://www.cato.org/human-freedom-index-new, Available online at; (2019) p. 32, 33, , https://www.cafonline.org/about-us/publications/2019-publications/caf-world-giving-index-10th-edition, Available online at:, (accessed December 12, 2021; (2018) p. 300, , http://hdr.undp.org/en/2020-report, Table 1., Available online at:, (accessed December 12, 2021; Dahlgren, G., Whitehead, M., (1991) Policies and Strategies to Promote Social Equity in Health, pp. 4-41. , Stockholm, Institute for Future Studies; Indrayan, A., (2013) Medical biostatistics, , London, Chapman &amp;amp; Hall/CRC, 3rd ed. Boca Raton, Fla; Frost, J., Check Your Residual Plots to Ensure Trustworthy Regression Results! In Jim Frost, 4/5/2017, , https://statisticsbyjim.com/regression/check-residual-plots-regression-analysis/, Available online at:, (accessed December 12, 2021; Minitab Blog (2014) How to Interpret a Regression Model with Low R-squared and Low P values, , https://blog.minitab.com/en/adventures-in-statistics-2/how-to-interpret-a-regression-model-with-low-r-squared-and-low-p-values, Available online at:, (accessed November 25, 2021; (2013), https://www.researchgate.net/post/What_does_a_low_p-value_005_and_a_low_R-square_mean_in_curve_fitting_Do_we_consider_results_as_significant, Available online at:, (accessed December 23, 2021; Galletta, S., On the Determinants of Happiness: A Classification and Regression Tree (CART) Approach, , https//www.fiscalfederalism.ch/publications/docs/GShappy_cart.pdf, (.). Available online at:, (accessed October 5, 2020; Chipman, H.A., George, E.I., McCulloch, R.E., Bayesian CART Model Search (1998) J Am Stat Assoc, 93, pp. 935-948. , In; Rokach, L., Maimon, O., (2014) Data Mining with Decision Trees. Theory and Applications, 2nd Ed, , World Scientific Pub Co Inc; Nisbet, R., Elder, J., Miner, G., (2009) Handbook of Statistical Analysis and Data Mining Applications, , Amsterdam, Elsevier; Sachs, J.D., Happiness and sustainable development: concepts and evidence (sine pp.) (2016) World Happiness Report 2016, Update (Vol. I), , Helliwell J., Layard R., Sachs J., (eds), New York, Sustainable Development Solutions Network, In; Diener, E., Tay, L., Subjective well-being and human welfare around the world as reflected in the Gallup World Poll (2015) Int J Psychol, 50, pp. 135-149. , 25612012; Gallup, (2015), https://news.gallup.com/poll/187973/gallup-top-world-findings-2015.aspx, Available online at:, (accessed December 12, 2021; (2011) Gender Mainstreaming for Health Managers: A Practical Approach, , Geneva, WHO Department on Gender, Women and Health; Delivered by women, led by men: A gender and equity analysis of the global health and social workforce (2019) Human Resources for Health Observer Series, , https://www.who.int/hrh/resources/health-observer24/en/, Available online at:, (accessed April 12, 2020; Global strategy on Human Resources for Health: Workforce 2030, , http://www.who.int/hrh/resources/global_strategy_workforce2030_14_print.pdf?ua=1, Available online at:, (accessed December 12, 2021; Manandhar, M., Hawkes, S., Buse, K., Nosrati, E., Magar, V., Gender, health and the 2030 agenda for sustainable development (2018) Bull World Health Organ, 96, pp. 644-653. , 30262946; Helliwell, J.F., Huang, H., Wang, S., Norton, M., Happiness, Trust, Deaths Under COVID-19 (2021) Chapter 2, , https://worldhappiness.report/ed/2021/happiness-trust-and-deaths-under-covid-19/, Available online at; Covan, E.K., Gender, mental health, and happiness (2017) Health Care Women Int, 38, pp. 73-74. , 28140831; Kubzansky, L.D., Kim, E.S., Salinas, J., Huffman, J.C., Kawachi, I., Happiness, health, and mortality (2016) Lancet, 388, p. 27. , 27397787; Lu, L., Gilmour, R., Culture and conceptions of happiness: individual oriented and social oriented SWB (2004) J Happiness Stud, 5, pp. 269-291; Johnson, W., Krueger, R.F., How money buys happiness: genetic and environmental processes linking finances and life satisfaction (2006) J Personal Soc Psychol, 90, pp. 680-691. , 16649863; Simovic, V., Country report on legal perspectives of gender equality in montenegro (2012) Centre for South Eastern European Law School, Coord: Legal Perspectives of Gender Equality in South East Europe, pp. 135-160. , Skopje, In:, p; Lenhard, W., Lenhard, A., (2017) Computation of Effect Sizes, , https://www.psychometrica.de/effect_size.html, Available online at:, (accessed December 12, 2021</t>
  </si>
  <si>
    <t>22962565</t>
  </si>
  <si>
    <t>Front. Public Health</t>
  </si>
  <si>
    <t>2-s2.0-85132291541</t>
  </si>
  <si>
    <t>Data mining approach: what determines the wellbeing of women in montenegro, north macedonia, and serbia?</t>
  </si>
  <si>
    <t>Al Saad M.M., Shehadeh A., Alanazi S., Alenezi M., Alez A.A., Eid H., Alfaouri M.S., Aldawsari S., Alenezi R.</t>
  </si>
  <si>
    <t>57204069174;57215022941;57751654500;57751654600;57752166200;57750625200;57751654700;57751391100;57751906900;</t>
  </si>
  <si>
    <t>Medical Students’ Knowledge and Attitude Towards Artificial Intelligence: An Online Survey</t>
  </si>
  <si>
    <t>Open Public Health Journal</t>
  </si>
  <si>
    <t>e187494452203290</t>
  </si>
  <si>
    <t>10.2174/18749445-v15-e2203290</t>
  </si>
  <si>
    <t>https://www.scopus.com/inward/record.uri?eid=2-s2.0-85132299015&amp;doi=10.2174%2f18749445-v15-e2203290&amp;partnerID=40&amp;md5=10672dd2b0c9748e28697f57f21a2175</t>
  </si>
  <si>
    <t>Department of Special Surgery, School of Medicine, University, of Jordan, Amman, Jordan; Independent Researcher, Consultant Ophthalmologist, PHPC Qatar, Qatar; Department of Ophthalmology, University of Jordan, Amman, Jordan</t>
  </si>
  <si>
    <t>Al Saad, M.M., Department of Special Surgery, School of Medicine, University, of Jordan, Amman, Jordan; Shehadeh, A., Independent Researcher, Consultant Ophthalmologist, PHPC Qatar, Qatar; Alanazi, S., Department of Ophthalmology, University of Jordan, Amman, Jordan; Alenezi, M., Department of Ophthalmology, University of Jordan, Amman, Jordan; Alez, A.A., Department of Ophthalmology, University of Jordan, Amman, Jordan; Eid, H., Department of Ophthalmology, University of Jordan, Amman, Jordan; Alfaouri, M.S., Department of Ophthalmology, University of Jordan, Amman, Jordan; Aldawsari, S., Department of Ophthalmology, University of Jordan, Amman, Jordan; Alenezi, R., Department of Ophthalmology, University of Jordan, Amman, Jordan</t>
  </si>
  <si>
    <t>Introduction: Within the near future, doctors can be anticipated to encounter patients in very distinctive wellbeing care settings compared with the present time. As a result, artificial intelligence will be an essential tool. Objectives: The purpose of this study is to investigate the attitudes of Jordanian medical students regarding Artificial Intelligence (AI) and Machine Learning (ML). Moreover, to estimate the level of knowledge and understanding of the effects of AI on medical students. Methods: Nine hundred medical students from six universities in Jordan participated in this survey. The participants were asked to fill out an electronic pre-validated questionnaire using Google’s forms and those forms were published via social media. The questionnaire included questions of Likert and dichotomous questions. Results: 89% of the students believed in the importance of AI in the medical field, and 71.4% believed in the beneficiary of teaching AI in the medical career. 47% of the students had an understanding of the basic principles of AI, 68.4% of the students believed that it is mandatory for medical students to receive knowledge of AI. Statistically, students who received teaching/training in AI were more likely to consider radiology as a career given the advancement in AI (p = 0.000). Conclusion: Medical students in Jordanian universities appreciate the importance of artificial intelligence and machine learning in medical advancements. Adding courses and training related to artificial intelligence and machine learning to the study plan should be considered. © 2022 Al Saad et al.</t>
  </si>
  <si>
    <t>Artificial intelligence; Attitude and knowledge; Courses and training; Education; Machine learning; Medical student</t>
  </si>
  <si>
    <t>adult; article; artificial intelligence; career; education; female; human; human experiment; Jordan; machine learning; major clinical study; male; medical student; questionnaire; radiology; social media; teaching</t>
  </si>
  <si>
    <t>Amisha, MP, Malik, P, Pathania, M, Rathaur, VK., Overview of artificial intelligence in medicine (2019) J Family Med Prim Care, 8 (7), pp. 2328-2331. , http://www.jfmpc.5com/text.asp?2019/8/7/2328/263820, [http://dx.doi.org/10.4103/jfmpc.jfmpc_440_19] [PMID: 31463251]; Buch, VH, Ahmed, I, Maruthappu, M., Artificial intelligence in medicine: Current trends and future possibilities (2018) Br J Gen Pract, 68 (668), pp. 143-144. , http://bjgp.org/lookup/doi/10.3399/bjgp18X695213, [http://dx.doi.org/10.3399/bjgp18X695213] [PMID: 29472224]; Ting, DSW, Pasquale, LR, Peng, L, Artificial intelligence and deep learning in ophthalmology (2019) Br J Ophthamol, 103, pp. 167-175. , http://dx.doi.org/10.1136/bjophthalmol-2018-313173; Hogarty, DT, Su, JC, Phan, K, Artificial intelligence in dermatology—where we are and the way to the future: A review (2020) Am J Clin Dermatol, 21 (1), pp. 41-47. , http://dx.doi.org/10.1007/s40257-019-00462-66; Niazi, MKK, Parwani, AV, Gurcan, MN., Digital pathology and artificial intelligence (2019) Lancet Oncol, 20 (5), pp. e253-e261. , http://dx.doi.org/10.1016/S1470-2045(19)30154-8, [PMID: 31044723]; The Topol review: preparing the healthcare workforce to deliver the digital future, , https://topol.hee.nhs.uk/wpcontent/uploads/HEE-Topol-Review-2019.pdf; Sit, C, Srinivasan, R, Amlani, A, Attitudes and perceptions of UK medical students towards artificial intelligence and radiology: A multicentre survey (2020) Insights Imaging, 11 (1), pp. 1-6. , http://dx.doi.org/10.1186/s13244-019-0830-7; Gong, B, Nugent, JP, Guest, W, Influence of artificial intelligence on Canadian medical students’ preference for radiology specialty: A national survey study (2019) Acad Radiol, 26 (4), pp. 566-577. , http://dx.doi.org/10.1016/j.acra.2018.10.007, [PMID: 30424998]; Pinto Dos Santos, D, Giese, D, Brodehl, S, Medical students’ attitude towards artificial intelligence: A multicentre survey (2019) Eur Radiol, 29 (4), pp. 1640-1646. , http://link.springer.com/10.1007/s00330-018-5601-1, [http://dx.doi.org/10.1007/s00330-018-5601-1] [PMID: 29980928]; Langlotz, CP., Will artificial intelligence replace radiologist? (2019) Radiol Artif Intell, 1 (3), p. e190058. , http://dx.doi.org/10.1148/ryai.2019190058, [PMID: 33937794]; Oh, S, Kim, JH, Choi, SW, Lee, HJ, Hong, J, Kwon, SH., Physician confidence in artificial intelligence: An online mobile survey (2019) J Med Internet Res, 21 (3), p. e12422. , http://dx.doi.org/10.2196/12422, [PMID: 30907742]</t>
  </si>
  <si>
    <t>Bentham Science Publishers</t>
  </si>
  <si>
    <t>18749445</t>
  </si>
  <si>
    <t>Open Public Health J.</t>
  </si>
  <si>
    <t>2-s2.0-85132299015</t>
  </si>
  <si>
    <t>Medical students’ knowledge and attitude towards artificial intelligence: an online survey</t>
  </si>
  <si>
    <t>Vidauskytė L.</t>
  </si>
  <si>
    <t>26121513500;</t>
  </si>
  <si>
    <t>ARTIFICIAL INTELLIGENCE: INFANTILIZATION AND HOPELESSNESS OF SOCIETY [DIRBTINIS INTELEKTAS: VISUOMENĖS INFANTILIZACIJA IR BEJĖGIŠKUMAS]</t>
  </si>
  <si>
    <t>Logos (Lithuania)</t>
  </si>
  <si>
    <t>77</t>
  </si>
  <si>
    <t>10.24101/logos.2021.77</t>
  </si>
  <si>
    <t>https://www.scopus.com/inward/record.uri?eid=2-s2.0-85127578832&amp;doi=10.24101%2flogos.2021.77&amp;partnerID=40&amp;md5=6dbfe949bd36b22a39b4000b59c801cc</t>
  </si>
  <si>
    <t>General Jonas Žemaitis Military academy of Lithuania, Lithuania</t>
  </si>
  <si>
    <t>Vidauskytė, L., General Jonas Žemaitis Military academy of Lithuania, Lithuania</t>
  </si>
  <si>
    <t>The paper is focused on a few ideas of two contemporary philosophers – bernard stiegler and odo Marquard. stiegler was a critic of contemporary techniques, while Marquard offered some well-aimed ideas about contemporary society in the age of technical progress. contemporary techniques, at the top of which is artificial intelligence, indicate the well-being of contemporary society. but this well-being perhaps should be written with a negative sign. the loss of the innate technical abilities that make up the essence of an individual means the loss of a technical individual. technology as memory in the broadest sense is no longer the property of man, but industrial memory. continuous learning throughout life, aimed at overcoming the backwardness of our consciousness from industrial technology and artificial intelligence, leads to a complete loss of human experience. copyright © 2021 Lina Vidauskytė. Published by Po LoGos Press</t>
  </si>
  <si>
    <t>hopelessness stiegler; infantilization; Marquard; well-being</t>
  </si>
  <si>
    <t>Theodor, Adorno, Max, Horkheimer, (1979) Dialectic of Enlightenment, , Translated by John Cumming. London: Verso; Edmund, Husserl, (1991) On the Phenomenology of the Consciousness of Internal Time (1893–1917), , Transl.by John Barnett Brough. Dordrecht: Kluwer Academic Publishers; Odo, Marquard, (1996) Zeitalter der Weltfremdheit? Beitrag zur Analyse der Gegenwart, pp. 76-97. , Apologie des Zufalligen. Philosophische Studien. Stuttgart: Philipp Reclam jun; Gilbert, Simondon, (1989) L’individuation psychique et collective, , Paris: Aubier; Bernard, Stiegler, Frédéric, Neyrat, Interview: From Libidinal Economy to the Ecology of the Spirit (2012) Parrhesia: A Journal of Critical Philosophy, 14, pp. 9-15; Bernard, Stiegler, (1998) Technics and Time. The Fault of Epimetheus, 1. , Transl. by Richard Beardsworth and George Collins. Stanford: Stanford University Press; Bernard, Stiegler, (2009) Technics and Time. Disorientation, 2. , Transl. by Stephen Barker. Stanford: Stanford University Press; Bernard, Stiegler, (2011) Technics and Time. Cinematic Time and the Question of Malaise, 3. , Transl. by Stephen Barker. Stanford: Stanford University Press</t>
  </si>
  <si>
    <t>Lithuanian Institute of Philosophy and Sociology</t>
  </si>
  <si>
    <t>08687692</t>
  </si>
  <si>
    <t>Logos</t>
  </si>
  <si>
    <t>2-s2.0-85127578832</t>
  </si>
  <si>
    <t>Artificial intelligence: infantilization and hopelessness of society [dirbtinis intelektas: visuomenės infantilizacija ir bejėgiškumas]</t>
  </si>
  <si>
    <t>Cruz Rivera S., Liu X., Hughes S.E., Dunster H., Manna E., Denniston A.K., Calvert M.J.</t>
  </si>
  <si>
    <t>57195515219;57855237700;57194497128;58119027000;57218610116;54880010400;7003446802;</t>
  </si>
  <si>
    <t>Embedding patient-reported outcomes at the heart of artificial intelligence health-care technologies</t>
  </si>
  <si>
    <t>The Lancet Digital Health</t>
  </si>
  <si>
    <t>e168</t>
  </si>
  <si>
    <t>e173</t>
  </si>
  <si>
    <t>10.1016/S2589-7500(22)00252-7</t>
  </si>
  <si>
    <t>https://www.scopus.com/inward/record.uri?eid=2-s2.0-85148963775&amp;doi=10.1016%2fS2589-7500%2822%2900252-7&amp;partnerID=40&amp;md5=a0c94089e809933976ea2cae91c686ee</t>
  </si>
  <si>
    <t>Centre for Patient Reported Outcomes Research, Institute of Applied Health Research, University of Birmingham, Birmingham, United Kingdom; Birmingham Health Partners Centre for Regulatory Science and Innovation, University of Birmingham, Birmingham, United Kingdom; Data-Enabled Medical Technologies and Devices Hub, University of Birmingham, Birmingham, United Kingdom; Academic Unit of Ophthalmology, Institute of Inflammation and Ageing, University of Birmingham, Birmingham, United Kingdom; University of Birmingham Enterprise, University of Birmingham, Birmingham, United Kingdom; National Institute for Health and Care Research Applied Research Collaboration West Midlands, University of Birmingham, Birmingham, United Kingdom; Health Data Research UK, London, United Kingdom; National Institute for Health and Care Research Biomedical Research Centre for Ophthalmology, Moorfields Hospital London NHS Foundation Trust and Institute of Ophthalmology, University College London, London, United Kingdom; National Institute of Health Research Applied Research Collaborative West Midlands, Birmingham, United Kingdom; National Institute for Health and Care Research Birmingham–Oxford Blood and Transplant Research Unit in Precision Transplant and Cellular Theraputics, Birmingham, United Kingdom; National Institute for Health and Care Research Birmingham Biomedical Research Centre, Birmingham, United Kingdom; National Institute for Health and Care Research Surgical Reconstruction and Microbiology Centre, Birmingham, United Kingdom; University Hospitals Birmingham NHS Foundation Trust, Birmingham, United Kingdom</t>
  </si>
  <si>
    <t>Cruz Rivera, S., Centre for Patient Reported Outcomes Research, Institute of Applied Health Research, University of Birmingham, Birmingham, United Kingdom, Birmingham Health Partners Centre for Regulatory Science and Innovation, University of Birmingham, Birmingham, United Kingdom, Data-Enabled Medical Technologies and Devices Hub, University of Birmingham, Birmingham, United Kingdom; Liu, X., Academic Unit of Ophthalmology, Institute of Inflammation and Ageing, University of Birmingham, Birmingham, United Kingdom, University Hospitals Birmingham NHS Foundation Trust, Birmingham, United Kingdom; Hughes, S.E., Centre for Patient Reported Outcomes Research, Institute of Applied Health Research, University of Birmingham, Birmingham, United Kingdom, Birmingham Health Partners Centre for Regulatory Science and Innovation, University of Birmingham, Birmingham, United Kingdom, National Institute of Health Research Applied Research Collaborative West Midlands, Birmingham, United Kingdom; Dunster, H., University of Birmingham Enterprise, University of Birmingham, Birmingham, United Kingdom; Manna, E., Centre for Patient Reported Outcomes Research, Institute of Applied Health Research, University of Birmingham, Birmingham, United Kingdom; Denniston, A.K., Centre for Patient Reported Outcomes Research, Institute of Applied Health Research, University of Birmingham, Birmingham, United Kingdom, Birmingham Health Partners Centre for Regulatory Science and Innovation, University of Birmingham, Birmingham, United Kingdom, Data-Enabled Medical Technologies and Devices Hub, University of Birmingham, Birmingham, United Kingdom, Academic Unit of Ophthalmology, Institute of Inflammation and Ageing, University of Birmingham, Birmingham, United Kingdom, Health Data Research UK, London, United Kingdom, National Institute for Health and Care Research Biomedical Research Centre for Ophthalmology, Moorfields Hospital London NHS Foundation Trust and Institute of Ophthalmology, University College London, London, United Kingdom, University Hospitals Birmingham NHS Foundation Trust, Birmingham, United Kingdom; Calvert, M.J., Centre for Patient Reported Outcomes Research, Institute of Applied Health Research, University of Birmingham, Birmingham, United Kingdom, Birmingham Health Partners Centre for Regulatory Science and Innovation, University of Birmingham, Birmingham, United Kingdom, Data-Enabled Medical Technologies and Devices Hub, University of Birmingham, Birmingham, United Kingdom, National Institute for Health and Care Research Applied Research Collaboration West Midlands, University of Birmingham, Birmingham, United Kingdom, Health Data Research UK, London, United Kingdom, National Institute for Health and Care Research Biomedical Research Centre for Ophthalmology, Moorfields Hospital London NHS Foundation Trust and Institute of Ophthalmology, University College London, London, United Kingdom, National Institute for Health and Care Research Birmingham–Oxford Blood and Transplant Research Unit in Precision Transplant and Cellular Theraputics, Birmingham, United Kingdom, National Institute for Health and Care Research Birmingham Biomedical Research Centre, Birmingham, United Kingdom, National Institute for Health and Care Research Surgical Reconstruction and Microbiology Centre, Birmingham, United Kingdom</t>
  </si>
  <si>
    <t>Integration of patient-reported outcome measures (PROMs) in artificial intelligence (AI) studies is a critical part of the humanisation of AI for health. It allows AI technologies to incorporate patients' own views of their symptoms and predict outcomes, reflecting a more holistic picture of health and wellbeing and ultimately helping patients and clinicians to make the best health-care decisions together. By positioning patient-reported outcomes (PROs) as a model input or output we propose a framework to embed PROMs within the function and evaluation of AI health care. However, the integration of PROs in AI systems presents several challenges. These challenges include (1) fragmentation of PRO data collection; (2) validation of AI systems trained and validated against clinician performance, rather than outcome data; (3) scarcity of large-scale PRO datasets; (4) inadequate selection of PROMs for the target population and inadequate infrastructure for collecting PROs; and (5) clinicians might not recognise the value of PROs and therefore not prioritise their adoption; and (6) studies involving PRO or AI frequently present suboptimal design. Notwithstanding these challenges, we propose considerations for the inclusion of PROs in AI health-care technologies to avoid promoting survival at the expense of wellbeing. © 2023 The Author(s). Published by Elsevier Ltd. This is an Open Access article under the CC BY-NC-ND 4.0 license</t>
  </si>
  <si>
    <t>Artificial heart; Artificial intelligence; Health care; Large dataset; Artificial intelligence systems; Artificial intelligence technologies; Embeddings; Health-care decisions; Healthcare technology; Model inputs; Model outputs; Outcome measures; Patient-reported outcomes; Wellbeing; Population statistics; adoption; adult; artificial intelligence; controlled study; embedding; heart; human; outcome assessment; patient-reported outcome; review; survival; wellbeing; health care delivery; heart; information processing; Artificial Intelligence; Data Collection; Delivery of Health Care; Heart; Humans; Patient Reported Outcome Measures</t>
  </si>
  <si>
    <t>Topol, E.J., High-performance medicine: the convergence of human and artificial intelligence (2019) Nat Med, 25, pp. 44-56; Kelly, C.J., Karthikesalingam, A., Suleyman, M., Corrado, G., King, D., Key challenges for delivering clinical impact with artificial intelligence (2019) BMC Med, 17, p. 195; (2009), US Department of Health and Human Services Food and Drug Administration Center for Drug Evaluation and Research, Center for Biologics Evaluation and Research, Center for Devices and Radiological Health. Guidance for industry patient-reported outcome measures: use in medical product development to support labeling claims; Calvert, M., Kyte, D., Price, G., Valderas, J.M., Hjollund, N.H., Maximising the impact of patient reported outcome assessment for patients and society (2019) BMJ, 364; Aiyegbusi, O.L., Roydhouse, J., Rivera, S.C., Key considerations to reduce or address respondent burden in patient-reported outcome (PRO) data collection (2022) Nat Commun, 13; Hahn, E.A., Cella, D., Chassany, O., Fairclough, D.L., Wong, G.Y., Hays, R.D., Precision of health-related quality-of-life data compared with other clinical measures (2007) Mayo Clin Proc, 82, pp. 1244-1254; Xiao, C., Polomano, R., Bruner, D.W., Comparison between patient-reported and clinician-observed symptoms in oncology (2013) Cancer Nurs, 36, pp. E1-16; Basch, E., Jia, X., Heller, G., Adverse symptom event reporting by patients vs clinicians: relationships with clinical outcomes (2009) J Natl Cancer Inst, 101, pp. 1624-1632; Veitch, Z.W., Shepshelovich, D., Gallagher, C., Underreporting of symptomatic adverse events in phase I clinical trials (2021) J Natl Cancer Inst, 113, pp. 980-988; Verma, D., Bach, K., Mork, P.J., Application of machine learning methods on patient reported outcome measurements for predicting outcomes: a literature review (2021) Informatics, 8, p. 56; McGlothlin, A.E., Lewis, R.J., Minimal clinically important difference: defining what really matters to patients (2014) JAMA, 312, pp. 1342-1343; Cook, C.E., Clinimetrics corner: the minimal clinically important change score (MCID): a necessary pretense (2008) J Manual Manip Ther, 16, pp. E82-E83; Basch, E., Deal, A.M., Kris, M.G., Symptom monitoring with patient-reported outcomes during routine cancer treatment: a randomized controlled trial (2016) J Clin Oncol, 34, pp. 557-565; Basch, E., Deal, A.M., Dueck, A.C., Overall survival results of a trial assessing patient-reported outcomes for symptom monitoring during routine cancer rreatment (2017) JAMA, 318, pp. 197-198; Evidence standards framework (ESF) for digital health technologies (2022), Nhttps://www.nice.org.uk/about/what-we-do/our-programmes/evidence-standards-framework-for-digital-health-technologies, (Accessed 17 August 2022); Pearce, F.J., Cruz Rivera, S., Liu, X., Manna, E., Denniston, A.K., Calvert, M.J., The role of patient-reported outcome measures in artificial intelligence health technologies: a systematic evaluation of ClinicalTrials.gov records (1997–2022) (2023) Lancet Digit Health, 5, pp. e160-e167; Iivanainen, S., Ekstrom, J., Virtanen, H., Kataja, V.V., Koivunen, J.P., Electronic patient-reported outcomes and machine learning in predicting immune-related adverse events of immune checkpoint inhibitor therapies (2021) BMC Med Inform Decis Mak, 21, p. 205; Virji, A.Z., Brennan, C.W., Skrabonja, L., Patients like you: how machine learning can be used as a shared decision-making tool to improve care (2021) NEJM Catal, 2; Lyman, S., Lee, Y.-Y., Franklin, P.D., Li, W., Cross, M.B., Padgett, D.E., Validation of the KOOS, JR: a short-form knee arthroplasty outcomes survey (2016) Clin Orthop Relat Res, 474, pp. 1461-1471; Delgado, D.A., Lambert, B.S., Boutris, N., Validation of digital visual analog scale pain scoring with a traditional paper-based visual analog scale in adults (2018) J Am Acad Orthop Surg Glob Res Rev, 2, p. e088; Pierson, E., Cutler, D.M., Leskovec, J., Mullainathan, S., Obermeyer, Z., An algorithmic approach to reducing unexplained pain disparities in underserved populations (2021) Nat Med, 27, pp. 136-140; Dawson, J., Fitzpatrick, R., Carr, A., Murray, D., Questionnaire on the perceptions of patients about total hip replacement (1996) J Bone Joint Surg Br, 78, pp. 185-190; Dawson, J., Fitzpatrick, R., Murray, D., Carr, A., Questionnaire on the perceptions of patients about total knee replacement (1998) J Bone Joint Surg Br, 80, pp. 63-69; Herdman, M., Gudex, C., Lloyd, A., Development and preliminary testing of the new five-level version of EQ-5D (EQ-5D-5L) (2011) Qual Life Res, 20, pp. 1727-1736; GaitSmart assessment and vGym personalised exercise rehabilitation programme for people with gait and mobility issues (2022), https://www.nice.org.uk/advice/mib283, (Accessed 10 March 2022); Haskell, H., Cumberlege review exposes stubborn and dangerous flaws in healthcare (2020) BMJ, 370; Ibrahim, H., Liu, X., Zariffa, N., Morris, A.D., Denniston, A.K., Health data poverty: an assailable barrier to equitable digital health care (2021) Lancet Digit Health, 3, pp. e260-e265; Nagendran, M., Chen, Y., Lovejoy, C.A., Artificial intelligence versus clinicians: systematic review of design, reporting standards, and claims of deep learning studies (2020) BMJ, 368, p. m689; Patrick, D.L., Deyo, R.A., Generic and disease-specific measures in assessing health status and quality of life (1989) Med Care, 27, pp. S217-S232; Greenhalgh, J., The applications of PROs in clinical practice: what are they, do they work, and why? (2009) Qual Life Res, 18, pp. 115-123; Santana, M.J., Haverman, L., Absolom, K., Training clinicians in how to use patient-reported outcome measures in routine clinical practice (2015) Qual Life Res, 24, pp. 1707-1718; Liu, X., Faes, L., Kale, A.U., A comparison of deep learning performance against health-care professionals in detecting diseases from medical imaging: a systematic review and meta-analysis (2019) Lancet Digit Health, 1, pp. e271-e297; Cruz Rivera, S., Liu, X., Chan, A.-W., Guidelines for clinical trial protocols for interventions involving artificial intelligence: the SPIRIT-AI extension (2020) Nat Med, 26, pp. 1351-1363; Calvert, M., Kyte, D., Mercieca-Bebber, R., Guidelines for inclusion of patient-reported outcomes in clinical trial protocols: the spirit-pro extension (2018) JAMA, 319, pp. 483-494; Schopen, F., Cancer patients need more than survival (2017), https://www.theguardian.com/commentisfree/2017/oct/05/cancer-patients-survival-miracle-cures-medical-research, The Guardian (Accessed 17 February 2022)</t>
  </si>
  <si>
    <t>25897500</t>
  </si>
  <si>
    <t>Lancet Digit. Heal.</t>
  </si>
  <si>
    <t>2-s2.0-85148963775</t>
  </si>
  <si>
    <t>Perkins S., Jessup A.</t>
  </si>
  <si>
    <t>56870843900;57772953800;</t>
  </si>
  <si>
    <t>Cybernetics, design and regenerative economics</t>
  </si>
  <si>
    <t>Technoetic Arts</t>
  </si>
  <si>
    <t>1-2</t>
  </si>
  <si>
    <t>137</t>
  </si>
  <si>
    <t>10.1386/TEAR_00057_1</t>
  </si>
  <si>
    <t>https://www.scopus.com/inward/record.uri?eid=2-s2.0-85133182449&amp;doi=10.1386%2fTEAR_00057_1&amp;partnerID=40&amp;md5=ba87ac41511a2c2b0dc87acf7494b5aa</t>
  </si>
  <si>
    <t>Regenerate L3C, United States; Middlebury College, United States</t>
  </si>
  <si>
    <t>Perkins, S., Regenerate L3C, United States; Jessup, A., Middlebury College, United States</t>
  </si>
  <si>
    <t>With unbridled exponential economic growth, earth systems and social systems are headed for catastrophic meltdown. Meanwhile, much of humanity is highly dependent on current institutions. Second-order cybernetics can help society come to grips with the enormous demand of adapting existing institutions for a regenerative economy. While the current trajectory of increasing consumption and rapid ecological decay will lead to collapse, the progress achieved by civilization can be vindicated by large-scale investment in regenerating natural capital assets, developing open-source technologies for the public good, and rebuilding local agricultural economies dedicated to health and well-being. It is recommended that regenerative practices are supported by academic institutions centered on place-based service-learning. A regenerative economy, in contrast to a growth economy, is part of the pursuit of the long-term establishment of a steady-state economy. This vision does not limit the possibility that humanity will make outstanding technological progress, explore space or merge with artificial intelligence – but argues that appreciating the nature’s technology provided to humanity through eons evolution, and avoiding short-term self-destruction should be priorities. © 2021 Intellect Ltd</t>
  </si>
  <si>
    <t>degrowth; ecological economics; neoclassical economics; paradox; service-learning; sustainability</t>
  </si>
  <si>
    <t>Alavanja, Michael C. R., Pesticides use and exposure extensive worldwide (2009) Reviews on Environmental Health, 24 (4), pp. 303-309. , https://www.ncbi.nlm.nih.gov/pmc/articles/PMC2946087/, Accessed 10 November 2020; Bartlett, Al, (1969) English transcript of Arithmetic, Population and Energy: A talk by Al Bartlett on the impossibility of exponential growth on a finite planet, , https://www.albartlett.org/presentations/arithmetic_population_energy_transcript_english.html, Accessed 10 November 2020; Carrington, Damian, Plummeting insect numbers threaten collapse of nature (2019) The Guardian, , https://www.theguardian.com/environment/2019/feb/10/plummeting-insect-numbers-threaten-collapse-ofnature#comments, 10 February, Accessed 1 November 2020; Clayton, Susan, Manning, Christie, Krygsman, Kirra, Speiser, Meighen, (2017) Mental Health and Our Changing Climate: Impacts, Implications, and Guidance, , Washington, DC: APA and EcoAmerica; Czech, Brian, The trophic theory of money: Principles, corollaries, and policy implications (2019) Journal and Proceedings of the Royal Society of New South Wales, 152, pp. 66-81. , https://search.informit.org/doi/10.3316/informit.639004821145297, 471&amp;472, Accessed 10 November 2020; (2018) Q&amp;A with Michio Kaku, , https://www.cspan.org/video/transcript/?id=57028, 9 March, Accessed 10 November 2020; Daly, Herman E., Farley, Joshua, (2011) Ecological Economics, Second Edition: Principles and Applications, , Washington, DC: Island Press; Economics, , https://www.merriam-webster.com/dictionary/economics, (2021a), Merriam-Webster Dictionary, Merriam-Webster Online, Springfield, MA, Accessed 1 November 2020; Erickson, Daniel L., Lovell, Sarah T., Méndez, V. Ernesto, Landowner willingness to embed production agriculture and other land use options in residential areas of Chittenden County, VT (2011) Landscape and Urban Planning, 103 (2), pp. 174-184. , https://doi.org/10.1016/j.landurbplan.2011.07.009, Accessed 1 November 2020; Farley, Joshua, Perkins, Skyler, Economics of information in a green economy (2013) Building a Green Economy, pp. 83-99. , R. Robertson (ed), East Lansing, MI: Michigan State University Press; Feinberg, Matthew, Willer, Robb, Apocalypse soon? Dire messages reduce belief in global warming by contradicting just-world beliefs (2011) Psychological Science, 22 (1), pp. 34-38. , https://www.jstor.org/stable/40984603, Accessed 1 November 2020; (1999) What is agrobiodiversity?, , http://www.fao.org/3/y5609e/y5609e02.htm, Accessed 1 November 2020; Garrett, Tim J., Long-run evolution of the global economy: Part 2: Hindcasts of innovation and growth (2015) Earth Systems Dynamics, 6 (2), pp. 673-688. , https://doi.org/10.5194/esd-6-673-2015, Accessed 1 November 2020; Heylighen, Francis, Joslyn, Cliff, Cybernetics and second order cybernetics (2001) Encyclopedia of Physical Science and Technology, 4, pp. 155-170. , R. A. Meyers (ed), New York: Academic Press; Kant, Immanuel, (1892) The Critique of Judgement, p. 281. , London: Macmillan; Kapp, K. William, Environmental disruption and social costs: A challenge to economics (1970) Kyklos, International Review for Social Sciences, 23 (4), pp. 833-848; Kauffman, Louis H., (2011) Eigenforms and quantum physics, , https://arxiv.org/pdf/1109.1892.pdf, Accessed 10 November 2020; Kauffman, Louis H., (2015) Knot logic: Logical connection and topological connection, , https://arxiv.org/pdf/1508.06028.pdf, Cornell University, Accessed 10 November 2020; Kubiszewski, Ida, Farley, Joshua, Costanza, Robert, The production and allocation of information as a good that is enhanced with increased use (2010) Ecological Economics, 69 (6), pp. 1344-1354. , https://doi.org/10.1016/j.ecolecon.2010.02.002, Accessed 10 November 2020; Laozi, (1972) Tao Te Ching, , New York: Vintage Books; Malghan, Deepak, On the relationship between scale, allocation, and distribution (2010) Ecological Economics, 69 (11), pp. 2261-2270; (2018) Visible light: Eye-opening research at NNSA, , https://www.energy.gov/nnsa/articles/visible-lighteye-opening-research-nnsa, Accessed 10 November 2020; Nhat Hanh, Thich, (2013) Love Letter to the Earth, , Berkeley, CA: Parallax Press; Merriam-Webster Dictionary, , https://www.merriam-webster.com/dictionary/observe, (2021b), Merriam-Webster, Accessed 10 November 2020; Ostrom, Elinor, Beyond markets and states: Polycentric governance of complex economic systems (2010) American Economic Review, 100 (3), pp. 641-672. , https://doi.org/10.1257/aer.100.3.641, Accessed 10 November 2020; Perkis, David, Making sense of private debt (2020) Economic Research: Federal Reserve Bank of St. Louis, , https://research.stlouisfed.org/publications/page1-econ/2020/03/02/making-sense-of-private-debt, Accessed 10 November 2020; Pritzker, Penny, Arnold, Ken, Moyer, Brian, Measuring the economy: A primer on GDP and the national income and product accounts (2015) Bureau of Economic Analysis, , https://www.bea.gov/sites/default/files/methodologies/nipa_primer.pdf, US Department of Commerce, Accessed 10 November 2020; Ramankutty, Navin, Evan, Amato T., Monfreda, Chad, Foley, Jonathan A., Farming the planet: 1: Geographic distribution of global agricultural lands in the year 2000 (2008) Global Biogeochemical Cycles, 22, p. 1. , https://doi.org/10.1029/2007GB002952, Accessed 5 November 2020; Ratner, Shanna E., (2020) Wealth Creation: A New Framework for Rural Economic and Community Development, , New York: Routledge; Raworth, Kate, (2012) A Safe and Just Space for Humanity: Can We Live within the Doughnut?, , https://www.oxfam.org/en/research/safe-and-just-space-humanity, Oxfam Discussion Paper, Accessed 10 November 2020; Røpke, Inge, The early history of modern ecological economics (2004) Ecological Economics, 50, pp. 293-314. , 3&amp;4; Sanderman, Jonathan, Hengl, Tomislav, Fiske, Gregory J., Soil carbon debt of 12,000 years of human land use (2017) Proceedings of the National Academy of Sciences of the United States of America, 114 (36), pp. 9575-9580. , https://www.jstor.org/stable/26487608, Accessed 5 November 2020; (2012) The circular flow of income, , https://saylordotorg.github.io/text_economics-theory-through-applications/s22-03-the-circular-flow-of-income.html, Accessed 5 November 2020; Schneider, François, Kallis, Giorgos, Martinez-Alier, Joan, Crisis or opportunity? Economic degrowth for social equity and ecological sustainability (2010) Journal of Cleaner Production, Special Issue, 18 (6), pp. 511-518. , https://doi.org/10.1016/j.jclepro.2010.01.014, Accessed 1 November 2020; Spencer-Brown, George, (1969) Laws of Form, , London: Allen &amp; Unwin; Thompson, Evan, Empathy and consciousness (2001) Journal of Consciousness Studies, 8, pp. 1-32. , 5&amp;6&amp;7; Varela, Francisco J., A calculus for self-reference (1975) International Journal of General Systems, 2 (1), pp. 5-24; Varela, Francisco J., The creative circle: Sketches on the natural history of circularity (1984) The Invented Reality, pp. 309-325. , P. Watzlavick (ed), New York: Norton Publishing; Varela, Francisco J., The early days of autopoiesis (2009) Emergence and Embodiment: New Essays on Second Order Systems Theory, pp. 62-76. , B. Clarke and M. B. N. Hansen (eds), Durham, NC and London: Duke University Press; von Foerster, Heinz, Ethics and second order cybernetics (1990) International Conference on Systems and Family Therapy: Ethics, Epistemology, New Methods, , https://www.semanticscholar.org/paper/Ethicsand-second-order-cybernetics-Foerster/7ff94a923a0111eb9bcc3f08b3f01109e790a732, Paris, 4 October, Accessed 1 November 2020; von Foerster, Heinz, (2003) Understanding Understanding: Essays on Cybernetics and Cognition, , New York: Springer; Wagler, Ron, The Anthropocene mass extinction: An emerging curriculum theme for science educators (2011) The American Biology Teacher, 73 (2), pp. 78-83. , https://doi.org/10.1525/abt.2011.73.2.5, Accessed 1 November 2020; Ward, Peter, (2009) The Medea Hypothesis: Is Life on Earth Ultimately Self-Destructive?, , Princeton, NJ: Princeton University Press</t>
  </si>
  <si>
    <t>Intellect Ltd.</t>
  </si>
  <si>
    <t>1477965X</t>
  </si>
  <si>
    <t>2-s2.0-85133182449</t>
  </si>
  <si>
    <t>Yagnik N., Sharma C.</t>
  </si>
  <si>
    <t>57351418100;57195611664;</t>
  </si>
  <si>
    <t>Optimizing activity recognition in video using evolutionary computation</t>
  </si>
  <si>
    <t>Engineering Letters</t>
  </si>
  <si>
    <t>1452</t>
  </si>
  <si>
    <t>1461</t>
  </si>
  <si>
    <t>https://www.scopus.com/inward/record.uri?eid=2-s2.0-85119952970&amp;partnerID=40&amp;md5=ea427145ca9c640c6171f7ef3a880208</t>
  </si>
  <si>
    <t>Department of Information and Communication Technology, Manipal Institute of Technology, Manipal Academy of Higher Education, Manipal, Karnataka, India</t>
  </si>
  <si>
    <t>Yagnik, N., Department of Information and Communication Technology, Manipal Institute of Technology, Manipal Academy of Higher Education, Manipal, Karnataka, India; Sharma, C., Department of Information and Communication Technology, Manipal Institute of Technology, Manipal Academy of Higher Education, Manipal, Karnataka, India</t>
  </si>
  <si>
    <t>We live in an era where the internet is flourishing with image and video data. Several algorithms and architecture have been devised, making most of such data and have been used to solve crucial problems. The number of features in image and video data can be extremely high, and such data can reach a dimensionality of thousands making the pre-processing step of feature selection extremely important. This work proposes the use of Evolutionary Computations to optimize the problem of Video Action Recognition or Classification. The VGG-16 architecture is used for extracting features from the images. The Binary Particle Swarm Optimization algorithm is devised to perform feature selection on the image frames extracted from the video. Two separate experiments are then performed to optimize hyper-parameter selections, using Particle Swarm Optimization and another Evolution Strategy. The robustness and consistency of the proposed methodology are tested on two popular datasets. The results obtained show that the optimized implementations using Evolutionary Algorithms perform much better than the traditional technique with no optimization. © 2021, International Association of Engineers. All rights reserved.</t>
  </si>
  <si>
    <t>Deep Learning; Evolutionary Algorithms; Feature Selection; Hyper-parameter Optimization; Particle Swarm Op-timization</t>
  </si>
  <si>
    <t>Deep learning; Particle swarm optimization (PSO); Video recording; Action classifications; Activity recognition; Deep learning; Features selection; Hyper-parameter optimizations; Image data; Particle swarm; Particle swarm op-timization; Pre-processing step; Video data; Feature extraction</t>
  </si>
  <si>
    <t>Nadeem, M. S., Franqueira, V. N. L., Zhai, X., Kurugollu, F., A Survey of Deep Learning Solutions for Multimedia Visual Content Analysis (2019) IEEE Access, 7, pp. pp84003-pp84019; Sharma, Neha, Jain, Vibhor, Mishra, Anju, An Analysis Of Convolutional Neural Networks For Image Classification (2018) Procedia Computer Science, 132, pp. pp377-pp384; Hiley, Liam, Preece, Alun, Hicks, Yulia, Explainable Deep Learning for Video Recognition Tasks: A Framework &amp; Recommendations, , arXiv:1909.05667; Coello Coello, Carlos A., An introduction to evolutionary algorithms and their applications (2005) Proceedings of the 5th international conference on Advanced Distributed Systems (ISSADS’05), pp. 425-442. , Springer-Verlag, Berlin, Heidelberg; Baldominos, Alejandro, Hybridizing Evolutionary Computation and Deep Neural Networks: An Approach to Handwriting Recognition Using Committees and Transfer Learning (2019) Hindawi,Complexity, pp. 1-16; Orive, D., Sorrosal, G., Borges, Cruz, Martin, Cristina, Alonso-Vicario, Evolutionary algorithms for hyperparameter tuning on neural network models (2014) 26th European Modeling and Simulation Symposium, EMSS (2014), , pp402-409, 2014; Simonyan, Karen, Zisserman, Andrew, (2015) Very Deep Convolutional Networks for Large-Scale Image Recognition, , arXiv:1409.1556, ICLR; Liu, Jingen, Luo, Jiebo, Shah, Mubarak, Recognizing realistic actions from videos “in the wild” (2009) 2009 IEEE Conference on Computer Vision and Pattern Recognition, pp1996-2003, , IEEE; Anguita, Davide, Ghio, Alessandro, Oneto, Luca, Parra, Xavier, Reyes-Ortiz, Jorge Luis, A public domain dataset for human activity recognition using smartphones (2013) Esann, 3, p. 3; Sharma, Neha, Jain, Vibhor, Mishra, Anju, An Analysis Of Convolutional Neural Networks For Image Classification (2018) Procedia Computer Science, (132), pp. pp377-pp384. , (2018); Yang, J., Li, J., Application of deep convolutional neural network (2017) 2017 14th International Computer Conference on Wavelet Ac-tive Media Technology and Information Processing (ICCWAMTIP), pp. pp229-pp232. , Chengdu, 2017; Kennedy, J., Eberhart, R., Particle swarm optimization (1995) Proceedings of ICNN’95-International Conference on Neural Networks, 4. , Perth, WA, Australia, pp1942-1948 1995; Qolomany, B., Maabreh, M., Al-Fuqaha, A., Gupta, A., Benhad-dou, D., Parameters optimization of deep learning models using Particle swarm optimization (2017) 2017 13th International Wireless Communications and Mobile Computing Conference (IWCMC), , Valencia, pp1285-1290; Xue, B., Zhang, M., Browne, W. N., Particle Swarm Optimization for Feature Selection in Classification: A Multi-Objective Approach (2013) IEEE Transactions on Cybernetics, 43 (6), pp. pp1656-pp1671; Beyer, Hans-Georg, Schwefel, Hans-Paul, Evolution strategies-A comprehensive introduction (2002) Natural Computing, 1 (1), pp. pp3-p52; Miao, Jianyu, Niu, Lingfeng, Survey on Feature Selection (2016) Pro-cedia Computer Science, 91, pp. pp919-pp926; Bergstra, James, Bardenet, Rémi, Bengio, Yoshua, Kégl, Balázs, Algorithms for hyper-parameter optimization (2011) Proceedings of the 24th International Conference on Neural Information Processing Systems (NIPS’11), , pp2546–2554; Zha, S., Luisier, F., Andrews, W., Srivastava, N., Salakhut-dinov, R., Exploiting Image-trained CNN Architectures for Uncon-strained Video Classification (2015) 26th British Machine Vision Conference (BMVC’15), , 60.1-60.13; Wu, Zuxuan, Yao, Ting, Fu, Yanwei, Jiang, Yu-Gang, Deep learning for video classification and captioning (2017) Frontiers of multimedia research, , pp3-29; Dan, Wu, Wei-Hua, Xie, Short Video Classification Based on Spatio-Temporal Features and SVM (2019) IEEE/ACIS 18th International Conference on Computer and Information Science (ICIS), , pp493-496; Sun, Yanan, Xue, Bing, Zhang, Mengjie, Yen, Gary, Auto-matically Designing CNN Architectures Using Genetic Algorithm for Image Classification (2020) IEEE Transactions on Cybernetics, 50 (9), pp. pp3840-pp3854. , 2020; Shen, Q., Liu, C., Zou, H., Zhou, S., Chen, T., A Method of Image Classification with Optimized BP Neural Network by Genetic Algo-rithm (2015) 2015 International Conference on Intelligent Networking and Collaborative Systems, , Taipei, pp123-129; Vieira, Susana M., Mendonça, Luís F., Farinha, Goncalo J., Sousa, João MC, Modified binary PSO for feature selection using SVM applied to mortality prediction of septic patients (2013) Applied Soft Computing, 13 (8), pp. pp3494-pp3504. , 2013; Young, Steven, Rose, Derek, Karnowski, Thomas, Lim, Seung-Hwan, Patton, Robert, Optimizing deep learning hyper-parameters through an evolutionary algorithm (2015) MLHPC ’15, , pp1-5; Sun, Wei-Zhong, Guo, Fu-Jun, Wang, Jie-Sheng, Chen, Lin, Wei, Dong, DuFeature, Xin-Feng, Extraction, Essential Dimension Estimation and Dimension Reduction Method of Colony Images (2021) IAENG International Journal of Computer Science, 48 (2), pp. pp379-pp391; Sun, Wei-Zhong, Zhang, Min, Wang, Jie-Sheng, Guo, Sha-Sha, Wang, Min, Hao, Wen-Kuo, Binary Particle Swarm Optimization Algorithm Based on Z-shaped Probability Transfer Function to Solve 0-1 Knapsack Problem (2021) IAENG International Journal of Computer Science, 48 (2), pp. pp294-pp303; Elgendy, Islam T., Girgis, Moheb R., Sewisy, Adel A., A GA-Based Approach to Automatic Test Data Generation for ASP.NET Web Applications (2020) IAENG International Journal of Computer Science, 47 (3), pp. pp557-pp564. , 2020; Sharma, Chethan, Singh, Siddharth, Poornalatha, G, Ajitha Shenoy, KB, Performance Analysis of Object Detection Algorithms on YouTube Video Object Dataset (2021) Engineering Letters, 29 (2), pp. pp813-pp817; Ahmad, Iftikhar, Feature Selection Using Particle Swarm Optimization in Intrusion Detection (2015) International Journal of Distributed Sensor Networks, 11 (10), pp. pp1-pp8; Aghdam, Mehdi Hosseinzadeh, Heidari, Setareh, Feature Selection Using Particle Swarm Optimization in Text Categorization (2015) Journal of Artificial Intelligence and Soft Computing Research, 5 (4), pp. 231-238. , https://doi.org/10.1515/jaiscr-2015-0031; Maheswaranathan, N., Metz, Luke, Tucker, George, Choi, Dami, Sohl-Dickstein, J., Guided evolutionary strategies: augmenting random search with surrogate gradients (2019) ICML, , pp4264-4273, PMLR; Rajaraman, S, Antani, SK, Poostchi, M, Silamut, K, Hossain, MA, Maude, RJ, Jaeger, S, Thoma, GR, Pre-trained convolutional neural networks as feature extractors toward improved malaria parasite detection in thin blood smear images (2018) PeerJ, 6, p. e4568. , Apr 16;:. PMID: 29682411; PMCID: PMC5907772</t>
  </si>
  <si>
    <t>International Association of Engineers</t>
  </si>
  <si>
    <t>1816093X</t>
  </si>
  <si>
    <t>Eng. Lett.</t>
  </si>
  <si>
    <t>2-s2.0-85119952970</t>
  </si>
  <si>
    <t>Tornero-Costa R., Martinez-Millana A., Azzopardi-Muscat N., Lazeri L., Traver V., Novillo-Ortiz D.</t>
  </si>
  <si>
    <t>57848216800;49964119000;56185341300;15071121100;36947073600;26031731900;</t>
  </si>
  <si>
    <t>Methodological and Quality Flaws in the Use of Artificial Intelligence in Mental Health Research: Systematic Review</t>
  </si>
  <si>
    <t>JMIR Mental Health</t>
  </si>
  <si>
    <t>e42045</t>
  </si>
  <si>
    <t>10.2196/42045</t>
  </si>
  <si>
    <t>https://www.scopus.com/inward/record.uri?eid=2-s2.0-85149946483&amp;doi=10.2196%2f42045&amp;partnerID=40&amp;md5=a21a926bc89e111c5c86c1066249c486</t>
  </si>
  <si>
    <t>Instituto Universitario de Investigación de Aplicaciones de las Tecnologías de la Información y de las Comunicaciones Avanzadas, Universitat Politècnica de València, Valencia, Spain; Division of Country Health Policies and Systems, World Health Organization, Regional Office for Europe, Copenhagen, Denmark</t>
  </si>
  <si>
    <t>Tornero-Costa, R., Instituto Universitario de Investigación de Aplicaciones de las Tecnologías de la Información y de las Comunicaciones Avanzadas, Universitat Politècnica de València, Valencia, Spain; Martinez-Millana, A., Instituto Universitario de Investigación de Aplicaciones de las Tecnologías de la Información y de las Comunicaciones Avanzadas, Universitat Politècnica de València, Valencia, Spain; Azzopardi-Muscat, N., Division of Country Health Policies and Systems, World Health Organization, Regional Office for Europe, Copenhagen, Denmark; Lazeri, L., Division of Country Health Policies and Systems, World Health Organization, Regional Office for Europe, Copenhagen, Denmark; Traver, V., Instituto Universitario de Investigación de Aplicaciones de las Tecnologías de la Información y de las Comunicaciones Avanzadas, Universitat Politècnica de València, Valencia, Spain; Novillo-Ortiz, D., Division of Country Health Policies and Systems, World Health Organization, Regional Office for Europe, Copenhagen, Denmark</t>
  </si>
  <si>
    <t>Background: Artificial intelligence (AI) is giving rise to a revolution in medicine and health care. Mental health conditions are highly prevalent in many countries, and the COVID-19 pandemic has increased the risk of further erosion of the mental well-being in the population. Therefore, it is relevant to assess the current status of the application of AI toward mental health research to inform about trends, gaps, opportunities, and challenges. Objective: This study aims to perform a systematic overview of AI applications in mental health in terms of methodologies, data, outcomes, performance, and quality. Methods: A systematic search in PubMed, Scopus, IEEE Xplore, and Cochrane databases was conducted to collect records of use cases of AI for mental health disorder studies from January 2016 to November 2021. Records were screened for eligibility if they were a practical implementation of AI in clinical trials involving mental health conditions. Records of AI study cases were evaluated and categorized by the International Classification of Diseases 11th Revision (ICD-11). Data related to trial settings, collection methodology, features, outcomes, and model development and evaluation were extracted following the CHARMS (Critical Appraisal and Data Extraction for Systematic Reviews of Prediction Modelling Studies) guideline. Further, evaluation of risk of bias is provided. Results: A total of 429 nonduplicated records were retrieved from the databases and 129 were included for a full assessment—18 of which were manually added. The distribution of AI applications in mental health was found unbalanced between ICD-11 mental health categories. Predominant categories were Depressive disorders (n=70) and Schizophrenia or other primary psychotic disorders (n=26). Most interventions were based on randomized controlled trials (n=62), followed by prospective cohorts (n=24) among observational studies. AI was typically applied to evaluate quality of treatments (n=44) or stratify patients into subgroups and clusters (n=31). Models usually applied a combination of questionnaires and scales to assess symptom severity using electronic health records (n=49) as well as medical images (n=33). Quality assessment revealed important flaws in the process of AI application and data preprocessing pipelines. One-third of the studies (n=56) did not report any preprocessing or data preparation. One-fifth of the models were developed by comparing several methods (n=35) without assessing their suitability in advance and a small proportion reported external validation (n=21). Only 1 paper reported a second assessment of a previous AI model. Risk of bias and transparent reporting yielded low scores due to a poor reporting of the strategy for adjusting hyperparameters, coefficients, and the explainability of the models. International collaboration was anecdotal (n=17) and data and developed models mostly remained private (n=126). Conclusions: These significant shortcomings, alongside the lack of information to ensure reproducibility and transparency, are indicative of the challenges that AI in mental health needs to face before contributing to a solid base for knowledge generation and for being a support tool in mental health management. ©Roberto Tornero-Costa, Antonio Martinez-Millana, Natasha Azzopardi-Muscat, Ledia Lazeri, Vicente Traver, David Novillo-Ortiz.</t>
  </si>
  <si>
    <t>artificial intelligence; health research; mental health; research methodology; research quality; review methodology; systematic review; trial methodology</t>
  </si>
  <si>
    <t>https://www.euro.who.int/en/health-topics/health-policy/european-programme-of-work/flagship-initiatives/the-pan-european-mental-health-coalition, WHO. [accessed 2023-01-23]; (2020) European Programme of Work, 2020–2025, , https://www.who.int/europe/about-us/our-work/european-programme-of-work, WHO. [accessed 2023-01-23]; Reddy, S, Fox, J, Purohit, MP., Artificial intelligence-enabled healthcare delivery (2019) J R Soc Med, 112 (1), pp. 22-28. , Jan; [FREE Full _text] [doi] [Medline: 30507284]; He, J, Baxter, SL, Xu, J, Xu, J, Zhou, X, Zhang, K., The practical implementation of artificial intelligence technologies in medicine (2019) Nat Med, 25 (1), pp. 30-36. , Jan; [FREE Full _text] [doi] [Medline: 30617336]; Borges do Nascimento, IJ, Marcolino, MS, Abdulazeem, HM, Weerasekara, I, Azzopardi-Muscat, N, Gonçalves, MA, Impact of Big Data Analytics on People's Health: Overview of Systematic Reviews and Recommendations for Future Studies (2021) J Med Internet Res, 23 (4), p. e27275. , Apr 13; [FREE Full _text] [doi] [Medline: 33847586]; Andaur Navarro, CL, Damen, JAA, Takada, T, Nijman, SWJ, Dhiman, P, Ma, J, Risk of bias in studies on prediction models developed using supervised machine learning techniques: systematic review (2021) BMJ, 375, p. n2281. , Oct 20;: [FREE Full _text] [doi] [Medline: 34670780]; Felzmann, H, Fosch-Villaronga, E, Lutz, C, Tamò-Larrieux, A., Towards Transparency by Design for Artificial Intelligence (2020) Sci Eng Ethics, 26 (6), pp. 3333-3361. , Dec 16; [FREE Full _text] [doi] [Medline: 33196975]; Vollmer, S, Mateen, BA, Bohner, G, Király, FJ, Ghani, R, Jonsson, P, Machine learning and artificial intelligence research for patient benefit: 20 critical questions on transparency, replicability, ethics, and effectiveness (2020) BMJ, 368, p. l6927. , Mar 20;: [FREE Full _text] [doi] [Medline: 32198138]; Page, MJ, McKenzie, JE, Bossuyt, PM, Boutron, I, Hoffmann, TC, Mulrow, CD, The PRISMA 2020 statement: An updated guideline for reporting systematic reviews (2021) Int J Surg, 88, p. 105906. , Apr;:. [doi] [Medline: 33789826]; Moons, KGM, de Groot, JAH, Bouwmeester, W, Vergouwe, Y, Mallett, S, Altman, DG, Critical appraisal and data extraction for systematic reviews of prediction modelling studies: the CHARMS checklist (2014) PLoS Med, 11 (10), p. e1001744. , Oct 14; [FREE Full _text] [doi] [Medline: 25314315]; Higgins, JPT, Savović, J, Page, MJ, Elbers, RG, Sterne, JAC., Chapter 8: Assessing risk of bias in a randomized trial Cochrane Handbook for Systematic Reviews of Interventions version 6.3 (updated February 2022), , Higgins JPT, Thomas J, Chandler J, Cumpston M, Li T, Page MJ, et al, editors. London, UK: Cochrane; 2022; Wolff, RF, Moons, KG, Riley, RD, Whiting, PF, Westwood, M, Collins, GS, PROBAST: A Tool to Assess the Risk of Bias and Applicability of Prediction Model Studies (2019) Ann Intern Med, 170 (1), p. 51. , Jan 01; [doi]; Higgins, J., (2011) Cochrane Handbook for Systematic Reviews of Interventions Version 5, , https://training.cochrane.org/handbook, The Cochrane Collaboration. London, UK: Cochrane Collaboration; [accessed 2023-01-24]; Caye, A, Agnew-Blais, J, Arseneault, L, Gonçalves, H, Kieling, C, Langley, K, A risk calculator to predict adult attention-deficit/hyperactivity disorder: generation and external validation in three birth cohorts and one clinical sample (2019) Epidemiol Psychiatr Sci, 29, p. e37. , May 15;:. [doi]; de Pierrefeu, A, Löfstedt, T, Laidi, C, Hadj-Selem, F, Bourgin, J, Hajek, T, Identifying a neuroanatomical signature of schizophrenia, reproducible across sites and stages, using machine learning with structured sparsity (2018) Acta Psychiatr Scand, 138 (6), pp. 571-580. , Dec 21; [doi] [Medline: 30242828]; Vieira, S, Gong, QY, Pinaya, WHL, Scarpazza, C, Tognin, S, Crespo-Facorro, B, Using Machine Learning and Structural Neuroimaging to Detect First Episode Psychosis: Reconsidering the Evidence (2020) Schizophr Bull, 46 (1), pp. 17-26. , Jan 04; [FREE Full _text] [doi] [Medline: 30809667]; Bae, Y, Kumarasamy, K, Ali, IM, Korfiatis, P, Akkus, Z, Erickson, BJ., Differences Between Schizophrenic and Normal Subjects Using Network Properties from fMRI (2018) J Digit Imaging, 31 (2), pp. 252-261. , Apr 18; [FREE Full _text] [doi] [Medline: 28924878]; Chand, GB, Dwyer, DB, Erus, G, Sotiras, A, Varol, E, Srinivasan, D, Two distinct neuroanatomical subtypes of schizophrenia revealed using machine learning (2020) Brain, 143 (3), pp. 1027-1038. , Mar 01; [FREE Full _text] [doi] [Medline: 32103250]; Koutsouleris, N, Wobrock, T, Guse, B, Langguth, B, Landgrebe, M, Eichhammer, P, Predicting Response to Repetitive Transcranial Magnetic Stimulation in Patients With Schizophrenia Using Structural Magnetic Resonance Imaging: A Multisite Machine Learning Analysis (2018) Schizophr Bull, 44 (5), pp. 1021-1034. , Aug 20; [FREE Full _text] [doi] [Medline: 28981875]; Anderson, JP, Icten, Z, Alas, V, Benson, C, Joshi, K., Comparison and predictors of treatment adherence and remission among patients with schizophrenia treated with paliperidone palmitate or atypical oral antipsychotics in community behavioral health organizations (2017) BMC Psychiatry, 17 (1), p. 346. , Oct 18; [FREE Full _text] [doi] [Medline: 29047368]; Chung, Y, Addington, J, Bearden, CE, Cadenhead, K, Cornblatt, B, Mathalon, DH, Use of Machine Learning to Determine Deviance in Neuroanatomical Maturity Associated With Future Psychosis in Youths at Clinically High Risk (2018) JAMA Psychiatry, 75 (9), pp. 960-968. , North American Prodrome Longitudinal Study (NAPLS) Consortiumthe Pediatric Imaging Neurocognition‚Genetics (PING) Study Consortium. Sep 01; [FREE Full _text] [doi] [Medline: 29971330]; Dillon, K, Calhoun, V, Wang, Y., A robust sparse-modeling framework for estimating schizophrenia biomarkers from fMRI (2017) J Neurosci Methods, 276, pp. 46-55. , Jan 30;: [FREE Full _text] [doi] [Medline: 27867012]; Schreiner, M, Forsyth, JK, Karlsgodt, KH, Anderson, AE, Hirsh, N, Kushan, L, Intrinsic Connectivity Network-Based Classification and Detection of Psychotic Symptoms in Youth With 22q11.2 Deletions (2017) Cereb Cortex, 27 (6), pp. 3294-3306. , Jun 01; [FREE Full _text] [doi] [Medline: 28383675]; Lefort-Besnard, J, Varoquaux, G, Derntl, B, Gruber, O, Aleman, A, Jardri, R, Patterns of schizophrenia symptoms: hidden structure in the PANSS questionnaire (2018) Transl Psychiatry, 8 (1), p. 237. , Oct 30; [FREE Full _text] [doi] [Medline: 30375374]; Brodey, B, Girgis, R, Favorov, O, Bearden, C, Woods, S, Addington, J, The Early Psychosis Screener for Internet (EPSI)-SR: Predicting 12 month psychotic conversion using machine learning (2019) Schizophr Res, 208, pp. 390-396. , Jun;: [FREE Full _text] [doi] [Medline: 30777603]; Koutsouleris, N, Kahn, RS, Chekroud, AM, Leucht, S, Falkai, P, Wobrock, T, Multisite prediction of 4-week and 52-week treatment outcomes in patients with first-episode psychosis: a machine learning approach (2016) The Lancet Psychiatry, 3 (10), pp. 935-946. , Oct; [doi]; Nieuwenhuis, M, Schnack, HG, van Haren, NE, Lappin, J, Morgan, C, Reinders, AA, Multi-center MRI prediction models: Predicting sex and illness course in first episode psychosis patients (2017) Neuroimage, 145, pp. 246-253. , Jan 15;(Pt B): [FREE Full _text] [doi] [Medline: 27421184]; Rozycki, M, Satterthwaite, TD, Koutsouleris, N, Erus, G, Doshi, J, Wolf, DH, Multisite Machine Learning Analysis Provides a Robust Structural Imaging Signature of Schizophrenia Detectable Across Diverse Patient Populations and Within Individuals (2018) Schizophr Bull, 44 (5), pp. 1035-1044. , Aug 20; [FREE Full _text] [doi] [Medline: 29186619]; Chen, J, Zang, Z, Braun, U, Schwarz, K, Harneit, A, Kremer, T, Association of a Reproducible Epigenetic Risk Profile for Schizophrenia With Brain Methylation and Function (2020) JAMA Psychiatry, 77 (6), pp. 628-636. , Jun 01; [FREE Full _text] [doi] [Medline: 32049268]; Fond, G, Bulzacka, E, Boucekine, M, Schürhoff, F, Berna, F, Godin, O, FACE-SZ (FondaMental Academic Centers of Expertise for Schizophrenia) group, et al. Machine learning for predicting psychotic relapse at 2 years in schizophrenia in the national FACE-SZ cohort (2019) Prog Neuropsychopharmacol Biol Psychiatry, 92, pp. 8-18. , Jun 08;: [doi] [Medline: 30552914]; Gibbons, RD, Chattopadhyay, I, Meltzer, HY, Kane, JM, Guinart, D., Development of a computerized adaptive diagnostic screening tool for psychosis (2022) Schizophr Res, 245, pp. 116-121. , Jul;: [doi] [Medline: 33836922]; Martinuzzi, E, Barbosa, S, Daoudlarian, D, Bel Haj Ali, W, Gilet, C, Fillatre, L, Stratification and prediction of remission in first-episode psychosis patients: the OPTiMiSE cohort study (2019) Transl Psychiatry, 9 (1), p. 20. , Jan 17; [FREE Full _text] [doi] [Medline: 30655509]; Skåtun, KC, Kaufmann, T, Doan, NT, Alnæs, D, Córdova-Palomera, A, Jönsson, EG, Ka, SP, Consistent Functional Connectivity Alterations in Schizophrenia Spectrum Disorder: A Multisite Study (2017) Schizophr Bull, 43 (4), pp. 914-924. , Jul 01; [FREE Full _text] [doi] [Medline: 27872268]; Busk, J, Faurholt-Jepsen, M, Frost, M, Bardram, JE, Vedel Kessing, L, Winther, O., Forecasting Mood in Bipolar Disorder From Smartphone Self-assessments: Hierarchical Bayesian Approach (2020) JMIR Mhealth Uhealth, 8 (4), p. e15028. , Apr 01; [FREE Full _text] [doi] [Medline: 32234702]; Sun, ZY, Houenou, J, Duclap, D, Sarrazin, S, Linke, J, Daban, C, Shape analysis of the cingulum, uncinate and arcuate fasciculi in patients with bipolar disorder (2017) J Psychiatry Neurosci, 42 (1), pp. 27-36. , Jan; [FREE Full _text] [doi] [Medline: 28234596]; Kim, TT, Dufour, S, Xu, C, Cohen, ZD, Sylvia, L, Deckersbach, T, Predictive modeling for response to lithium and quetiapine in bipolar disorder (2019) Bipolar Disord, 21 (5), pp. 428-436. , Aug; [doi] [Medline: 30729637]; Lei, D, Li, W, Tallman, MJ, Patino, LR, McNamara, RK, Strawn, JR, Changes in the brain structural connectome after a prospective randomized clinical trial of lithium and quetiapine treatment in youth with bipolar disorder (2021) Neuropsychopharmacology, 46 (7), pp. 1315-1323. , Jun; [FREE Full _text] [doi] [Medline: 33753882]; Brown, EC, Clark, DL, Forkert, ND, Molnar, CP, Kiss, ZHT, Ramasubbu, R., Metabolic activity in subcallosal cingulate predicts response to deep brain stimulation for depression (2020) Neuropsychopharmacology, 45 (10), pp. 1681-1688. , Sep; [FREE Full text] [doi] [Medline: 32580207]; Carrillo, F, Sigman, M, Fernández Slezak, D, Ashton, P, Fitzgerald, L, Stroud, J, Natural speech algorithm applied to baseline interview data can predict which patients will respond to psilocybin for treatment-resistant depression (2018) J Affect Disord, 230, pp. 84-86. , Apr 01;: [doi] [Medline: 29407543]; Sikora, M, Heffernan, J, Avery, ET, Mickey, BJ, Zubieta, J, Peciña, M., Salience Network Functional Connectivity Predicts Placebo Effects in Major Depression (2016) Biol Psychiatry Cogn Neurosci Neuroimaging, 1 (1), pp. 68-76. , Jan; [FREE Full _text] [doi] [Medline: 26709390]; Al-Kaysi, AM, Al-Ani, A, Loo, CK, Powell, TY, Martin, DM, Breakspear, M, Predicting tDCS treatment outcomes of patients with major depressive disorder using automated EEG classification (2017) J Affect Disord, 208, pp. 597-603. , Jan 15;: [doi] [Medline: 28029427]; Athreya, A, Iyer, R, Neavin, D, Wang, L, Weinshilboum, R, Kaddurah-Daouk, R, Augmentation of Physician Assessments with Multi-Omics Enhances Predictability of Drug Response: A Case Study of Major Depressive Disorder (2018) IEEE Comput Intell Mag, 13 (3), pp. 20-31. , Aug; [doi]; Bai, R, Xiao, L, Guo, Y, Zhu, X, Li, N, Wang, Y, Tracking and Monitoring Mood Stability of Patients With Major Depressive Disorder by Machine Learning Models Using Passive Digital Data: Prospective Naturalistic Multicenter Study (2021) JMIR Mhealth Uhealth, 9 (3), p. e24365. , Mar 08; [FREE Full _text] [doi] [Medline: 33683207]; Bao, Z, Zhao, X, Li, J, Zhang, G, Wu, H, Ning, Y, Prediction of repeated-dose intravenous ketamine response in major depressive disorder using the GWAS-based machine learning approach (2021) J Psychiatr Res, 138, pp. 284-290. , Jun;: [doi] [Medline: 33878621]; Bartlett, EA, DeLorenzo, C, Sharma, P, Yang, J, Zhang, M, Petkova, E, Pretreatment and early-treatment cortical thickness is associated with SSRI treatment response in major depressive disorder (2018) Neuropsychopharmacology, 43 (11), pp. 2221-2230. , Oct 19; [FREE Full _text] [doi] [Medline: 29955151]; Bremer, V, Becker, D, Kolovos, S, Funk, B, van Breda, W, Hoogendoorn, M, Predicting Therapy Success and Costs for Personalized Treatment Recommendations Using Baseline Characteristics: Data-Driven Analysis (2018) J Med Internet Res, 20 (8), p. e10275. , Aug 21; [FREE Full _text] [doi] [Medline: 30131318]; Goerigk, S, Hilbert, S, Jobst, A, Falkai, P, Bühner, M, Stachl, C, Predicting instructed simulation and dissimulation when screening for depressive symptoms (2020) Eur Arch Psychiatry Clin Neurosci, 270 (2), pp. 153-168. , Mar 12; [doi] [Medline: 30542818]; Hopman, H, Chan, S, Chu, W, Lu, H, Tse, C, Chau, S, Personalized prediction of transcranial magnetic stimulation clinical response in patients with treatment-refractory depression using neuroimaging biomarkers and machine learning (2021) J Affect Disord, 290, pp. 261-271. , Jul 01;: [doi] [Medline: 34010751]; Monaro, M, Toncini, A, Ferracuti, S, Tessari, G, Vaccaro, MG, De Fazio, P, The Detection of Malingering: A New Tool to Identify Made-Up Depression (2018) Front Psychiatry, 9, p. 249. , Jun 8;: [FREE Full _text] [doi] [Medline: 29937740]; Nie, Z, Vairavan, S, Narayan, VA, Ye, J, Li, QS., Predictive modeling of treatment resistant depression using data from STAR*D and an independent clinical study (2018) PLoS One, 13 (6), p. e0197268. , Jun 7; [FREE Full _text] [doi] [Medline: 29879133]; Setoyama, D, Kato, TA, Hashimoto, R, Kunugi, H, Hattori, K, Hayakawa, K, Plasma Metabolites Predict Severity of Depression and Suicidal Ideation in Psychiatric Patients-A Multicenter Pilot Analysis (2016) PLoS One, 11 (12), p. e0165267. , Dec 16; [FREE Full _text] [doi] [Medline: 27984586]; Shepherd-Banigan, M, Smith, VA, Lindquist, JH, Cary, MP, Miller, KEM, Chapman, JG, Identifying treatment effects of an informal caregiver education intervention to increase days in the community and decrease caregiver distress: a machine-learning secondary analysis of subgroup effects in the HI-FIVES randomized clinical trial (2020) Trials, 21 (1), p. 189. , Feb 14; [FREE Full _text] [doi] [Medline: 32059687]; Zhao, M, Feng, Z., Machine Learning Methods to Evaluate the Depression Status of Chinese Recruits: A Diagnostic Study (2020) NDT, 16, pp. 2743-2752. , Nov;: [doi]; Schultebraucks, K, Choi, KW, Galatzer-Levy, IR, Bonanno, GA., Discriminating Heterogeneous Trajectories of Resilience and Depression After Major Life Stressors Using Polygenic Scores (2021) JAMA Psychiatry, 78 (7), pp. 744-752. , Jul 01; [FREE Full _text] [doi] [Medline: 33787853]; Castellani, B, Griffiths, F, Rajaram, R, Gunn, J., Exploring comorbid depression and physical health trajectories: A case-based computational modelling approach (2018) J Eval Clin Pract, 24 (6), pp. 1293-1309. , Dec 02; [doi] [Medline: 30277297]; Jacobson, NC, Nemesure, MD., Using Artificial Intelligence to Predict Change in Depression and Anxiety Symptoms in a Digital Intervention: Evidence from a Transdiagnostic Randomized Controlled Trial (2021) Psychiatry Res, 295, p. 113618. , Jan;: [FREE Full _text] [doi] [Medline: 33278743]; Kessler, RC, Furukawa, TA, Kato, T, Luedtke, A, Petukhova, M, Sadikova, E, An individualized treatment rule to optimize probability of remission by continuation, switching, or combining antidepressant medications after failing a first-line antidepressant in a two-stage randomized trial (2021) Psychol Med, 52 (15), pp. 3371-3380. , Mar 08; [doi]; Bondar, J, Caye, A, Chekroud, AM, Kieling, C., Symptom clusters in adolescent depression and differential response to treatment: a secondary analysis of the Treatment for Adolescents with Depression Study randomised trial (2020) The Lancet Psychiatry, 7 (4), pp. 337-343. , Apr; [doi]; Kato, M, Asami, Y, Wajsbrot, DB, Wang, X, Boucher, M, Prieto, R, Clustering patients by depression symptoms to predict venlafaxine ER antidepressant efficacy: Individual patient data analysis (2020) J Psychiatr Res, 129, pp. 160-167. , Oct;: [FREE Full _text] [doi] [Medline: 32912597]; Bueno, ML, Hommersom, A, Lucas, PJ, Janzing, J., A probabilistic framework for predicting disease dynamics: A case study of psychotic depression (2019) J Biomed Inform, 95, p. 103232. , Jul;: [FREE Full _text] [doi] [Medline: 31201965]; Alexopoulos, GS, Raue, PJ, Banerjee, S, Mauer, E, Marino, P, Soliman, M, Modifiable predictors of suicidal ideation during psychotherapy for late-life major depression. A machine learning approach (2021) Transl Psychiatry, 11 (1), p. 536. , Oct 18; [FREE Full _text] [doi] [Medline: 34663787]; Solomonov, N, Lee, J, Banerjee, S, Flückiger, C, Kanellopoulos, D, Gunning, FM, Modifiable predictors of nonresponse to psychotherapies for late-life depression with executive dysfunction: a machine learning approach (2021) Mol Psychiatry, 26 (9), pp. 5190-5198. , Sep 10; [FREE Full _text] [doi] [Medline: 32651477]; Bruijniks, SJ, DeRubeis, RJ, Lemmens, LH, Peeters, FP, Cuijpers, P, Huibers, MJ., The relation between therapy quality, therapy processes and outcomes and identifying for whom therapy quality matters in CBT and IPT for depression (2021) Behav Res Ther, 139, p. 103815. , Jan 28;:. [doi] [Medline: 33581481]; Di, Y, Wang, J, Li, W, Zhu, T., Using i-vectors from voice features to identify major depressive disorder (2021) J Affect Disord, 288, pp. 161-166. , Jun 01;: [doi] [Medline: 33895418]; Gunlicks-Stoessel, M, Klimes-Dougan, B, VanZomeren, A, Ma, S., Developing a data-driven algorithm for guiding selection between cognitive behavioral therapy, fluoxetine, and combination treatment for adolescent depression (2020) Transl Psychiatry, 10 (1), p. 321. , Sep 21; [FREE Full _text] [doi] [Medline: 32958758]; Iniesta, R, Malki, K, Maier, W, Rietschel, M, Mors, O, Hauser, J, Combining clinical variables to optimize prediction of antidepressant treatment outcomes (2016) J Psychiatr Res, 78, pp. 94-102. , Jul;: [FREE Full _text] [doi] [Medline: 27089522]; Liu, Y, Admon, R, Mellem, MS, Belleau, EL, Kaiser, RH, Clegg, R, Machine Learning Identifies Large-Scale Reward-Related Activity Modulated by Dopaminergic Enhancement in Major Depression (2020) Biological Psychiatry: Cognitive Neuroscience and Neuroimaging, 5 (2), pp. 163-172. , Feb; [doi]; Maglanoc, LA, Kaufmann, T, Jonassen, R, Hilland, E, Beck, D, Landrø, NI, Multimodal fusion of structural and functional brain imaging in depression using linked independent component analysis (2020) Hum Brain Mapp, 41 (1), pp. 241-255. , Jan; [FREE Full _text] [doi] [Medline: 31571370]; Mennen, AC, Turk-Browne, NB, Wallace, G, Seok, D, Jaganjac, A, Stock, J, Cloud-Based Functional Magnetic Resonance Imaging Neurofeedback to Reduce the Negative Attentional Bias in Depression: A Proof-of-Concept Study (2021) Biol Psychiatry Cogn Neurosci Neuroimaging, 6 (4), pp. 490-497. , Apr; [FREE Full _text] [doi] [Medline: 33422469]; Salvetat, N, Van der Laan, S, Vire, B, Chimienti, F, Cleophax, S, Bronowicki, JP, RNA editing blood biomarkers for predicting mood alterations in HCV patients (2019) J Neurovirol, 25 (6), pp. 825-836. , Dec 22; [FREE Full _text] [doi] [Medline: 31332697]; van Bronswijk, SC, DeRubeis, RJ, Lemmens, LHJM, Peeters, FPML, Keefe, JR, Cohen, ZD, Precision medicine for long-term depression outcomes using the Personalized Advantage Index approach: cognitive therapy or interpersonal psychotherapy? (2019) Psychol. Med, 51 (2), pp. 279-289. , Nov 22; [doi]; van Bronswijk, SC, Bruijniks, SJE, Lorenzo-Luaces, L, Derubeis, RJ, Lemmens, LHJM, Peeters, FPML, Cross-trial prediction in psychotherapy: External validation of the Personalized Advantage Index using machine learning in two Dutch randomized trials comparing CBT versus IPT for depression (2021) Psychother Res, 31 (1), pp. 78-91. , Jan 23; [doi] [Medline: 32964809]; Webb, CA, Trivedi, MH, Cohen, ZD, Dillon, DG, Fournier, JC, Goer, F, Personalized prediction of antidepressant v. placebo response: evidence from the EMBARC study (2018) Psychol Med, 49, pp. 1118-1127. , Jul 2;(07): [doi]; Wu, W, Zhang, Y, Jiang, J, Lucas, MV, Fonzo, GA, Rolle, CE, An electroencephalographic signature predicts antidepressant response in major depression (2020) Nat Biotechnol, 38 (4), pp. 439-447. , Apr 10; [FREE Full _text] [doi] [Medline: 32042166]; Fonzo, GA, Etkin, A, Zhang, Y, Wu, W, Cooper, C, Chin-Fatt, C, Brain regulation of emotional conflict predicts antidepressant treatment response for depression (2019) Nat Hum Behav, 3 (12), pp. 1319-1331. , Dec 23; [FREE Full _text] [doi] [Medline: 31548678]; Hartmann, A, von Wietersheim, J, Weiss, H, Zeeck, A., Patterns of symptom change in major depression: Classification and clustering of long term courses (2018) Psychiatry Res, 267, pp. 480-489. , Sep;: [doi] [Medline: 29980128]; Zilcha-Mano, S, Brown, PJ, Roose, SP, Cappetta, K, Rutherford, BR., Optimizing patient expectancy in the pharmacologic treatment of major depressive disorder (2018) Psychol Med, 49 (14), pp. 2414-2420. , Nov 13; [doi]; Kacem, A, Hammal, Z, Daoudi, M, Cohn, J., Detecting Depression Severity by Interpretable Representations of Motion Dynamics (2018) Proc Int Conf Autom Face Gesture Recognit, 2018, pp. 739-745. , May;: [FREE Full _text] [doi] [Medline: 30271308]; Bailey, N, Hoy, K, Rogasch, N, Thomson, R, McQueen, S, Elliot, D, Responders to rTMS for depression show increased fronto-midline theta and theta connectivity compared to non-responders (2018) Brain Stimul, 11 (1), pp. 190-203. , Jan; [doi] [Medline: 29128490]; Browning, M, Kingslake, J, Dourish, CT, Goodwin, GM, Harmer, CJ, Dawson, GR., Predicting treatment response to antidepressant medication using early changes in emotional processing (2019) Eur Neuropsychopharmacol, 29 (1), pp. 66-75. , Jan; [FREE Full _text] [doi] [Medline: 30473402]; Byun, S, Kim, AY, Jang, EH, Kim, S, Choi, KW, Yu, HY, Detection of major depressive disorder from linear and nonlinear heart rate variability features during mental task protocol (2019) Comput Biol Med, 112, p. 103381. , Sep;: [FREE Full _text] [doi] [Medline: 31404718]; Cash, RFH, Cocchi, L, Anderson, R, Rogachov, A, Kucyi, A, Barnett, AJ, A multivariate neuroimaging biomarker of individual outcome to transcranial magnetic stimulation in depression (2019) Hum Brain Mapp, 40 (16), pp. 4618-4629. , Nov 01; [FREE Full _text] [doi] [Medline: 31332903]; Furukawa, TA, Debray, TPA, Akechi, T, Yamada, M, Kato, T, Seo, M, Can personalized treatment prediction improve the outcomes, compared with the group average approach, in a randomized trial? Developing and validating a multivariable prediction model in a pragmatic megatrial of acute treatment for major depression (2020) Journal of Affective Disorders, 274, pp. 690-697. , Sep;: [doi]; Horigome, T, Sumali, B, Kitazawa, M, Yoshimura, M, Liang, K, Tazawa, Y, Evaluating the severity of depressive symptoms using upper body motion captured by RGB-depth sensors and machine learning in a clinical interview setting: A preliminary study (2020) Compr Psychiatry, 98, p. 152169. , Feb 20;: [FREE Full _text] [doi] [Medline: 32145559]; Redlich, R, Opel, N, Grotegerd, D, Dohm, K, Zaremba, D, Bürger, C, Prediction of Individual Response to Electroconvulsive Therapy via Machine Learning on Structural Magnetic Resonance Imaging Data (2016) JAMA Psychiatry, 73 (6), pp. 557-564. , Jun 01; [doi] [Medline: 27145449]; Zhou, X, Wang, Y, Zeng, D., Outcome-Weighted Learning for Personalized Medicine with Multiple Treatment Options (2018) Proc Int Conf Data Sci Adv Anal, 2018, pp. 565-574. , Oct;: [FREE Full _text] [doi] [Medline: 30931437]; Barrett, BW, Abraham, AG, Dean, LT, Plankey, MW, Friedman, MR, Jacobson, LP, Social inequalities contribute to racial/ethnic disparities in depressive symptomology among men who have sex with men (2021) Soc Psychiatry Psychiatr Epidemiol, 56 (2), pp. 259-272. , Feb 11; [FREE Full _text] [doi] [Medline: 32780176]; Chekroud, AM, Zotti, RJ, Shehzad, Z, Gueorguieva, R, Johnson, MK, Trivedi, MH, Cross-trial prediction of treatment outcome in depression: a machine learning approach (2016) The Lancet Psychiatry, 3 (3), pp. 243-250. , Mar; [doi]; Foster, S, Mohler-Kuo, M, Tay, L, Hothorn, T, Seibold, H., Estimating patient-specific treatment advantages in the 'Treatment for Adolescents with Depression Study' (2019) J Psychiatr Res, 112, pp. 61-70. , May;: [doi] [Medline: 30856378]; Kambeitz, J, Goerigk, S, Gattaz, W, Falkai, P, Benseñor, IM, Lotufo, PA, Clinical patterns differentially predict response to transcranial direct current stimulation (tDCS) and escitalopram in major depression: A machine learning analysis of the ELECT-TDCS study (2020) J Affect Disord, 265, pp. 460-467. , Mar 15;: [doi] [Medline: 32090773]; Kessler, RC, van Loo, HM, Wardenaar, KJ, Bossarte, RM, Brenner, LA, Cai, T, Testing a machine-learning algorithm to predict the persistence and severity of major depressive disorder from baseline self-reports (2016) Mol Psychiatry, 21 (10), pp. 1366-1371. , Oct; [FREE Full _text] [doi] [Medline: 26728563]; Pratap, A, Atkins, DC, Renn, BN, Tanana, MJ, Mooney, SD, Anguera, JA, The accuracy of passive phone sensors in predicting daily mood (2019) Depress Anxiety, 36 (1), pp. 72-81. , Jan 21; [FREE Full _text] [doi] [Medline: 30129691]; Rajpurkar, P, Yang, J, Dass, N, Vale, V, Keller, AS, Irvin, J, Evaluation of a Machine Learning Model Based on Pretreatment Symptoms and Electroencephalographic Features to Predict Outcomes of Antidepressant Treatment in Adults With Depression: A Prespecified Secondary Analysis of a Randomized Clinical Trial (2020) JAMA Netw Open, 3 (6), p. e206653. , Jun 01; [FREE Full _text] [doi] [Medline: 32568399]; Kautzky, A, Möller, HJ, Dold, M, Bartova, L, Seemüller, F, Laux, G, Combining machine learning algorithms for prediction of antidepressant treatment response (2021) Acta Psychiatr Scand, 143 (1), pp. 36-49. , Jan 27; [FREE Full _text] [doi] [Medline: 33141944]; Lee, Y, Mansur, RB, Brietzke, E, Kapogiannis, D, Delgado-Peraza, F, Boutilier, JJ, Peripheral inflammatory biomarkers define biotypes of bipolar depression (2021) Mol Psychiatry, 26 (7), pp. 3395-3406. , Jul 03; [FREE Full _text] [doi] [Medline: 33658605]; Ma, Y, Ji, J, Huang, Y, Gao, H, Li, Z, Dong, W, Implementing machine learning in bipolar diagnosis in China (2019) Transl Psychiatry, 9 (1), p. 305. , Nov 18; [FREE Full _text] [doi] [Medline: 31740657]; Deng, F, Wang, Y, Huang, H, Niu, M, Zhong, S, Zhao, L, Abnormal segments of right uncinate fasciculus and left anterior thalamic radiation in major and bipolar depression (2018) Prog Neuropsychopharmacol Biol Psychiatry, 81, pp. 340-349. , Feb 02;: [doi] [Medline: 28912043]; Nielsen, SFV, Madsen, KH, Vinberg, M, Kessing, LV, Siebner, HR, Miskowiak, KW., Whole-Brain Exploratory Analysis of Functional Task Response Following Erythropoietin Treatment in Mood Disorders: A Supervised Machine Learning Approach (2019) Front Neurosci, 13, p. 1246. , Nov 20;: [FREE Full _text] [doi] [Medline: 31824247]; Hoogendoorn, M, Berger, T, Schulz, A, Stolz, T, Szolovits, P., Predicting Social Anxiety Treatment Outcome Based on Therapeutic Email Conversations (2017) IEEE J. Biomed. Health Inform, 21 (5), pp. 1449-1459. , Sep; [doi]; Ihmig, FR, Neurohr-Parakenings, F, Schäfer, SK, Lass-Hennemann, J, Michael, T., On-line anxiety level detection from biosignals: Machine learning based on a randomized controlled trial with spider-fearful individuals (2020) PLoS One, 15 (6), p. e0231517. , Jun 23; [FREE Full _text] [doi] [Medline: 32574167]; Sharma, A, Verbeke, WJMI., Understanding importance of clinical biomarkers for diagnosis of anxiety disorders using machine learning models (2021) PLoS One, 16 (5), p. e0251365. , May 10; [FREE Full _text] [doi] [Medline: 33970950]; Demiris, G, Corey Magan, KL, Parker Oliver, D, Washington, KT, Chadwick, C, Voigt, JD, Spoken words as biomarkers: using machine learning to gain insight into communication as a predictor of anxiety (2020) J Am Med Inform Assoc, 27 (6), pp. 929-933. , Jun 01; [FREE Full _text] [doi] [Medline: 32374378]; Frick, A, Engman, J, Alaie, I, Björkstrand, J, Gingnell, M, Larsson, E, Neuroimaging, genetic, clinical, and demographic predictors of treatment response in patients with social anxiety disorder (2020) J Affect Disord, 261, pp. 230-237. , Jan 15;: [FREE Full _text] [doi] [Medline: 31655378]; Lebowitz, ER, Zilcha-Mano, S, Orbach, M, Shimshoni, Y, Silverman, WK., Moderators of response to child-based and parent-based child anxiety treatment: a machine learning-based analysis (2021) J Child Psychol Psychiatry, 62 (10), pp. 1175-1182. , Oct 24; [doi] [Medline: 33624848]; Lenhard, F, Sauer, S, Andersson, E, Månsson, KN, Mataix-Cols, D, Rück, C, Prediction of outcome in internet-delivered cognitive behaviour therapy for paediatric obsessive-compulsive disorder: A machine learning approach (2018) Int J Methods Psychiatr Res, 27 (1), p. e1576. , Mar 28; [FREE Full _text] [doi] [Medline: 28752937]; Schultebraucks, K, Qian, M, Abu-Amara, D, Dean, K, Laska, E, Siegel, C, Pre-deployment risk factors for PTSD in active-duty personnel deployed to Afghanistan: a machine-learning approach for analyzing multivariate predictors (2021) Mol Psychiatry, 26 (9), pp. 5011-5022. , Sep 02; [FREE Full _text] [doi] [Medline: 32488126]; Rangaprakash, D, Deshpande, G, Daniel, TA, Goodman, AM, Robinson, JL, Salibi, N, Compromised hippocampus-striatum pathway as a potential imaging biomarker of mild-traumatic brain injury and posttraumatic stress disorder (2017) Hum Brain Mapp, 38 (6), pp. 2843-2864. , Jun 15; [FREE Full _text] [doi] [Medline: 28295837]; Schultebraucks, K, Shalev, AY, Michopoulos, V, Grudzen, CR, Shin, S, Stevens, JS, A validated predictive algorithm of post-traumatic stress course following emergency department admission after a traumatic stressor (2020) Nat Med, 26 (7), pp. 1084-1088. , Jul 06; [doi] [Medline: 32632194]; Grisanzio, KA, Goldstein-Piekarski, AN, Wang, MY, Rashed Ahmed, AP, Samara, Z, Williams, LM., Transdiagnostic Symptom Clusters and Associations With Brain, Behavior, and Daily Function in Mood, Anxiety, and Trauma Disorders (2018) JAMA Psychiatry, 75 (2), pp. 201-209. , Feb 01; [FREE Full _text] [doi] [Medline: 29197929]; Hinrichs, R, van Rooij, SJH, Michopoulos, V, Schultebraucks, K, Winters, S, Maples-Keller, J, Increased Skin Conductance Response in the Immediate Aftermath of Trauma Predicts PTSD Risk (2019) Chronic Stress (Thousand Oaks), 3, p. 247054701984444. , Apr 24;: [FREE Full _text] [doi] [Medline: 31179413]; Breen, MS, Thomas, KG, Baldwin, DS, Lipinska, G., Modelling PTSD diagnosis using sleep, memory, and adrenergic metabolites: An exploratory machine-learning study (2019) Hum Psychopharmacol, 34 (2), p. e2691. , Mar 22; [doi] [Medline: 30793802]; Jin, C, Jia, H, Lanka, P, Rangaprakash, D, Li, L, Liu, T, Dynamic brain connectivity is a better predictor of PTSD than static connectivity (2017) Hum Brain Mapp, 38 (9), pp. 4479-4496. , Sep 12; [FREE Full _text] [doi] [Medline: 28603919]; Salminen, LE, Morey, RA, Riedel, BC, Jahanshad, N, Dennis, EL, Thompson, PM., Adaptive Identification of Cortical and Subcortical Imaging Markers of Early Life Stress and Posttraumatic Stress Disorder (2019) J Neuroimaging, 29 (3), pp. 335-343. , May; [FREE Full _text] [doi] [Medline: 30714246]; Yuan, M, Qiu, C, Meng, Y, Ren, Z, Yuan, C, Li, Y, Pre-treatment Resting-State Functional MR Imaging Predicts the Long-Term Clinical Outcome After Short-Term Paroxtine Treatment in Post-traumatic Stress Disorder (2018) Front Psychiatry, 9, p. 532. , Oct 30;: [FREE Full _text] [doi] [Medline: 30425661]; Zandvakili, A, Swearingen, HR, Philip, NS., Changes in functional connectivity after theta-burst transcranial magnetic stimulation for post-traumatic stress disorder: a machine-learning study (2021) Eur Arch Psychiatry Clin Neurosci, 271 (1), pp. 29-37. , Feb 27; [doi] [Medline: 32719969]; Marmar, CR, Brown, AD, Qian, M, Laska, E, Siegel, C, Li, M, Speech-based markers for posttraumatic stress disorder in US veterans (2019) Depress Anxiety, 36 (7), pp. 607-616. , Jul 22; [FREE Full _text] [doi] [Medline: 31006959]; Iceta, S, Tardieu, S, Nazare, J, Dougkas, A, Robert, M, Disse, E., An artificial intelligence-derived tool proposal to ease disordered eating screening in people with obesity (2021) Eat Weight Disord, 26 (7), pp. 2381-2385. , Oct 02;</t>
  </si>
  <si>
    <t>23687959</t>
  </si>
  <si>
    <t>JMIR Ment. Heal.</t>
  </si>
  <si>
    <t>2-s2.0-85149946483</t>
  </si>
  <si>
    <t>Methodological and quality flaws in the use of artificial intelligence in mental health research: systematic review</t>
  </si>
  <si>
    <t>Chatterjee D., Dutta S., Shaikh R., Saha S.K.</t>
  </si>
  <si>
    <t>55931825200;57822796000;57822796100;12788251400;</t>
  </si>
  <si>
    <t>A lightweight deep neural network for detection of mental states from physiological signals</t>
  </si>
  <si>
    <t>Innovations in Systems and Software Engineering</t>
  </si>
  <si>
    <t>10.1007/s11334-022-00470-6</t>
  </si>
  <si>
    <t>https://www.scopus.com/inward/record.uri?eid=2-s2.0-85135132172&amp;doi=10.1007%2fs11334-022-00470-6&amp;partnerID=40&amp;md5=df16783d421c4eda2ba8230712613b6a</t>
  </si>
  <si>
    <t>TCS Research, Tata Consultancy Services, West Bengal, Kolkata, India; Department of Computer Science and Engineering, Jadavpur University, West Bengal, Kolkata, India</t>
  </si>
  <si>
    <t>Chatterjee, D., TCS Research, Tata Consultancy Services, West Bengal, Kolkata, India, Department of Computer Science and Engineering, Jadavpur University, West Bengal, Kolkata, India; Dutta, S., Department of Computer Science and Engineering, Jadavpur University, West Bengal, Kolkata, India; Shaikh, R., Department of Computer Science and Engineering, Jadavpur University, West Bengal, Kolkata, India; Saha, S.K., Department of Computer Science and Engineering, Jadavpur University, West Bengal, Kolkata, India</t>
  </si>
  <si>
    <t>Detection of mental states like stress/anxiety, mediation is a widely researched topic and is important for ensuring overall well-being of an individual. Several approaches have been reported in the literature for prediction or assessment of mental states. Recently, with advances in sensor technology, various physiological signals are being used by researchers for detecting mental states. In the present study, we have used a light weight deep convolutional neural network (CNN) for creating a mental state prediction model. The proposed detection model is created using publicly available WESAD dataset. The dataset contains electrocardiogram (ECG), galvanic skin response (GSR), skin temperature and electromyogram (EMG) signals recorded using a wearable device. Results show that for binary classification of stress vs no-stress condition our results are comparable with that reported in state-of-the-art machine learning/deep learning-based approaches. However, for three class classification of baseline vs stress vs amusement states, our model gives an accuracy of 90% which is much higher compared to that reported in the literature. In addition, we have also tried to classify various binary states like stress vs baseline,stress vs amusement and stress vs meditation conditions. The f1 score obtained for these classes are 0.96, 0.87 and 0.91, respectively, which are much higher than that reported in state-of-the-art literature using same dataset. Proposed light weight CNN-based mental state classification model is computationally less complex compared to other deep networks used by the researchers. Thus, it can be used for monitoring mental state successfully in real-life scenarios. © 2022, The Author(s), under exclusive licence to Springer-Verlag London Ltd., part of Springer Nature.</t>
  </si>
  <si>
    <t>Anxiety and stress assessment; Deep convolutional layer; Deep learning; Detection of mental states; Mental stress</t>
  </si>
  <si>
    <t>Biomedical signal processing; Convolution; Convolutional neural networks; Electrocardiography; Electrophysiology; Multilayer neural networks; Signal detection; Anxiety and stress assessment; Convolutional neural network; Deep convolutional layer; Deep learning; Detection of mental state; Light weight; Mental state; Mental stress; Physiological signals; Stress assessment; Deep neural networks</t>
  </si>
  <si>
    <t>Picard, R.W., (2000) Affective computing, , MIT Press, Cambridge; Bauer, G., Can smartphones detect stress-related changes in the behaviour of individuals? (2012) 2012 IEEE International Conference on Pervasive Computing and Communications Workshops, pp. 423-426. , IEEE; Lenore, K., The mini-mental state examination (MMSE) (1999) J Gerontol Nursing, 25 (5), pp. 8-9; Smith, T., The Montreal Cognitive Assessment: validity and utility in a memory clinic setting (2007) Canadian J Psych, 52 (5), pp. 329-332; Sander, K., Deap: A database for emotion analysis; using physiological signals (2012) IEEE Trans Affect Comput, 3 (1), pp. 18-31; Subramanian, R., ASCERTAIN: Emotion and personality recognition using commercial sensors (2016) IEEE Trans Affect Comput, 9 (2), pp. 147-160; Miranda, C., Amigos: A dataset for affect, personality and mood research on individuals and groups (2018) IEEE Trans Affect Comput, 12 (2), pp. 479-493; Schmidt, P., Introducing wesad, a multimodal dataset for wearable stress and affect detection (2018) Proceedings of the 20Th ACM International Conference on Multimodal Interaction, pp. 400-408; Shu, L., A review of emotion recognition using physiological signals (2018) Sensors., 18 (7), p. 2074; Oh, S., The design of CNN architectures for optimal six basic emotion classification using multiple physiological signals (2020) Sensors., 20 (3), p. 866; Dzedzickis, A., Human emotion recognition: Review of sensors and methods (2020) Sensors., 20 (3), p. 592; Wijsman, J., Towards mental stress detection using wearable physiological sensors (2011) Proceedings of Annual International Conference of the IEEE Engineering in Medicine and Biology Society, pp. 526-532; Bota, P., Emotion assessment using feature fusion and decision fusion classification based on physiological data: Are we there yet? (2020) Sensors., 20 (17), p. 4723; Zheng, W.L., EEG-based emotion classification using deep belief networks (2014) Proceedings of IEEE International Conference on Multimedia and Expo (ICME), pp. 1-6; Zhang, Q., Respiration-based emotion recognition with deep learning (2017) Comput Ind, 92-93, pp. 84-90; Martinez, H.P., Learning deep physiological models of affect (2013) IEEE Comput Intell Mag, 8 (2), pp. 20-33; Yin, Z., Recognition of emotions using multimodal physiological signals and an ensemble deep learning model (2017) Comput Methods Programs Biomed, 140, pp. 93-110; Li, X., Emotion recognition from multi-channel EEG data through convolutional recurrent neural network (2016) Proceedings of IEEE International Conference on Bioinformatics and Biomedicine (BIBM), pp. 352-359. , In; Tripathi, S., (2017) Using Deep and Convolutional Neural Networks for Accurate Emotion Classification on Deap Dataset, , In: Deployed application case studies; Wenqian, L., Deep convolutional neural network for emotion recognition using EEG and peripheral physiological signal (2017) Proc ICIG, 12, pp. 385-394; Clemens, K., The ‘trier social stress test’a tool for investigating psychobiological stress responses in a laboratory setting (1993) Neuropsychobiology, 28 (1-2), pp. 76-81; Yin, C., Class-balanced loss based on effective number of samples (2019) Proceedings of the IEEE/CVF Conference on Computer Vision and Pattern Recognition; Dissanayake, T., An ensemble learning approach for electrocardiogram sensor based human emotion recognition (2019) Sensors, p. 4495. , (,),., p; Wearable emotion recognition system based on GSR and PPG signals (2017) In: Proceedings of the 2Nd International Workshop on Multimedia for Personal Health and Health Care, Mountain View, pp. 53-59; Aasim, R., Physiological sensors based emotion recognition while experiencing tactile enhanced multimedia (2020) Sensors, 20 (14), p. 4037; Pramod, B., Stress detection with machine learning and deep learning using multimodal physiological data (2020) Second International Conference on Inventive Research in Computing Applications (ICIRCA), , IEEE; Dzieżyc, M., Can we ditch feature engineering? end-to-end deep learning for affect recognition from physiological sensor data (2020) Sensors., 20 (22), p. 6535; Synthesizing physiological and motion data for stress and meditation detection (2019) In: 8Th International Conference on Affective Computing and Intelligent Interaction Workshops and Demos (ACIIW).; Kingma, D.P., (2014) Adam: A Method for Stochastic Optimization., , arXiv preprint arXiv:1412.6980</t>
  </si>
  <si>
    <t>16145046</t>
  </si>
  <si>
    <t>Innov. Syst. Softw. Eng.</t>
  </si>
  <si>
    <t>2-s2.0-85135132172</t>
  </si>
  <si>
    <t>Bergen-Cico D., Grant T., Hirshfield L., Razza R., Costa M.R., Kilaru P.</t>
  </si>
  <si>
    <t>6506078483;57205024437;16303680200;8512930300;37023096400;57222871404;</t>
  </si>
  <si>
    <t>Using fNIRS to Examine Neural Mechanisms of Change Associated with Mindfulness-Based Interventions for Stress and Trauma: Results of a Pilot Study for Women</t>
  </si>
  <si>
    <t>Mindfulness</t>
  </si>
  <si>
    <t>2295</t>
  </si>
  <si>
    <t>2310</t>
  </si>
  <si>
    <t>10.1007/s12671-021-01705-6</t>
  </si>
  <si>
    <t>https://www.scopus.com/inward/record.uri?eid=2-s2.0-85111518324&amp;doi=10.1007%2fs12671-021-01705-6&amp;partnerID=40&amp;md5=0d6f2022c52895c3194257c97d118f73</t>
  </si>
  <si>
    <t>Public Health, Syracuse University, Suite 444 White Hall, Syracuse, NY  13244, United States; Insititute of Cognitive Science, University of Colorado Boulder, Boulder, United States; Syracuse University, Syracuse, NY, United States; Newhouse School of Public Communications, Syracuse University, Syracuse, NY, United States</t>
  </si>
  <si>
    <t>Bergen-Cico, D., Public Health, Syracuse University, Suite 444 White Hall, Syracuse, NY  13244, United States; Grant, T., Insititute of Cognitive Science, University of Colorado Boulder, Boulder, United States; Hirshfield, L., Insititute of Cognitive Science, University of Colorado Boulder, Boulder, United States; Razza, R., Syracuse University, Syracuse, NY, United States; Costa, M.R., Newhouse School of Public Communications, Syracuse University, Syracuse, NY, United States; Kilaru, P., Public Health, Syracuse University, Suite 444 White Hall, Syracuse, NY  13244, United States</t>
  </si>
  <si>
    <t>Objectives: This research aimed to examine the mechanisms of change associated with mindfulness-based interventions (MBI) and test the feasibility of using functional near-infrared spectroscopy (fNIRS) to objectively measure MBI-responsive neuro-cognitive functions impaired by stress and trauma: attentional control (AC), emotional regulation (ER), and working memory (WM). Methods: fNIRS data were collected from 31 female participants during AC, ER, and WM cognitive tasks. Measurements were conducted at baseline and follow-up. Half of participants (n = 16) engaged in a 6-week MBI, whereas the active control group (n = 15) did not. fNIRS measures blood oxygenation (HbO) and deoxygenation (HbR) in specific brain regions as changes in activation of neural networks. Results: After using general linear modeling to isolate the hemodynamic response in the fNIRS data, group-level statistical analyses revealed significant (p ≤.05) changes among the MBI group for AC tasks in the frontopolar area (FP), orbitofrontal cortex (OFC), and premotor cortex (PMC); these changes were accompanied by significant improvements in AC performances. Among the control group, there was a significant decline in AC task performance and significant decreased OFC activation. Among the MBI group, there were also significant changes in FP and OFC activation during ER tasks and significant changes in OFC and PMC activation during WM tasks. Performance changes for ER and WM tasks were mixed. Conclusions: fNIRS is a viable means of measuring MBI-related changes in neuro-cognitive activity and MBIs yield significant changes in attentional performance and activation of FP, OFC, and PMC. © 2021, The Author(s), under exclusive licence to Springer Science+Business Media, LLC, part of Springer Nature.</t>
  </si>
  <si>
    <t>Attention; Cognition; Emotional regulation; fNIRS; Mindfulness; Stress; Trauma; Working memory</t>
  </si>
  <si>
    <t>Alfonso, J.P., Caracuel, A., Delgado-Pastor, L.C., Verdejo-García, A., Combined goal management training and mindfulness meditation improve executive functions and decision-making performance in abstinent polysubstance abusers (2011) Drug and Alcohol Dependence, 117 (1), pp. 78-81; Arnsten, A.F., Stress signaling pathways that impair prefrontal cortex structure and function (2009) Nature Reviews Neuroscience, 10 (6), pp. 410-422; Aupperle, R.L., Melrose, A.J., Stein, M.B., Paulus, M.P., Executive function and PTSD: Disengaging from trauma (2012) Neuropharmacology, 62 (2), pp. 686-694; Barker, J.W., Aarabi, A., Huppert, T.J., Autoregressive model based algorithm for correcting motion and serially correlated errors in fNIRS (2013) Biomedical Optics Express, 4 (8), pp. 1366-1379; Bergen-Cico, D., Possemato, K., Cheon, S., Examining the efficacy of a brief mindfulness-based stress reduction (brief MBSR) program on psychological health (2013) Journal of American College Health, 61 (6), pp. 348-360; Bergen-Cico, D., Possemato, K., Pigeon, W., Reductions in cortisol associated with primary care brief mindfulness program for veterans with PTSD (2014) Medical Care, 52, pp. S25-S31; Boas, D.A., Elwell, C.E., Ferrari, M., Taga, G., Twenty years of functional near-infrared spectroscopy: Introduction for the special issue (2014) NeuroImage, 85 (1), pp. 1-5; Brandes, D., Ben-Schachar, G., Gilboa, A., Bonne, O., Freedman, S., Shalev, A.Y., PTSD symptoms and cognitive performance in recent trauma survivors (2002) Psychiatry Research, 110 (3), pp. 231-238; Brewer, J., Mindfulness training for addictions: Has neuroscience revealed a brain hack by which awareness subverts the addictive process? (2019) Current Opinion in Psychology, 28, pp. 198-203; Brewer, J.A., Worhunsky, P.D., Gray, J.R., Tang, Y.Y., Weber, J., Kober, H., Meditation experience is associated with differences in default mode network activity and connectivity (2011) Proceedings of the National Academy of Sciences, 108 (50), pp. 20254-20259; Chance, B., Zhuang, Z., UnAh, C., Alter, C., Lipton, L., Cognition-activated low-frequency modulation of light absorption in human brain (1993) Proceedings of the National Academy of Sciences, 90 (8), pp. 3770-3774; Chiesa, A., Calati, R., Serretti, A., Does mindfulness training improve cognitive abilities? A systematic review of neuropsychological findings (2011) Clinical Psychology Review, 31 (3), pp. 449-464; Cisler, J.M., Wolitzky-Taylor, K.B., Adams, T.G., Babson, K.A., Badour, C.L., Willems, J.L., The emotional Stroop task and posttraumatic stress disorder: A meta-analysis (2011) Clinical Psychology Review, 31 (5), pp. 817-828; Cohen, S., Kamarck, T., Mermelstein, R., A global measure of perceived stress (1983) Journal of Health and Social Behavior, 24 (4), pp. 385-396; Creamer, M., Burgess, P., Mcfarlane, A.C., Posttraumatic stress disorder: Findings from the Australian National Survey of Mental Health and Well-being (2001) Psychological Medicine, 31 (7), pp. 1237-1247; Cremers, H.R., Wager, T.D., Yarkoni, T., The relation between statistical power and inference in fMRI (2017) PLoS ONE, 12 (11). , &amp;, (,).,., (,)., https://doi.org/10.1371/journal.pone.0184923; Creswell, J.D., Way, B.M., Eisenberger, N.I., Lieberman, M.D., Neural correlates of dispositional mindfulness during affect labeling (2007) Psychosomatic Medicine, 69 (6), pp. 560-565; Damasio, A.R., The somatic marker hypothesis and the possible functions of the prefrontal cortex (1996) Philosophical Transactions of the Royal Society of London Series B: Biological Sciences, 351 (1346), pp. 1413-1420; Deepeshwar, S., Vinchurkar, S.A., Visweswaraiah, N.K., Nagendra, H.R., Hemodynamic responses on prefrontal cortex related to meditation and attentional task (2015) Frontiers in Systems Neuroscience, 8 (252), pp. 1-13; Doi, H., Nishitani, S., Shinohara, K., NIRS as a tool for assaying emotional function in the prefrontal cortex (2013) Frontiers in Human Neuroscience, 7 (770), pp. 1-6; Ehring, T., Quack, D., Emotion regulation difficulties in trauma survivors: The role of trauma type and PTSD symptom severity (2010) Behavior Therapy, 41 (4), pp. 587-598; Ekstrom, A.D., Regional variation in neurovascular coupling and why we still lack a Rosetta Stone (2021) Philosophical Transactions of the Royal Society B, 376 (1815), p. 20190634; Elliott, A.E., Packard, M.G., Intra-amygdala anxiogenic drug infusion prior to retrieval biases rats towards the use of habit memory (2008) Neurobiology of Learning and Memory, 90 (4), pp. 616-623; Etkin, A., Wager, T.D., Functional neuroimaging of anxiety: A meta-analysis of emotional processing in PTSD, social anxiety disorder, and specific phobia (2007) American Journal of Psychiatry, 164 (10), pp. 1476-1488; Fox, P.T., Raichle, M.E., Focal physiological uncoupling of cerebral blood flow and oxidative metabolism during somatosensory stimulation in human subjects (1986) Proceedings of the National Academy of Sciences, 83 (4), pp. 1140-1144; Fox, K.C., Nijeboer, S., Dixon, M.L., Floman, J.L., Ellamil, M., Rumak, S.P., Sedlmeir, P., Christoff, K., Is meditation associated with altered brain structure? A systematic review and meta-analysis of morphometric neuroimaging in meditation practitioners (2014) Neuroscience &amp; Biobehavioral Reviews, 43, pp. 48-73; Fransson, P., Spontaneous low-frequency BOLD signal fluctuations: An fMRI investigation of the resting-state default mode of brain function hypothesis (2005) Human Brain Mapping, 26 (1), pp. 15-29; Garland, E., Gaylord, S., Park, J., The role of mindfulness in positive reappraisal (2009) Explore, 5 (1), pp. 37-44; Goldin, P.R., McRae, K., Ramel, W., Gross, J.J., The neural bases of emotion regulation: Reappraisal and suppression of negative emotion (2008) Biological Psychiatry, 63 (6), pp. 577-586; Gundel, F., von Spee, J., Schneider, S., Haeussinger, F.B., Hautzinger, M., Erb, M., Fallgatter, A.J., Ehlis, A.-C., Meditation and the brain – neuronal correlates of mindfulness as assessed with near-infrared spectroscopy (2018) Psychiatry Research: Neuroimaging, 271, pp. 24-33; Hasenkamp, W., Wilson-Mendenhall, C.D., Duncan, E., Barsalou, L.W., Mind wandering and attention during focused meditation: A fine-grained temporal analysis of fluctuating cognitive states (2012) NeuroImage, 59 (1), pp. 750-760; Harrivel, A.R., Weissman, D.H., Noll, D.C., Huppert, T., Peltier, S.J., Dynamic filtering improves attentional state prediction with fNIRS (2016) Biomedical Optics Express, 7 (3), p. 979; Herrmann, M., Plichta, M., Ehlis, A.-C., Fallgatter, A., Optical topography during a Go–NoGo task assessed with multi-channel near-infrared spectroscopy (2005) Behavioural Brain Research, 160, pp. 135-140; Hirshfield, L.M., Gulotta, R., Hirshfield, S., Hincks, S., Russell, M., Ward, R., Williams, T., Jacob, R., This is your brain on interfaces: Enhancing usability testing with functional near-infrared spectroscopy (2011) Proceedings of the SIGCHI 2011 Annual Conference on Human Factors in Computing Systems, pp. 372-382. , https://doi.org/10.1145/1978942.1978996; Hölzel, B.K., Ott, U., Hempel, H., Hackl, A., Wolf, K., Stark, R., Vaitl, D., Differential engagement of anterior cingulate and adjacent medial frontal cortex in adept meditators and non-meditators (2007) Neuroscience Letters, 421 (1), pp. 16-21; Irani, F., Platek, S.M., Bunce, S., Ruocco, A.C., Chute, D., Functional near infrared spectroscopy (fNIRS): An emerging neuroimaging technology with important applications for the study of brain disorders (2007) The Clinical Neuropsychologist, 21 (1), pp. 9-37; Izzetoglu, K., Bunce, S., Onaral, B., Pourrezaei, K., Chance, B., Functional optical brain imaging using near-infrared during cognitive tasks (2004) International Journal of Human-Computer Interaction, 17 (2), pp. 211-227; Jack, A.I., Dawson, A.J., Begany, K.L., Leckie, R.L., Barry, K.P., Ciccia, A.H., Snyder, A.Z., FMRI reveals reciprocal inhibition between social and physical cognitive domains (2013) NeuroImage, 66, pp. 385-401; Jacques, S.L., Optical properties of biological tissues: A review (2013) Physics in Medicine and Biology, 58 (11), pp. R37-R61; Jacques, S.L., Corrigendum: Optical properties of biological tissues: A review (2013) Physics in Medicine and Biology, 58, pp. 5007-5008; Jha, A.P., Krompinger, J., Baime, M.J., Mindfulness training modifies subsystems of attention (2007) Cognitive, Affective, &amp; Behavioral Neuroscience, 7 (2), pp. 109-119; Jha, A.P., Witkin, J.E., Morrison, A.B., Rostrup, N., Stanley, E., Short-form mindfulness training protects against working memory degradation over high-demand intervals (2017) Journal of Cognitive Enhancement, 1 (2), pp. 154-171; Kabat-Zinn, J., Full catastrophe living: Using the wisdom of your body and mind to face stress, pain, and illness (1990) Dell Publishing; Kaplan, R.M., Saccuzzo, D.P., (2010) Psychological testing: Principles, applications, and issues, , 8, Wadsworth; King, A.P., Block, S.R., Sripada, R.K., Rauch, S., Giardino, N., Favorite, T., Angstaqdt, N., Liberzon, I., Altered default mode network (DMN) resting state functional connectivity following a mindfulness-based exposure therapy for posttraumatic stress disorder (PTSD) in combat veterans of Afghanistan and Iraq (2016) Depression and Anxiety, 33 (4), pp. 289-299; Kohn, N., Eickhoff, S.B., Scheller, M., Laird, A.R., Fox, P.T., Habel, U., Neural network of cognitive emotion regulation—An ALE meta-analysis and MACM analysis (2014) NeuroImage, 87, pp. 345-355; Kringelbach, M.L., The human orbitofrontal cortex: Linking reward to hedonic experience (2005) Nature Reviews Neuroscience, 6 (9), pp. 691-702; Lachert, P., Janusek, D., Pulawski, P., Liebert, A., Milej, D., Blinowska, K.J., Coupling of oxy-and deoxyhemoglobin concentrations with EEG rhythms during motor task (2017) Scientific Reports, 7 (1), pp. 1-9; Lai, Y., A statistical method for the conservative adjustment of false discovery rate (q-value) (2017) BMC Bioinformatics, 18 (3), pp. 155-163; Liu, N., Cui, X., Bryant, D.M., Glover, G.H., Reiss, A.L., Inferring deep-brain activity from cortical activity using functional near-infrared spectroscopy (2015) Biomedical Optics Express, 6 (3), pp. 1074-1089; Lutz, A., Slagter, H.A., Dunne, J.D., Davidson, R.J., Attention regulation and monitoring in meditation (2008) Trends in Cognitive Sciences, 12 (4), pp. 163-169; Lutz, J., Herwig, U., Opialla, S., Hittmeyer, A., Jäncke, L., Rufer, M., Grosse Holtforth, M., Brühl, A.B., Mindfulness and emotion regulation—An fMRI study (2014) Social Cognitive and Affective Neuroscience, 9 (6), pp. 776-785; Matsuo, K., Taneichi, K., Matsumoto, A., Ohtani, T., Yamasue, H., Sakano, Y., Sasaki, T., Kato, T., Hypoactivation of the prefrontal cortex during verbal fluency test in PTSD: A near-infrared spectroscopy study (2003) Psychiatry Research: Neuroimaging, 124 (1), pp. 1-10; Miller, D.R., Hayes, S.M., Hayes, J.P., Spielberg, J.M., Lafleche, G., Verfaellie, M., Default mode network subsystems are differentially disrupted in posttraumatic stress disorder (2017) Biological Psychiatry: Cognitive Neuroscience and Neuroimaging, 2 (4), pp. 363-371; Monson, C.M., Gradus, J.L., Young-Xu, Y., Schnurr, P.P., Price, J.L., Schumm, J.A., Change in posttraumatic stress disorder symptoms: Do clinicians and patients agree? (2008) Psychological Assessment, 20 (2), pp. 131-138; Moores, K.A., Clark, C.R., McFarlane, A.C., Brown, G.C., Puce, A., Taylor, D.J., Abnormal recruitment of working memory updating networks during maintenance of trauma-neutral information in posttraumatic stress disorder (2008) Psychiatry Research, 163 (2), pp. 156-170; Morey, R.A., Dolcos, F., Petty, C.M., Cooper, D.A., Hayes, J.P., LaBar, K.S., McCarthy, G., The role of trauma-related distractors on neural systems for working memory and emotion processing in posttraumatic stress disorder (2009) Journal of Psychiatric Research, 43 (8), pp. 809-817; Moriguchi, Y., Hiraki, K., Prefrontal cortex and executive function in young children: A review of NIRS studies (2013) Frontiers in Human Neuroscience, 7. , &amp;, (,).,.,., https://doi.org/10.3389/fnhum.2013.00867; Mrazek, M.D., Franklin, M.S., Phillips, D.T., Baird, B., Schooler, J.W., Mindfulness training improves working memory capacity and GRE performance while reducing mind wandering (2013) Psychological Science, 24 (5), pp. 776-781; Naegeli, C., Zeffiro, T., Piccirelli, M., Jaillard, A., Weilenmann, A., Hassanpour, K., Mueller-Pfeiffer, C., Locus coeruleus activity mediates hyperresponsiveness in posttraumatic stress disorder (2018) Biological Psychiatry, 83 (3), pp. 254-262; Owen, A.M., McMillan, K.M., Laird, A.R., Bullmore, E., N-back working memory paradigm: A meta-analysis of normative functional neuroimaging studies (2005) Human Brain Mapping, 25 (1), pp. 46-59; Ozawa, S., Matsuda, G., Hiraki, K., Negative emotion modulates prefrontal cortex activity during a working memory task: A NIRS study (2014) Frontiers in Human Neuroscience, 8. , &amp;, (,).,.,., https://doi.org/10.3389/fnhum.2014.00046; Peirce, J., Gray, J.R., Simpson, S., MacAskill, M., Höchenberger, R., Sogo, H., Kastman, E., Lindeløv, J.K., PsychoPy2: Experiments in behavior made easy (2019) Behavior Research Methods, 51 (1), pp. 195-203; Petersen, S.E., Posner, M.I., The attention system of the human brain: 20 years after (2012) Annual Review of Neuroscience, 35, pp. 73-89; Pfurtscheller, G., Scherer, R., Neuper, C., EEG-based brain-computer interface (2007) Neuroergonomics: The Brain at Work, pp. 315-345. , R. Parasuraman &amp; M. Rizzo (Eds.)., Oxford University Press; Pigeon, W., Allen, C., Possemato, K., Bergen-Cico, D., Treatman, S., Feasibility and acceptability of a brief mindfulness program for veterans in primary care with posttraumatic stress disorder (2015) Mindfulness, 6, pp. 986-995; Pinti, P., Tachtsidis, I., Hamilton, A., Hirsch, J., Aichelburg, C., Gilbert, S., Burgess, P.W., The present and future use of functional near-infrared spectroscopy (fNIRS) for cognitive neuroscience (2020) Annals of the New York Academy of Sciences, 1464 (1), pp. 5-29; Poldrack, R.A., Region of interest analysis for fMRI (2007) Social Cognitive and Affective Neuroscience, 2 (1), pp. 67-70; Possemato, K., Bergen-Cico, D., Treatman, S., Allen, C., Wade, M., Pigeon, W., A randomized clinical trial of primary care brief mindfulness training for veterans with PTSD: Brief mindfulness program for veterans with PTSD (2016) Journal of Clinical Psychology, 72 (3), pp. 179-193; Raffone, A., Srinivasan, N., Mindfulness and cognitive functions: Toward a unifying neurocognitive framework (2017) Mindfulness, 8 (1), pp. 1-9; Rocha-Rego, V., Pereira, M.G., Oliveira, L., Mendlowicz, M.V., Fiszman, A., Marques-Portella, C., Berger, W., Volchan, E., Decreased premotor cortex volume in victims of urban violence with posttraumatic stress disorder (2012) PLoS ONE, 7 (8); Santosa, H., Zhai, X., Fishburn, F., Huppert, T., The NIRS Brain AnalyzIR Toolbox (2018) Algorithms, 11 (5), p. 73; Schutt, R.K., Seidman, L.J., Keshavan, M.S., (2015) Social Neuroscience: Brain, Mind, and Society, , Harvard University Press; Schweizer, S., Dalgleish, T., Emotional working memory capacity in posttraumatic stress disorder (PTSD) (2011) Behaviour Research and Therapy, 49 (8), pp. 498-504; Shaw, M.E., Moores, K.A., Clark, R.C., McFarlane, A.C., Strother, S.C., Bryant, R.A., Brown, G.C., Taylor, J.D., Functional connectivity reveals inefficient working memory systems in posttraumatic stress disorder (2009) Psychiatry Research, 172 (3), pp. 235-241; Shaw, M., Strother, S., Mcfarlane, A., Morris, P., Anderson, J., Clark, C.R., Egan, G., Abnormal functional connectivity in posttraumatic stress disorder (2002) NeuroImage, 15, pp. 661-674; Shin, L.M., Amygdala, medial prefrontal cortex, and hippocampal function in PTSD (2006) Annals of the New York Academy of Sciences, 1071 (1), pp. 67-79; Shucard, J.L., McCabe, D.C., Szymanski, H., An event-related potential study of attention deficits in posttraumatic stress disorder during auditory and visual Go/NoGo continuous performance tasks (2008) Biological Psychology, 79 (2), pp. 223-233; Simon, R., Engström, M., The default mode network as a biomarker for monitoring the therapeutic effects of meditation (2015) Frontiers in Psychology., 6 (776), pp. 1-10; Solovey, T.E., Afergan, D., Peck, E.M., Hincks, S.W., Jacob, R.J.K., Designing implicit interfaces for physiological computing: Guidelines and lessons learned using fNIRS (2015) ACM Transactions on Computer-Human Interaction, 21 (6), pp. 1-35. , https://doi.org/10.1145/2687926; Swick, D., Honzel, N., Larsen, J., Ashley, V., Justus, T., Impaired response inhibition in veterans with posttraumatic stress disorder and mild traumatic brain injury (2012) Journal of the International Neuropsychological Society, 18 (5), pp. 917-926; Tam, N.D., Zouridakis, G., Temporal decoupling of oxy-and deoxy-hemoglobin hemodynamic responses detected by functional near-infrared spectroscopy (FNIRS) (2014) Journal of Biomedical Engineering and Medical Imaging, 1 (2), pp. 1-11. , https://doi.org/10.14738/jbemi.12.146; Tang, Y.Y., Hölzel, B.K., Posner, M.I., The neuroscience of mindfulness meditation (2015) Nature Reviews Neuroscience, 16 (4), pp. 213-225; Tang, Y.Y., Lu, Q., Geng, X., Stein, E.A., Yang, Y., Posner, M.I., Short-term meditation induces white matter changes in the anterior cingulate (2010) Proceedings of the National Academy of Sciences, 107 (35), pp. 15649-15652; Tang, Y.Y., Ma, Y., Wang, J., Fan, Y., Feng, S., Lu, Q., Yu, Q., Posner, M.I., Short-term meditation training improves attention and self-regulation (2007) Proceedings of the National Academy of Sciences, 104 (43), pp. 17152-17156; Tian, F., Yennu, A., Smith-Osborne, A., Gonzalez-Lima, F., North, C.S., Liu, H., Prefrontal responses to digit span memory phases in patients with post-traumatic stress disorder (PTSD): a functional near infrared spectroscopy study (2014) NeuroImage: Clinical, 4, pp. 808-819. , &amp;, (,).,., https://doi.org/10.1016/j.nicl.2014.05.005; Tsuzuki, D., Jurcak, V., Singh, A.K., Okamoto, M., Watanabe, E., Dan, I., Virtual spatial registration of stand-alone fNIRS data to MNI space (2007) NeuroImage, 34 (4), pp. 1506-1518; Uddo, M., Vasterling, J.J., Brailey, K., Sutker, P.B., Memory and attention in combat-related posttraumatic stress disorder (PTSD) (1993) Journal of Psychopathology and Behavioral Assessment, 15 (1), pp. 43-52; van Vugt, M.K., Jha, A.P., Investigating the impact of mindfulness meditation training on working memory: A mathematical modeling approach (2011) Cognitive, Affective, &amp; Behavioral Neuroscience, 11 (3), pp. 344-353; Vasterling, J.J., Brailey, K., Constans, J.I., Sutker, P.B., Attention and memory dysfunction in posttraumatic stress disorder (1998) Neuropsychology, 12 (1), pp. 125-133; Wilkins, K.C., Lang, A.J., Norman, S.B., Synthesis of the psychometric properties of the PTSD checklist (PCL) military, civilian, and specific versions (2011) Depression and Anxiety, 28 (7), pp. 596-606; Zeidan, F., Johnson, S.K., Diamond, B.J., David, Z., Goolkasian, P., Mindfulness meditation improves cognition: Evidence of brief mental training (2010) Consciousness and Cognition, 19 (2), pp. 597-605</t>
  </si>
  <si>
    <t>18688527</t>
  </si>
  <si>
    <t>2-s2.0-85111518324</t>
  </si>
  <si>
    <t>Using fnirs to examine neural mechanisms of change associated with mindfulness-based interventions for stress and trauma: results of a pilot study for women</t>
  </si>
  <si>
    <t>Palraj P., Siddan G.</t>
  </si>
  <si>
    <t>55924059700;57222758176;</t>
  </si>
  <si>
    <t>Deep Learning Algorithm for Classification of Cerebral Palsy from Functional Magnetic Resonance Imaging (fMRI) Classification of Cerebral Palsy from Functional Magnetic Resonance Imaging</t>
  </si>
  <si>
    <t>International Journal of Advanced Computer Science and Applications</t>
  </si>
  <si>
    <t>718</t>
  </si>
  <si>
    <t>724</t>
  </si>
  <si>
    <t>10.14569/IJACSA.2021.0120383</t>
  </si>
  <si>
    <t>https://www.scopus.com/inward/record.uri?eid=2-s2.0-85104018541&amp;doi=10.14569%2fIJACSA.2021.0120383&amp;partnerID=40&amp;md5=8fcb3a496d8c6ea2d3e85c832122c27b</t>
  </si>
  <si>
    <t>Department of Electrical and Electronics Engineering, School of Engineering and Technology, Jain University, Bangalore, India; Department Electronics and Communication Engineering, Swarnandhra Institute of Engineering and TechnologyAndhra Pradesh, India</t>
  </si>
  <si>
    <t>Palraj, P., Department of Electrical and Electronics Engineering, School of Engineering and Technology, Jain University, Bangalore, India; Siddan, G., Department Electronics and Communication Engineering, Swarnandhra Institute of Engineering and TechnologyAndhra Pradesh, India</t>
  </si>
  <si>
    <t>Cerebral palsy is a disorder of neurology that may be caused by prenatal, perinatal or postnatal reasons that result in the failure of motor functioning in children besides mental well-being. Referring to the location of brain injury and the effect of it on the muscle tone, cerebral palsy is classified into subgroups namely spastic, non-spastic etc. Each type of palsy varies in symptoms and hence the therapy planning and rehabilitation are decided depending on the factors involved in each type. This urges the requirement of a suitable technique to classify the type of Palsy at the earlier stages to effectively plan therapy. Functional MRI of the neonatal brain helps in imaging and classification of cerebral palsy. The deep neural network is a subset of machine learning that is widely used in image classification applications. This technique is applied to the functional magnetic resonance brain images of infants to classify the type of cerebral palsy using a deep convolutional network of modified AlexNet architecture that helps the physician further in a planned rehabilitation to facilitate the lifestyle of the affected children. © 2021. All Rights Reserved.</t>
  </si>
  <si>
    <t>Cerebral palsy; deep neural network; functional magnetic resonance image</t>
  </si>
  <si>
    <t>Brain; Brain mapping; Deep neural networks; Diseases; Image classification; Learning algorithms; Magnetism; Patient rehabilitation; Resonance; Brain injury; Cerebral palsy; Classifieds; Functional magnetic resonance image; Functional magnetic resonance imaging; Images classification; Magnetic resonance brain images; Muscle tone; Therapy planning; Well being; Magnetic resonance imaging</t>
  </si>
  <si>
    <t>Dhara, K., Mukhopadhyay, S., Dutta, A., Garg, M., Khandelwal, N., A combination of shape and texture features for classification of pulmonary nodules in lung CT images (2016) Journal of digital imaging, 29, p. 466475. , [1]; Ahmadi, M., O'Neil, M., Fragala-Pinkham, M., Lennon, N., Trost, S., Machine learning algorithms for activity recognition in ambulant children and adolescents with cerebral palsy (2018) Journal of neuroengineering and rehabilitation, 15, pp. 1-9. , [2]; Bertoncelli, C. M., Altamura, P., Vieira, E. R., Iyengar, S. S., Solla, F., Bertoncelli, D., PredictMed: A logistic regression-based model to predict health conditions in cerebral palsy (2020) Health informatics journal, 26, pp. 2105-2118. , [3]; Bahado-Singh, R. O., Vishweswaraiah, S., Aydas, B., Mishra, N. K., Guda, C., Radhakrishna, U., Deep learning/artificial intelligence and blood-based DNA epigenomic prediction of cerebral palsy (2019) International journal of molecular sciences, 20, p. 2075. , [4]; Cunningham, R., Sánchez, M. B., Butler, P. B., Southgate, M. J., Loram, I. D., Fully automated image-based estimation of postural pointfeatures in children with cerebral palsy using deep learning (2019) Royal Society open science, 6, p. 191011. , [5]; Lee-Park, J. J., Deshpande, H., Lisinski, J., LaConte, S., Ramey, S. L., DeLuca, S. C., (2018) Neuroimaging strategies addressing challenges in using fMRI for the children with cerebral palsy, , [6]; Rethlefsen, S. A., Ryan, D. D., Kay, R. M., Classification systems in cerebral palsy (2010) Orthopedic Clinics, 41, pp. 457-467. , [7]; Gorter, J. W., Ketelaar, M., Rosenbaum, P., Helders, P. J., Palisano, R., Use of the GMFCS in infants with CP: the need for reclassification at age 2 years or older (2009) Developmental Medicine &amp; Child Neurology, 51, pp. 46-52. , [8]; Moreno-De-Luca, A., Ledbetter, D. H., Martin, C. L., Genetic insights into the causes and classification of the cerebral palsies (2012) The lancet neurology, 11, pp. 283-292. , [9]; Love, S., Novak, I., Kentish, M., Desloovere, K., Heinen, F., Molenaers, G., Botulinum toxin assessment, intervention and after - care for lower limb spasticity in children with cerebral palsy: international consensus statement (2010) European Journal of Neurology, 17, pp. 9-37. , [10]; Crichton, A., Ditchfield, M., Gwini, S., Wallen, M., Thorley, M., Bracken, J., Brain magnetic resonance imaging is a predictor of bimanual performance and executive function in children with unilateral cerebral palsy (2020) Developmental Medicine &amp; Child Neurology, 62, p. 615624. , [11]; Lindquist, M. A., The statistical analysis of fMRI data (2008) Statistical science, 23, pp. 439-464. , [12]; Khan, S., Yong, S.-P., A deep learning architecture for classifying medical images of anatomy object (2017) 2017 Asia-Pacific Signal and Information Processing Association Annual Summit and Conference (APSIPA ASC), pp. 1661-1668. , [13] in; Garrison, K. A., Rogalsky, C., Sheng, T., Liu, B., Damasio, H., Winstein, C. J., Functional MRI preprocessing in lesioned brains: manual versus automated region of interest analysis (2015) Frontiers in neurology, 6, p. 196. , [14]; Li, Q., Cai, W., Wang, X., Zhou, Y., Feng, D. D., Chen, M., Medical image classification with convolutional neural network (2014) 2014 13th International Conference on Control Automation Robotics &amp; Vision (ICARCV), pp. 844-848. , [15] in; Sutcliffe, T. L., Gaetz, W. C., Logan, W. J., Cheyne, D. O., Fehlings, D. L., Cortical reorganization after modified constraint-induced movement therapy in pediatric hemiplegic cerebral palsy (2007) Journal of child neurology, 22, pp. 1281-1287. , [16]; Goodfellow, I., Bengio, Y., Courville, A., (2016) Deep learning, , [17] MIT press; Bleyenheuft, Y., Dricot, L., Gilis, N., Kuo, H.-C., Grandin, C., Bleyenheuft, C., Capturing neuroplastic changes after bimanual intensive rehabilitation in children with unilateral spastic cerebral palsy: a combined DTI, TMS and fMRI pilot study (2015) Research in developmental disabilities, 43, pp. 136-149. , [18]; Szegedy, C., Liu, W., Jia, Y., Sermanet, P., Reed, S., Anguelov, D., Going deeper with convolutions (2015) Proceedings of the IEEE conference on computer vision and pattern recognition, pp. 1-9. , [19] in; Paulson, A., Vargus-Adams, J., Overview of four functional classification systems commonly used in cerebral palsy (2017) Children, 4, p. 30. , [20]; Xi, X., Keogh, E., Shelton, C., Wei, L., Ratanamahatana, C. A., Fast time series classification using numerosity reduction (2006) Proceedings of the 23rd international conference on Machine learning, p. 10331040. , [21] in; Meszlényi, R., Peska, L., Gál, V., Vidnyánszky, Z., Buza, K., Classification of fMRI data using dynamic time warping based functional connectivity analysis (2016) 2016 24th European signal processing conference (EUSIPCO), pp. 245-249. , [22] in; Krizhevsky, A., Sutskever, I., Hinton, G. E., Imagenet classification with deep convolutional neural networks (2012) Advances in neural information processing systems, pp. 1097-1105. , [23] in; Koman, L., Smith, B., Shilt, JS, Cerebral palsy (2004) The Lancet, 363, pp. 1619-163. , en, [24]; Pantazis, D., Joshi, A., Jiang, J., Shattuck, D. W., Bernstein, L. E., Damasio, H., Comparison of landmark-based and automatic methods for cortical surface registration (2010) Neuroimage, 49, pp. 2479-2493. , [25]</t>
  </si>
  <si>
    <t>Science and Information Organization</t>
  </si>
  <si>
    <t>2158107X</t>
  </si>
  <si>
    <t>Intl. J. Adv. Comput. Sci. Appl.</t>
  </si>
  <si>
    <t>2-s2.0-85104018541</t>
  </si>
  <si>
    <t>Deep learning algorithm for classification of cerebral palsy from functional magnetic resonance imaging (fmri) classification of cerebral palsy from functional magnetic resonance imaging</t>
  </si>
  <si>
    <t>Morrow E., Zidaru T., Ross F., Mason C., Patel K.D., Ream M., Stockley R.</t>
  </si>
  <si>
    <t>36572321800;57224469333;57220479103;58085837600;55915276800;57194205360;57224464813;</t>
  </si>
  <si>
    <t>Artificial intelligence technologies and compassion in healthcare: A systematic scoping review</t>
  </si>
  <si>
    <t>971044</t>
  </si>
  <si>
    <t>10.3389/fpsyg.2022.971044</t>
  </si>
  <si>
    <t>https://www.scopus.com/inward/record.uri?eid=2-s2.0-85147180490&amp;doi=10.3389%2ffpsyg.2022.971044&amp;partnerID=40&amp;md5=5ce360f6dcead95b9b8782e2446336c8</t>
  </si>
  <si>
    <t>Research Support Northern Ireland, Downpatrick, United Kingdom; Department of Anthropology, London School of Economics and Political Sciences, London, United Kingdom; Faculty of Health, Science, Social Care and Education, Kingston University London, London, United Kingdom; Palo Alto, CA, United States; Dublin, Iheed, Ireland; Kent Surrey Sussex Academic Health Science Network (AHSN), National AHSN Network Artificial Intelligence (AI) Initiative, Surrey, United Kingdom; Research and Engagement, Surrey Heartlands Health and Care Partnership, Surrey, United Kingdom</t>
  </si>
  <si>
    <t>Morrow, E., Research Support Northern Ireland, Downpatrick, United Kingdom; Zidaru, T., Department of Anthropology, London School of Economics and Political Sciences, London, United Kingdom; Ross, F., Faculty of Health, Science, Social Care and Education, Kingston University London, London, United Kingdom; Mason, C., Palo Alto, CA, United States; Patel, K.D., Dublin, Iheed, Ireland; Ream, M., Kent Surrey Sussex Academic Health Science Network (AHSN), National AHSN Network Artificial Intelligence (AI) Initiative, Surrey, United Kingdom; Stockley, R., Research and Engagement, Surrey Heartlands Health and Care Partnership, Surrey, United Kingdom</t>
  </si>
  <si>
    <t>Background: Advances in artificial intelligence (AI) technologies, together with the availability of big data in society, creates uncertainties about how these developments will affect healthcare systems worldwide. Compassion is essential for high-quality healthcare and research shows how prosocial caring behaviors benefit human health and societies. However, the possible association between AI technologies and compassion is under conceptualized and underexplored. Objectives: The aim of this scoping review is to provide a comprehensive depth and a balanced perspective of the emerging topic of AI technologies and compassion, to inform future research and practice. The review questions were: How is compassion discussed in relation to AI technologies in healthcare? How are AI technologies being used to enhance compassion in healthcare? What are the gaps in current knowledge and unexplored potential? What are the key areas where AI technologies could support compassion in healthcare? Materials and methods: A systematic scoping review following five steps of Joanna Briggs Institute methodology. Presentation of the scoping review conforms with PRISMA-ScR (Preferred Reporting Items for Systematic reviews and Meta-Analyses extension for Scoping Reviews). Eligibility criteria were defined according to 3 concept constructs (AI technologies, compassion, healthcare) developed from the literature and informed by medical subject headings (MeSH) and key words for the electronic searches. Sources of evidence were Web of Science and PubMed databases, articles published in English language 2011–2022. Articles were screened by title/abstract using inclusion/exclusion criteria. Data extracted (author, date of publication, type of article, aim/context of healthcare, key relevant findings, country) was charted using data tables. Thematic analysis used an inductive-deductive approach to generate code categories from the review questions and the data. A multidisciplinary team assessed themes for resonance and relevance to research and practice. Results: Searches identified 3,124 articles. A total of 197 were included after screening. The number of articles has increased over 10 years (2011, n = 1 to 2021, n = 47 and from Jan–Aug 2022 n = 35 articles). Overarching themes related to the review questions were: (1) Developments and debates (7 themes) Concerns about AI ethics, healthcare jobs, and loss of empathy; Human-centered design of AI technologies for healthcare; Optimistic speculation AI technologies will address care gaps; Interrogation of what it means to be human and to care; Recognition of future potential for patient monitoring, virtual proximity, and access to healthcare; Calls for curricula development and healthcare professional education; Implementation of AI applications to enhance health and wellbeing of the healthcare workforce. (2) How AI technologies enhance compassion (10 themes) Empathetic awareness; Empathetic response and relational behavior; Communication skills; Health coaching; Therapeutic interventions; Moral development learning; Clinical knowledge and clinical assessment; Healthcare quality assessment; Therapeutic bond and therapeutic alliance; Providing health information and advice. (3) Gaps in knowledge (4 themes) Educational effectiveness of AI-assisted learning; Patient diversity and AI technologies; Implementation of AI technologies in education and practice settings; Safety and clinical effectiveness of AI technologies. (4) Key areas for development (3 themes) Enriching education, learning and clinical practice; Extending healing spaces; Enhancing healing relationships. Conclusion: There is an association between AI technologies and compassion in healthcare and interest in this association has grown internationally over the last decade. In a range of healthcare contexts, AI technologies are being used to enhance empathetic awareness; empathetic response and relational behavior; communication skills; health coaching; therapeutic interventions; moral development learning; clinical knowledge and clinical assessment; healthcare quality assessment; therapeutic bond and therapeutic alliance; and to provide health information and advice. The findings inform a reconceptualization of compassion as a human-AI system of intelligent caring comprising six elements: (1) Awareness of suffering (e.g., pain, distress, risk, disadvantage); (2) Understanding the suffering (significance, context, rights, responsibilities etc.); (3) Connecting with the suffering (e.g., verbal, physical, signs and symbols); (4) Making a judgment about the suffering (the need to act); (5) Responding with an intention to alleviate the suffering; (6) Attention to the effect and outcomes of the response. These elements can operate at an individual (human or machine) and collective systems level (healthcare organizations or systems) as a cyclical system to alleviate different types of suffering. New and novel approaches to human-AI intelligent caring could enrich education, learning, and clinical practice; extend healing spaces; and enhance healing relationships. Implications: In a complex adaptive system such as healthcare, human-AI intelligent caring will need to be implemented, not as an ideology, but through strategic choices, incentives, regulation, professional education, and training, as well as through joined up thinking about human-AI intelligent caring. Research funders can encourage research and development into the topic of AI technologies and compassion as a system of human-AI intelligent caring. Educators, technologists, and health professionals can inform themselves about the system of human-AI intelligent caring. Copyright © 2023 Morrow, Zidaru, Ross, Mason, Patel, Ream and Stockley.</t>
  </si>
  <si>
    <t>artificial intelligence (AI); compassion; compassionate healthcare; empathy; healthcare technology</t>
  </si>
  <si>
    <t>Abdullah, Y.I., Schuman, J.S., Shabsigh, R., Caplan, A., Al-Aswad, L.A., Ethics of artificial intelligence in medicine and ophthalmology (2021) Asia Pac. J. Ophthalmol, 10, pp. 289-298. , 34383720; Abeyaratne, C., Bell, J.S., Dean, L., White, P., Maher-Sturgess, S.L., Engaging older people as university-based instructors: a model to improve the empathy and attitudes of pharmacists in training (2020) Curr. Pharm. Teach. Learn, 12, pp. 58-64. , 31843166; Ajeesh, A.K., Rukmini, S., Posthuman perception of artificial intelligence in science fiction: an exploration of kazuo ishiguro’s klara and the sun (2022) AI Soc, 22, p. 1533; Alameddine, M., Soueidan, H., Makki, M., Tamim, H., Hitti, E., The use of smart devices by care providers in emergency departments: cross-sectional survey design (2019) JMIR Mhealth Uhealth, 7, p. e13614. , 31199328; Ali, S., Terry, L., Exploring senior nurses’ understanding of compassionate leadership in the community (2017) Br. J. Commun. Nurs, 22, pp. 77-87. , 28161976; Ali, S., Kleib, M., Paul, P., Petrovskaya, O., Kennedy, M., Compassionate nursing care and the use of digital health technologies: a scoping review (2022) Int. J. Nurs. Stud, 127, p. 104161. , 35032743; Alrassi, J., Katsufrakis, P.J., Chandran, L., Technology can augment, but not replace, critical human skills needed for patient care (2021) Acad. Med, 96, pp. 37-43. , 32910005; Amini, H., Gregory, M.E., Abrams, M.A., Luna, J., Roland, M., Sova, L.N., Feasibility and usability study of a pilot immersive virtual reality-based empathy training for dental providers (2021) J. Dent. Educ, 85, pp. 856-865. , 33638168; Amini, R., Lisetti, C.L., Yasavur, U., Rishe, N., On-demand virtual health counselor for delivering behavior-change health interventions (2013) Proceeding of the 2013 IEEE international conference on healthcare informatics, pp. 46-55; Andersson, M., Axelsson, K., Fältholm, Y., Lindberg, I., Technologies in older people’s care (2017) Nurs. Ethics, 24, pp. 125-137. , 26208722; Arksey, H., O’Malley, L., Scoping studies: towards a methodological framework (2005) Int. J. Soc. Res. Methodol, 8, pp. 19-32; Atif, N., Nazir, H., Sultan, Z.H., Rauf, R., Waqas, A., Malik, A., Technology-assisted peer therapy: a new way of delivering evidence-based psychological interventions (2022) BMC Health Serv Res, 22, p. 842. , 35773677; Baghaei, N., Ahmadi, A., Khaliq, I., Liang, H., Individualised virtual reality for supporting depression: feedback from mental health professionals (2021) Proceeding of the 2021 IEEE international symposium on mixed and augmented reality adjunct (ISMAR-adjunct), pp. 63-67; Baghaei, N., Hach, S., Khaliq, I., Stemmet, L., Krishnan, J., Naslund, J., Increasing self-compassion in young people through virtual reality (2019) Proceeding of the 2019 IEEE international symposium on mixed and augmented reality adjunct (ISMAR-adjunct), , IEEE, in; Baguley, S.I., Pavlova, A., Consedine, N.S., More than a feeling? What does compassion in healthcare ‘looks like’ to patients? (2022) Health Exp, 25, pp. 1691-1702. , 35661516; Baguley, S., Dev, V., Fernando, A., Consedine, N., How do health professionals maintain compassion over time? Insights from a study of compassion in health (2020) Front. Psychol, 29, p. 564554. , 33447247; Bajwa, J., Munir, U., Nori, A., Williams, B., Artificial intelligence in healthcare: transforming the practice of medicine (2021) Fut. Healthc J, 8, pp. e188-e194. , 34286183; Ball, S., Bluteau, P., Clouder, D.L., Adefila, A., Graham, S., MyShoes: an immersive simulation of dementia (2015) Proceedings of the international conference on e-learning, 2015, pp. 16-23. , Academic Conferences Limited; Baqeas, M.H., Davis, J., Copnell, B., Compassion fatigue and compassion satisfaction among palliative care health providers: a scoping review (2021) BMC Palliat Care, 20, p. 88. , 34162388; Beverly, E., Rigot, B., Love, C., Love, M., Perspectives of 360-degree cinematic virtual reality: interview study among health care professionals (2022) JMIR Med. Educ, 8, p. e32657. , 35486427; Bevilacqua, R., Casaccia, S., Cortellessa, G., Astell, A., Lattanzio, F., Corsonello, A., Coaching through technology: a systematic review into efficacy and effectiveness for the ageing population (2020) Int. J. Environ. Res. Public Health, 2020, p. 930. , 32824169; Bin Kamarudin, M.F., Zary, N., Augmented reality, virtual reality and mixed reality in medical education: a comparative web of science scoping review (2019) Preprints, 2019, p. 2019040323. , 32283112; Bjorklund, P., Gossamer threads: commentary on the impact of digital technology on the developing brain and the capacity for empathy (2016) ANS Adv. Nurs. Sci, 39, pp. 71-84. , 26836995; Blease, C.R., Kaptchuk, T.J., Bernstein, M.H., Mandl, K.D., Halamka, J.D., DesRoches, C.M., Artificial intelligence and the future of primary care: exploratory qualitative study of UK general practitioners’ views (2019) J. Med. Int. Res, 21, p. e12802. , 30892270; Blease, C., Locher, C., Leon-Carlyle, M., Doraiswamy, M., Artificial intelligence and the future of psychiatry: qualitative findings from a global physician survey (2020) Digit Health, 27. , 2055207620968355, 33194219; Bleazard, M., Compassion fatigue in nurses caring for medically complex children (2020) J. Hosp. Palliat. Nurs, 22, pp. 473-478. , 32969858; Bleiker, J., Knapp, K., Morgan-Trimmer, S., Hopkins, S., What medical imaging professionals talk about when they talk about compassion (2020) J. Med. Imag. Radiat. Sci, 51, pp. S44-S52. , 32855113; Blomberg, K., Griffiths, P., Wengström, Y., May, C., Bridges, J., Interventions for compassionate nursing care: a systematic review (2016) Int. J. Nurs. Stud, 62, pp. 137-155. , 27494429; Bloom, P., (2016) Against empathy: the case for rational compassion, , London, The Bodley Head; Boggiss, A., Consedine, N., Hopkins, S., Silvester, C., Jefferies, C., Hofman, P., A self-compassion chatbot to improve the wellbeing of adolescents with type 1 diabetes during the COVID-19 pandemic: what do adolescents and their healthcare professionals want? (2022) JMIR Preprints, 2022, p. 40641; Bogossian, F., Winters-Chang, P., Tuckett, A., The pure hard slog that nursing is”: a qualitative analysis of nursing work (2014) J. Nurs. Scholarship Offi. Publi. Sigma Theta Tau Int. Honor Soc. Nurs, 46, pp. 377-388. , 25163354; Bond, C., Positive touch and massage in the neonatal unit: a british approach (2002) Sem. Neonatol, 7, pp. 477-486. , 12614600; Bouabida, K., Malas, K., Talbot, A., Desrosiers, M.È., Lavoie, F., Lebouché, B., Remote patient monitoring program for COVID-19 patients following hospital discharge: a cross-sectional study (2021) Front. Digit. Health, 3, p. 721044. , 34859244; Boucher, E.M., Harake, N., Ward, H.E., Stoeckl, S.E., Vargas, J., Minkel, J.D., Artificially intelligent chatbots in digital mental health interventions: a review (2021) Exp. Rev. Med. Dev, 18, pp. 37-49. , 34872429; Braillon, A., Taiebi, F., Practicing “reflective listening” is a mandatory prerequisite for empathy (2020) Patient Educ. Coun, 103, pp. 1866-1867. , 32487470; Brammer, S., Regan, S., Collins, C., Gillespie, G., Developing innovative virtual reality simulations to increase health care providers’ understanding of social determinants of health (2022) J. Contin. Educ. Health Prof, 42, pp. 60-65. , 34799522; Brandt, C.J., Søgaard, G.I., Clemensen, J., Søndergaard, J., Nielsen, J.B., Determinants of successful ehealth coaching for consumer lifestyle changes: qualitative interview study among health care professionals (2018) J. Med. Int. Res, 20, p. e237. , 29980496; Braveman, P., Gottlieb, L., The social determinants of health: it’s time to consider the causes of the causes (2014) Public Health Rep, 129, pp. 19-31. , 24385661; Bridge, P., Bridge, R., Artificial Intelligence in radiotherapy: a philosophical perspective (2019) J. Med. Imag. Radiat. Sci, 50, pp. S27-S31. , 31591033; Broadbent, E., Johanson, D., Shah, J., A new model to enhance robot-patient communication: applying insights from the medical world (2018) Social robotics - 10th international conference, ICSR 2018, qingdao, china, , Shuzhi S.G., Cabibihan J.J., Salichs M.A., Broadbent E., He H., Wagner A.R., (eds), in; Brown, L., Houston, E., Amonoo, H., Bryant, C., Is self-compassion associated with sleep quality? A meta-analysis (2020) Mindfulness, 12, pp. 82-91; Brown, S.L., Brown, R.M., Connecting prosocial behavior to improved physical health: contributions from the neurobiology of parenting (2015) Neurosci. Biobehav. Rev, 55, pp. 1-17. , 25907371; Brydon, M., Kimber, J., Sponagle, M., MacLaine, J., Avery, J., Pyke, L., Virtual reality as a tool for eliciting empathetic behaviour in carers: an integrative review (2021) J. Med. Imag. Radiat. Sci, 52, pp. 466-477. , 34023219; Buchanan, C., Howitt, M.L., Wilson, R., Booth, R.G., Risling, T., Bamford, M., Predicted influences of artificial intelligence on the domains of nursing: scoping review (2020) JMIR Nurs, 3, p. e23939. , 34406963; Buijs-Spanjers, K.R., Hegge, H.H.M., Cnossen, F., Hoogendoorn, E., Jaarsma, D.A.D.C., de Rooij, S.E., Dark play of serious games: effectiveness and features (G4HE2018) (2019) Games Health J, 8, pp. 301-306. , 30964340; Buolamwini, J., (2017) Gender shades: intersectional phenotypic and demographic evaluation of face datasets and gender classifiers Ph. D, Thesis; Casagrande, A., La bientraitance, naissance d’une notion dans le clair-obscur des espaces de soins [compassionate care, emergence of a notion in the light and shade of the care environment] (2016) Soins Revue Reference Infirmiere, 805, pp. 22-25. , 27157555; Chang, A., (2020) Intelligence based medicine, , Amsterdam, Elsevier; Chew, H.S.J., Achananuparp, P., Perceptions and needs of artificial intelligence in health care to increase adoption: scoping review (2022) J. Med. Int. Res, 24, p. e32939. , 35029538; Cillers, P., (1998) Complexity and postmodernism: understanding complex systems, , London, Routledge; Clavelle, J.T., Sweeney, C.D., Swartwout, E., Lefton, C., Guney, S., Leveraging technology to sustain extraordinary care: a qualitative analysis of meaningful nurse recognition (2019) J. Nurs. Administr, 49, pp. 303-309. , 31135637; Collier, R., Electronic health records contributing to physician burnout (2017) CMAJ Can. Med. Assoc. J. Assoc. Med. Can, 189, pp. E1405-E1406. , 29133547; Combs, C.D., Combs, P.F., Emerging roles of virtual patients in the age of AI (2019) AMA J. Ethics, 21, pp. E153-E159. , 30794125; Critchley, S., (2015) Beyond artificial compassion, , http://radar.oreilly.com/2015/02/beyond-ai-artificial-compassion.html, (accessed December 14, 2022), Available online at; Crotty, B.H., Somai, M., Bugs in the virtual clinic: confronting telemedicine’s challenges through empathy and support (2022) J. Particip. Med, 14, p. e25688. , 35452399; Daher, K., Casas, J., Abou Khaled, O., Mugellini, E., Empathic chatbot response for medical assistance. assoc comp machinery (2020) Proceedings of the 20th ACM international conference on intelligent virtual agents (ACM IVA 2020), , in; Darcy, A., Daniels, J., Salinger, D., Wicks, P., Robinson, A., Evidence of human-level bonds established with a digital conversational agent: cross-sectional, retrospective observational study (2021) JMIR Format. Res, 5, p. e27868. , 33973854; Davendralingam, N., Kanagaratnam, M., Davagnanam, I., ‘A crisis in caring’: a place for compassionate care in today’s medicine (2017) J. R. Soc. Med, 110, pp. 225-226. , 28382849; Davenport, T., Kalakota, R., The potential for artificial intelligence in healthcare (2019) Fut. Health. J, 6, pp. 94-98. , 31363513; Day, J., Finkelstein, J.C., Field, B.A., Matthews, B., Kirby, J.N., Doty, J.R., Compassion-focused technologies: reflections and future directions (2021) Front. Psychol, 12, p. 603618. , 34054636; De Bakey, M., Medical research and the golden rule (2018) JAMA, 319, p. 726. , 29466580; De Togni, G., Erikainen, S., Chan, S., Cunningham-Burley, S., What makes AI ‘intelligent’ and ‘caring’? Exploring affect and relationality across three sites of intelligence and care (2021) Soc. Sci. Med, 277, p. 113874. , 33901725; de Zulueta, P., Confidentiality, privacy, and general practice: GPDPR and the brave new world of ‘big data’ (2021) Br. J. General Pract. J. R. Coll. General Practit, 71, pp. 420-421. , 34446416; de Zulueta, P.C., Developing compassionate leadership in health care: an integrative review (2015) J. Health. Lead, 8, pp. 1-10. , 29355200; Dean, S., Halpern, J., McAllister, M., Lazenby, M., Nursing education, virtual reality and empathy? (2020) Nurs. Open, 7, pp. 2056-2059. , 33072391; Demarinis, S., Healthcare providers use virtual reality to elicit empathy (2022) Exp. J. Sci. Healing, 18, p. 1550; Dev, V., Fernando, A.T., III, Kirby, J.N., Consedine, N.S., Variation in the barriers to compassion across healthcare training and disciplines: a cross-sectional study of doctors, nurses, and medical students (2019) Int. J. Nurs. Stud, 90, pp. 1-10. , 30476724; Dewar, B., Cook, F., Developing compassion through a relationship centred appreciative leadership programme (2014) Nurse Educ. Today, 34, pp. 1258-1264. , 24461906; Dial, M., (2018) Heartificial empathy, putting heart into business and artificial intelligence, , London: Digital Proof Press; Doing-Harris, K., Mowery, D.L., Daniels, C., Chapman, W.W., Conway, M., Understanding patient satisfaction with received healthcare services: a natural language processing approach (2017) AMIA Ann. Symp. Proc, 2016, pp. 524-533; Doraiswamy, P.M., Blease, C., Bodner, K., Artificial intelligence and the future of psychiatry: insights from a global physician survey (2020) Artif Intell Med, 102, p. 101753. , 31980092; Dori, D., Sillitto, H., What is a system? An ontological framework (2017) Syst. Engin, 20, pp. 207-219; Dragano, N., Lunau, T., Technostress at work and mental health: concepts and research results (2020) Curr. Opin. Psychiatry, 33, pp. 407-413. , 32324623; Durkin, J., Jackson, D., Usher, K., Compassionate practice in a hospital setting. experiences of patients and health professionals: a narrative inquiry (2021) J. Adv. Nurs, 78, pp. 1112-1127. , 34723403; Durkin, M., Gurbutt, R., Carson, J., Qualities, teaching, and measurement of compassion in nursing: a systematic review (2018) Nurse Educ. Today, 63, pp. 50-58. , 29407260; Eagle, T., Blau, C., Bales, S., Desai, N., Li, V., Whittaker, S., I don’t know what you mean by i am anxious”: a new method for evaluating conversational agent responses to standardized mental health inputs for anxiety and depression (2022) ACM Trans. Int. Intelli. Syst, 12, pp. 1-23; Ehret, A., Joormann, J., Berking, M., Examining risk and resilience factors for depression: the role of self-criticism and self-compassion (2015) Cogn. Emot, 29, pp. 1496-1504. , 25517734; Elkin, B., When empathy matters most (2021) Am. J. Med, 134, pp. 1304-1305. , 34081898; Esmaeilzadeh, P., Mirzaei, T., Dharanikota, S., Patients’ perceptions toward human-artificial intelligence interaction in health care: experimental study (2021) J. Med. Int. Res, 23, p. e25856. , 34842535; Falconer, C.J., Slater, M., Rovira, A., King, J.A., Gilbert, P., Antley, A., Embodying compassion: a virtual reality paradigm for overcoming excessive self-criticism (2014) PLoS One, 9, p. e111933. , 25389766; Fernandez-Luque, L., Imran, M., Humanitarian health computing using artificial intelligence and social media: a narrative literature review (2018) Int. J. Med. Inform, 114, pp. 136-142. , 29395987; Fernando, A.T., III, Consedine, N.S., Beyond compassion fatigue: the transactional model of physician compassion (2014) J. Pain Sympt. Manage, 48, pp. 289-298. , 24417804; Field, T., Massage therapy research review (2014) Comple. Ther. Clin. Pract, 20, pp. 224-229. , 25172313; Figley, C., Regan Figley, K., Compassion fatigue resilience (2017) The oxford handbook of compassion science, , Emma M.S., Simon-Thomas E., Brown S.L., Worline M.C., Cameron C.D., Doty J.R., (eds), in; Figueroa, C.A., Luo, T., Aguilera, A., Lyles, C.R., The need for feminist intersectionality in digital health (2021) Lancet Digital Health, 3, pp. e526-e533; Flemotomos, N., Martinez, V.R., Chen, Z., Singla, K., Ardulov, V., Peri, R., Automated evaluation of psychotherapy skills using speech and language technologies (2022) Behav. Res. Methods, 54, pp. 690-711. , 34346043; Fleury-Perkins, C., Paris, M., L’intelligence artificielle, réflexion philosophique [artificial intelligence, philosophical reflection] (2019) Soins Revue Reference Infirm, 64, pp. 24-27. , 31345304; Flores, R., Brown, P., The changing place of care and compassion within the english NHS: an eliasean perspective (2018) Soc. Theory Health, 16, pp. 156-171; Ford, M.E., (1992) Summary of motivational systems theory in motivating humans: goals, emotions, and personal agency beliefs, pp. 244-257. , Thousand Oaks, CA, SAGE Publications, Inc; Fotaki, M., Why and how is compassion necessary to provide good quality healthcare? (2015) Int. J. Health Policy Manage, 4, p. 199. , 25844380; Francis, K.B., Gummerum, M., Ganis, G., Howard, I.S., Terbeck, S., Virtual morality in the helping professions: simulated action and resilience (2018) Br. J. Psychol, 109, pp. 442-465. , 29164607; Friis, A., Johnson, M., Cutfield, R., Consedine, N., Kindness matters: a randomized controlled trial of a mindful self-compassion intervention improves depression, distress, and HbA1c Among patients with diabetes (2016) Diab. Care, 39, pp. 1963-1971. , 27335319; Fritzsche, H., Barbazzeni, B., Mahmeen, M., Haider, S., Friebe, M., A structured pathway toward disruption: a novel healthtec innovation design curriculum with entrepreneurship in mind (2021) Front. Public Health, 9, p. 715768. , 34540788; Gallagher, A., Wainwright, P., The ethical divide (2005) Nurs. Stand, 20, pp. 22-25. , 16281535; Gallos, P., Menychtas, A., Panagopoulos, C., Kaselimi, M., Temenos, A., Rallis, I., Using mHealth technologies to promote public health and well-being in urban areas with blue-green solutions (2022) Stud. Health Technol. Inform, 295, pp. 566-569. , 35773937; García, J.A., Paterniti, D.A., Romano, P.S., Kravitz, R.L., Patient preferences for physician characteristics in university-based primary care clinics (2003) Ethn. Dis, 13, pp. 259-267; Gavarkovs, A.G., Behavioral counseling training for primary care providers: immersive virtual simulation as a training tool (2019) Front. Public Health, 7, p. 116. , 31143761; Giambattista, A., Teixeira, L., Ayanoðlu, H., Saraiva, M., Duarte, E., Expression of emotions by a service robot: a pilot study (2016) Design, user experience, and usability: technological contexts. DUXU 2016, 9748. , Marcus A., (ed), Cham, Springer; Gilbert, P., The origins and nature of compassion focused therapy (2014) Br. J. Clin. Psychol, 53, pp. 6-41. , 24588760; Gilbert, P., Explorations into the nature and function of compassion (2019) Curr. Opin. Psychol, 28, pp. 108-114. , 30639833; Gilbert, P., (2021) Compassion and safe relating series, , https://www.youtube.com/playlist?list=PL15t-W6V_jQi75LGjh3Q-4bhgytLO_Hml, (accessed December 14, 2022), Available online at; Gillespie, G.L., Farra, S., Regan, S.L., Brammer, S.V., Impact of immersive virtual reality simulations for changing knowledge, attitudes, and behaviors (2021) Nurse Educ. Today, 105, p. 105025. , 34175566; Goetz, J., Keltner, D., Simon-Thomas, E., Compassion: an evolutionary analysis and empirical review (2010) Psychol. Bull, 136, pp. 351-374. , 20438142; Goldberg, M.J., Compassionate care: making it a priority and the science behind it (2020) J. Pediatr. Orthop, 40, pp. S4-S7. , 32502062; Gray, A., Cox, J., The roots of compassion and empathy: implementing the francis report and the search for new models of health care (2015) Eur. J. Person Centered Health, 3, pp. 122-130; Greinacher, A., Helaß, M., Nikendei, C., Müller, A., Mulfinger, N., Gündel, H., The impact of personality on intention to leave the nursing profession: a structural equation model (2022) J. Clin. Nurs, 31, pp. 1570-1579. , 34453391; Grekin, E.R., Beatty, J.R., Ondersma, S.J., Mobile health interventions: exploring the use of common relationship factors (2019) JMIR mHealth, 7, p. e11245. , 30985281; Groza, H.L., Sebesi, S.B., Mandru, D.S., Age simulation suits for training, research and development (2017) Proceeding of the international conference on advancements of medicine and health care through technology; 12th - 15th october 2016, cluj-napoca, romania, , Cham, Springer; Grzybowski, A., Brona, P., Lim, G., Ruamviboonsuk, P., Tan, G.S., Abramoff, M., Artificial intelligence for diabetic retinopathy screening: a review (2020) Eye, 34, pp. 451-460. , 31488886; Gu, J., Cavanagh, K., Baer, R., Strauss, C., An empirical examination of the factor structure of compassion (2017) PLoS One, 12, p. e0172471. , 28212391; Guetterman, T.C., Kron, F.W., Campbell, T.C., Scerbo, M.W., Zelenski, A.B., Cleary, J.F., Initial construct validity evidence of a virtual human application for competency assessment in breaking bad news to a cancer patient (2017) Adv. Med. Educ. Pract, 25, pp. 505-512. , 28794664; Guetterman, T.C., Sakakibara, R., Baireddy, S., Kron, F.W., Scerbo, M.W., Cleary, J.F., Medical students’ experiences and outcomes using a virtual human simulation to improve communication skills: mixed methods study (2019) J. Med. Int. Res, 21, p. e15459. , 31774400; Hagman, W., Tinghög, G., Dickert, S., Slovic, P., Västfjäll, D., Motivated down-regulation of emotion and compassion collapse revisited (2022) Front. Psychol, 13, p. 801150. , 35911053; Håkansson Eklund, J., Summer Meranius, M., Toward a consensus on the nature of empathy: a review of reviews (2021) Patient Educ. Couns, 104, pp. 300-307. , 32888755; Halan, S., Sia, I., Crary, M., Lok, B., Exploring the effects of healthcare students creating virtual patients for empathy training (2015) Intelligent virtual agents. IVA 2015. lecture notes in computer science, p. 9238. , Brinkman W., Broekens J., Heylen D., (eds), Cham, Springer; Harris, J., Editorial commentary: personalized hip arthroscopy outcome prediction using machine learning-the future is here (2021) Arthroscopy, 37, pp. 1498-1502. , 33896503; Harris, R., Sims, S., Leamy, M., Levenson, R., Davies, N., Brearley, S., (2019) Intentional rounding in hospital wards to improve regular interaction and engagement between nurses and patients: a realist evaluation, , Southampton (UK), NIHR Journals Library; Hayakawa, J., Barrows, J., See, S., Schomberg, J., Effects of classical music virtual reality on pediatric healthcare worker compassion fatigue (2022) J. Nurs. Administr, 52, pp. 280-285. , 35467593; Hazarika, I., Artificial intelligence: opportunities and implications for the health workforce (2020) Int. Health, 12, pp. 241-245. , 32300794; He, L., Basar, E., Wiers, R.W., Antheunis, M.L., Krahmer, E., Can chatbots help to motivate smoking cessation? A study on the effectiveness of motivational interviewing on engagement and therapeutic alliance (2022) BMC Public Health, 22, p. 726. , 35413887; Hendry, J., Promoting compassionate care in radiography - what might be suitable pedagogy? A discussion paper (2019) Radiography, 25, pp. 269-273. , 31301786; Hernandez, J., Network diffusion and technology acceptance of a nurse chatbot for chronic disease self-management support: a theoretical perspective (2019) J. Med. Invest. JMI, 66, pp. 24-30. , 31064947; Herrmann-Werner, A., Loda, T., Zipfel, S., Holderried, M., Holderried, F., Erschens, R., Evaluation of a language translation app in an undergraduate medical communication course: proof-of-concept and usability study (2021) JMIR mHealth, 9, p. e31559. , 34860678; Hershberger, P.J., Pei, Y., Crawford, T.N., Neeley, S.M., Wischgoll, T., Patel, D.B., An interactive game with virtual reality immersion to improve cultural sensitivity in health care (2022) Health Equity, 6, pp. 189-197. , 35402778; Hess, S.P., Levin, M., Akram, F., Woo, K., Andersen, L., Trenkle, K., The impact and feasibility of a brief, virtual, educational intervention for home healthcare professionals on Parkinson’s disease and related disorders: pilot study of I SEE PD home (2022) BMC Med. Educ, 22, p. 506. , 35761252; Hirt, J., Beer, T., Use and impact of virtual reality simulation in dementia care education: a scoping review (2020) Nurse Educ. Today, 84, p. 104207. , 31669968; Ho, A.J., Turnbull, J., Fossat, Y., Compassion through tele-empathy: technology-mediated symptom transference (2017) Fut. Health. J, 4, pp. 219-220. , 31098476; Hopkins, C.M., Miller, H.N., Brooks, T.L., Mo-Hunter, L., Steinberg, D.M., Bennett, G.G., Designing ruby: protocol for a 2-arm, brief, digital randomized controlled trial for internalized weight bias (2021) JMIR Res. Protoc, 10, p. e31307. , 34842549; Hou, I.C., Lan, M.F., Shen, S.H., Tsai, P.Y., Chang, K.J., Tai, H.C., The development of a mobile health app for breast cancer self-management support in taiwan: design thinking approach (2020) JMIR mHealth uHealth, 8, p. e15780. , 32352390; Hutson, E., Kelly, S., Militello, L.K., Systematic review of cyberbullying interventions for youth and parents with implications for evidence-based practice (2018) World. Evid. Based Nurs, 15, pp. 72-79. , 28859246; Inkster, B., Sarda, S., Subramanian, V., An empathy-driven, conversational artificial intelligence agent (wysa) for digital mental well-being: real-world data evaluation mixed-methods study (2018) JMIR mHealth uHealth, 6, p. e12106. , 30470676; Irfan, F., Artificial intelligence: help or hindrance for family physicians? (2021) Pak. J. Med. Sci, 37, pp. 288-291. , 33437293; Jacobs, C., Maidwell-Smith, A., Learning from 360-degree film in healthcare simulation: a mixed methods pilot (2022) J. Visual Commun. Med, 2022, p. 7059. , 35938350; James, J., Balamurali, B.T., Watson, C.I., Empathetic speech synthesis and testing for healthcare robots (2021) Int. J. Soc. Rob, 13, pp. 2119-2137; Jie, L.J., Jamin, G., Smit, K., Beurskens, A., Braun, S., Design of the user interface for “stappy”, a sensor-feedback system to facilitate walking in people after stroke: a user-centred approach (2020) Disabil Rehabil Assist Technol, 15, pp. 959-967. , 31248294; Jiménez-Rodríguez, D., Pérez-Heredia, M., Molero Jurado, M.D.M., Pérez-Fuentes, M.D.C., Arrogante, O., Improving humanization skills through simulation-based computers using simulated nursing video consultations (2021) Healthcare, 10, p. 37. , 35052201; Joda, T., Bornstein, M.M., Jung, R.E., Ferrari, M., Waltimo, T., Zitzmann, N.U., Recent trends and future direction of dental research in the digital era (2020) Int. J. Environ. Res. Public Health, 17, p. 1987. , 32197311; Johanson, D.L., Ahn, H.S., Broadbent, E., Improving interactions with healthcare robots: a review of communication behaviours in social and healthcare contexts (2021) Int. J. Soc. Robot, 13, pp. 1835-1850; Johanson, D.L., Ahn, H.S., MacDonald, B.A., Ahn, B.K., Lim, J., Hwang, E., The effect of robot attentional behaviors on user perceptions and behaviors in a simulated health care interaction: randomized controlled trial (2019) J. Med. Int. Res, 21, p. e13667. , 31588904; Johnston, S.C., Anticipating and training the physician of the future: the importance of caring in an age of artificial intelligence (2018) Acad. Med. J. Assoc. Am. Med. Coll, 93, pp. 1105-1106. , 29443717; Jones, C., Jones, D., Moro, C., Use of virtual and augmented reality-based interventions in health education to improve dementia knowledge and attitudes: an integrative review (2021) BMJ Open, 11, p. e053616. , 34725081; Jones-Schenk, J., Getting to the root of disparities: social cognition and the affective domain (2016) J. Contin. Educ. Nurs, 47, pp. 443-445. , 27699431; Jütten, L.H., Mark, R.E., Sitskoorn, M.M., Can the mixed virtual reality simulator into d’mentia enhance empathy and understanding and decrease burden in informal dementia caregivers? (2018) Dement Geriatr Cogn. Dis. Extra, 8, pp. 453-466. , 30631337; Kelly, M., Nixon, L., Rosenal, T., Crowshoe, L., Harvey, A., Tink, W., Being vulnerable: a qualitative inquiry of physician touch in medical education (2020) Acad. Med. J. Assoc. Am. Med. Coll, 95, pp. 1893-1899. , 32379142; Kemp, J., Zhang, T., Inglis, F., Wiljer, D., Sockalingam, S., Crawford, A., Delivery of compassionate mental health care in a digital technology-driven age: scoping review (2020) J. Med. Int. Res, 22, p. e16263. , 32141833; Kennedy, C.M., Powell, J., Payne, T.H., Ainsworth, J., Boyd, A., Buchan, I., Active assistance technology for health-related behavior change: an interdisciplinary review (2012) J. Med. Int. Res, 14, p. e80. , 22698679; Kerasidou, A., Artificial intelligence and the ongoing need for empathy, compassion and trust in healthcare (2020) Bull World Health Organ, 98, pp. 245-250. , 32284647; Kerr, D., Klonoff, D.C., Digital diabetes data and artificial intelligence: a time for humility not hubris (2019) J. Diab. Sci. Technol, 13, pp. 123-127. , 30182736; Kerruish, E., Assembling human empathy towards care robots: the human labor of robot sociality (2021) Emot. Space Soc, 41, p. 100840; Kim, H., Chun, J., Effects of a patient experience–based virtual reality blended learning program on nursing students (2022) CIN Comput. Inform. Nurs, 40, pp. 438-446. , 34723872; Kim, J.J., Parker, S.L., Doty, J.R., Cunnington, R., Gilbert, P., Kirby, J.N., Neurophysiological and behavioural markers of compassion (2020) Sci. Rep, 10, p. 6789. , 32322008; Kim, J.W., Kim, S.E., Kim, J.J., Jeong, B., Park, C.H., Son, A.R., Compassionate attitude towards others’ suffering activates the mesolimbic neural system (2009) Neuropsychologia, 47, pp. 2073-2081. , 19428038; Kipnis, E., McLeay, F., Grimes, A., de Saille, S., Potter, S., Service robots in long-term care: a consumer-centric view (2022) J. Serv. Res, 2022, p. 10849; Kocaballi, B., Ijaz, K., Laranjo, L., Quiroz, J., Rezazadegan, D., Ly Tong, H., Envisioning an artificial intelligence documentation assistant for future primary care consultations: a co-design study with general practitioners (2020) J. Am. Med. Inform. Assoc, 27, pp. 1695-1704. , a, 32845984; Kocaballi, B., Quiroz, J.C., Rezazadegan, D., Berkovsky, S., Magrabi, F., Coiera, E., Responses of conversational agents to health and lifestyle prompts: investigation of appropriateness and presentation structures (2020) J. Med. Int. Res, 22, p. e15823. , b, 32039810; Konstantinidis, S., Leonardini, L., Stura, C., Digital soft skills of healthcare workforce – identification, prioritization and digital training (2022) Mobility for smart cities and regional development - challenges for higher education. ICL 2021, , Auer M.E., Hortsch H., Michler O., Köhler T., (eds), Cham, Springer; Koopmann-Holm, B., Tsai, J.L., ’The cultural shaping of compassion (2017) The oxford handbook of compassion science, , Emma M., (ed), Oxford Library of Psychology, in; Kovalchuk, Y., Budini, E., Cook, R.M., Walsh, A., Investigating the relationship between facial mimicry and empathy (2022) Behav. Sci, 12, p. 250. , 35892350; Krieger, J.L., Neil, J.M., Duke, K.A., Zalake, M.S., Tavassoli, F., Vilaro, M.J., A pilot study examining the efficacy of delivering colorectal cancer screening messages via virtual health assistants (2021) Am. J. Prev. Med, 61, pp. 251-255. , 33888362; La Torre, G., De Leonardis, V., Chiappetta, M., Technostress: how does it affect the productivity and life of an individual? Results of an observational study (2020) Public Health, 189, pp. 60-65; Lansing, J.S., Complex adaptive systems (2003) Ann. Rev. Anthr, 32, pp. 183-204; Larson, E.B., Yao, X., Clinical empathy as emotional labor in the patient-physician relationship (2005) JAMA, 293, pp. 1100-1106. , 15741532; Law, M., Sutherland, C., Ahn, H.S., MacDonald, B.A., Peri, K., Johanson, D.L., Developing assistive robots for people with mild cognitive impairment and mild dementia: a qualitative study with older adults and experts in aged care (2019) BMJ Open, 9, p. e031937. , 31551392; Lee, E.E., Torous, J., De Choudhury, M., Depp, C.A., Graham, S.A., Kim, H.C., Artificial intelligence for mental health care: clinical applications, barriers, facilitators, and artificial wisdom (2021) Biol. Psychiatry Cogn. Neurosci. Neuroimag, 6, pp. 856-864. , 33571718; Lee, M., Ackermans, S., van As, N., Chang, H., Lucas, E., IJsselsteijn, W., Caring for vincent: a chatbot for self-compassion (2019) Proceeding of the CHI conference on human factors in computing systems proceedings (CHI 2019), , in; Leffel, G.M., Oakes Mueller, R.A., Ham, S.A., Karches, K.E., Curlin, F.A., Yoon, J.D., Project on the good physician: further evidence for the validit</t>
  </si>
  <si>
    <t>2-s2.0-85147180490</t>
  </si>
  <si>
    <t>Artificial intelligence technologies and compassion in healthcare: a systematic scoping review</t>
  </si>
  <si>
    <t>Munsamy A.J., Chetty V., Ramlall S.</t>
  </si>
  <si>
    <t>57193763840;54408051200;36059921400;</t>
  </si>
  <si>
    <t>Screen-based behaviour in children is more than meets the eye</t>
  </si>
  <si>
    <t>South African Family Practice</t>
  </si>
  <si>
    <t>a5374</t>
  </si>
  <si>
    <t>10.4102/safp.v64i1.5374</t>
  </si>
  <si>
    <t>https://www.scopus.com/inward/record.uri?eid=2-s2.0-85124499769&amp;doi=10.4102%2fsafp.v64i1.5374&amp;partnerID=40&amp;md5=179cbfab2cf81557c4eb0413d2ee3b8e</t>
  </si>
  <si>
    <t>Discipline of Optometry, School of Health Sciences, College of Health Sciences, University of KwaZulu-Natal, Durban, South Africa; Department of Physiotherapy, College of Health Sciences, University of KwaZulu-Natal, Durban, South Africa; Department of Psychiatry, College of Health Sciences, University of KwaZulu-Natal, Durban, South Africa</t>
  </si>
  <si>
    <t>Munsamy, A.J., Discipline of Optometry, School of Health Sciences, College of Health Sciences, University of KwaZulu-Natal, Durban, South Africa; Chetty, V., Department of Physiotherapy, College of Health Sciences, University of KwaZulu-Natal, Durban, South Africa; Ramlall, S., Department of Psychiatry, College of Health Sciences, University of KwaZulu-Natal, Durban, South Africa</t>
  </si>
  <si>
    <t>Increased screen time (ST) in children is quickly becoming a public health concern as children are now reliant on technology for social interaction and educational development. The eye-health community has paid considerable attention to this in the recent literature, documenting it as digital eye strain. Continual close eye work and a lack of outdoor play contribute to digital eye strain and today’s myopia epidemic. This is a cause for concern for public health stakeholders insofar as it leads to sedentary, screen-based behaviour (SSB) in children. This results in a lack of physical activity and impacts both their bodies and their mental health. The potentially harmful effects of prolonged screen exposure on developing brains and bodies are likely to be unique and significant as physiological growth changes intersect with exponentially expanding e-platforms. While embracing the benefits of a highly digitalised world, we need to simultaneously mitigate the potential risks they pose to the health of growing children. © 2022. The Authors. Licensee: AOSIS.</t>
  </si>
  <si>
    <t>Children; Mental well-being; Physical health; Screen time; Sedentary screen-based behavior; Vision</t>
  </si>
  <si>
    <t>Article; behavior; brain development; child; coronavirus disease 2019; depression; eating disorder; energy expenditure; environmental exposure; epidemic; eye; health behavior; human; hyperactivity; hypokinesia; machine learning; mental health; myopia; physical activity; psychological resilience; psychological well-being; psychosis; public health; quality of life; schizophrenia; screen time; sleep hygiene; smoking; social interaction; social status; social support; exercise; myopia; Child; Exercise; Humans; Mental Health; Myopia; Screen Time; Sedentary Behavior</t>
  </si>
  <si>
    <t>Munsamy, AJ, Chetty, V., Digital eye syndrome: COVID-19 lockdown side-effect? (2020) S Afr Med J, 110 (7), pp. 21-22. , https://doi.org/10.7196/SAMJ.2020.v110i7.14906; Ye, S, Chen, L, Wang, Q, Li, Q., Correlates of screen time among 8-19-year-old students in China (2018) BMC Public Health, 18 (1), p. 467. , https://doi.org/10.1186/s12889-018-5355-3; Sheppard, AL, Wolffsohn, JS., Digital eye strain: Prevalence, measurement and amelioration (2018) BMJ Open Ophthalmol, 3 (1), p. e000146. , https://doi.org/10.1136/bmjophth-2018-000146; Tamana, SK, Ezeugwu, V, Chikuma, J, Screen-time is associated with inattention problems in preschoolers: Results from the CHILD birth cohort study (2019) PLoS One, 14 (4), p. e0213995. , https://doi.org/10.1371/journal.pone.0213995; Navel, V, Beze, S, Dutheil, F., COVID‐19, sweat, tears… and myopia? (2020) Clin Exp Optom, 103 (4), p. 555. , https://doi.org/10.1111/cxo.13086; Coles‐Brennan, C, Sulley, A, Young, G., Management of digital eye strain (2019) Clin Exp Optom, 102 (1), pp. 18-29. , https://doi.org/10.1111/cxo.12798; Wang, J, Li, Y, Musch, DC, Progression of myopia in school-aged children after COVID-19 home confinement (2021) JAMA Ophthalmol, 139 (3), pp. 293-300. , https://doi.org/10.1001/jamaophthalmol.2020.6239; Pellegrini, M, Bernabei, F, Scorcia, V, Giannaccare, G., May home confinement during the COVID-19 outbreak worsen the global burden of myopia? (2020) Graefe’s Arch Clin Exp Ophthalmol, 258 (9), pp. 2069-2070. , https://doi.org/10.1007/s00417-020-04728-2; Nagata, JM, Abel Majid, HS, Gabriel, KP., Screen time for children and adolescents during the coronavirus disease 2019 pandemic (2020) Obesity (Silver Spring), 28 (9), pp. 1582-1583. , https://doi.org/10.1002/oby.22917; Nyugen, P, Le, LK, Nyugen, D, The effectiveness of sedentary behaviour interventions on sitting time and screen time in children and adults: An umbrella review of systematic reviews (2020) Int J Behav Nutr Phys Act, 17 (1), p. 117. , https://doi.org/10.1186/s12966-020-01009-3; Sultana, A, Tasnim, S, Hossain, MM, Bhattacharya, S, Purohit, N., Digital screen time during the COVID-19 pandemic: A public health concern (2021) F1000Research, 10, p. 81. , https://doi.org/10.12688/f1000research.50880.1; Stavridou, A, Kapsali, E, Panagouli, E, Obesity in children and adolescents during COVID-19 pandemic (2021) Children, 8 (2), p. 135. , https://doi.org/10.3390/children8020135; Chaput, JP, Willumsen, J, Bull, F, 2020 WHO guidelines on physical activity and sedentary behaviour for children and adolescents aged 5–17 years: Summary of the evidence (2020) Int J Behav Nutr Phys Act, 17 (1), p. 141. , https://doi.org/10.1186/s12966-020-01037-z; Podnar, H, Jurić, P, Karuc, J, Comparative effectiveness of school-based interventions targeting physical activity, physical fitness or sedentary behaviour on obesity prevention in 6-to 12-year-old children: A systematic review and meta-analysis (2021) Obes Rev, 22 (2), p. e13160. , https://doi.org/10.1111/obr.13160; Ashton, JJ, Beattie, RM., Screen time in children and adolescents: Is there evidence to guide parents and policy? (2019) Lancet Child Adolesc Heal, 3 (5), pp. 292-294. , https://doi.org/10.1016/S2352-4642(19)30062-8; Oswald, TK, Rumbold, AR, Kedzior, SGE, Moore, VM., Psychological impacts of ‘screen time’ and ‘green time’ for children and adolescents: A systematic scoping review (2020) PLoS One, 15 (9), p. e0237725. , https://doi.org/10.1371/journal.pone.0237725; Mougharbel, F, Goldfield, GS., Psychological correlates of sedentary screen time behaviour among children and adolescents: A narrative review (2020) Curr Obes Rep, 9 (4), pp. 493-511. , https://doi.org/10.1007/s13679-020-00401-1; Twenge, JM, Farley, E., Not all screen time is created equal: Associations with mental health vary by activity and gender (2021) Soc Psychiatry Psychiatr Epidemiol, 56 (2), pp. 207-217. , https://doi.org/10.1007/s00127-020-01906-9; Kim, S, Favotto, L, Halladay, J, Wang, L, Boyle, MH, Georgiades, K., Differential associations between passive and active forms of screen time and adolescent mood and anxiety disorders (2020) Soc Psychiatry Psychiatr Epidemiol, 55 (11), pp. 1469-1478. , https://doi.org/10.1007/s00127-020-01833-9; Firth, J, Torous, J, Stubbs, B, The ‘online brain’: How the Internet may be changing our cognition (2019) World Psychiatry, 18 (2), pp. 119-129. , https://doi.org/10.1002/wps.20617; Stiglic, N, Viner, RM., Effects of screentime on the health and well-being of children and adolescents: A systematic review of reviews (2019) BMJ Open, 9 (1), p. e023191. , https://doi.org/10.1136/bmjopen-2018-023191; Suchert, V, Hanewinkel, R, Isensee, B., Sedentary behavior and indicators of mental health in school-aged children and adolescents: A systematic review (2015) Prev Med (Baltim), 76, pp. 48-57. , https://doi.org/10.1016/j.ypmed.2015.03.026; Liu, M, Wu, L, Yao, S., Dose-response association of screen time-based sedentary behaviour in children and adolescents and depression: A meta-analysis of observational studies (2016) Br J Sports Med, 50 (20), pp. 1252-1258. , https://doi.org/10.1136/bjsports-2015-095084; Neophytou, E, Manwell, LA, Eikelboom, R., Effects of excessive screen time on neurodevelopment, learning, memory, mental health, and neurodegeneration: A scoping review (2019) Int J Ment Health Addict, 19, pp. 724-744. , https://doi.org/10.1007/s11469-019-00182-2; Tang, S, Werner-Seidler, A, Torok, M, Mackinnon, AJ, Christensen, H., The relationship between screen time and mental health in young people: A systematic review of longitudinal studies (2021) Clin Psychol Rev, 86, p. 102021. , https://doi.org/10.1016/j.cpr.2021.102021; Kahn, M, Schnabel, O, Gradisar, M, Sleep, screen time and behaviour problems in preschool children: An actigraphy study (2020) Eur Child Adolesc Psychiatry, 30, pp. 1793-1802. , https://doi.org/10.1007/s00787-020-01654-w; Dubicka, B, Martin, J, Firth, J., Editorial: Screen time, social media and developing brains: A cause for good or corrupting young minds? (2019) Child Adolesc Ment Health, 24 (3), pp. 203-204. , https://doi.org/10.1111/camh.12346; Screen time and young children: Promoting health and development in a digital world (2017) Paediatr Child Health [serial online], , https://www.cps.ca/en/documents/position/screen-time-and-young-children, [cited 2021 Jul 15]</t>
  </si>
  <si>
    <t>AOSIS (pty) Ltd</t>
  </si>
  <si>
    <t>20786190</t>
  </si>
  <si>
    <t>S. Afr. Fam. Pract.</t>
  </si>
  <si>
    <t>2-s2.0-85124499769</t>
  </si>
  <si>
    <t>Arizmendi C.J., Bernacki M.L., Raković M., Plumley R.D., Urban C.J., Panter A.T., Greene J.A., Gates K.M.</t>
  </si>
  <si>
    <t>57868923200;53979280400;57190194054;57219958007;57208653732;6701339569;8860221700;57202475514;</t>
  </si>
  <si>
    <t>Predicting student outcomes using digital logs of learning behaviors: Review, current standards, and suggestions for future work</t>
  </si>
  <si>
    <t>Behavior Research Methods</t>
  </si>
  <si>
    <t>10.3758/s13428-022-01939-9</t>
  </si>
  <si>
    <t>https://www.scopus.com/inward/record.uri?eid=2-s2.0-85137014840&amp;doi=10.3758%2fs13428-022-01939-9&amp;partnerID=40&amp;md5=dc544cd919b97f786489823f53ad28a2</t>
  </si>
  <si>
    <t>Duke University, Durham, NC, United States; The University of North Carolina Chapel Hill, Chapel Hill, NC, United States; Centre for Learning Analytics, Monash University, Melbourne, Australia</t>
  </si>
  <si>
    <t>Arizmendi, C.J., Duke University, Durham, NC, United States; Bernacki, M.L., The University of North Carolina Chapel Hill, Chapel Hill, NC, United States; Raković, M., Centre for Learning Analytics, Monash University, Melbourne, Australia; Plumley, R.D., The University of North Carolina Chapel Hill, Chapel Hill, NC, United States; Urban, C.J., The University of North Carolina Chapel Hill, Chapel Hill, NC, United States; Panter, A.T., The University of North Carolina Chapel Hill, Chapel Hill, NC, United States; Greene, J.A., The University of North Carolina Chapel Hill, Chapel Hill, NC, United States; Gates, K.M., The University of North Carolina Chapel Hill, Chapel Hill, NC, United States</t>
  </si>
  <si>
    <t>Using traces of behaviors to predict outcomes is useful in varied contexts ranging from buyer behaviors to behaviors collected from smart-home devices. Increasingly, higher education systems have been using Learning Management System (LMS) digital data to capture and understand students’ learning and well-being. Researchers in the social sciences are increasingly interested in the potential of using digital log data to predict outcomes and design interventions. Using LMS data for predicting the likelihood of students’ success in for-credit college courses provides a useful example of how social scientists can use these techniques on a variety of data types. Here, we provide a primer on how LMS data can be feature-mapped and analyzed to accomplish these goals. We begin with a literature review summarizing current approaches to analyzing LMS data, then discuss ethical issues of privacy when using demographic data and equitable model building. In the second part of the paper, we provide an overview of popular machine learning algorithms and review analytic considerations such as feature generation, assessment of model performance, and sampling techniques. Finally, we conclude with an empirical example demonstrating the ability of LMS data to predict student success, summarizing important features and assessing model performance across different model specifications. © 2022, The Author(s).</t>
  </si>
  <si>
    <t>Data privacy; Digital data; Equity; Learning management system; Machine learning</t>
  </si>
  <si>
    <t>algorithm; article; data privacy; demographics; human; human experiment; learning; machine learning; privacy</t>
  </si>
  <si>
    <t>Baker, R.S., Hawn, A., (2021) Algorithmic Bias in Education. Unpublished.; Baker, R.S., Lindrum, D., Lindrum, M.J., Perkowski, D., (2015) Analyzing early at-risk factors in higher education e-learning courses, , International Educational Data Mining Society, Montreal; Baratloo, A., Hosseini, M., Negida, A., El Ashal, G., (2015) Part 1: Simple definition and calculation of accuracy, sensitivity and specificity.; Barber, R., Sharkey, M., Course correction: Using analytics to predict course success (2012) In Proceedings of the 2Nd International Conference on Learning Analytics and Knowledge, pp. 259-262; Bernacki, M.L., (2018) Examining the Cyclical, Loosely Sequenced, and Contingent Features of Self-Regulated Learning: Trace Data and Their Analysis; Bernacki, M.L., Chavez, M.M., Uesbeck, P.M., Predicting achievement and providing support before STEM majors begin to fail (2020) Computers and Education, 158. , &amp;, (,).,., https://doi.org/10.1016/j.compedu.2020.103999; Beyer, K., Goldstein, J., Ramakrishnan, R., Shaft, U., When is “nearest neighbor” meaningful? (1999) In International Conference on Database Theory, pp. 217-235; Binbasaran Tuysuzoglu, B., Greene, J.A., An investigation of the role of contingent metacognitive behavior in self-regulated learning (2015) Metacognition and Learning, 10 (1), pp. 77-98; Bird, M.E., (2012) Predicting Student Performance in Lower Division Mathematics Courses, , (Doctoral dissertation); Black, E.W., Dawson, K., Priem, J., Data for free: Using LMS activity logs to measure community in online courses (2008) The Internet and Higher Education, 11 (2), pp. 65-70; Breiman, L., Random forests (2001) Machine Learning, 45 (1), pp. 5-32; Breiman, L., Friedman, J., Stone, C.J., Olshen, R.A., (1984) Classification and regression trees, , CRC Press, Boca Raton; Buckingham Shum, S., (2020) Should Predictive Models of Student Outcome Be “colour-blind”?, , http://simon.buckinghamshum.net/2020/07/should-predictivemodels-of-student-outcome-be-colour-blind/; Cakmak, A., Predicting student success in courses via collaborative filtering (2017) International Journal of Intelligent Systems and Applications in Engineering, 5 (1), pp. 10-17; Castelvecchi, D., Can we open the black box of AI? (2016) Nature News, 538 (7623), p. 20; Chawla, N.V., Bowyer, K.W., Hall, L.O., Kegelmeyer, W.P., SMOTE: synthetic minority over-sampling technique (2002) Journal of Artificial Intelligence Research, 16, pp. 321-357; Choi, S.P.M., Lam, S.S., Li, K.C., Wong, B.T.M., Learning analytics at low cost: At-risk student prediction with clicker data and systematic proactive interventions (2018) Journal of Educational Technology &amp; Society, 21 (2), pp. 273-290; Cogliano, M., Bernacki, M.L., Hilpert, J.C., Strong, C.L., A self-regulated learning analytics prediction-and-intervention design: Detecting and supporting struggling biology students (2022) . Journal of Educational Psychology. No Pagination Specified–No Pagination Specified, , https://doi.org/10.1037/edu0000745; Cohen, J., A coefficient of agreement for nominal scales (1960) Educational and Psychological Measurement, 20 (1), pp. 37-46; Cooper, C.I., Pearson, P.T., A genetically optimized predictive system for success in general chemistry using a diagnostic algebra test (2012) Journal of Science Education and Technology, 21 (1), pp. 197-205; Cortes, C., Vapnik, V., Support-vector networks (1995) Machine Learning, 20 (3), pp. 273-297; Cover, T., Hart, P., Nearest neighbor pattern classification (1967) IEEE Transactions on Information Theory, 13 (1), pp. 21-27; Cristianini, N., Shawe-Taylor, J., (2000) An introduction to support vector machines and other kernel-based learning methods, , Cambridge University Press, Cambridge; Culver, T., (2014) Relationships between Motivational, Demographic, and Academic Variables and Course Grade in Developmental Mathematics among Students at North Central State College, , (Doctoral dissertation). Colorado State University; Cummings, L.A., (2009) Predicting student success in online courses at a rural Alabama Community College (Doctoral dissertation), , Mississippi State University; Dai, T., Cromley, J.G., Changes in implicit theories of ability in biology and dropout from STEM majors: A latent growth curve approach (2014) Contemporary Educational Psychology, 39 (3), pp. 233-247; D’Aloisio, B.E., (2016) Investigating Predictors of Academic Success in a Foundational Business Mathematics Course, p. 138. , Master–s Theses, Dissertations, Graduate Research and Major Papers Overview; Das, N., (2009) The influence of individual factors on web-based developmental education course success in a two-year technical college (Doctoral dissertation), , University of New Orleans; Davidson, J.L., (2017) Student Demographic and Academic Characteristics that Predict Community College Student Success in Online Courses, , (Doctoral dissertation). Illinois State University, Normal, United States; Dennis, J.M., Phinney, J.S., Chuateco, L.I., The role of motivation, parental support, and peer support in the academic success of ethnic minority first-generation college students (2005) Journal of College Student Development, 46 (3), pp. 223-236; Eagan, K., Hurtado, S., Chang, M., (2010) What matters in STEM: Institutional contexts that influence STEM bachelor’s degree completion rates, , Annual meeting of the Association for the Study of Higher Education, Indianapolis; Fogle, T.T., (2016) Class modality, student characteristics, and performance in a community college introductory STEM course (Doctoral dissertation), , Capella University; Fountain, R.S., (2016) Searching for predictors of success in community college online courses (Doctoral dissertation), , Appalachian State University; Goad, T., (2018) Predicting student success in online physical education (Doctoral dissertation), , College of Physical Activity and Sports Sciences; Goosen, R.A., (2008) Cognitive and Affective Measures as Indicators of Course Outcomes for Developmental Mathematics Students at a Texas Community College (Doctoral Dissertation), , Grambling, United States; Gorvine, B.J., Smith, H.D., Predicting student success in a psychological statistics course emphasizing collaborative learning (2015) Teaching of Psychology, 42 (1), pp. 56-59; Greene, J.A., Deekens, V.M., Copeland, D.Z., Yu, S., (2018) Capturing and Modeling Self-Regulated Learning Using Think-Aloud Protocols.; Gultice, A., Witham, A., Kallmeyer, R., Are your students ready for anatomy and physiology? Developing tools to identify students at risk for failure (2015) Advances in Physiology Education, 39 (2), pp. 108-115. , PID: 26031727; Hadwin, A.F., Järvelä, S., Miller, M., Self-regulated, co-regulated, and socially shared regulation of learning (2011) Handbook of Self-Regulation of Learning and Performance, pp. 65-84. , In D. Schunk, &amp; J. Greene (Eds.); Hauser, L., An examination of the predictive relationship between mode of instruction and student success in introductory biology (2016) Inquiry, 20 (1), pp. 49-60. , https://doi.org/10.25777/t58r-6w25; Hulleman, C.S., Godes, O., Hendricks, B.L., Harackiewicz, J.M., Enhancing interest and performance with a utility value intervention (2010) Journal of Educational Psychology, 102 (4), p. 880; Japkowicz, N., Learning from imbalanced data sets: a comparison of various strategies (2000) AAAI Workshop on Learning from Imbalanced Data Sets, 68, pp. 10-15; Jerome, J.W., Buying and selling privacy: Big data’s difference burdens and benefits (2013) Stanford Law Review Online, 66, p. 47; Junco, R., Clem, C., Predicting course outcomes with digital textbook usage data (2015) The Internet and Higher Education, 27, pp. 54-63; Kaschesky, M., Riedl, R., Tracing opinion-formation on political issues on the internet: A model and methodology for qualitative analysis and results (2011) In 2011 44Th Hawaii International Conference on System Sciences, pp. 1-10; Kass, G.V., An exploratory technique for investigating large quantities of categorical data (1980) Journal of the Royal Statistical Society: Series C (Applied Statistics), 29 (2), pp. 119-127; Kizilcec, R.F., Lee, H., Algorithmic fairness in Education (2021) Unpublished Work; Kotsiantis, S., Tselios, N., Filippidi, A., Komis, V., Using learning analytics to identify successful learners in a blended learning course (2013) International Journal of Technology Enhanced Learning, 5 (2), pp. 133-150; Kotsiantis, S.B., Zaharakis, I.D., Pintelas, P.E., Machine learning: A review of classification and combining techniques (2006) Artificial Intelligence Review, 26 (3), pp. 159-190; Kovács, G., An empirical comparison and evaluation of minority oversampling techniques on a large number of imbalanced datasets (2019) Applied Soft Computing, 83, p. 105662; Kramer, A.D.I., Guillory, J.E., Hancock, J.T., Experimental evidence of massive-scale emotional contagion through social networks (2014) Proceedings of the National Academy of Sciences, 111 (24), pp. 8788-8790; Krumm, A.E., Waddington, R.J., Teasley, S.D., Lonn, S., (2014) A learning management system-based early warning system for academic advising in undergraduate engineering. Learning analytics, pp. 103-119. , Springer, Berlin; Krzanowski, W.J., Multivariate techniques, robustness (2005) Encyclopedia of Biostatistics, 5; Landis, J.R., Koch, G.G., An application of hierarchical kappa-type statistics in the assessment of majority agreement among multiple observers (1977) Biometrics, pp. 363-374. , &amp;; (2020) Evaluation of Fairness Trade-Offs in Predicting Student Success, 1&amp;#x2013;3. Arxiv, 2007; Lewis, D.D., Naive (Bayes) at forty: The independence assumption in information retrieval (1998) European Conference on Machine Learning, pp. 4-15; Liben-Nowell, D., Kleinberg, J., Tracing information flow on a global scale using Internet chain-letter data (2008) Proceedings of the National Academy of Sciences, 105 (12), pp. 4633-4638; Ling, C.X., Li, C., Data mining for direct marketing: Problems and solutions (1998) Kdd, 98, pp. 73-79; Longadge, R., Dongre, S., (2013) Class Imbalance Problem in Data Mining Review. Arxiv, 1305, p. 1707; Macfadyen, L.P., Dawson, S., Mining LMS data to develop an “early warning system” for educators: A proof of concept (2010) Computers &amp; Education, 54 (2), pp. 588-599; Malloy, T.E., Jensen, G.C., Regan, A., Reddick, M., Open courseware and shared knowledge in higher education (2002) Behavior Research Methods, Instruments, and Computers, 34 (2), pp. 200-203. , &amp;, (,).,., (,)., https://doi.org/10.3758/BF03195443; Márquez-Vera, C., Cano, A., Romero, C., Ventura, S., Predicting student failure at school using genetic programming and different data mining approaches with high dimensional and imbalanced data (2013) Applied Intelligence, 38 (3), pp. 315-330; Maton, K.I., Pollard, S.A., McDougall Weise, T.V., Hrabowski, F.A., Meyerhoff Scholars Program: A strengths-based, institution-wide approach to increasing diversity in science, technology, engineering, and mathematics (2012) Mount Sinai Journal of Medicine A Journal of Translational and Personalized Medicine, 79 (5), pp. 610-623; McCulloch, W.S., Pitts, W., The statistical organization of nervous activity (1948) Biometrics, 4 (2), pp. 91-99. , PID: 18871168; McFate, C., Olmsted, J.I.I.I., Assessing student preparation through placement tests (1999) Journal of Chemical Education, 76 (4), p. 562; Area under the ROC Curve (2013) Encyclopedia of Systems Biology, pp. 38-39. , https://doi.org/10.1007/978-1-4419-9863-7, W. Dubitzky, O. Wolkenhauer, K.-H. Cho, &amp; H. Yokota (Eds.), New York: Springer; Montavon, G., Samek, W., Müller, K.R., Methods for interpreting and understanding deep neural networks (2018) Digital Signal Processing A Review Journal, 73, pp. 1-15; Morrison, M.C., Schmit, S., Predicting success in a gateway mathematics course (2010) Online Submission.; Murthy, S.K., Automatic construction of decision trees from data: A multi-disciplinary survey (1998) Data Mining and Knowledge Discovery, 2 (4), pp. 345-389; (2016) Developing a national STEM workforce strategy: A workshop summary, , National Academies Press, Washington; Nistor, N., Neubauer, K., From participation to dropout: Quantitative participation patterns in online university courses (2010) Computers &amp; Education, 55 (2), pp. 663-672; O’Connell, K.A., Wostl, E., Crosslin, M., Berry, T.L., Grover, J.P., Student ability best predicts final grade in a college algebra course (2018) Journal of Learning Analytics, 5 (3), pp. 167-181; Ogutu, J.O., Schulz-Streeck, T., Piepho, H.-P., Genomic selection using regularized linear regression models: ridge regression, lasso, elastic net and their extensions (2012) BMC Proceedings, 6 (2), pp. 1-6; Ornelas, F., Ordonez, C., Predicting student success: a naïve bayesian application to community college data (2017) Technology, Knowledge and Learning, 22 (3), pp. 299-315; Osisanwo, F.Y., Akinsola, J.E.T., Awodele, O., Hinmikaiye, J.O., Olakanmi, O., Akinjobi, J., Supervised machine learning algorithms: classification and comparison (2017) International Journal of Computer Trends and Technology (IJCTT), 48 (3), pp. 128-138; Panter, A.T., Sterba, S.K., Ethics in quantitative methodology: An introduction (2011) Handbook of Ethics in Quantitative Methodology, pp. 1-11; Paquette, L., Li, Z., Baker, R., Ocumpaugh, J., Andres, A., Who’s learning? Using demographics in EDM research (2020) Journal of Educational Data Mining, 12 (3), pp. 1-30. , https://www2.ed.gov/rschstat/catalog/student-demographics.html; Permzadian, V., Credé, M., Do first-year seminars improve college grades and retention? A quantitative review of their overall effectiveness and an examination of moderators of effectiveness (2016) Review of Educational Research, 86 (1), pp. 277-316; Petty, T., Motivating first-generation students to academic success and college completion (2014) College Student Journal, 48 (1), pp. 133-140; Pintrich, P.R., (2000) The role of goal orientation in self-regulated learning. Handbook of self-regulation, pp. 451-502. , Elsevier, Amsterdam; Pistilli, M.D., Willis, J.E., Campbell, J.P., Analytics through an institutional lens: Definition, theory, design, and impact (2014) Learning Analytics: From Research to Practice., pp. 79-102. , https://doi.org/10.1007/978-1-4614-3305-7, In J.A. Larusson, &amp; B. White (Eds.); Prinsloo, P., Slade, S., Ethics and Learning Analytics: Charting the (Un)Charted (2017) Handbook of Learning Analytics, pp. 49-57. , https://doi.org/10.18608/hla17.004; Pritchard, M.E., Wilson, G.S., Using emotional and social factors to predict student success (2003) Journal of College Student Development, 44 (1), pp. 18-28. , https://doi.org/10.1353/csd.2003.0008; Rayno, M., (2010) Relationships of academic preparedness, age, gender, and ethnicity to success in a community college fundamentals of nursing course (Doctoral dissertation), , University of Phoenix; Redford, J., Mulvaney Hoyer, K., (2017) First Generation and Continuing-Generation College Students: A Comparison of High School and Postsecondary Experiences; Richards, N.M., King, J.H., Three paradoxes of big data (2013) Stan. L. Rev. Online, 66, p. 41; Rish, I., An empirical study of the naive Bayes classifier (2001) IJCAI 2001 Workshop on Empirical Methods in Artificial Intelligence, 3 (22), pp. 41-46; Romero, C., Espejo, P.G., Zafra, A., Romero, J.R., Ventura, S., Web usage mining for predicting final marks of students that use Moodle courses (2010) Computer Applications in Engineering Education, 21 (1), pp. 135-146; Rosenblatt, F., The perceptron: a probabilistic model for information storage and organization in the brain (1958) Psychological Review, 65 (6), p. 386. , PID: 13602029; Rubel, A., Jones, K.M.L., Student privacy in learning analytics: An information ethics perspective (2016) The Information Society, 32 (2), pp. 143-159; Rumelhart, D.E., Hinton, G.E., Williams, R.J., Learning representations by back-propagating errors (1986) Nature, 323 (6088), pp. 533-536; First In my family: A profile of first-generation college students at four-year institutions since (1971) . the Foundation for Independent Education.; Saqr, M., Fors, U., Tedre, M., How learning analytics can early predict under-achieving students in a blended medical education course (2017) Medical Teacher, 39 (7), pp. 757-767. , PID: 28421894; Seldon, A., Lucking, R., Lakhani, P., Clement-Jones, T., (2020) The Institute for Ethical AI in Education Interim Report (Tech. Rep), , https://www.buckingham.ac.uk/wpcontent/uploads/2020/02/The-Institute-for-Ethical-AI-in-Educations-Interim-Report-Towards-a-Shared-Vision-of-Ethical-AI-in-Education.pdf, Buckingham, University of Buckingham; Silverman, J., Privacy under surveillance capitalism (2017) Social Research An International Quarterly, 84 (1), pp. 147-164; Slade, S., Tait, A., (2019) Global Guidelines: Ethics in Learning Analytics; Smith, V.C., Lange, A., Huston, D.R., Predictive modeling to forecast student outcomes and drive effective interventions in online community college courses (2012) Journal of Asynchronous Learning Networks, 16 (3), pp. 51-61; Strobl, C., Boulesteix, A.-L., Zeileis, A., Hothorn, T., Bias in random forest variable importance measures: Illustrations, sources and a solution (2007) BMC Bioinformatics, 8 (1), pp. 1-21; Tene, O., Polonetsky, J., A theory of creepy: technology, privacy and shifting social norms (2013) Yale JL &amp; Tech, 16, p. 59; Tibshirani, R., Regression shrinkage and selection via the lasso (1996) Journal of the Royal Statistical Society: Series B (Methodological), 58 (1), pp. 267-288; Tinto, V., Dropout from higher education: A theoretical synthesis of recent research (1975) Review of Educational Research, 45 (1), pp. 89-125; Tinto, V., Building community (1993) Liberal Education, 79 (4), pp. 16-21; Torgo, L., Torgo, M.L., Package ‘dmwr’ (2013) Comprehensive R Archive Network; Waldmann, P., Mészáros, G., Gredler, B., Fuerst, C., Sölkner, J., Evaluation of the lasso and the elastic net in genome-wide association studies (2013) Frontiers in genetics, 4, p. 270. , PID: 24363662; Williams, D.L., (2019) Predicting student success using digital textbook analytics in online courses (Doctoral dissertation), , Liberty University; Wolff, A., Zdrahal, Z., Nikolov, A., Pantucek, M., Improving retention: Predicting at-risk students by analysing clicking behaviour in a virtual learning environment (2013) In Proceedings of the Third International Conference on Learning Analytics and Knowledge, pp. 145-149; Xing, W., Guo, R., Petakovic, E., Goggins, S., Participation-based student final performance prediction model through interpretable Genetic Programming: Integrating learning analytics, educational data mining and theory (2015) Computers in Human Behavior, 47, pp. 168-181; You, J.W., Identifying significant indicators using LMS data to predict course achievement in online learning (2016) The Internet and Higher Education, 29, pp. 23-30; Yu, R., Li, Q., Fischer, C., Doroudi, S., Xu, D., Towards accurate and fair prediction of college success: Evaluating different sources of student data (2020) International Educational Data Mining Society; Zabriskie, C., Yang, J., DeVore, S., Stewart, J., Using machine learning to predict physics course outcomes (2019) Physical Review Physics Education Research, 15 (2), p. 20120; Zacharis, N.Z., A multivariate approach to predicting student outcomes in web-enabled blended learning courses (2015) The Internet and Higher Education, 27, pp. 44-53; Zacharis, N.Z., Classification and regression trees (CART) for predictive modeling in blended learning (2018) IJ Intelligent Systems and Applications, 3, pp. 1-9; Zajacova, A., Lynch, S.M., Espenshade, T.J., Self-efficacy, stress, and academic success in college (2005) Research in Higher Education, 46 (6), pp. 677-706; Zeide, E., Unpacking Student Privacy (2017) Handbook of Learning Analytics, pp. 327-335. , https://doi.org/10.18608/hla17.028; Zhang, Z., Introduction to machine learning: k-nearest neighbors (2016) Annals of Translational Medicine, 4 (11); Zou, H., Hastie, T., Regularization and variable selection via the elastic net (2005) Journal of the Royal Statistical Society: Series B (Statistical Methodology), 67 (2), pp. 301-320; Zuboff, S., Big other: surveillance capitalism and the prospects of an information civilization (2015) Journal of Information Technology, 30 (1), pp. 75-89</t>
  </si>
  <si>
    <t>1554351X</t>
  </si>
  <si>
    <t>Behav. Res. Methods</t>
  </si>
  <si>
    <t>2-s2.0-85137014840</t>
  </si>
  <si>
    <t>Predicting student outcomes using digital logs of learning behaviors: review, current standards, and suggestions for future work</t>
  </si>
  <si>
    <t>Ito-Masui A., Kawamoto E., Sakamoto R., Yu H., Sano A., Motomura E., Tanii H., Sakano S., Esumi R., Imai H., Shimaoka M.</t>
  </si>
  <si>
    <t>57213652841;55551492700;55643633700;57211212815;54788353200;6603377883;7003869974;57208821703;57212410918;55628551791;57200223978;</t>
  </si>
  <si>
    <t>Internet-based individualized cognitive behavioral therapy for shift work sleep disorder empowered by well-being prediction: Protocol for a pilot study</t>
  </si>
  <si>
    <t>JMIR Research Protocols</t>
  </si>
  <si>
    <t>e24799</t>
  </si>
  <si>
    <t>10.2196/24799</t>
  </si>
  <si>
    <t>https://www.scopus.com/inward/record.uri?eid=2-s2.0-85103595013&amp;doi=10.2196%2f24799&amp;partnerID=40&amp;md5=019ad3d4120d6bd36e17b571c53905a9</t>
  </si>
  <si>
    <t>Departments of Molecular and Pathobiology and Cell Adhesion Biology, Mie University Graduate School of Medicine, Tsu City, Mie, Japan; Departments of Emergency and Disaster Medicine, Mie University Graduate School of Medicine, Tsu City, Mie, Japan; Emergency and Critical Care Center, Mie University Hospital, Tsu City, Mie, Japan; Department of Medical Informatics, Mie University Hospital, Tsu City, Mie, Japan; Department of Electrical and Computer Engineering, Rice University, Houston, TX, United States; Department of Neuropsychiatry, Mie University Graduate School of Medicine, Tsu City, Mie, Japan; Center for Physical and Mental Health, Mie University, Tsu City, Mie, Japan; Mie Prefectural Mental Medical Center, Tsu City, Mie, Japan</t>
  </si>
  <si>
    <t>Ito-Masui, A., Departments of Molecular and Pathobiology and Cell Adhesion Biology, Mie University Graduate School of Medicine, Tsu City, Mie, Japan, Departments of Emergency and Disaster Medicine, Mie University Graduate School of Medicine, Tsu City, Mie, Japan, Emergency and Critical Care Center, Mie University Hospital, Tsu City, Mie, Japan; Kawamoto, E., Departments of Molecular and Pathobiology and Cell Adhesion Biology, Mie University Graduate School of Medicine, Tsu City, Mie, Japan, Departments of Emergency and Disaster Medicine, Mie University Graduate School of Medicine, Tsu City, Mie, Japan, Emergency and Critical Care Center, Mie University Hospital, Tsu City, Mie, Japan; Sakamoto, R., Department of Medical Informatics, Mie University Hospital, Tsu City, Mie, Japan; Yu, H., Department of Electrical and Computer Engineering, Rice University, Houston, TX, United States; Sano, A., Department of Electrical and Computer Engineering, Rice University, Houston, TX, United States; Motomura, E., Department of Neuropsychiatry, Mie University Graduate School of Medicine, Tsu City, Mie, Japan; Tanii, H., Center for Physical and Mental Health, Mie University, Tsu City, Mie, Japan; Sakano, S., Mie Prefectural Mental Medical Center, Tsu City, Mie, Japan; Esumi, R., Departments of Molecular and Pathobiology and Cell Adhesion Biology, Mie University Graduate School of Medicine, Tsu City, Mie, Japan, Departments of Emergency and Disaster Medicine, Mie University Graduate School of Medicine, Tsu City, Mie, Japan, Emergency and Critical Care Center, Mie University Hospital, Tsu City, Mie, Japan; Imai, H., Departments of Emergency and Disaster Medicine, Mie University Graduate School of Medicine, Tsu City, Mie, Japan, Emergency and Critical Care Center, Mie University Hospital, Tsu City, Mie, Japan; Shimaoka, M., Departments of Molecular and Pathobiology and Cell Adhesion Biology, Mie University Graduate School of Medicine, Tsu City, Mie, Japan</t>
  </si>
  <si>
    <t>Background: Shift work sleep disorders (SWSDs) are associated with the high turnover rates of nurses, and are considered a major medical safety issue. However, initial management can be hampered by insufficient awareness. In recent years, it has become possible to visualize, collect, and analyze the work-life balance of health care workers with irregular sleeping and working habits using wearable sensors that can continuously monitor biometric data under real-life settings. In addition, internet-based cognitive behavioral therapy for psychiatric disorders has been shown to be effective. Application of wearable sensors and machine learning may potentially enhance the beneficial effects of internet-based cognitive behavioral therapy. Objective: In this study, we aim to develop and evaluate the effect of a new internet-based cognitive behavioral therapy for SWSD (iCBTS). This system includes current methods such as medical sleep advice, as well as machine learning well-being prediction to improve the sleep durations of shift workers and prevent declines in their well-being. Methods: This study consists of two phases: (1) preliminary data collection and machine learning for well-being prediction; (2) intervention and evaluation of iCBTS for SWSD. Shift workers in the intensive care unit at Mie University Hospital will wear a wearable sensor that collects biometric data and answer daily questionnaires regarding their well-being. They will subsequently be provided with an iCBTS app for 4 weeks. Sleep and well-being measurements between baseline and the intervention period will be compared. Results: Recruitment for phase 1 ended in October 2019. Recruitment for phase 2 has started in October 2020. Preliminary results are expected to be available by summer 2021. Conclusions: iCBTS empowered with well-being prediction is expected to improve the sleep durations of shift workers, thereby enhancing their overall well-being. Findings of this study will reveal the potential of this system for improving sleep disorders among shift workers. © Asami Ito-Masui, Eiji Kawamoto, Ryota Sakamoto, Han Yu, Akane Sano, Eishi Motomura, Hisashi Tanii, Shoko Sakano, Ryo Esumi, Hiroshi Imai, Motomu Shimaoka.</t>
  </si>
  <si>
    <t>CBT; Cognitive behavioral therapy; Health care workers; Machine learning; Medical safety; Online intervention; Pilot study; Safety; Safety issue; Shift work; Shift work sleep disorders; Shift workers; Sleep; Sleep disorder; Wearable sensors; Well-being</t>
  </si>
  <si>
    <t>Wickwire, EM, Geiger-Brown, J, Scharf, SM, Drake, CL., Shift work and shift work sleep disorder: clinical and organizational perspectives (2017) Chest, 151 (5), pp. 1156-1172. , May; [FREE Full text] [doi] [Medline: 28012806]; Cheng, W, Cheng, Y., Night shift and rotating shift in association with sleep problems, burnout and minor mental disorder in male and female employees (2017) Occup Environ Med, 74 (7), pp. 483-488. , Jul; [doi] [Medline: 27810939]; Boutou, A, Pitsiou, G, Sourla, E, Kioumis, I., Burnout syndrome among emergency medicine physicians: an update on its prevalence and risk factors (2019) Eur Rev Med Pharmacol Sci, 23 (20), pp. 9058-9065. , Oct; [FREE Full text] [doi] [Medline: 31696496]; (2014) Guideline for appropriate use and cessation of sleep medication, , http://jssr.jp/files/guideline/suiminyaku-guideline.pdf, Japanese Society of Sleep Research. [accessed 2021-02-03]; Hirata, K., Standard neurological therapeutics: insomnia, hypersomnia and circadian rhythm disorder [In Japanese] (2017) Neurol Therapeut, 33 (4), pp. 573-609. , [doi]; Ritterband, LM, Thorndike, FP, Ingersoll, KS, Lord, HR, Gonder-Frederick, L, Frederick, C, Effect of a web-based cognitive behavior therapy for insomnia intervention with 1-year follow-up: a randomized clinical trial (2017) JAMA Psychiatry, 74 (1), pp. 68-75. , Jan 01; [doi] [Medline: 27902836]; Seyffert, M, Lagisetty, P, Landgraf, J, Chopra, V, Pfeiffer, PN, Conte, ML, Internet-delivered cognitive behavioral therapy to treat insomnia: a systematic review and meta-analysis (2016) PLoS One, 11 (2), p. e0149139. , [FREE Full text] [doi] [Medline: 26867139]; Espie, CA, Emsley, R, Kyle, SD, Gordon, C, Drake, CL, Siriwardena, AN, Effect of digital cognitive behavioral therapy for insomnia on health, psychological well-being, and sleep-related quality of life: a randomized clinical trial (2019) JAMA Psychiatry, 76 (1), pp. 21-30. , Jan 01; [FREE Full text] [doi] [Medline: 30264137]; Kagamiyama, H, Sumi, N, Yoshida, Y, Sugimura, N, Nemoto, F, Yano, R., Association between sleep and fatigue in nurses who are engaged in 16 h night shifts in Japan: Assessment using actigraphy (2019) Jpn J Nurs Sci, 16 (4), pp. 373-384. , Oct; [doi] [Medline: 30585410]; Gjoreski, M, Luštrek, M, Gams, M, Gjoreski, H., Monitoring stress with a wrist device using context (2017) J Biomed Inform, 73, pp. 159-170. , Sep;: [FREE Full text] [doi] [Medline: 28803947]; Grant, DA, Honn, KA, Layton, ME, Riedy, SM, Van Dongen, HPA., 3-minute smartphone-based and tablet-based psychomotor vigilance tests for the assessment of reduced alertness due to sleep deprivation (2017) Behav Res Methods, 49 (3), pp. 1020-1029. , Jun 20; [doi] [Medline: 27325169]; Sano, A., (2016) Measuring college students' sleep, stress, mental health and wellbeing with wearable sensors and mobile phones, , https://dspace.mit.edu/handle/1721.1/106066, Doctoral Thesis, Massachusets Institute of Technology. [accessed 2021-03-11]; Yu, H, Sano, A., Passive Sensor Data Based Future Mood, Health, and Stress Prediction: User Adaptation Using Deep Learning (2020) Annu Int Conf IEEE Eng Med Biol Soc, 2020, pp. 5884-5887. , Jul;: [doi] [Medline: 33019313]; Han, Y, Ito-Masui, A, Sakamoto, R, Shimaoka, M, Sano, A., (2021) Forecasting health and wellbeing for shift workers using job-role based deep neural network, , New York City: Springer International Publishing; Ong, JC, Kuo, TF, Manber, R., Who is at risk for dropout from group cognitive-behavior therapy for insomnia? (2008) J Psychosom Res, 64 (4), pp. 419-425. , Apr; [FREE Full text] [doi] [Medline: 18374742]; Carolan, S, Harris, PR, Cavanagh, K., Improving employee well-being and effectiveness: systematic review and meta-analysis of web-based psychological interventions delivered in the workplace (2017) J Med Internet Res, 19 (7), p. e271. , Jul 26; [FREE Full text] [doi] [Medline: 28747293]; Ito-Masui, A, Kawamoto, E, Nagai, Y, Takagi, Y, Ito, M, Mizutani, N, Feasibility of measuring face-to-face interactions among ICU healthcare professionals using wearable sociometric badges (2020) Am J Respir Crit Care Med, 201 (2), pp. 245-247. , Jan 15; [doi] [Medline: 31545651]; Escobar, GJ, Turk, BJ, Ragins, A, Ha, J, Hoberman, B, LeVine, SM, Piloting electronic medical record-based early detection of inpatient deterioration in community hospitals (2016) J Hosp Med, 11, pp. S18-S24. , Nov;(Suppl 1): [FREE Full text] [doi] [Medline: 27805795]; De Fauw, J, Ledsam, JR, Romera-Paredes, B, Nikolov, S, Tomasev, N, Blackwell, S, Clinically applicable deep learning for diagnosis and referral in retinal disease (2018) Nat Med, 24 (9), pp. 1342-1350. , Sep; [doi] [Medline: 30104768]; Wang, P, Berzin, TM, Glissen Brown, JR, Bharadwaj, S, Becq, A, Xiao, X, Real-time automatic detection system increases colonoscopic polyp and adenoma detection rates: a prospective randomised controlled study (2019) Gut, 68 (10), pp. 1813-1819. , Oct; [FREE Full text] [doi] [Medline: 30814121]; de Zambotti, M, Goldstone, A, Claudatos, S, Colrain, IM, Baker, FC., A validation study of Fitbit Charge 2" compared with polysomnography in adults (2018) Chronobiol Int, 35 (4), pp. 465-476. , Apr 13; [doi] [Medline: 29235907]</t>
  </si>
  <si>
    <t>19290748</t>
  </si>
  <si>
    <t>JMIR Res. Prot.</t>
  </si>
  <si>
    <t>2-s2.0-85103595013</t>
  </si>
  <si>
    <t>Internet-based individualized cognitive behavioral therapy for shift work sleep disorder empowered by well-being prediction: protocol for a pilot study</t>
  </si>
  <si>
    <t>Begdache L., Kianmehr H., Najjar H., Witt D., Sabounchi N.S.</t>
  </si>
  <si>
    <t>57199206745;57199202317;57226106200;57226128382;26430012200;</t>
  </si>
  <si>
    <t>A Differential Threshold of Breakfast, Caffeine and Food Groups May Be Impacting Mental Well-Being in Young Adults: The Mediation Effect of Exercise</t>
  </si>
  <si>
    <t>Frontiers in Nutrition</t>
  </si>
  <si>
    <t>676604</t>
  </si>
  <si>
    <t>10.3389/fnut.2021.676604</t>
  </si>
  <si>
    <t>https://www.scopus.com/inward/record.uri?eid=2-s2.0-85110529440&amp;doi=10.3389%2ffnut.2021.676604&amp;partnerID=40&amp;md5=236d67b43876e2354a57f6e9eb98f923</t>
  </si>
  <si>
    <t>Health and Wellness Studies Department, Binghamton University, Binghamton, NY, United States; Department of Pharmaceutical Outcomes and Policy, College of Pharmacy, University of Florida, Gainesville, FL, United States; Department of Biomedical Engineering, Watson College of Engineering, Binghamton University, Binghamton, NY, United States; Department of Biological Sciences, Binghamton University, Binghamton, NY, United States; Department of Health Policy and Management, Center for Systems and Community Design, CUNY Graduate School of Public Health Health Policy, New York, NY, United States</t>
  </si>
  <si>
    <t>Begdache, L., Health and Wellness Studies Department, Binghamton University, Binghamton, NY, United States; Kianmehr, H., Department of Pharmaceutical Outcomes and Policy, College of Pharmacy, University of Florida, Gainesville, FL, United States; Najjar, H., Department of Biomedical Engineering, Watson College of Engineering, Binghamton University, Binghamton, NY, United States; Witt, D., Department of Biological Sciences, Binghamton University, Binghamton, NY, United States; Sabounchi, N.S., Department of Health Policy and Management, Center for Systems and Community Design, CUNY Graduate School of Public Health Health Policy, New York, NY, United States</t>
  </si>
  <si>
    <t>Diet and exercise are known to influence mental health. However, the interaction between diet, dietary practices, and exercise and its impact on the mood of young adults (YA) is poorly understood. YA are inherently at risk for mental distress. They tend to consume a low-quality diet and are generally active. The purpose of the study was to assess these relationships through validating causal loop diagrams (CLD) that describe these connections by using a system dynamic (SD) modeling methodology. Adults 18–29 years were invited to complete the Food-Mood questionnaire. The anonymous questionnaire link was distributed to several institutional listservs and via several social media platforms targeting young adults. A multi-level analysis, including machine learning techniques, was used to assess these relationships. The key findings were then built into gender based CLD, which suggest that a differential repertoire may be needed to optimize diet quality, exercise, and mental well-being. Additionally, a potential net threshold for dietary factors and exercise may be needed to achieve mental well-being in young adults. Moreover, our findings suggest that exercise may boost the enhancing effect of food groups on mental well-being and may lessen the negative impact of dietary impediments of mental well-being. © Copyright © 2021 Begdache, Kianmehr, Najjar, Witt and Sabounchi.</t>
  </si>
  <si>
    <t>caffeine; dietary patterns; exercise; food groups; gender; mediation; mental health; young adults</t>
  </si>
  <si>
    <t>Jacka, F.N., Pasco, J.A., Mykletun, A., Williams, L.J., Hodge, A.M., O'Reilly, S.L., Association of western and traditional diets with depression and anxiety in women (2010) Am J Psychiatry, 167, pp. 305-311. , 20048020; Anglin, R.E., Samaan, Z., Walter, S.D., McDonald, S.D., Vitamin D deficiency and depression in adults: systematic review and meta-analysis (2013) Br J Psychiatry, 202, pp. 100-107. , 23377209; Gibson-Smith, D., Bot, M., Brouwer, I.A., Visser, M., Penninx, B.W.J.H., Diet quality in persons with and without depressive and anxiety disorders (2018) J Psychiatr Res, 106, pp. 1-7. , 30240962; Muñoz, M.-A., Fíto, M., Marrugat, J., Covas, M.-I., Schröder, H., Adherence to the Mediterranean diet is associated with better mental and physical health (2009) Br J Nutr, 101, pp. 1821-1827. , 19079848; Zaidi, Z.F., Gender differences in human brain: a review (2010) Open Anat J, 12, pp. 37-55. , 33956296; Bao, A.-M., Swaab, D.F., Sexual differentiation of the human brain: relation to gender identity, sexual orientation and neuropsychiatric disorders (2011) Front Neuroendocrinol, 32, pp. 214-226. , 21334362; Tyan, Y.-S., Liao, J.-R., Shen, C.-Y., Lin, Y.-C., Weng, J.-C., Gender differences in the structural connectome of the teenage brain revealed by generalized q-sampling MRI (2017) Neuroimage Clin, 15, pp. 376-382. , 28580294; Wager, T.D., Phan, K.L., Liberzon, I., Taylor, S.F., Valence, gender, and lateralization of functional brain anatomy in emotion: a meta-analysis of findings from neuroimaging (2003) Neuroimage, 19, pp. 513-531. , 12880784; McMillan, L., Owen, L., Kras, M., Scholey, A., Behavioural effects of a 10-day Mediterranean diet. Results from a pilot study evaluating mood and cognitive performance (2011) Appetite, 56, pp. 143-147. , 21115083; Pascoe, M., Bailey, A.P., Craike, M., Carter, T., Patten, R., Stepto, N., Physical activity and exercise in youth mental health promotion: a scoping review (2020) BMJ Open SP Ex Med, 6, p. e000677. , 32095272; Herring, M.P., Monroe, D.C., Gordon, B.R., Hallgren, M., Campbell, M.J., Acute exercise effects among young adults with analogue generalized anxiety disorder (2019) Med Sci Sports Exerc, 51, pp. 962-969. , 30531490; O'Neill, C.E., Newsom, R.J., Stafford, J., Scott, T., Archuleta, S., Levis, S.C., Adolescent caffeine consumption increases adulthood anxiety-related behavior and modifies neuroendocrine signaling (2016) Psychoneuroendocrinology, 67, pp. 40-50. , 26874560; Villarroel, M.,.A., Terlizz, E.P., Symptoms of depression among adults: United States 2019. Centers for Disease Control Prevention (2020) Report No.: 379, , https://www.cdc.gov/nchs/products/index.htm, Available online at:, (accessed January 6, 2021; Schreiber, L.R.N., Grant, J.E., Odlaug, B.L., Emotion regulation and impulsivity in young adults (2012) J Psychiatr Res, 46, pp. 651-658. , 22385661; Thorpe, M.G., Kestin, M., Riddell, L.J., Keast, R.S., McNaughton, S.A., Diet quality in young adults and its association with food-related behaviours (2014) Public Health Nutr, 17, pp. 1767-1775. , 23866858; Krems, C., Lhrmann, P.M., Neuhuser-Berthold, M., Physical activity in young and elderly subjects (2004) J Sports Med Phys Fitness, 44, pp. 71-76. , 15181393; Tottenham, N., The Brain's Emotional Development (2017) Cerebrum : The Dana Forum on Brain Science, , https://www.ncbi.nlm.nih.gov/pubmed/30210657, Available online at:, (accessed January 11, 2021; Bourre, J.M., Effects of nutrients (in food) on the structure and function of the nervous system: update on dietary requirements for brain. Part 1: micronutrients (2006) J Nutr Health Aging, 10, pp. 377-385. , 17066209; Raichlen, D.A., Alexander, G.E., Adaptive capacity: an evolutionary neuroscience model linking exercise, cognition, and brain health (2017) Trends Neurosci, 40, pp. 408-421. , 28610948; Atlantis, E., Chow, C.-M., Kirby, A., Singh, M.F., An effective exercise-based intervention for improving mental health and quality of life measures: a randomized controlled trial (2004) Prev Med, 39, pp. 424-434. , 15226056; De la Rosa, A., Solana, E., Corpas, R., Bartrés-Faz, D., Pallàs, M., Vina, J., Long-term exercise training improves memory in middle-aged men and modulates peripheral levels of BDNF and Cathepsin B (2019) Sci Rep, 9, p. 3337. , 30833610; Cotman, C.W., Berchtold, N.C., Christie, L.-A., Exercise builds brain health: key roles of growth factor cascades and inflammation (2007) Trends Neurosci, 30, pp. 464-472. , 17765329; Gómez-Pinilla, F., Ying, Z., Roy, R.R., Molteni, R., Edgerton, V.R., Voluntary exercise induces a BDNF-mediated mechanism that promotes neuroplasticity (2002) J Neurophysiol, 88, pp. 2187-2195. , 12424260; Azur, M.J., Stuart, E.A., Frangakis, C., Leaf, P.J., Multiple imputation by chained equations: what is it and how does it work? (2011) Int J Methods Psychiatr Res, 20, p. 40. , 21499542; Dyer, A.H., Vahdatpour, C., Sanfeliu, A., Tropea, D., The role of insulin-like growth factor 1 (IGF-1) in brain development, maturation and neuroplasticity (2016) Neuroscience, 325, pp. 89-99. , 27038749; Ingalhalikar, M., Smith, A., Parker, D., Satterthwaite, T.D., Elliott, M.A., Ruparel, K., Sex differences in the structural connectome of the human brain (2014) Proc Natl Acad Sci USA, 111, p. 823. , 24297904; Oquendo, M.A., Turret, J., Grunebaum, M.F., Burke, A.K., Poh, E., Stevenson, E., Sex differences in clinical predictors of depression: a prospective study (2013) J Affect Disord, 150, pp. 1179-1183. , 23735213; Begdache, L., Chaar, M., Sabounchi, N., Kianmehr, H., Assessment of dietary factors, dietary practices and exercise on mental distress in young adults versus matured adults: a cross-sectional study (2019) Nutr Neurosci, 22, pp. 488-498. , 29224485; Homer, J.B., Partial-model testing as a validation tool for system dynamics (2012) Syst Dyn Rev, 28, pp. 281-294; Begdache, L., Marhaba, R., Chaar, M., Validity and reliability of food–mood questionnaire (FMQ) (2019) Nutr Health, 25, pp. 253-264. , 31500499; Begdache, L., Kianmehr, H., Sabounchi, N., Chaar, M., Marhaba, J., Principal component analysis identifies differential gender-specific dietary patterns that may be linked to mental distress in human adults (2018) Nutr Neurosci, 23, pp. 295-308. , 30028276; Taylor, C.B., Sallis, J.F., Needle, R., The relation of physical activity and exercise to mental health (1985) Public Health Rep, 100, pp. 195-202. , 3920718; Craft, L.L., Perna, F.M., The benefits of exercise for the clinically depressed (2004) Prim Care Companion J Clin Psychiatry, 6, pp. 104-111. , 15361924; Ströhle, A., Physical activity, exercise, depression and anxiety disorders (2009) J Neur Transm, 116, pp. 777-784. , 18726137; Furukawa, T.A., Kessler, R.C., Slade, T., Andrews, G., The performance of the K6 and K10 screening scales for psychological distress in the Australian national survey of mental health and well-being (2003) Psychol Med, 33, pp. 357-362. , 12622315; Krynen, A.M., Osborne, D., Duck, I.M., Houkamau, C.A., Sibley, C.G., Measuring psychological distress in New Zealand: item response properties and demographic differences in the Kessler-6 screening measure (2013) N Z J Psychol, 42, p. 69; Dietary Guidelines for Americans, 2020-2025; http://purl.access.gpo.gov/GPO/LPS120357, Available from; Somerville, L.H., Searching for signatures of brain maturity: what are we searching for? (2016) Neuron, 92, pp. 1164-1167. , 28009272; Kessler, R.C., Green, J.G., Gruber, M.J., Sampson, N.A., Bromet, E., Cuitan, M., Screening for serious mental illness in the general population with the K6 screening scale: results from the WHO World Mental Health (WMH) survey initiative (2011) Int J Methods Psychiatr Res, 20, p. 62. , 20527002; Reynolds, A., Richards, G., Iglesia, B.D.L., Rayward-Smith, V.J., Clustering rules: a comparison of partitioning and hierarchical clustering algorithms (2006) J Math Model Algorithms, 5, pp. 475-504; Herve, A., Lynne, W.J., Principal component analysis (2010) WIREs Comp Stats, 2, pp. 433-459; Schulze, M.B., Hoffmann, K., Kroke, A., Boeing, H., An approach to construct simplified measures of dietary patterns from exploratory factor analysis (2003) Br J Nutr, 89, pp. 409-418. , 12628035; Preacher, K.J., Hayes, A.F., Asymptotic and resampling strategies for assessing and comparing indirect effects in multiple mediator models (2008) Behav Res Methods, 40, pp. 879-891. , 18697684; Cohen, J.H., Kristal, A.R., Neumark-Sztainaer, D., Rock, C.L., Neuhouser, M.L., Psychological distress is associated with unhealthful dietary practices (2002) J Am Diet Assoc, 102, pp. 699-703. , 12008997; Hariri, N., Gougeon, R., Thibault, L., A highly saturated fat-rich diet is more obesogenic than diets with lower saturated fat content (2010) Nutr Res, 30, pp. 632-643. , 20934605; Fernstrom, J.D., Large neutral amino acids: dietary effects on brain neurochemistry and function (2013) Amino Acids, 45, pp. 419-430. , 22677921; Sarris, J., Moylan, S., Camfield, D.A., Pase, M.P., Mischoulon, D., Berk, M., Complementary medicine, exercise, meditation, diet, and lifestyle modification for anxiety disorders: a review of current evidence (2012) Evid Based Complement Alternat Med, 2012, p. 809653. , 22969831; Lee, S.A., Lee, T.H., Park, E.-C., Ju, Y.J., Han, E., Kim, T.H., Breakfast consumption and depressive mood: a focus on socioeconomic status (2017) Appetite, 114, pp. 313-319. , 28400301; O'Sullivan, T.A., Robinson, M., Kendall, G.E., Miller, M., Jacoby, P., Silburn, S.R., A good-quality breakfast is associated with better mental health in adolescence (2009) Public Health Nutr, 12, pp. 249-258. , 19026092; Smith, A.P., Breakfast and mental health (1998) Int J Food Sciences Nutr, 49, pp. 397-402; Bourre, J.M., Dietary omega-3 fatty acids and psychiatry: mood, behaviour, stress, depression, dementia and aging (2005) J Nut Health Aging, 9, p. 31. , 15750663; Macpherson, H., Rowsell, R., Cox, K.H.M., Scholey, A., Pipingas, A., Acute mood but not cognitive improvements following administration of a single multivitamin and mineral supplement in healthy women aged 50 and above: a randomised controlled trial (2015) Age, 37, p. 38. , 25903286; Fernstrom, J.D., Fernstrom, M.H., Tyrosine, phenylalanine, and catecholamine synthesis and function in the brain (2007) J Nutr, 137, pp. 1539S-1547. , 17513421, :, −; Wolfe, A.R., Arroyo, C., Tedders, S.H., Li, Y., Dai, Q., Zhang, J., Dietary protein and protein-rich food in relation to severely depressed mood: a 10 year follow-up of a national cohort (2011) Prog Neuropsychopharmacol Biol Psychiatry, 35, pp. 232-238. , 21108982; Temple, J.L., Ziegler, A.M., Gender differences in subjective and physiological responses to caffeine and the role of steroid hormones (2011) J Caffeine Res, 1, pp. 41-48. , 24761262; Hughes, R.N., Hancock, N.J., Effects of acute caffeine on anxiety-related behavior in rats chronically exposed to the drug, with some evidence of possible withdrawal-reversal (2017) Behav Brain Res, 321, pp. 87-98. , 28043898; Lin, A.S., Uhde, T.W., Slate, S.O., McCann, U.D., Effects of intravenous caffeine administered to healthy males during sleep (1997) Depress Anxiety, 5, pp. 21-28. , 9250437, 1997, :)5:1&amp;lt;21:AID-DA4&amp;gt;3.0.CO;2-8; Nicholson, S.A., Stimulatory effect of caffeine on the hypothalamo-pituitary-adrenocortical axis in the rat (1989) J Endocrinol, 122, pp. 535-543. , 2549162; Sharara-Chami, R.I., Joachim, M., Pacak, K., Majzoub, J.A., Glucocorticoid treatment–effect on adrenal medullary catecholamine production (2010) Shock, 33, pp. 213-217. , 19503019; Hollon, N.G., Burgeno, L.M., Phillips, P.E.M., Stress effects on the neural substrates of motivated behavior (2015) Nat Neurosci, 18, pp. 1405-1412. , 26404715</t>
  </si>
  <si>
    <t>2296861X</t>
  </si>
  <si>
    <t>Front. Nutr.</t>
  </si>
  <si>
    <t>2-s2.0-85110529440</t>
  </si>
  <si>
    <t>A differential threshold of breakfast, caffeine and food groups may be impacting mental well-being in young adults: the mediation effect of exercise</t>
  </si>
  <si>
    <t>Alsukayti I., Singh A.</t>
  </si>
  <si>
    <t>56879142400;56681542400;</t>
  </si>
  <si>
    <t>Cross intelligence evaluation for effective emotional intelligence estimation</t>
  </si>
  <si>
    <t>Computers, Materials and Continua</t>
  </si>
  <si>
    <t>2505</t>
  </si>
  <si>
    <t>10.32604/cmc.2022.020264</t>
  </si>
  <si>
    <t>https://www.scopus.com/inward/record.uri?eid=2-s2.0-85116015486&amp;doi=10.32604%2fcmc.2022.020264&amp;partnerID=40&amp;md5=d30d7793f23965d95eb4b85eb260db39</t>
  </si>
  <si>
    <t>Department of Computer Science, College of Computer, Qassim University, Buraydah, 51452, Saudi Arabia; Computer Science and Engineering, Lovely Professional University, Punjab144411, India</t>
  </si>
  <si>
    <t>Alsukayti, I., Department of Computer Science, College of Computer, Qassim University, Buraydah, 51452, Saudi Arabia; Singh, A., Computer Science and Engineering, Lovely Professional University, Punjab144411, India</t>
  </si>
  <si>
    <t>A famous psychologist or researcher, Daniel Goleman, gave a theory on the importance of Emotional Intelligence for the success of an individual's life. Daniel Goleman quoted in the research that “The contribution of an individual's Intelligence Quotient (IQ) is only 20% for their success, the remaining 80% is due to Emotional Intelligence (EQ)”. However, in the absence of a reliable technique for EQ evaluation, this factor of overall intelligence is ignored in most of the intelligence evaluation mechanisms. This research presented an analysis based on basic statistical tools along with more sophisticated deep learning tools. The proposed cross intelligence evaluation uses two different aspects which are similar, i.e., EQ and SQ to estimate EQ by using a trained model over SQ Dataset. This presented analysis ensures the resemblance between the Emotional and Social Intelligence of an Individual. The research authenticates the results over standard statistical tools and is practically inspected by deep learning tools. Trait Emotional Intelligence Questionnaire-Short Form (TEIQue-SF) and Social IQ dataset are deployed over a Multi-layered Long-Short Term Memory (M-LSTM) based deep learning model for accessing the resemblance between EQ and SQ. The M-LSTM based trained deep learning model registered, the high positive resemblance between Emotional and Social Intelligence and concluded that the resemblance factor between these two is more than 99.84%. This much resemblance allows future researchers to calculate human emotional intelligence with the help of social intelligence. This flexibility also allows the use of Big Data available on social networks, to calculate the emotional intelligence of an individual. © 2022 Tech Science Press. All rights reserved.</t>
  </si>
  <si>
    <t>Deep learning; Emotional intelligence; Multi-layered long short term memory; Social intelligence; Social IQ dataset</t>
  </si>
  <si>
    <t>Brain; Statistical mechanics; Daniels; Deep learning; Emotional intelligence; Intelligence quotients; Multi-layered; Multi-layered long short term memory; Social intelligence; Social intelligence quotient dataset; Statistical tools; Long short-term memory</t>
  </si>
  <si>
    <t>Dimitrova, D. V., Matthes, J., Social media in political campaigning around the world: Theoretical and methodological challenges (2018) Journalism&amp;MassCommunicationQuarterly, 1, pp. 333-342; Goleman, D., (2005) Emotional Intelligence. Why it Can Matter more than IQ, 1, pp. 17-45. , Landon, UK: Penguin Random House; Wawra, D., Social intelligence the key to intercultural communication (2009) European Journal of English Studies, 13 (2), pp. 163-177; -On, R. B., Brown, J. M., Kirkcaldy, B. D., Thomé, E. P., Emotional expression and implications for occupational stress; An application of the emotional quotient inventory (EQ-i) (2000) Personality and Individual Differences, 28 (6), pp. 1107-1118; Dawda, D., Stephen, D. H., Assessing emotional intelligence: Reliability and validity of the bar-on emotional quotient inventory (EQ-i) in university students (2000) PersonalandIndividualDifferences, 28 (4), pp. 797-812; Jauk, E., Ehrenthal, J. C., Self-reported levels of personality functioning from the operationalized psychodynamic diagnosis (OPD) system and emotional intelligence likely assess the same latent construct (2021) Journal of Personality Assessment, 103 (3), pp. 1-14; On, R. B., The bar-on emotional quotient inventory (EQ-i): Rationale, description and summary of psychometric properties (2004) Measuring Emotional Intelligence: Common Ground and Controversy, pp. 115-145. , https://psycnet.apa.org/record/2004-19636-006, [Online]. Available; Rooy, D. L. V., Viswesvaran, C., Pluta, P., An evaluation of construct validity: What is this thing called emotional intelligence? (2009) Human Performance, 18 (4), pp. 445-462; Petrides, K. V., González, J. C. P., Furnham, A., On the criterion and incremental validity of trait emotional intelligence (2007) Cogition and Emotion, 21 (1), pp. 26-55; Stoller, J. K., Leadership essentials for the chest physician: Emotional intelligence (2021) Chest, 159 (5), pp. 1942-1948; Cooper, A., Petrides, K. V., A psychometric analysis of the trait emotional intelligence questionnaire-short form (TEIQue-SF) using item response theory (2010) Journal of Personality Assessment, 92 (5), pp. 449-457; Perazzo, M. F., Abreu, L. G., Díaz, P. A. P., Petrides, K. V., Garcia, A. F. G., Trait emotional intelligence questionnaire-short form: Brazilian validation and measurement invariance between the united kingdom and latin-american datasets (2021) Journal of Personality Assessment, 103 (3), pp. 342-351; Chiesi, F., Lau, C., Marunic, G., Ruiz, M. J. S., Plouffe, R. A., Emotional intelligence in young women from five cultures: A TEIQue-SF invariance study using the omnicultural composite approach inside the IRT framework (2020) Personal and Individual Differences, 164 (110128), pp. 1-6; Wang, X., Jiang, L., Chakrabarty, K., LSTM-based analysis of temporally and spatially correlated signatures for intermittent fault detection (2020) IEEE VLSI Test Symposium, 38, pp. 1-6; Farhan, M., Jabbar, S., Aslam, M., Ahmad, A., Iqbal, M. M., A real-time data mining approach for interaction analytics assessment: IoT based student interaction framework (2018) International Journal of Parallel Programming, 46 (5), pp. 886-903; Rao, M., Li, Q., Wei, D., Zuo, M. J., A deep bi-directional long short-term memory model for automatic rotating speed extraction from raw vibration signals (2020) Measurement, 158 (107719), pp. 1-12; Adeyemo, D. A., Moderating influence of emotional intelligence on the link between academic self-efficacy and achievement of university students (2007) Psychology and Developing Societies, 19 (2), pp. 199-213; Pillow, D. R., Hale, W. J., Crabtree, M. A., Hinojosa, T. L., Exploring the relations between self-monitoring, authenticity, and well-being (2017) PersonalityandIndividualDifferences, 116 (5), pp. 393-398; Jordan, P. J., Ashkanasy, N. M., Härtel, C. E. J., Hooper, G. S., Workgroup emotional intelligence: Scale development and relationship to team process effectiveness and goal focus (2002) Human Resource Management Review, 12 (2), pp. 195-214; Gawronski, B., Bodenhausen, G. V., Becker, A. P., I like it, because I like myself: Associative self-anchoring and post-decisional change of implicit evaluations (2009) Journal of Experimental Social Psychology, 16 (3), pp. 449-456; Mayer, J. D., Salovey, P., Emotional intelligence and the construction and regulation of feelings (1995) Applied and Preventive Psychology, 4 (3), pp. 197-208; Avolio, B. J., Bass, B. M., Jung, D. I., Re-examining the components of transformational and transactional leadership using the multifactor leadership questionnaire (1999) Journal of Occupational and OrganizationalPsychology, 72 (4), pp. 441-462; Palmer, B., Walls, M., Burgess, Z., Stough, C., Emotional intelligence and effective leadership (2001) Leadership &amp; Organization Development Journal, 22 (1), pp. 5-10; -On, B. R. B., Ph, D., Cherry, R., -On, R. B., Bar on emotional quotient inventory resource report (2011) Victoria, 2011 (2), pp. 2-14; Rowold, J., Psychometric properties of the German translation by Jens Rowold (2005) Mind Garden, pp. 1-24. , https://doi.org/10.1037/t03624-000; Caruso, D. R., Mayer, J. D., Salovey, P., Relation of an ability measure of emotional intelligence to personality (2002) Journal of Personality Assessment, 79 (2), pp. 306-320; Extremera, N., -Berrocal, P. F., Salovey, P., Spanish version of the mayer-salovey-caruso emotional intelligence test (MSCEIT) version 2.0: Reliability, age, and gender differences (2006) Psicothema, 18 (18), pp. 42-48; Kuo, S. Y., Chang, Y. H., Wang, T. Y., Tseng, H. H., Huang, C. C., Impairment in emotional intelligence may be mood-dependent in bipolar I and bipolar II disorders (2021) Frontiers in Psychiatry, 12, pp. 134-142; Prentice, C., Lopes, S. D., Wang, X., Emotional intelligence or artificial intelligence-an employee perspective (2020) Journal of Hospitality Marketing &amp; Management, 29 (4), pp. 377-403; Warwick, J., Nettelbeck, T., Emotional intelligence is...? (2004) Personality and Individual Differences, 37 (5), pp. 1091-1100; Suresha, M., Kuppa, S., Raghukumar, D. S., A study on deep learning spatiotemporal models and feature extraction techniques for video understanding (2020) International Journal of Multimedia Information Retrieval, 9 (2), pp. 81-101; Zadeh, A., Chan, M., Liang, P. P., Tong, E., Morency, L. P., Social-IQ: A question answering benchmark for artificial social intelligence (2019) Proc. of IEEE/CVF Conf. on Computer Vision and Pattern Recognition, 2019, pp. 8799-8809. , Long Beach, CA, USA; Gullen, A., Plungis, J., Statista (2013) The Charleston Advisor, 15 (2), pp. 43-47; David, M. E., Roberts, J. A., Phubbed and alone: Phone snubbing, social exclusion, and attachment to social media (2017) Journal of the Association for Consumer Research, 2 (2), pp. 155-163; Suliman, W. A., The relationship between learning styles, emotional social intelligence, and academic success of undergraduate nursing students (2010) Journal of Nursing Research, 18 (2), pp. 136-143; Boyatzis, R. E., Good, D., Massa, R., Emotional, social, and cognitive intelligence and personality as predictors of sales leadership performance (2012) Journal of Leadership &amp; Organizational Studies, 19 (2), pp. 191-201; Byeon, W., Breuel, T. M., Raue, F., Liwicki, M., Scene labeling with LSTM recurrent neural networks (2015) Proc. of IEEE/CVF Conf. on Computer Vision and Pattern Recognition, 7, pp. 3547-3555; Lim, S., Kim, S. H., Kim, Y., Cho, Y. S., Kim, T. Y., Coefficient of variance as quality criterion for evaluation of advanced hepatic fibrosis using 2D shear-wave elastography (2018) Journal of Ultrasound in Medicine, 37 (2), pp. 355-362; Yu, Y., Kim, Y. J., Attention-LSTM-attention model for speech emotion recognition and analysis of IEMOCAP database (2020) Electronics, 9 (5), p. 713; Kozak, M., Piepho, H. P., What's normal anyway? Residual plots are more telling than significance tests when checking ANOVA assumptions (2018) Journal of Agronomy and Crop Science, 204 (1), pp. 86-98; Hazara, M., Li, X., Kyrki, V., Active incremental learning of a contextual skill model (2019) IEEE/RSJ Int. Conf. on Intelligent Robots and Systems, pp. 1834-1839. , Macau, China; Addo, P. M., Guegan, D., Hassani, B., Credit risk analysis using machine and deep learning models (2018) Risks, 6 (2), pp. 1-20; -On, R. B., Brown, J. M., Kirkcaldy, B. D., Thomé, E. P., Emotional expression and implications for occupational stress; An application of the emotional quotient inventory (EQ-i) (2000) Personality and Individual Differences, 28 (6), pp. 1107-1118; Cherniss, C., Extein, M., Goleman, D., Weissberg, R. P., Emotional intelligence: What does the research really indicate? (2006) EducationalPsychologist, 41 (4), pp. 239-245; Côté, S., Emotional intelligence in organizations (2014) Annual Review of Organizational Psychology and OrganizationalBehavior, 1 (1), pp. 459-488; Virk, H. K., Impact of Emotional intelligence on job satisfaction, organizational commitment and perceived success (2011) International Journal of Arts &amp; Sciences, 4 (22), pp. 297-312; Sharma, V., Nardi, B., Norton, J., Tsaasan, A. M., Towards safe spaces online: A study of Indian matrimonial websites (2019) 17th IFIP TC 13 International Conference, 11748, pp. 43-66. , Paphos, Cyprus</t>
  </si>
  <si>
    <t>Tech Science Press</t>
  </si>
  <si>
    <t>15462218</t>
  </si>
  <si>
    <t>Comput. Mater. Continua</t>
  </si>
  <si>
    <t>2-s2.0-85116015486</t>
  </si>
  <si>
    <t>Iyer R., Nedeljkovic M., Meyer D.</t>
  </si>
  <si>
    <t>57762992800;22941541700;7403571635;</t>
  </si>
  <si>
    <t>Using Vocal Characteristics to Classify Psychological Distress in Adult Helpline Callers: Retrospective Observational Study</t>
  </si>
  <si>
    <t>JMIR Formative Research</t>
  </si>
  <si>
    <t>e42249</t>
  </si>
  <si>
    <t>10.2196/42249</t>
  </si>
  <si>
    <t>https://www.scopus.com/inward/record.uri?eid=2-s2.0-85145591634&amp;doi=10.2196%2f42249&amp;partnerID=40&amp;md5=aadd69d28658e7921a8a6b8829ba0e43</t>
  </si>
  <si>
    <t>Centre for Mental Health, Swinburne University of Technology, Hawthorn, Australia</t>
  </si>
  <si>
    <t>Iyer, R., Centre for Mental Health, Swinburne University of Technology, Hawthorn, Australia; Nedeljkovic, M., Centre for Mental Health, Swinburne University of Technology, Hawthorn, Australia; Meyer, D., Centre for Mental Health, Swinburne University of Technology, Hawthorn, Australia</t>
  </si>
  <si>
    <t>Background: Elevated psychological distress has demonstrated impacts on individuals’ health. Reliable and efficient ways to detect distress are key to early intervention. Artificial intelligence has the potential to detect states of emotional distress in an accurate, efficient, and timely manner. Objective: The aim of this study was to automatically classify short segments of speech obtained from callers to national suicide prevention helpline services according to high versus low psychological distress and using a range of vocal characteristics in combination with machine learning approaches. Methods: A total of 120 telephone call recordings were initially converted to 16-bit pulse code modulation format. Short variable-length segments of each call were rated on psychological distress using the distress thermometer by the responding counselor and a second team of psychologists (n=6) blinded to the initial ratings. Following this, 24 vocal characteristics were initially extracted from 40-ms speech frames nested within segments within calls. After highly correlated variables were eliminated, 19 remained. Of 19 vocal characteristics, 7 were identified and validated as predictors of psychological distress using a penalized generalized additive mixed effects regression model, accounting for nonlinearity, autocorrelation, and moderation by sex. Speech frames were then grouped using k-means clustering based on the selected vocal characteristics. Finally, component-wise gradient boosting incorporating these clusters was used to classify each speech frame according to high versus low psychological distress. Classification accuracy was confirmed via leave-one-caller-out cross-validation, ensuring that speech segments from individual callers were not used in both the training and test data. Results: The sample comprised 87 female and 33 male callers. From an initial pool of 19 characteristics, 7 vocal characteristics were identified. After grouping speech frames into 2 separate clusters (correlation with sex of caller, Cramer’s V =0.02), the component-wise gradient boosting algorithm successfully classified psychological distress to a high level of accuracy, with an area under the receiver operating characteristic curve of 97.39% (95% CI 96.20-98.45) and an area under the precision-recall curve of 97.52 (95% CI 95.71-99.12). Thus, 39,282 of 41,883 (93.39%) speech frames nested within 728 of 754 segments (96.6%) were classified as exhibiting low psychological distress, and 71455 of 75503 (94.64%) speech frames nested within 382 of 423 (90.3%) segments were classified as exhibiting high psychological distress. As the probability of high psychological distress increases, male callers spoke louder, with greater vowel articulation but with greater roughness (subharmonic depth). In contrast, female callers exhibited decreased vocal clarity (entropy), greater proportion of signal noise, higher frequencies, increased breathiness (spectral slope), and increased roughness of speech with increasing psychological distress. Individual caller random effects contributed 68% to risk reduction in the classification algorithm, followed by cluster configuration (23.4%), spectral slope (4.4%), and the 50th percentile frequency (4.2%). Conclusions: The high level of accuracy achieved suggests possibilities for real-time detection of psychological distress in helpline settings and has potential uses in pre-emptive triage and evaluations of counseling outcomes. ©Ravi Iyer, Maja Nedeljkovic, Denny Meyer.</t>
  </si>
  <si>
    <t>artificial intelligence; biomarker; digital health intervention; distress; emotional distress; machine learning; mental distress; mental health; mental health intervention; psychological stress; psychological well being; speech analysis; voice; voice biomarker</t>
  </si>
  <si>
    <t>Luo, M, Guo, L, Yu, M, Jiang, W, Wang, H., The psychological and mental impact of coronavirus disease 2019 (COVID-19) on medical staff and general public - A systematic review and meta-analysis (2020) Psychiatry Res, 291, p. 113190. , Sep;: [FREE Full _text] [doi] [Medline: 32563745]; Wang, Y, Kala, M, Jafar, T., Factors associated with psychological distress during the coronavirus disease 2019 (COVID-19) pandemic on the predominantly general population: A systematic review and meta-analysis (2020) PLoS One, 15 (12), p. e0244630. , [FREE Full _text] [doi] [Medline: 33370404]; Ridner, SH., Psychological distress: concept analysis (2004) J Adv Nurs, 45 (5), pp. 536-545. , Mar; [doi] [Medline: 15009358]; Kohrt, BA, Rasmussen, A, Kaiser, BN, Haroz, EE, Maharjan, SM, Mutamba, BB, Cultural concepts of distress and psychiatric disorders: literature review and research recommendations for global mental health epidemiology (2014) Int J Epidemiol, 43 (2), pp. 365-406. , Apr 23; [FREE Full _text] [doi] [Medline: 24366490]; Drapeau, A, Marchand, A, Beaulieu-Prévost, D., Epidemiology of psychological distress (2012) Mental Illnesses-Understanding, Prediction and Control, pp. 105-134. , L'Abate L, editor. Rijeka, Croatia: InTech Open; Joaquim, RM, Pinto, AL, Guatimosim, RF, de Paula, JJ, Souza Costa, D, Diaz, AP, Bereavement and psychological distress during COVID-19 pandemics: the impact of death experience on mental health (2021) Current Research in Behavioral Sciences, 2, p. 100019. , Nov;:. [doi]; Lee, SJ, Katona, LJ, De Bono, SE, Lewis, KL., Routine screening for psychological distress on an Australian inpatient haematology and oncology ward: impact on use of psychosocial services (2010) Med J Aust, 193 (S5), pp. S74-S78. , Sep 06; [doi] [Medline: 21542451]; Scerri, J, Sammut, A, Cilia Vincenti, S, Grech, P, Galea, M, Scerri, C, Reaching out for help: calls to a mental health helpline prior to and during the COVID-19 pandemic (2021) Int J Environ Res Public Health, 18 (9), p. 4505. , Apr 23; [FREE Full _text] [doi] [Medline: 33922749]; McClellan, SR, Hunt, M, Olsho, LEW, Dasgupta, A, Chowdhury, M, Sparks, AC., Satisfaction and mental health outcomes associated with a large regional helpline (2022) Community Ment Health J, 58 (6), pp. 1214-1224. , Aug 11; [FREE Full _text] [doi] [Medline: 35015179]; LeCouteur, A, Lehmann, C, Knott, V., Brief psychological distress screening on a cancer helpline: How nurses introduce, and callers respond to, the Distress Thermometer (2021) Eur J Oncol Nurs, 53, p. 101986. , Aug;:. [doi] [Medline: 34294575]; Scherer, S, Gratch, J, Pestian, J., Reduced vowel space is a robust indicator of psychological distress: A cross-corpus analysis ICASSP 2015 - 2015 IEEE International Conference on Acoustics, Speech and Signal Processing.: IEEE; 2015 Presented at: IEEE International Conference on Acoustics, Speech and Signal Processing, , Apr 19-24, 2015; Brisbane, Australia. [doi]; Kandsberger, J, Rogers, SN, Zhou, Y, Humphris, G., Using fundamental frequency of cancer survivors' speech to investigate emotional distress in out-patient visits (2016) Patient Educ Couns, 99 (12), pp. 1971-1977. , Dec; [doi] [Medline: 27506580]; Franklin, JC, Ribeiro, JD, Fox, KR, Bentley, KH, Kleiman, EM, Huang, X, Risk factors for suicidal thoughts and behaviors: A meta-analysis of 50 years of research (2017) Psychol Bull, 143 (2), pp. 187-232. , Feb; [doi] [Medline: 27841450]; Cummins, N, Scherer, S, Krajewski, J, Schnieder, S, Epps, J, Quatieri, TF., A review of depression and suicide risk assessment using speech analysis (2015) Speech Communication, 71, pp. 10-49. , Jul;: [doi]; Iyer, R, Nedeljkovic, M, Meyer, D., Using voice biomarkers to classify suicide risk in adult telehealth callers: a retrospective observational study (2022) JMIR Ment Health, 9 (8), p. e39807. , Aug 15; [FREE Full _text] [doi] [Medline: 35969444]; Cutillo, A, O'Hea, E, Person, S, Lessard, D, Harralson, T, Boudreaux, E., The distress thermometer: cutoff points and clinical use (2017) Oncol Nurs Forum, 44 (3), pp. 329-336. , May 01; [FREE Full _text] [doi] [Medline: 29493167]; Van Lander, A, Tarot, A, Savanovitch, C, Pereira, B, Vennat, B, Guastella, V., Assessing the validity of the clinician-rated distress thermometer in palliative care (2019) BMC Palliat Care, 18 (1), p. 81. , Oct 17; [FREE Full _text] [doi] [Medline: 31623591]; Sousa, H, Oliveira, J, Figueiredo, D, Ribeiro, O., The clinical utility of the Distress Thermometer in non-oncological contexts: A scoping review (2021) J Clin Nurs, 30 (15-16), pp. 2131-2150. , Aug 27; [doi] [Medline: 33555631]; Zou, GY., Sample size formulas for estimating intraclass correlation coefficients with precision and assurance (2012) Stat Med, 31 (29), pp. 3972-3981. , Dec 20; [doi] [Medline: 22764084]; Botía, JA, Vandrovcova, J, Forabosco, P, Guelfi, S, D'Sa, K, United Kingdom Brain Expression Consortium, et al. An additional k-means clustering step improves the biological features of WGCNA gene co-expression networks (2017) BMC Syst Biol, 11 (1), p. 47. , Apr 12; [FREE Full _text] [doi] [Medline: 28403906]; Perkins, NJ, Schisterman, EF., The Youden Index and the optimal cut-point corrected for measurement error (2005) Biom J, 47 (4), pp. 428-441. , Aug; [doi] [Medline: 16161802]</t>
  </si>
  <si>
    <t>2561326X</t>
  </si>
  <si>
    <t>JMIR Form. Res.</t>
  </si>
  <si>
    <t>2-s2.0-85145591634</t>
  </si>
  <si>
    <t>Using vocal characteristics to classify psychological distress in adult helpline callers: retrospective observational study</t>
  </si>
  <si>
    <t>McLeod C.M., Pifer N.D., Plunkett E.P.</t>
  </si>
  <si>
    <t>56149983900;57160948600;57226360980;</t>
  </si>
  <si>
    <t>Career expectations and optimistic updating biases in minor league baseball players</t>
  </si>
  <si>
    <t>Journal of Vocational Behavior</t>
  </si>
  <si>
    <t>103615</t>
  </si>
  <si>
    <t>10.1016/j.jvb.2021.103615</t>
  </si>
  <si>
    <t>https://www.scopus.com/inward/record.uri?eid=2-s2.0-85111277996&amp;doi=10.1016%2fj.jvb.2021.103615&amp;partnerID=40&amp;md5=f25e43d937588b3f733b51d0c2d8fcc9</t>
  </si>
  <si>
    <t>University of Florida, United States; Florida State University, United States</t>
  </si>
  <si>
    <t>McLeod, C.M., University of Florida, United States; Pifer, N.D., Florida State University, United States; Plunkett, E.P., University of Florida, United States</t>
  </si>
  <si>
    <t>Data on the likelihood of becoming a professional athlete are abundant and readily available, yet athletes consistently overestimate their chances of achieving the top levels of career success. Research is needed to examine whether athletes and others update their career expectations when seeing new information. In this study, minor league baseball players created a career tree estimating their probabilities of moving through the minor league system and then read personalized trees built by a C5.0 machine learning algorithm. After seeing the C5.0 trees, many players updated their expectations consistent with updating theory, especially when reevaluating their chances of being out of the system; however, there was evidence of asymmetric updating. Some acted opposite to what Bayesian reasoning would suggest. Analysis of the interview data reveals three themes that explain asymmetric and contrary updating. Players believed optimism is necessary for their baseball career, they neglected their reference group, and they saw information as possessing affective qualities. Using these three themes caused athletes to ignore some information and, occasionally, circumvent the updating process altogether. © 2021 Elsevier Inc.</t>
  </si>
  <si>
    <t>Biases; Career information; Heuristics; Machine learning; Unrealistic optimism</t>
  </si>
  <si>
    <t>Berengui, R., de los Fayos Ruiz, E.J.G., Ortin Montero, F.J., de la Vega Marcos, R., Gullón, J.M.L., Optimism and burnout in competitive sport (2013) Scientific Research: Psychology, 4, pp. 13-18; Bleichrodt, H., L'Haridon, O., Van Ass, D., The risk attitudes of professional athletes: optimism and success are related (2018) Decision, 5, pp. 95-118; Brown, S.D., Ryan Krane, N.E., Brecheisen, J., Castelino, P., Miller, M., Edens, L., Critical ingredients of career choice interventions: more analyses and new hypotheses (2003) Journal of Vocational Behavior, 62, pp. 411-428; Camerer, C., Lovallo, D., Overconfidence and excess entry: an experimental approach (1999) The American Economic Review, 89, pp. 306-318; Curry, L.A., Snyder, C.R., Cook, D.L., Ruby, B., Rehm, M., Role of hope in academic and sport achievement (1997) Journal of Personality and Social Psychology, 73, pp. 1257-1267; Eli, D., Rao, J.-M., The good news-bad news effect: asymmetric processing of objective information about yourself (2012) American Economic Journal: Microeconomics, 3, pp. 114-138; Epstein, L.G., Noor, J., Sandroni, A., Non-Bayesian learning (2010) The BE Journal of Theoretical Economics, 10, pp. 1-18; Eva, N., Newman, A., Jiang, Z., Brouwer, M., Career optimism: a systematic review and agenda for future research (2020) Journal of Vocational Behavior, 116; Gao, Y., Eccles, J., Who lower their aspirations? The development and protective factors of college-associated career aspirations in adolescence (2020) Journal of Vocational Behavior, 116; Garrett, N., Sharot, T., Optimistic update bias holds firm: Three tests of robustness following Shah et al (2017) Consciousness and Cognition, 50, pp. 12-22; Grove, J.R., Heard, N.P., Optimism and sport confidence as correlates of slump-related coping among athletes (1997) The Sport Psychologist, 11, pp. 400-410; Hayes, A.F., Krippendorff, K., Answering the call for a standard reliability measure for coding data (2007) Communication Methods and Measures, 1, pp. 77-89; Ireland, G.W., Lent, R.W., Career exploration and decision-making learning experiences: A test of the career self-management model (2018) Journal of Vocational Behavior, 106, pp. 37-47; Johnson, D.D.P., Fowler, H.F., The evolution of overconfidence (2011) Nature, 477, pp. 317-320; Jones, S., Santos, R., Xirinda, G., Misinformed, mismatched, or misled? Explaining the gap between expected and realized graduate earnings in Mozambique (2020) WIDER working paper 2020/47; Kahneman, D., Thinking, fast and slow (2011), Farrar, Straus and Giroux New York, NY; Kennedy, S.R., Dimick, K.M., Career maturity and professional sports expectations of college football and basketball players (1987) Journal of College Student Personnel, 28, pp. 293-297; Knights, S., Sherry, E., Ruddock-Hudson, M., O'Halloran, P., The end of a professional sport career: Ensuring a positive transition (2019) Journal of Sport Management, 33, pp. 518-529; Kuhn, M., Johnson, K., Applied predictive modeling (2013), Springer New York, NY; Lent, R.W., Brown, S.D., Social cognitive model of career self-management: Toward a unifying view of adaptive career behavior across the life span (2013) Journal of Counseling Psychology, 36, pp. 477-486; Lent, R.W., Brown, S.D., Career decision making, fast and slow: Toward an integrative model of intervention for sustainable career choice (2020) Journal of Vocational Behavior, 120; Loewenstein, G.F., Weber, E.U., Hsee, C.K., Welch, N., Risk as feelings (2001) Psychological Bulletin, 2, pp. 267-286; Massey, C., Simmons, J.P., Armor, D.A., Hope over experience: Desirability and the persistence of optimism (2011) Psychological Science, 22, pp. 274-281; McCann, M.A., It's not about the money: the role of preferences, cognitive biases, and heuristics among professional athletes (2006) Brooklyn Law Review, 71, pp. 1459-1528; GOALS study: Understanding the student-athlete experience. NCAA (2019), https://ncaaorg.s3.amazonaws.com/research/goals/2020AWRES_GOALS2020con.pdf; Nicholls, A.R., Polman, R., C. J., L., A., Mental toughness, optimism, pessimism, and coping among athletes (2008) Personality and Individual Differences, 44, pp. 1182-1192; Park, S., Lavallee, D., Tod, D., Athletes’ career transition out of sport (2012) International Review of Sport and Exercise Psychology, 6, pp. 22-53; Peptitpas, A.J., Danish, S., McKlevain, R., Murphy, S., A career assistance program for elite athletes (1990) Journal of Counseling and Development, 70, pp. 383-386; Perna, F.M., Ahlgren, R.L., Zaichkowsky, L., The influence of career planning, race, and athletic injury on life satisfaction among recently retired collegiate male athletes (1999) The Sport Psychologist, 13, pp. 144-156; Peters, E., Slovic, P., The springs of action: Affective and analytical information processing in choice (2000) Personality and Social Psychology, 26, pp. 1465-1475; Pifer, N.D., McLeod, C.M., Travis, W.J., Castleberry, C.R., Who should sign a professional baseball contract?: Quantifying the financial opportunity costs of major league draftees (2020) Journal of Sports Economics, 21, pp. 746-780; Puri, M., Robinson, D., Optimism and economic choice (2007) Journal of Financial Economics, 86, pp. 71-99; Richardson, J., McKenna, S., An exploration of career sustainability in and after professional sport (2020) Journal of Vocational Behavior, 177; Rottinghaus, P.J., Day, S.X., Borgen, F., The career futures inventory: a measure of career-related adaptability and optimism (2005) Journal of Career Assessment, 13, pp. 3-24; Sailes, G.A., A comparison of professional sports career aspirations among college athletes (1998) African Americans in sports: Contemporary themes, pp. 261-269. , G.A. Sailes Transaction New Brunswick, NJ; Sharot, K., Korn, C.W., Dolan, R.J., How unrealistic optimism is maintained in the face of reality (2011) Nature, 14, pp. 1475-1479; Sharot, T., The optimism bias (2011) Current Biology, 21, pp. 41-44; Shepperd, J.A., Klein, W.M.P., Waters, E.A., Weinstein, N.D., Taking stock of unrealistic optimism (2013) Perspectives on Psychological Science, 8, pp. 395-411; Shepperd, J.A., Ouellette, J.A., Fernandez, J.K., Abandoning unrealistic optimism: Performance estimates and temporal proximity of self-relevant feedback (1996) Journal of Personality and Social Psychology, 70, pp. 844-855; Silver, N., The signal and the noise (2012), The Penguin Press New York, NY; Sunstein, C.R., The ethics of nudging (2015) Yale Journal on Regulation, 32, pp. 413-450; Taylor, S.E., Brown, J.D., Illusion and well-being: A social psychological perspective on mental health (1988), 103 (2), pp. 193-210; Taylor, S.E., Brown, J.D., Positive illusions and well-being revisited: Separating fact from fiction (1994) Psychological Bulletin, 116 (1), pp. 21-27; Venne, S.A., Laguna, P., Walk, S., Ravizza, K., Optimism levels among collegiate athletes and non-athletes (2006) International Journal of Sport and Exercise Psychology, 4, pp. 182-195; Weinstein, N.D., Unrealistic optimism about future life events (1980) Journal of Personality and Social Psychology, 39, pp. 806-820; Wigfield, A., Eccles, J.S., Expectancy-value theory of achievement motivation (2000) Contemporary Educational Psychology, 25, pp. 68-81; Wiswall, M., Zafar, B., How do college students respond to public information about earnings? (2015) Journal of Human Capital, 9, pp. 117-169</t>
  </si>
  <si>
    <t>00018791</t>
  </si>
  <si>
    <t>JVBHA</t>
  </si>
  <si>
    <t>J. Vocat. Behav.</t>
  </si>
  <si>
    <t>2-s2.0-85111277996</t>
  </si>
  <si>
    <t>Gaffield C.</t>
  </si>
  <si>
    <t>19933418300;</t>
  </si>
  <si>
    <t>Clio and computers in canada and beyond: Contested past, promising present, uncertain future</t>
  </si>
  <si>
    <t>Canadian Historical Review</t>
  </si>
  <si>
    <t>559</t>
  </si>
  <si>
    <t>584</t>
  </si>
  <si>
    <t>10.3138/chr-2020-0020</t>
  </si>
  <si>
    <t>https://www.scopus.com/inward/record.uri?eid=2-s2.0-85099101515&amp;doi=10.3138%2fchr-2020-0020&amp;partnerID=40&amp;md5=1063915b5538f9a6688395f2d02ee1c6</t>
  </si>
  <si>
    <t>University of Ottawa, Canada</t>
  </si>
  <si>
    <t>Gaffield, C., University of Ottawa, Canada</t>
  </si>
  <si>
    <t>Historians began using computers in the 1950s and 1960s when their possibilities seemed unlimited in the private, public, and non-profit sectors of wealthier countries. In this societal context, Clio met computers. In the following decades, a few historians would predict, from time to time, that digitally-enabled scholarship was on tracktobecomethedisciplinarynorm. Theyemphasizedtheimpactofspecificinitiatives enabled by changing technologies, from the mainframe era to microcomputers, the web, the tsunami of “born-digital” and digitized data, mobile devices, and new computational approaches such as machine learning. However, their predictions routinely failed to materialize and, while all historians might use digital tools at least to some extent, a claim that “we-are-all-digital-now” downplays substantive questions about History’s past and current relationship with new technologies. This article reinterprets the changing meaning of digital technologies within the disciplinary culture and institutional conditions of History. The evidence thus far reveals good reasons for both optimism and pessimism about digitally-enabled History at various times since the 1950s. By examining the complex and often surprising past and present, we can better determine and take the needed next steps in Digital History. © University of Toronto Press.</t>
  </si>
  <si>
    <t>Archives; Cliometrics; Computers; Digital history; Quantitative; Teaching; Web</t>
  </si>
  <si>
    <t>Vardalas, John, (2001) The Computer Revolution in Canada: Building National Technological Competence, , (Cambridge, MA: MIT Press); Bush, Vannevar, As We May Think (1945) The Atlantic, pp. 13-14; Turing, A. M., Computing Machinery and Intelligence (1950) Mind, 59 (236), pp. 433-460; Belland, Lee, He sees planners’ paradise (1964) Toronto Daily Star, , 7 May; Edmonston, Barry, Two centuries of demographic change in Canada (2014) Canadian Studies in Population, 41 (1–2), pp. 1-37; Aydelotte, William O., The House of Commons in the 1840s (1954) History New Series, 39, pp. 249-262; Curti, Merle, (1959) The Making of an American Community: A Case Study of Democracy in a Frontier County, , (Redwood City, CA: Stanford University Press); Le Roy Ladurie, Emmanuel, (1966) Les paysans de Languedoc, , (Paris: S.E.V.P.E.N); Thomas, G., Computing and the Historical Imagination (2004) A Companion to Digital Humanities, , ed. Susan Schreibman, Ray Siemens and John Unsworth (Oxford: Blackwell Publishing); Hackney, Sheldon, Power to Computers: A revolution in history? (1970) AFIPS '70 (Spring): Proceedings of the May 5–7, 1970, Spring Joint Computer Conference, p. 275. , (Montvalle, NJ: AFIPS Press); Winchester, Ian, Review of Peel County History Project and the Saguenay Project (1980) Histoire sociale / Social History, 13 (25), pp. 195-205; Bogue, Allan G., (1983) Clio and the Bitch Goddess: Quantification in American Political History, , (Beverly Hills: Sage Publications); Swierenga, Robert P., Clio and Computers: A Survey of Computerized Research in History (1970) Computers and the Humanities, 5 (1), p. 20; Fogel, Robert, Engerman, Stanley L., (1974) Time on the Cross: The Economics of American Negro Slavery, , (New York: W.W. Norton and Company); Reynolds, John F., Do Historians Count Anymore? The Status of Quantitative History, 1975–1985 (1998) Historical Methods, 31 (4), p. 141; Stone, Lawrence, The Revival of Narrative: Reflections on a New Old History (1979) Past and Present Society, 85, p. 13; Graff, Harvey J., Notes on Methods for Studying Literacy from the Manuscript Census (1971) Historical Methods Newsletter, 5, pp. 11-16; Graff, Harvey J., Towards a Meaning of Literacy (1972) History of Education Quarterly, 12, pp. 411-431; Graff, Harvey J., Approaches in the Historical Study of Literacy (1972) Urban History Review, 1 (3), pp. 6-11; Mays, H. J., Manzl, H. F., Literacy and Social Structure in Nineteenth Century Ontario: An Exercise in Historical Methodology (1974) Histoire sociale / Social History, 7 (14), p. 333; Graff, Harvey J., Literacy and Social Structure in Elgin County, Canada West: 1861 (1973) Histoire sociale / Social History, 6 (11), pp. 25-47. , Mays and Manzl were specifically reacting to; Graff, Harvey J., What the 1861 Census can tell us about Literacy: A Reply (1975) Histoire sociale / Social History, 8 (16), pp. 337-349; Emery, George, Igartua, José, David Gagan’s ‘The “Critical Years” in Rural Canada West’: a Critique of the Methodology and Model (1981) Canadian Historical Review, 62 (2), pp. 186-196; Computers and Historians (1996) Computers and the Humanities, 30 (5). , Decades later, the journal did publish an important special on (/1997); Jones, Stephen E., (2016) Roberto Busa, S.J. and the Emergence of Humanities Computing, , (New York: Routledge); Nyhan, Julianne, Terras, Melissa, Uncovering ‘hidden’ contributions to the history of Digital Humanities: the Index Thomisticus’ female keypunch operators (2017) Digital Humanities, pp. 313-315; Wisbey, R.A., (1971) The Computer in Literary and Linguistic Research, , ed., (Cambridge: Cambridge University Press); Aitken, A. J., Bailey, Richard W., Hamilton-Smith, N., (1973) The Computer and Literary Studies, , ed., (Edinburgh: Edinburgh University Press); Mitchell, J.L., (1974) Computers in the Humanities, , ed., (Edinburgh: Edinburgh University Press); Lusignan, Serge, North, John S., (1977) Computing in the Humanities: Proceedings of the Third International Conference on Computing in the Humanities, , eds., (Waterloo: University of Waterloo Press); Bailey, Richard W., (1982) Computing in the Humanities: Papers from the Fifth International Conference on Computing in the Humanities, , ed., (Amsterdam: North Holland); Adair, Douglass, The Authorship of the Disputed Federalist Papers (1944) The William and Mary Quarterly, 1 (2), pp. 97-122; Fineberg, Stephen E., Reviewed Work: Inference and Disputed Authorship: The Federalist by Frederick Mosteller, David L. Wallace (1969) Journal of Interdisciplinary History, 1 (3), pp. 557-560; Katz, Michael B., (1975) The People of Hamilton, Canada West: Family and Class in a Mid-Nineteenth-Century City, p. 11. , (Cambridge, MA: Harvard University Press); Prentice, Alison, Katz, Michael B., A Tribute (2015) Historical Studies in Education, 27 (1), pp. 1-3. , 1939–2014; Newell, Diane, Published Government Documents as a Source for Interdisciplinary History: A Canadian Case Study (1981) Government Publications Review Part A, 8 (5), pp. 381-393; Linteau, Paul-André, Un Temps Nouveau: Au Cœur d’une histoire en transformation (2020) Canadian Historical Review, 101 (1), pp. 101-124; Pegues, Franklin J., Computer Research in the Humanities (1965) The Journal of Higher Education, 36 (2), pp. 105-108; Fischer, Lewis R., The Enterprising Canadians: An Assessment of Canadian Maritime History since 1975 (1995) Maritime History at the Crossroads: A Critical Review of Recent Historiography, p. 33. , ed. Frank Broeze, (Liverpool: Liverpool University Press); Bliss, Michael, (2011) Writing History: A Professor’s Life, 173, p. 190. , (Toronto: Dundurn Press); Swierenga, Robert P., Computers and American History: The Impact of the “New” Generation (1974) The Journal of American History, 60 (4), p. 1057; Winchester, Ian, Review of Peel County History Project and the Saguenay Project (1980) Histoire sociale / Social History, 13 (25), pp. 195-205; Bonnett, John, Following in Rabelais’ Footsteps: Immersive History and the 3D Virtual Buildings Project (2003) Journal of the Association for History and Computing, 13 (2), pp. 107-150; Bonnett, John, New Technologies, New Formalisms for Historians: The 3D Virtual Buildings Project (2004) Literary and Linguistic Computing, 19 (3), pp. 273-287; Kee, Kevin, (2014) Pastplay: Teaching and Learning History with Technology, , ed., (Ann Arbor: University of Michigan Press); Campbell, Lara, Sethna, Christabelle, Thinking Outside the Disciplinary Box: Historians and Interdisciplinarity (2016) CHA Bulletin, 42 (1), p. 30</t>
  </si>
  <si>
    <t>University of Toronto Press</t>
  </si>
  <si>
    <t>00083755</t>
  </si>
  <si>
    <t>Can. Hist. Rev.</t>
  </si>
  <si>
    <t>2-s2.0-85099101515</t>
  </si>
  <si>
    <t>Clio and computers in canada and beyond: contested past, promising present, uncertain future</t>
  </si>
  <si>
    <t>Santillán Cooper M., Armentano M.G.</t>
  </si>
  <si>
    <t>57927695900;15219073800;</t>
  </si>
  <si>
    <t>Predicting future sedentary behaviour using wearable and mobile devices</t>
  </si>
  <si>
    <t>Information Processing and Management</t>
  </si>
  <si>
    <t>103104</t>
  </si>
  <si>
    <t>10.1016/j.ipm.2022.103104</t>
  </si>
  <si>
    <t>https://www.scopus.com/inward/record.uri?eid=2-s2.0-85139822957&amp;doi=10.1016%2fj.ipm.2022.103104&amp;partnerID=40&amp;md5=9bc61cfc26c10f5584d6f5501fb5fb73</t>
  </si>
  <si>
    <t>Facultad de Ciencias Exactas, UNICEN, Argentina; ISISTAN Research Institute (CONICET-UNICEN) Campus Universitario, Paraje Arroyo SecoTandil (7000), Argentina</t>
  </si>
  <si>
    <t>Santillán Cooper, M., Facultad de Ciencias Exactas, UNICEN, Argentina; Armentano, M.G., ISISTAN Research Institute (CONICET-UNICEN) Campus Universitario, Paraje Arroyo SecoTandil (7000), Argentina</t>
  </si>
  <si>
    <t>Sedentarism is a common problem that can affect human health and wellbeing. Predicting sedentary behaviour is an emerging area that can benefit from data collected from sensors available in ubiquitous devices, such as wearables and smartphones. In this paper, we present an approach aiming at predicting the sedentary behaviour of a user from data collected from sensors installed in wearable/mobile devices. We compare personal and impersonal models using a real-life dataset consisting of sensing data of 48 users during 10 weeks. We found that impersonal models using Deep Neural Networks were able to accurately predict the subject's future sedentary behaviour. © 2022 Elsevier Ltd</t>
  </si>
  <si>
    <t>Machine learning; Sedentary behaviour prediction; User modelling; Wearable and mobile devices</t>
  </si>
  <si>
    <t>Behavioral research; Deep neural networks; User profile; Wearable sensors; Behavior prediction; Human health; Human wellbeing; Machine-learning; Real life datasets; Sedentary behavior prediction; Sensing data; Smart phones; Ubiquitous devices; User Modelling; Forecasting</t>
  </si>
  <si>
    <t>Agnihotri, A., Batra, N., Exploring Bayesian optimization (2020) Distill, , https://distill.pub/2020/bayesian-optimization; Ainsworth, B.E., Haskell, W.L., Herrmann, S.D., Meckes, N., Bassett, D.R., Tudor-Locke, C., 2011 Compendium of physical activities: a second update of codes and MET values (2011) Medicine and Science in Sports and Exercise, 43 (8), pp. 1575-1581; Ajzen, I., The theory of planned behavior (1991) Organizational Behavior and Human Decision Processes, 50 (2), pp. 179-211. , Theories of Cognitive Self-Regulation; Atkin, A.J., Gorely, T., Clemes, S.A., Yates, T., Edwardson, C., Brage, S., Methods of measurement in epidemiology: Sedentary behaviour (2012) International Journal of Epidemiology, 41 (5), pp. 1460-1471; Bai, S., Kolter, J.Z., Koltun, V., An empirical evaluation of generic convolutional and recurrent networks for sequence modeling (2018); Benatti, F.B., Ried-Larsen, M., The effects of breaking up prolonged sitting time: A review of experimental studies (2015) Medicine and Science in Sports and Exercise, 47 (10), pp. 2053-2061; Carter, S., Hartman, Y., Holder, S., Thijssen, D.H., Hopkins, N.D., Sedentary behavior and cardiovascular disease risk: Mediating mechanisms (2017) Exercise and Sport Sciences Reviews, 45 (2), pp. 80-86; Chen, F., Wang, R., Zhou, X., Campbell, A.T., (2014), My smartphone knows i am hungry. In Proceedings of the 2014 workshop on physical analytics (pp. 9–14); Dutta, M.J., Kaur-Gill, S., Tan, N., Lam, C., mHealth, health, and mobility: a culture-centered interrogation (2018), pp. 91-107. , Springer Netherlands Dordrecht; Fahim, M., Baker, T., Khattak, A.M., Alfandi, O., (2017), Alert me: Enhancing active lifestyle via observing sedentary behavior using mobile sensing systems. In 2017 IEEE 19th international conference on e-health networking, applications and services (pp. 1–4); Falck, R.S., Davis, J.C., Liu-Ambrose, T., What is the association between sedentary behaviour and cognitive function? A systematic review (2017) British Journal of Sports Medicine, 51 (10), pp. 800-811; Felez-Nobrega, M., Hillman, C.H., Dowd, K.P., Cirera, E., Puig-Ribera, A., ActivPALTM Determined sedentary behaviour, physical activity and academic achievement in college students (2018) Journal of Sports Sciences, 36 (20), pp. 2311-2316; Gong, J., Huang, Y., Chow, P.I., Fua, K., Gerber, M.S., Teachman, B.A., Understanding behavioral dynamics of social anxiety among college students through smartphone sensors (2019) Information Fusion, 49, pp. 57-68; Goodfellow, I., Bengio, Y., Courville, A., Deep learning (2016), MIT Press; Grundgeiger, T., Pichen, J., Häfner, J., Wallmann-Sperlich, B., Löffler, D., Huber, S., (2017), Combating Sedentary Behavior. In Proceedings of the 2017 CHI conference extended abstracts on human factors in computing systems (pp. 1632—1639); Harari, G.M., Gosling, S.D., Wang, R., Chen, F., Chen, Z., Campbell, A.T., Patterns of behavior change in students over an academic term: A preliminary study of activity and sociability behaviors using smartphone sensing methods (2017) Computers and Human Behaviour, 67, pp. 129-138; He, Q., Agu, E., (2014), On11: an activity recommendation application to mitigate sedentary lifestyle. In Proceedings of the 2014 workshop on physical analytics (pp. 3–8); He, Q., Agu, E.O., (2016a). A frequency domain algorithm to identify recurrent sedentary behaviors from activity time-series data. In 2016 IEEE-EMBS international conference on biomedical and health informatics (pp. 45–48); He, Q., Agu, E.O., (2016b). Smartphone usage contexts and sensable patterns as predictors of future sedentary behaviors. In 2016 IEEE healthcare innovation point-of-care technologies conference (pp. 54–57); He, Q., Agu, E.O., (2016c). Towards sedentary lifestyle prevention: An autoregressive model for predicting sedentary behaviors. In 2016 10th International symposium on medical information and communication technology (pp. 1–5); He, Q., Agu, E.O., (2017), A Rhythm Analysis-Based Model to Predict Sedentary Behaviors. In 2017 IEEE/ACM international conference on connected health: applications, systems and engineering technologies (pp. 383–391); Kanjo, E., Younis, E.M., Ang, C.S., Deep learning analysis of mobile physiological, environmental and location sensor data for emotion detection (2019) Information Fusion, 49, pp. 46-56; Koster, A., Caserotti, P., Patel, K.V., Matthews, C.E., Berrigan, D., Van Domelen, D.R., Association of sedentary time with mortality independent of moderate to vigorous physical activity (2012) PLoS One, 7 (6); Lockhart, J.W., Weiss, G.M., (2014), The Benefits of Personalized Smartphone-Based Activity Recognition Models. In Proceedings of the 2014 SIAM international conference on data mining (pp. 614–622); Magnon, V., Vallet, G.T., Auxiette, C., Sedentary behavior at work and cognitive functioning: A systematic review (2018) Frontiers in Public Health, 6, p. 239; Paing, A.C., McMillan, K.A., Kirk, A.F., Collier, A., Hewitt, A., Chastin, S.F.M., The associations of sedentary time and breaks in sedentary time with 24-h glycaemic control in type 2 diabetes (2018) Preventive Medicine Reports, 12, pp. 94-100; Saeb, S., Lattie, E.G., Schueller, S.M., Kording, K.P., Mohr, D.C., The relationship between mobile phone location sensor data and depressive symptom severity (2016) PeerJ, 4; Saeb, S., Zhang, M., Karr, C.J., Schueller, S.M., Corden, M.E., Kording, K.P., Mobile phone sensor correlates of depressive symptom severity in daily-life behavior: An exploratory study (2015) Journal of Medical Internet Research, 17 (7); Schein, A.I., Popescul, A., Ungar, L.H., Pennock, D.M., (2002), Methods and metrics for cold-start recommendations. In Proceedings of the 25th annual international ACM SIGIR conference on research and development in information retrieval (pp. 253–260); Sedentary Behaviour Research Network, A.I., Letter to the editor: standardized use of the terms ”sedentary” and ”sedentary behaviours” (2012) Applied Physiology, Nutrition, and Metabolism=Physiologie Appliquee, Nutrition Et Metabolisme, 37 (3), pp. 540--542; Steinhubl, S.R., Muse, E.D., Topol, E.J., The emerging field of mobile health (2015) Science Translational Medicine, 7 (283), p. 283rv3; Vaswani, A., Shazeer, N., Parmar, N., Uszkoreit, J., Jones, L., Gomez, A.N., Attention is all you need (2017); Wang, R., Chen, F., Chen, Z., Li, T., Harari, G., Tignor, S., (2014), StudentLife: assessing mental health, academic performance and behavioral trends of college students using smartphones. In Proceedings of the 2014 ACM international joint conference on pervasive and ubiquitous computing (pp. 3—14); Wang, R., Chen, F., Chen, Z., Li, T., Harari, G., Tignor, S., StudentLife: Using smartphones to assess mental health and academic performance of college students (2017) Mobile health, pp. 7-33; Wilmot, E., Edwardson, C., Achana, F., Davies, M., Gorely, T., Gray, L., Sedentary time in adults and the association with diabetes, cardiovascular disease and death: systematic review and meta-analysis (2012) Diabetologia, 55 (11), pp. 2895-2905; Wu, C., Boukhechba, M., Cai, L., Barnes, L.E., Gerber, M.S., Improving momentary stress measurement and prediction with bluetooth encounter networks (2018) Smart Health; Yerrakalva, D., Yerrakalva, D., Hajna, S., Griffin, S., Effects of mobile health app interventions on sedentary time, physical activity, and fitness in older adults: Systematic review and meta-analysis (2019) Journal of Medical Internet Research, 21 (11); Zia, J., Tadayon, A., McDaniel, T., Panchanathan, S., (2016), Utilizing Neural Networks to Predict Freezing of Gait in Parkinson's Patients. In Proceedings of the 18th international ACM SIGACCESS conference on computers and accessibility (pp. 333–334)</t>
  </si>
  <si>
    <t>03064573</t>
  </si>
  <si>
    <t>IPMAD</t>
  </si>
  <si>
    <t>Inf. Process. Manage.</t>
  </si>
  <si>
    <t>2-s2.0-85139822957</t>
  </si>
  <si>
    <t>Lillywhite B., Wolbring G.</t>
  </si>
  <si>
    <t>57947636000;6602076751;</t>
  </si>
  <si>
    <t>Auditing the impact of artificial intelligence on the ability to have a good life: using well-being measures as a tool to investigate the views of undergraduate STEM students</t>
  </si>
  <si>
    <t>10.1007/s00146-022-01618-5</t>
  </si>
  <si>
    <t>https://www.scopus.com/inward/record.uri?eid=2-s2.0-85145500309&amp;doi=10.1007%2fs00146-022-01618-5&amp;partnerID=40&amp;md5=525efc2be3c34961ddf69665452d91ca</t>
  </si>
  <si>
    <t>Department of Chemical and Petroleum Engineering, Schulich School of Engineering, University of Calgary, Calgary, AB, Canada; Department of Community Health Sciences, Community Rehabilitation and Disability Studies, Cumming School of Medicine, University of Calgary, 3330 Hospital Drive NW, Calgary, AB  T2N 4N1, Canada</t>
  </si>
  <si>
    <t>Lillywhite, B., Department of Chemical and Petroleum Engineering, Schulich School of Engineering, University of Calgary, Calgary, AB, Canada; Wolbring, G., Department of Community Health Sciences, Community Rehabilitation and Disability Studies, Cumming School of Medicine, University of Calgary, 3330 Hospital Drive NW, Calgary, AB  T2N 4N1, Canada</t>
  </si>
  <si>
    <t>AI/ML increasingly impacts the ability of humans to have a good life. Various sets of indicators exist to measure well-being/the ability to have a good life. Students play an important role in AI/ML discussions. The purpose of our study using an online survey was to learn about the perspectives of undergraduate STEM students on the impact of AI/ML on well-being/the ability to have a good life. Our study revealed that many of the abilities participants perceive to be needed for having a good life were part of the well-being/ability to have a good life indicator lists we gave to participants. Participants perceived AI/ML to have and continue to have the most positive impact on the ability to have a good life for disabled people, elderly people, and individuals with a high income and the least positive impact for people of low income and countries from the global south. Regarding indicators of well-being and the ability to have a good life given to participants, we found a significant techno-positive sentiment. 30% of respondents selected the purely positive box for 28 of the indicators and none did so for the purely negative box. For 52 indicators, the purely negative was below 10% (not counting the 0%) and for 10 indicators, none selected purely negative. Our findings suggest that our questions might be valuable tools to develop an inventory of STEM and other students’ perspectives on the implications of AI/ML on the ability to have a good life. © 2023, The Author(s), under exclusive licence to Springer-Verlag London Ltd., part of Springer Nature.</t>
  </si>
  <si>
    <t>Ability; Artificial intelligence; Good life; Machine learning; STEM; Undergraduate students</t>
  </si>
  <si>
    <t>Students; Ability; Disabled people; Good life; Learn+; Life indicators; Machine-learning; Online surveys; STEM; Undergraduate students; Well being; Machine learning</t>
  </si>
  <si>
    <t>Abeles, T.P., Send in the robots (2016) On the Horizon, 24 (2), pp. 141-144; Allen, B., Dreyer, K., The role of the ACR data science institute in advancing health equity in radiology (2019) J Am Coll Radiol, 16 (4), pp. 644-648; Aluaş, M., Bolboacă, S.D., Is the biggest problem of health-related artificial intelligence an ethical one? (2019) Appl Med Inf, 41, p. 3; Beckman, L., (2018) The liberal state and the politics of virtue, , (,),., https://doi.org/10.4324/9781351325448; Bennett, D., Knight, E., Bawa, S., Dockery, A.M., Understanding the career decision making of university students enrolled in STEM disciplines (2021) Aust J Career Dev, 30 (2), pp. 95-105; Borjas, G.J., Freeman, R.B., From immigrants to robots: the changing locus of substitutes for workers (2019) RSF, 5 (5), pp. 22-42; Børsen, T., Serreau, Y., Reifschneider, K., Baier, A., Pinkelman, R., Smetanina, T., Zandvoort, H., Initiatives, experiences and best practices for teaching social and ecological responsibility in ethics education for science and engineering students (2021) EJEE, 46 (2), pp. 186-209; Braun, V., Clarke, V., (2013) Successful qualitative research: a practical guide for beginners, , Sage; Brusdal, R., Frønes, I., Well-being and children in a consumer society (2014) Handbook of Child Well-Being: Theories, Methods and Policies in Global Perspective, Pp, pp. 1427-1443. , https://doi.org/10.1007/978-90-481-9063-8_58; Buhmann, A., Fieseler, C., Towards a deliberative framework for responsible innovation in artificial intelligence (2021) Technol Soc, 64; . Bureau of Labor Statistics, United States Department of Labor (2020) The Employment situation—, , https://www.bls.gov/news.release/pdf/empsit.pdf, Accessed 26 Dec 2021; Burks, G., Clancy, K.B., Hunter, C.D., Amos, J.R., Impact of ethics and social awareness curriculum on the engineering identity formation of high school girls (2019) Educ Sci, 9 (4), p. 250; (2019) Canadian Index of Wellbeing Organization, , https://uwaterloo.ca/canadian-index-wellbeing/what-wellbeing, Accessed 26 Dec 2021; Canadian Institute for Advanced Research (2018) AI &amp; Society, , https://www.cifar.ca/ai/ai-society, Accessed 26 Dec 2021; Canney, N.E., Bielefeldt, A.R., Differences in engineering students’ views of social responsibility between disciplines (2015) J Profession Issues Eng Educ Pract; Chiu, T.K., Meng, H., Chai, C.-S., King, I., Wong, S., Yam, Y., (2021) Creation and Evaluation of a Pretertiary Artificial Intelligence (AI) Curriculum., , https://arxiv.org/abs/2101.07570, Accessed 26 Dec 2021; Clarke, V., Braun, V., Thematic analysis (2014) Encyclopedia of critical psychology, pp. 1947-1952. , Teo T, (ed), Springer; Coeckelbergh, M., Artificial Intelligence: Some ethical issues and regulatory challenges (2019) Technology and Regulation, pp. 31-34. , https://doi.org/10.26116/techreg.2019.003, 2019; Collett, C., Dillon, S., AI and gender: Four proposals for future research (2019) The Leverhulme Centre for the Future of Intelligence, University of Cambridge., , http://lcfi.ac.uk/media/uploads/files/AI_and_Gender___4_Proposals_for_Future_Research_210619_p8qAu8L.pdf, Accessed 26 Dec 2021; Colombo, M., Caring, the emotions, and social norm compliance (2014) J Neurosci Psychol Econ, 7 (1), pp. 33-47; Cormier, D., Jandrić, P., Childs, M., Hall, R., White, D., Phipps, L., Truelove, I., Fawns, T., Ten years of the postdigital in the 52group: reflections and developments 2009–2019 (2019) Postdigital Science and Education, 1, pp. 475-506; Crow, S.M., Payne, D., Affirmative action for a face only a mother could love? (1992) J Bus Ethics, 11 (11), pp. 869-875; Diep, L., Wolbring, G., Who needs to fit in? Who Gets to stand out? Communication Technologies Including Brain-Machine Interfaces Revealed from the Perspectives of Special Education School Teachers Through an Ableism Lens (2013) Edu Sci, 3 (1), pp. 30-49; Diep, L., Wolbring, G., Perceptions of Brain-Machine Interface Technology among Mothers of Disabled Children (2015) Disabil Stud Q, , (,),.,., https://doi.org/10.18061/.v35i4.3856; Elgin, S.C., Hays, S., Mingo, V., Shaffer, C.D., Williams, J., (2021) Building Back More Equitable STEM Education: Teach Science by Engaging Students in Doing Science., , bioRxiv. Accessed 26 December 2021; Statement on Artificial Intelligence, Robotics and ‘Autonomous’ Systems (2018) European Commission., , https://ec.europa.eu/research/ege/pdf/ege_ai_statement_2018.pdfCommission, Accessed 26 Dec 2021; Floridi, L., Cowls, J., Beltrametti, M., Chatila, R., Chazerand, P., Dignum, V., Luetge, C., Vayena, E., An Ethical Framework for a Good AI Society: Opportunities, Risks, Principles, and Recommendations (2018) Mind Masch; Fortune, N., Badland, H., Clifton, S., Emerson, E., Rachele, J., Stancliffe, R.J., Zhou, Q., Llewellyn, G., The Disability and Wellbeing Monitoring Framework: data, data gaps, and policy implications (2020) Aust N Z J Public Health, 44 (3), pp. 227-232; Fratczak, P., Goh, Y.M., Kinnell, P., Soltoggio, A., Justham, L., Understanding human behaviour in industrial human-robot interaction by means of virtual reality (2019) ACM International Conference Proceeding Series., pp. 1-7. , https://doi.org/10.1145/3363384.3363403, November 2019; Furey, H., Martin, F., AI education matters: a modular approach to AI ethics education (2019) AI Matters, 4 (4), pp. 13-15; Garcia, P., Scott, K., (2016) Traversing a Political Pipeline: An Intersectional and Social Constructionist Approach Toward Technology Education for Girls of Color., , stelar.edc.org.http://stelar.edc.org/sites/stelar.edc.org/files/Garcia%20%26%20Scott%202016.pdf, Accessed 26 Dec 2021; Garibay, J.C., STEM students’ social agency and views on working for social change: Are STEM disciplines developing socially and civically responsible students? (2015) JRScT, 52 (5), pp. 610-632; Garrett, N., Beard, N., Fiesler, C., More than "If Time Allows" the role of ethics in AI education (2020) Proceedings of the AAAI/ACM Conference on AI, Ethics, and Society, pp. 272-278. , https://doi.org/10.1145/3375627.3375868; Gehl, L., Ross, H., Disenfranchised spirit: A theory and a model (2013) Pimatisiwin, 11 (1), pp. 31-42. , https://ezproxy.lib.ucalgary.ca/login?url=https://search.ebscohost.com/login.aspx?direct=true&amp;db=fph&amp;AN=91533986&amp;site=ehost-live; Gherheș, V., Obrad, C., Technical and humanities students’ perspectives on the development and sustainability of artificial intelligence (AI) (2018) Sustainability, 10 (9), p. 3066; Greenbie, B.B., Reports and comments (1969) Land Econ, 45 (3), p. 359; Guba, E.G., Criteria for assessing the trustworthiness of naturalistic inquiries (1981) Educ Tech Res Dev, 29 (2), pp. 75-91; Hager, G.D., Drobnis, A., Fang, F., Ghani, R., Greenwald, A., Lyons, T., Parkes, D.C., Smith, S.F., (2019) Artificial Intelligence for Social Good. Arxiv.Org., , https://arxiv.org/ftp/arxiv/papers/1901/1901.05406.pdf, Accessed 26 Dec 2021; Hansen, K.B., Exploring compatibility between “Subjective Well-Being” and “Sustainable Living” in Scandinavia (2015) Soc Indic Res, 122 (1), pp. 175-187; Heintz, F., Three Interviews About K-12 AI Education in America, Europe and Singapore (2021) KI - Künstliche Intelligenz: Vol, 35 (2), pp. 233-237. , https://doi.org/10.1007/s13218-021-00730-w, Springer; Holmström, I.K., Kaminsky, E., Höglund, A.T., Carlsson, M., Nursing students' awareness of inequity in healthcare—an intersectional perspective (2017) Nurse Educ Today, 48, pp. 134-139; Hsieh, H.-F., Shannon, S.E., Three approaches to qualitative content analysis (2005) Qual Health Res, 15 (9), pp. 1277-1288; (2017) Joint Statement by the Disability Sector: Disability Data Disaggregation. International Disability Alliance (IDA)., , https://www.internationaldisabilityalliance.org/data-joint-statement-march2017, Accessed 26 Dec 2021; Jeffrey, T., Understanding College Student Perceptions of Artificial Intelligence (2020) International Institute of Informatics and Cybernetics., , http://www.iiisci.org/journal/PDV/sci/pdfs/HB785NN20.pdf, Accessed 26 Dec 2021; Johnson, K., The UN convention on the rights of persons with disabilities: a framework for ethical and inclusive practice? (2013) Ethics Soc Welf, 7 (3), pp. 218-231; Josa, I., Aguado, A., Social sciences and humanities in the education of civil engineers: Current status and proposal of guidelines (2021) J Clean Prod, 311, p. 127489; Kakoullis, E., Johnson, K., Conclusion recognising human rights in different cultural contexts (2020) Recognising Human Rights in Different Cultural Contexts, pp. 377-385. , https://doi.org/10.1007/978-981-15-0786-1_17, KE, JK, Palgrave Macmillan; Kelley, T.R., Knowles, J.G., A conceptual framework for integrated STEM education (2016) Int J STEM Educ, 3 (1), pp. 1-11; Khosla, R., Chu, M.T., Embodying care in matilda: An affective communication robot for emotional wellbeing of older people in Australian residential care facilities (2013) ACM Trans Manag Inf Syst, 4 (4), p. 18; Korkmaz, Ö., Çakir, R., Erdoğmuş, F.U., Secondary school students’ basic STEM skill levels according to their self-perceptions: a scale adaptation (2021) Particip Educ Res, 8 (1), pp. 423-437; Kutsar, D., Soo, K., Strózik, T., Strózik, D., Grigoraș, B., Bălțătescu, S., Does the realisation of children’s rights determine good life in 8-year-olds’ perspectives? A comparison of Eight European Countries (2019) Child Indic Res, 12 (1), pp. 161-183; Lillywhite, A., Wolbring, G., Coverage of ethics within the artificial intelligence and machine learning academic literature: The case of disabled people (2019) Assist Technol, , Latest Articles 1-7; Lillywhite, A., Wolbring, G., Coverage of artificial intelligence and machine learning within academic literature, canadian newspapers, and twitter tweets: the case of disabled people (2020) Societies, 10 (1), pp. 1-27; Long, D., Magerko, B., What is AI literacy? Competencies and design considerations (2020) Proceedings of the 2020 CHI Conference on Human Factors in Computing Systems, pp. 1-16. , https://doi.org/10.1145/3313831.3376727; Malti, T., Peplak, J., Zhang, L., The development of respect in children and adolescents (2020) Monogr Soc Res Child Dev, 85 (3), pp. 7-99; (2018) The frontiers of machine learning: 2017 raymond and beverly sackler US-UK Scientific Forum, 16. , National Academies of Sciences Engineering, Medicine; Neuwelt-Kearns, C., Nicholls, A., Deane, K.L., Robinson, H., Lowe, D., Pope, R., Goddard, T., Bartley, A., The realities and aspirations of people experiencing food insecurity in Tāmaki Makaurau (2021) Kotuitui; Nierling, L., João-Maia, M., Hennen, L., Bratan, T., Kuuk, P., Cas, J., Capari, L., Wolbring, G., Assistive technologies for people with disabilities Part III: Perspectives on assistive technologies (2018) European Parliament., , http://www.europarl.europa.eu/RegData/etudes/IDAN/2018/603218/EPRS_IDA(2018)603218(ANN3)_EN.pdf, Accessed 26 Dec 2021; (2020) OECD Better Life Index, , http://www.oecdbetterlifeindex.org/#/11111111111, Accessed 26 Dec 2021; Pham, Q., Gamble, A., Hearn, J., Cafazzo, J.A., The need for ethnoracial equity in artificial intelligence for diabetes management: review and recommendations [Review] (2021) J Med Internet Res, 23 (2); Press, F., Science and Technology in the 1980s (1982) Trans R Soc Canada Ottawa, 20, pp. 105-116; Raji, I.D., Scheuerman, M.K., Amironesei, R., You can't sit with us: Exclusionary pedagogy in AI ethics education (2021) Proceedings of the 2021 ACM Conference on Fairness Accountability and Transparency, pp. 515-525; Ramirez Velazquez, M., Not Just Teaching How: Supporting a Culture Shift in STEM Education (2021) Bryn Mawr College., , https://scholarship.tricolib.brynmawr.edu/handle/10066/23046, Accessed 26 Dec 2021; Raphael, D., Bryant, T., Mikkonen, J., Raphael, A., The Canadian Facts (2020) Social Determinants of Health, , https://thecanadianfacts.org/, Accessed 26 Dec 2021; Reddy, R., Robotics and intelligent systems in support of society [Review] (2006) IEEE Intell Syst, 21 (3), pp. 24-31. , Article 1637347; (2018) Amazon Scraps Secret AI Recruiting Tool that Showed Bias against Women. Reuters, , https://www.reuters.com/article/us-amazon-com-jobs-automation-insight/amazon-scraps-secret-ai-recruiting-tool-that-showed-bias-against-women-idUSKCN1MK08G, Accessed 26 Dec 2021; Rodriguez-Nikl, T., Technology uncertainty and the good life: A stoic perspective (2021) Engineering and Philosophy., 37. , https://doi.org/10.1007/978-3-030-70099-7_11, Pirtle Z, Tomblin D, Madhavan G, Philosophy of Engineering and Technology, Springer, Cham; Sandelowski, M., Combining qualitative and quantitative sampling, data collection, and analysis techniques in mixed-method studies (2000) Res Nurs Health, 23 (3), pp. 246-255; Schiff, D.S., Logevall, E., Borenstein, J., Newstetter, W., Potts, C., Zegura, E., Linking personal and professional social responsibility development to microethics and macroethics: observations from early undergraduate education (2021) J Eng Educ, 110 (1), pp. 70-91; Steckermeier, L.C., Delhey, J., Better for everyone? Egalitarian culture and social wellbeing in Europe (2019) Soc Indic Res, 143 (3), pp. 1075-1108; Steinbauer, G., Kandlhofer, M., Chklovski, T., Heintz, F., Koenig, S., A differentiated discussion about AI education K-12 (2021) KI-Künstliche Intell, 35, pp. 1-7; Strachan, G., Still working for the man? Women's employment experiences in Australia since 1950 (2010) Aust J Soc Issues, 45 (1), pp. 117-130; Straw, I., The automation of bias in medical Artificial Intelligence (AI): Decoding the past to create a better future (2020) Artif Intell Med, 110, p. 101965; Tat, E., Bhatt, D.L., Rabbat, M.G., Addressing bias: artificial intelligence in cardiovascular medicine [Note] (2020) Lancet Digit Health, 2 (12), pp. e635-e636; (2019) The IEEE Global Initiative on Ethics of Autonomous and Intelligent Systems, , .https://standards.ieee.org/content/dam/ieee-standards/standards/web/documents/other/ead1e.pdf?utm_medium=undefined&amp;utm_source=undefined&amp;utm_campaign=undefined&amp;utm_content=undefined&amp;utm_term=undefined, Accessed 26 Dec 2021; Tomblin, D., Mogul, N., STS Postures: responsible innovation and research in undergraduate STEM education (2020) J Responsib Innov, 7 (sup1), pp. 117-127; Touretzky, D., Gardner-McCune, C., Breazeal, C., Martin, F., Seehorn, D., A year in K-12 AI education (2019) AI Mag, 40 (4), pp. 88-90; Ullrich, D., Diefenbach, S., Butz, A., Murphy Miserable robot—a companion to support children's wellbeing in emotionally difficult situations (2016) Conference on Human Factors in Computing Systems—Proceedings; Vallor, S., (2016) Introduction: Envisioning the Good Life in the 21St Century and Beyond, , https://scholarcommons.scu.edu/cgi/viewcontent.cgi?article=1060&amp;context=phi, Santa Clara University, Accessed 26 Dec 2021; Vesnic-Alujevic, L., Nascimento, S., Polvora, A., Societal and ethical impacts of artificial intelligence: critical notes on European policy frameworks (2020) Telecommun Pol, 44 (6), p. 101961; Vigdor, L., A techno-passion that is not one: Rethinking marginality, exclusion, and difference (2011) Int J Gend Sci Technol, 3 (1), pp. 4-37; Walsh, T., Australia's AI future (2019) RSNSW, 152, pp. 101-104; (2020) Disability Measurement and Monitoring using the Washington Group Disability Questions., , https://www.washingtongroup-disability.com/fileadmin/uploads/wg/Documents/WG_Resource:Document__4_-_Monitoring_Using_the_WG_Questions.pdf, Washington Group on Disability Statistics,. Accessed 26 Dec 2021; Weissglass, D.E., Contextual bias, the democratization of healthcare, and medical artificial intelligence in low- and middle-income countries (2021) Bioethics; West, D.M., (2018) The future of work: Robots, AI, and automation., , https://www.scopus.com/inward/record.uri?eid=2-s2.0-85055018914&amp;partnerID=40&amp;md5=86237b8da3f84fe6de1db9c2905619b2; Whittlestone, J., Nyrup, R., Alexandrova, A., Dihal, K., Cave, S., Ethical and societal implications of algorithms, data, and artificial intelligence: a roadmap for research (2019) Nuffield Foundation., , https://www.nuffieldfoundation.org/sites/default/files/files/Ethical-and-Societal-Implications-of-Data-and-AI-report-Nuffield-Foundat.pdf, Accessed 26 Dec 2021; Wolbring, G., Ability expectation and Ableism glossary (2020) Wordpress, , https://wolbring.wordpress.com/ability-expectationableism-glossary/, Accessed 26 Dec 2021; Wolbring, G., Auditing the impact of neuro-advancements on health equity (2021) J Neurol Res; Wolbring, G., Diep, L., Cognitive/neuroenhancement through an ability studies lens (2016) Cognitive enhancement, pp. 57-75. , Jotterand F, Dubljevic V, (eds), Oxford University Press; Wolbring, G., Ghai, A., Interrogating the impact of scientific and technological development on disabled children in India and beyond (2015) Disabil Glob South, 2 (2), pp. 667-685; Wolbring, G., Lillywhite, A., Equity/equality, diversity, and inclusion (EDI) in universities: the case of disabled people (2021) Societies, 11 (2), p. 49; (2011) World Health Organization, , http://www.who.int/disabilities/cbr/matrix/en/, Accessed 26 Dec 2021; (2020) World Health Organization, , https://www.who.int/social_determinants/en/, Accessed 26 Dec 2021; Xu, X., Zhao, Y., Xia, S., Cui, P., Tang, W., Hu, X., Wu, B., Quality of life and its influencing factors among centenarians in Nanjing, China: a cross-sectional study (2020) Soc Indic Res; Yumakulov, S., Yergens, D., Wolbring, G., Imagery of disabled people within social robotics research (2012) Social robotics, 7621, pp. 168-177. , Ge S, Khatib O, Cabibihan J-J, Simmons R, Williams M-A, (eds), Springer; Yuste, R., Goering, S., Bi, G., Carmena, J.M., Carter, A., Fins, J.J., Friesen, P., Illes, J., Four ethical priorities for neurotechnologies and AI (2017) Nat News, 551 (7679), p. 159</t>
  </si>
  <si>
    <t>2-s2.0-85145500309</t>
  </si>
  <si>
    <t>Auditing the impact of artificial intelligence on the ability to have a good life: using well-being measures as a tool to investigate the views of undergraduate stem students</t>
  </si>
  <si>
    <t>Leone A., Rescio G., Caroppo A., Siciliano P., Manni A.</t>
  </si>
  <si>
    <t>7102613483;26768330400;15845020000;7004477925;17346389100;</t>
  </si>
  <si>
    <t>Human Postures Recognition by Accelerometer Sensor and ML Architecture Integrated in Embedded Platforms: Benchmarking and Performance Evaluation</t>
  </si>
  <si>
    <t>1039</t>
  </si>
  <si>
    <t>10.3390/s23021039</t>
  </si>
  <si>
    <t>https://www.scopus.com/inward/record.uri?eid=2-s2.0-85146610402&amp;doi=10.3390%2fs23021039&amp;partnerID=40&amp;md5=81d0512d779afc2d55942105a9a5ecf1</t>
  </si>
  <si>
    <t>National Research Council of Italy, Institute for Microelectronics and Microsystems, Lecce, 73100, Italy</t>
  </si>
  <si>
    <t>Leone, A., National Research Council of Italy, Institute for Microelectronics and Microsystems, Lecce, 73100, Italy; Rescio, G., National Research Council of Italy, Institute for Microelectronics and Microsystems, Lecce, 73100, Italy; Caroppo, A., National Research Council of Italy, Institute for Microelectronics and Microsystems, Lecce, 73100, Italy; Siciliano, P., National Research Council of Italy, Institute for Microelectronics and Microsystems, Lecce, 73100, Italy; Manni, A., National Research Council of Italy, Institute for Microelectronics and Microsystems, Lecce, 73100, Italy</t>
  </si>
  <si>
    <t>Embedded hardware systems, such as wearable devices, are widely used for health status monitoring of ageing people to improve their well-being. In this context, it becomes increasingly important to develop portable, easy-to-use, compact, and energy-efficient hardware-software platforms, to enhance the level of usability and promote their deployment. With this purpose an automatic tri-axial accelerometer-based system for postural recognition has been developed, useful in detecting potential inappropriate behavioral habits for the elderly. Systems in the literature and on the market for this type of analysis mostly use personal computers with high computing resources, which are not easily portable and have high power consumption. To overcome these limitations, a real-time posture recognition Machine Learning algorithm was developed and optimized that could perform highly on platforms with low computational capacity and power consumption. The software was integrated and tested on two low-cost embedded platform (Raspberry Pi 4 and Odroid N2+). The experimentation stage was performed on various Machine Learning pre-trained classifiers using data of seven elderly users. The preliminary results showed an activity classification accuracy of about 98% for the four analyzed postures (Standing, Sitting, Bending, and Lying down), with similar accuracy and a computational load as the state-of-the-art classifiers running on personal computers. © 2023 by the authors.</t>
  </si>
  <si>
    <t>ageing adults; embedded platform; machine learning; posture classification; wearable sensor</t>
  </si>
  <si>
    <t>Accelerometers; Benchmarking; Computer hardware; Electric power utilization; Embedded systems; Energy efficiency; Green computing; Learning algorithms; Personal computers; Software testing; Wearable sensors; Accelerometer sensor; Aging adults; Embedded hardware; Embedded platforms; Hardware system; Human posture recognition; Machine-learning; Performances evaluation; Posture classification; Wearable devices; Machine learning; accelerometry; aged; algorithm; benchmarking; body position; electronic device; human; software; Accelerometry; Aged; Algorithms; Benchmarking; Humans; Posture; Software; Wearable Electronic Devices</t>
  </si>
  <si>
    <t>https://ec.europa.eu/eurostat/statistics-explained/index.php?title=Population_structure_and_ageing#The_share_of_elderly_people_continues_to_increase/, Available online; Arakawa, T., Dao, D.V., Mitsubayashi, K., Biosensors and Chemical Sensors for Healthcare Monitoring: A Review (2022) IEEJ Trans. Electr. Electron. Eng, 17, pp. 626-636; De Pascali, C., Francioso, L., Giampetruzzi, L., Rescio, G., Signore, M.A., Leone, A., Siciliano, P., Modeling, Fabrication and Integration of Wearable Smart Sensors in a Monitoring Platform for Diabetic Patients (2021) Sensors, 21. , 33800949; Saleem, K., Bajwa, I.S., Sarwar, N., Anwar, W., Ashraf, A., IoT healthcare: Design of smart and cost-effective sleep quality monitoring system (2020) J. Sensors, 2020, p. 8882378; Ivanenko, Y., Gurfinkel, V.S., Human postural control (2018) Front. Neurosci, 12, p. 171. , 29615859; Reinecke, S., Weisman, G., Pope, M.H., Effects of Body Position and Centre of Gravity on Tolerance of Seated Postures (2020) Hard Facts about Soft Machines, pp. 165-171. , CRC Press, Boca Raton, FL, USA; Iazzi, A., Rziza, M., Thami, R.O.H., Fall Detection based on Posture Analysis and Support Vector Machine Proceedings of the 4th IEEE International Conference on Advanced Technologies for Signal and Image Processing (ATSIP), pp. 1-6. , Sousse, Tunisia, 21–24 March 2018; Liu, J., Chen, X., Chen, S., Liu, X., Wang, Y., Chen, L., Tagsheet: Sleeping posture recognition with an unobtrusive passive tag matrix Proceedings of the IEEE International Conference on Computer Communications, pp. 874-882. , Paris, France, 29 April–2 May 2019; Mallare, J.C.T.M., Pineda, D.F.G., Trinidad, G.M., Serafica, R.D., Villanueva, J.B.K., Dela Cruz, A.R., Vicerra, R.R.P., Roxas, E.A., Sitting posture assessment using computer vision Proceedings of the 2017 IEEE 9th International Conference on Humanoid, Nanotechnology, Information Technology, Communication and Control, Environment and Management (HNICEM), pp. 1-5. , Manila, Philiines, 1–3 December 2017; Wang, H.Y., Zhao, M.M., Beurier, G., Wang, X.G., Automobile driver posture monitoring systems: A review (2019) China J. Highw. Transp, 2, pp. 1-18; Pellegrini, S., Iocchi, L., Human posture tracking and classification through stereo vision and 3d model matching (2007) EURASIP J. Image Video Process, 2008, pp. 1-12; Rougier, C., Meunier, J., St-Arnaud, A., Rousseau, J., 3D head tracking for fall detection using a single calibrated camera (2013) Image Vis. Comput, 31, pp. 246-254; Fan, K., Wang, P., Hu, Y., Dou, B., Fall detection via human posture representation and support vector machine (2017) Int. J. Distrib. Sens. Netw, 13. , 1550147717707418; Iazzi, A., Rziza, M., Oulad Haj Thami, R., Fall Detection System-Based Posture-Recognition for Indoor Environments (2021) J. Imaging, 7; Rosero-Montalvo, P., Jaramillo, D., Flores, S., Peluffo, D., Alvear, V., Lopez, M., Human sit down position detection using data classification and dimensionality reduction (2017) Adv. Sci, 2, pp. 749-754; Gupta, R., Gupta, S.H., Agarwal, A., Choudhary, P., Bansal, N., Sen, S., A Wearable Multisensor Posture Detection System Proceedings of the 2020 4th International Conference on Intelligent Computing and Control Systems (ICICCS), pp. 818-822. , Madurai, India, 13–15 May 2020; Lim, C., Basah, S.N., Ali, M.A., Fook, C.Y., Wearable Posture Identification System for Good Siting Position (2018) J. Telecommun. Electron. Comput. Eng, 10, pp. 135-140; Gupta, J., Gupta, N., Kumar, M., Duggal, R., Rodrigues, J.J., Collection and Classification of Human Posture Data using Wearable Sensors Proceedings of the 2021 IEEE Global Communications Conference (GLOBECOM), pp. 1-6. , Madrid, Spain, 7–11 December 2021; Gao, L., Zhang, G., Yu, B., Qiao, Z., Wang, J., Wearable human motion posture capture and medical health monitoring based on wireless sensor networks (2020) Measurement, 166, p. 108252; Fridriksdottir, E., Bonomi, A.G., Accelerometer-Based Human Activity Recognition for Patient Monitoring Using a Deep Neural Network (2020) Sensors, 20; Kale, H., Mandke, P., Mahajan, H., Deshpande, V., Human posture recognition using artificial neural networks Proceedings of the 2018 IEEE 8th International Advance Computing Conference (IACC), pp. 272-278. , Greater Noida, India, 14–15 December 2018; Ran, X., Wang, C., Xiao, Y., Gao, X., Zhu, Z., Chen, B., A portable sitting posture monitoring system based on a pressure sensor array and machine learning (2021) Sensors Actuators A Phys, 331, p. 112900; Gjoreski, H., Lustrek, M., Gams, M., Accelerometer placement for posture recognition and fall detection Proceedings of the 2011 Seventh International Conference on Intelligent Environments, pp. 47-54. , Nottingham, UK, 25–28 July 2011; https://shimmersensing.com/, Available online; Aiello, G., Certa, A., Abusohyon, I., Longo, F., Padovano, A., Machine Learning Approach towards Real Time Assessment of Hand-Arm Vibration Risk Proceedings of the 17th IFAC Symposium on Information Control Problems in Manufacturing INCOM 2021, pp. 1187-1192. , Budapest, Hungary, 7–9 June 2021; Yan, S., Zhang, Y., Qiu, S., Liu, L., Research on the Efficiency of Working Status Based on Wearable Devices in Different Light Environments (2022) Micromachines, 13; Sinha, V.K.K., Patro, K.K.K., Pławiak, P., Prakash, A.J.J., Smartphone-Based Human Sitting Behaviors Recognition Using Inertial Sensor (2021) Sensors, 21; Donisi, L., Cesarelli, G., Pisani, N., Ponsiglione, A.M., Ricciardi, C., Capodaglio, E., Wearable Sensors and Artificial Intelligence for Physical Ergonomics: A Systematic Review of Literature (2022) Diagnostics, 12; Rescio, G., Leone, A., Siciliano, P., Support Vector Machine for tri-axial accelerometer-based fall detector Proceedings of the 5th IEEE International Workshop on Advances in Sensors and Interfaces (IWASI), pp. 25-30. , Bari, Italy, 13–14 June 2013; Muthukrishnan, R., Rohini, R., LASSO: A feature selection technique in predictive modeling for machine learning Proceedings of the 2016 IEEE international conference on advances in computer applications (ICACA), pp. 18-20. , Tamilnadu, India, 24–24 October 2016; Breiman, L., Random Forests (2000) Mach. Learn, 45, pp. 5-32; Wu, X., Kumar, V., Quinlan, J.R., Ghosh, J., Yang, Q., Motoda, H., McLachlan, G.J., Yu, P.S., Top 10 algorithms in data mining (2008) Knowl. Inf. Syst, 14, pp. 1-37; Aha, D.W., Kibler, D., Albert, M.K., Instance-based learning algorithms (1991) Mach. Learn, 6, pp. 37-66; Zhang, S., Efficient kNN classification with different numbers of nearest neighbors (2018) IEEE Trans. Neural. Netw. Learn. Syst, 5, pp. 1774-1785. , 28422666; Bhat, P.C., Prosper, H.B., Sekmen, S., Stewart, C., Optimizing event selection with the random grid search (2018) Comput. Phys. Commun, 228, pp. 245-257; https://www.raspberrypi.com/products/raspberry-pi-4-model-b/specifications/, Available online; https://www.odroid.co.uk/index.php?route=product/product&amp;path=246_239&amp;product_id=868, Available online; https://www.lenovo.com/it/it/desktops-and-all-in-ones/thinkcentre/m-series-sff/ThinkCentre-M70s-Gen-3-Intel/p/LEN102C0010, Available online; https://github.com/seemoo-lab/pyshimmer, Available online; Hastie, T., Tibshirani, R., Friedman, J., (2009) The Elements of Statistical Learning: Data Mining, Inference, and Prediction, , Springer Science &amp; Business Media, Berlin/Heidelberg, Germany; https://www.manualslib.com/products/Ruideng-Um25c-10243666.html, Available online; https://play.google.com/store/apps/details?id=com.ruidenggoogle.bluetooth&amp;hl=en_US&amp;gl=US, Available online; https://apps.apple.com/us/app/um-meter/id1439150213, Available online; https://up-shop.org/up-board-series.html, Available online</t>
  </si>
  <si>
    <t>2-s2.0-85146610402</t>
  </si>
  <si>
    <t>Human postures recognition by accelerometer sensor and ml architecture integrated in embedded platforms: benchmarking and performance evaluation</t>
  </si>
  <si>
    <t>Rezapour M., Elmshaeuser S.K.</t>
  </si>
  <si>
    <t>57212503739;57462223200;</t>
  </si>
  <si>
    <t>Artificial intelligence-based analytics for impacts of COVID-19 and online learning on college students’ mental health</t>
  </si>
  <si>
    <t>11 November</t>
  </si>
  <si>
    <t>e0276767</t>
  </si>
  <si>
    <t>10.1371/journal.pone.0276767</t>
  </si>
  <si>
    <t>https://www.scopus.com/inward/record.uri?eid=2-s2.0-85142144785&amp;doi=10.1371%2fjournal.pone.0276767&amp;partnerID=40&amp;md5=a2c0f5fb807fdca1ef60cab8496cfa61</t>
  </si>
  <si>
    <t>Department of Mathematics, Wake Forest University, Winston-Salem, NC, United States; Biomedical Informatics, Wake Forest University, School of Medicine, Winston-Salem, NC, United States</t>
  </si>
  <si>
    <t>Rezapour, M., Department of Mathematics, Wake Forest University, Winston-Salem, NC, United States, Biomedical Informatics, Wake Forest University, School of Medicine, Winston-Salem, NC, United States; Elmshaeuser, S.K., Department of Mathematics, Wake Forest University, Winston-Salem, NC, United States</t>
  </si>
  <si>
    <t>COVID-19, the disease caused by the novel coronavirus (SARS-CoV-2), first emerged in Wuhan, China late in December 2019. Not long after, the virus spread worldwide and was declared a pandemic by the World Health Organization in March 2020. This caused many changes around the world and in the United States, including an educational shift towards online learning. In this paper, we seek to understand how the COVID-19 pandemic and the increase in online learning impact college students’ emotional wellbeing. We use several machine learning and statistical models to analyze data collected by the Faculty of Public Administration at the University of Ljubljana, Slovenia in conjunction with an international consortium of universities, other higher education institutions, and students’ associations. Our results indicate that features related to students’ academic life have the largest impact on their emotional wellbeing. Other important factors include students’ satisfaction with their university’s and government’s handling of the pandemic as well as students’ financial security. © 2022 Rezapour, Elmshaeuser. This is an open access article distributed under the terms of the Creative Commons Attribution License, which permits unrestricted use, distribution, and reproduction in any medium, provided the original author and source are credited.</t>
  </si>
  <si>
    <t>anxiety; article; Article; artificial intelligence; artificial neural network; college student; coronavirus disease 2019; decision support system; decision tree; e-learning; emotion; emotional well-being; employment status; financial security; government; health disparity; human; intelligence; machine learning; mental health; politics; prediction; questionnaire; random forest; satisfaction; support vector machine; tertiary education; training; vaccination; artificial intelligence; education; epidemiology; mental health; pandemic; psychology; student; Artificial Intelligence; COVID-19; Education, Distance; Humans; Mental Health; Pandemics; SARS-CoV-2; Students</t>
  </si>
  <si>
    <t>Balkhair Abdullah, A., COVID-19 pandemic: a new chapter in the history of infectious diseases (2020) Oman medical journal, 35 (2), p. e123. , https://doi.org/10.5001/omj.2020.41; Adam, Brzezinski, The covid-19 pandemic: government vs. community action across the united states (2020) Covid Economics: Vetted and Real-Time Papers, 7, pp. 115-156; Khadijah, Mukhtar, Advantages, Limitations and Recommendations for online learning during COVID-19 pandemic era (2020) Pakistan journal of medical sciences, 36, p. S27. , https://doi.org/10.12669/pjms.36.COVID19-S4.2785, COVID19-S4 PMID: 32582310; Yusen, Zhai, Du, Xue, Addressing collegiate mental health amid COVID-19 pandemic (2020) Psychiatry research, 288, p. 113003. , https://doi.org/10.1016/j.psychres.2020.113003, PMID: 32315885; Changwon, Son, Effects of COVID-19 on college students’ mental health in the United States: Interview survey study (2020) Journal of medical internet research, 22 (9), p. e21279. , https://doi.org/10.2196/21279, PMID: 32805704; Xiaomei, Wang, Investigating mental health of US college students during the COVID-19 pandemic: cross-sectional survey study (2020) Journal of medical Internet research, 22 (9), p. e22817. , https://doi.org/10.2196/22817, PMID: 32897868; Chenyang, Lin, Prevalence and correlates of depression and anxiety among Chinese international students in US colleges during the COVID-19 pandemic: A cross-sectional study (2022) Plos one, 17 (4), p. e0267081. , https://doi.org/10.1371/journal.pone.0267081, PMID: 35421199; Alharthi, Hana, Predicting the level of generalized anxiety disorder of the coronavirus pandemic among college age students using artificial intelligence technology (2020) 2020 19th International Symposium on Distributed Computing and Applications for Business Engineering and Science (DCABES), , IEEE; Donna, Wang, Micro, mezzo, and macro factors associated with coping in the early phase of COVID-19 (2021) Journal of Human Behavior in the Social Environment, 31 (1-4), pp. 60-69. , https://doi.org/10.1080/10911359.2020.1838985; Xiaofang, Zeng, Tingzeng, Wang, College Student Satisfaction with Online Learning during COVID-19: A review and implications (2021) International Journal of Multidisciplinary Perspectives in Higher Education, 6 (1), pp. 182-195; Cornelia, Herbert, Alia, El Bolock, Slim, Abdennadher, How do you feel during the COVID-19 pandemic? A survey using psychological and linguistic self-report measures, and machine learning to investigate mental health, subjective experience, personality, and behaviour during the COVID-19 pandemic among university students (2021) BMC psychology, 9 (1), pp. 1-23; Ziyuan, Ren, Psychological impact of COVID-19 on college students after school reopening: a cross-sectional study based on machine learning (2021) Frontiers in Psychology, 12, p. 641806. , https://doi.org/10.3389/fpsyg.2021.641806, PMID: 33995195; Khattar, Anuradha, Jain, Priti Rai, Quadri, S. M. K., Effects of the disastrous pandemic COVID 19 on learning styles, activities and mental health of young Indian students-a machine learning approach (2020) 2020 4th International Conference on Intelligent Computing and Control Systems (ICICCS), , IEEE; Wassnaa, Al-Mawee, Morgan, Kwayu Keneth, Tasnim, Gharaibeh, Student’s perspective on distance learning during COVID-19 pandemic: A case study of Western Michigan University, United States (2021) International Journal of Educational Research Open, 2, p. 100080. , https://doi.org/10.1016/j.ijedro.2021.100080, PMID: 35059670; Shivangi, Dhawan, Online learning: A panacea in the time of COVID-19 crisis (2020) Journal of educational technology systems, 49 (1), pp. 5-22. , https://doi.org/10.1177/0047239520934018; Jimena, Gonzalez-Ramirez, Emergency online learning: college students’ perceptions during the COVID-19 pandemic (2021) College Student Journal, 55 (1), pp. 29-46; Krešimir, Ćosić, Artificial intelligence in prediction of mental health disorders induced by the COVID-19 pandemic among health care workers (2020) Croatian medical journal, 61 (3), p. 279. , https://doi.org/10.3325/cmj.2020.61.279, PMID: 32643346; Dolev, T., Physiological parameters of mental health predict the emergence of post-traumatic stress symptoms in physicians treating COVID-19 patients (2021) Translational psychiatry, 11 (1), pp. 1-9. , https://doi.org/10.1038/s41398-021-01299-6, PMID: 33723233; Mostafa, Rezapour, Lucas, Hansen, A machine learning analysis of COVID-19 mental health data (2022) Scientific Reports, 12 (1), pp. 1-16. , https://doi.org/10.1038/s41598-022-19314-1, PMID: 36056129; Xiaofeng, Wang, Prediction of mental health in medical workers during COVID-19 based on machine learning (2021) Frontiers in public health, 9, p. 697850. , https://doi.org/10.3389/fpubh.2021.697850, PMID: 34557468; Russell, Viner, School closures during social lockdown and mental health, health behaviors, and well-being among children and adolescents during the first COVID-19 wave: a systematic review (2022) JAMA pediatrics, , https://doi.org/10.1001/jamapediatrics.2021.5840, PMID: 35040870; Charis, Ntakolia, An Explainable Machine Learning Approach for COVID-19’s Impact on Mood States of Children and Adolescents during the First Lockdown in Greece (2022) Healthcare, 10 (1). , https://doi.org/10.3390/healthcare10010149, MDPI; Vahia Ipsit, V., Jeste Dilip, V., Reynolds Charles, F., Older adults and the mental health effects of COVID-19 (2020) Jama, 324 (22), pp. 2253-2254. , https://doi.org/10.1001/jama.2020.21753, PMID: 33216114; Danny, Valdez, Social media insights into US mental health during the COVID-19 pandemic: Longitudinal analysis of Twitter data (2020) Journal of medical Internet research, 22 (12), p. e21418. , https://doi.org/10.2196/21418, PMID: 33284783; Jia, Xue, Twitter discussions and emotions about the COVID-19 pandemic: Machine learning approach (2020) Journal of medical Internet research, 22 (11), p. e20550. , https://doi.org/10.2196/20550, PMID: 33119535; Low Daniel, M., Natural language processing reveals vulnerable mental health support groups and heightened health anxiety on reddit during covid-19: Observational study (2020) Journal of medical Internet research, 22 (10), p. e22635. , https://doi.org/10.2196/22635, PMID: 32936777; Chandra, Guntuku Sharath, Tracking mental health and symptom mentions on Twitter during COVID-19 (2020) Journal of general internal medicine, 35 (9), pp. 2798-2800. , https://doi.org/10.1007/s11606-020-05988-8, PMID: 32638321; Jihan, Ryu, Shift in Social Media App Usage During COVID-19 Lockdown and Clinical Anxiety Symptoms: Machine Learning–Based Ecological Momentary Assessment Study (2021) JMIR mental health, 8 (9), p. e30833. , https://doi.org/10.2196/30833, PMID: 34524091; Aleksander, Aristovnik, Impacts of the Covid-19 Pandemic on Life of Higher Education Students: Global Survey Dataset from the First Wave (2021) Data in Brief, 39, p. 107659. , https://doi.org/10.1016/j.dib.2021.107659, PMID: 34869802; Coverdale Gillian, E., Long Andrew, F., Emotional wellbeing and mental health: an exploration into health promotion in young people and families (2015) Perspectives in public health, 135 (1), pp. 27-36. , https://doi.org/10.1177/1757913914558080, PMID: 25568200; Keyes Corey, LM, Lopez Shane, J., Toward a science of mental health (2009) Oxford handbook of positive psychology, pp. 89-95; Henry, Winston Patrick, (1992) Artificial intelligence, , Addison-Wesley Longman Publishing Co., Inc; Cong, Fang, Deep learning for predicting COVID-19 malignant progression (2021) Medical image analysis, 72, p. 102096. , https://doi.org/10.1016/j.media.2021.102096, PMID: 34051438; Edison, Ong, COVID-19 coronavirus vaccine design using reverse vaccinology and machine learning (2020) Frontiers in immunology, 11, p. 1581. , https://doi.org/10.3389/fimmu.2020.01581; Rezapour, Mostafa, (2021) Hidden Effects of COVID-19 on Healthcare Workers: A Machine Learning Analysis, , arXiv preprint arXiv:2112.06261; Rezapour, Mostafa, Varady, Colin A., (2021) A machine learning analysis of the relationship between some underlying medical conditions and COVID-19 susceptibility, , arXiv preprint arXiv:2112.12901; Ruder, Sebastian, (2016) An overview of gradient descent optimization algorithms, , arXiv preprint arXiv:1609.04747; Léon, Bottou, Stochastic gradient descent tricks (2012) Neural networks: Tricks of the trade, pp. 421-436. , Springer, Berlin, Heidelberg; Gill Philip, E., Walter, Murray, Wright Margaret, H., Practical optimization (2019) Society for Industrial and Applied Mathematics; Jorge, Nocedal, Stephen, Wright, (2006) Numerical optimization, , Springer Science &amp; Business Media; Conn Andrew, R., Gould Nicholas, IM, Toint Philippe, L., Trust region methods (2000) Society for Industrial and Applied Mathematics; Johannes, Brust, Erway Jennifer, B., Marcia Roummel, F., On solving L-SR1 trust-region subproblems (2017) Computational Optimization and Applications, 66 (2), pp. 245-266. , https://doi.org/10.1007/s10589-016-9868-3; Erway Jennifer, B., Marcia Roummel, F., Limited-memory BFGS systems with diagonal updates (2012) Linear algebra and its applications, 437 (1), pp. 333-344. , https://doi.org/10.1016/j.laa.2012.02.005; Rezapour, Mostafa, (2020) Trust-Region Methods for Unconstrained Optimization Problems, , Washington State University; Mostafa, Rezapour, Asaki Thomas, J., Adaptive trust-region algorithms for unconstrained optimization (2019) Optimization Methods and Software, pp. 1-23; Erway, Jennifer B., Rezapour, Mostafa, (2021) A New Multipoint Symmetric Secant Method with a Dense Initial Matrix, , arXiv preprint arXiv:2107.06321; Kotsiantis Sotiris, B., Dimitris, Kanellopoulos, Pintelas Panagiotis, E., Data preprocessing for supervised leaning (2006) International journal of computer science, 1 (2), pp. 111-117; Salvador, García, Julián, Luengo, Francisco, Herrera, (2015) Data preprocessing in data mining, 72. , Cham, Switzerland: Springer International Publishing; Wes, McKinney, pandas: a foundational Python library for data analysis and statistics (2011) Python for high performance and scientific computing, 14 (9), pp. 1-9; Hastie, Trevor, (2001) Tibshirani R. Friedman J.: The Elements of Statistical Learning, pp. 62-71; Buuren Stef, Van, (2018) Flexible imputation of missing data, , CRC press; Maytal, Saar-Tsechansky, Foster, Provost, (2007) Handling missing values when applying classification models; Zhong, Liu Wei, Techniques for dealing with missing values in classification (1997) International Symposium on Intelligent Data Analysis, , Springer, Berlin, Heidelberg; Bishop Christopher, M., Nasrabadi Nasser, M., (2006) Pattern recognition and machine learning, 4 (4). , New York: springer; Fabian, Pedregosa, Scikit-learn: Machine learning in Python (2011) the Journal of machine Learning research, 12, pp. 2825-2830; Olga, Troyanskaya, Missing value estimation methods for DNA microarrays (2001) Bioinformatics, 17 (6), pp. 520-525. , https://doi.org/10.1093/bioinformatics/17.6.520, PMID: 11395428; Chawla Nitesh, V., SMOTE: synthetic minority over-sampling technique (2002) Journal of artificial intelligence research, 16, pp. 321-357. , https://doi.org/10.1613/jair.953; Caruana, Rich, Niculescu-Mizil, Alexandru, An empirical comparison of supervised learning algorithms (2006) Proceedings of the 23rd international conference on Machine learning; Dankmar, Böhning, Multinomial logistic regression algorithm (1992) Annals of the institute of Statistical Mathematics, 44 (1), pp. 197-200. , https://doi.org/10.1007/BF00048682; Ingo, Steinwart, Andreas, Christmann, (2008) Support vector machines, , Springer Science &amp; Business Media; Hearst Marti, A., Support vector machines (1998) IEEE Intelligent Systems and their applications, 13 (4), pp. 18-28. , https://doi.org/10.1109/5254.708428; Rosa, Lavelle-Hill, (2021) Machine Learning Methods for Small-n, Large-p Problems: Understanding the Complex Drivers of Modern-Day Slavery; Lipo, Wang, (2005) Support vector machines: theory and applications, 177. , ed. Springer Science &amp; Business Media; Peter, Hall, Stephen, Marron James, Amnon, Neeman, Geometric representation of high dimension, low sample size data (2005) Journal of the Royal Statistical Society: Series B (Statistical Methodology), 67 (3), pp. 427-444. , https://doi.org/10.1111/j.1467-9868.2005.00510.x; Brereton Richard, G., Lloyd Gavin, R., Support vector machines for classification and regression (2010) Analyst, 135 (2), pp. 230-267. , https://doi.org/10.1039/B918972F, PMID: 20098757; Schwing, Alexander G., Urtasun, Raquel, (2015) Fully connected deep structured networks, , arXiv preprint arXiv:1503.02351; Hassoun Mohamad, H., (1995) Fundamentals of artificial neural networks, , MIT press; Jürgen, Schmidhuber, Deep learning in neural networks: An overview (2015) Neural networks, 61, pp. 85-117. , https://doi.org/10.1016/j.neunet.2014.09.003, PMID: 25462637; Sun-Chong, Wang, Artificial neural network (2003) Interdisciplinary computing in java programming, pp. 81-100. , Springer, Boston, MA; Leo, Breiman, Random forests (2001) Machine learning, 45 (1), pp. 5-32. , https://doi.org/10.1023/A:1010933404324; Philipp, Probst, Wright Marvin, N., Laure, Boulesteix Anne, Hyperparameters and tuning strategies for random forest (2019) Wiley Interdisciplinary Reviews: data mining and knowledge discovery, 9 (3), p. e1301; Chen, Tianqi, Guestrin, Carlos, Xgboost: A scalable tree boosting system (2016) Proceedings of the 22nd acm sigkdd international conference on knowledge discovery and data mining; Chen, Tianqi, Xgboost: extreme gradient boosting (2015) R package version 0.4-2 1.4, pp. 1-4; Guolin, Ke, Lightgbm: A highly efficient gradient boosting decision tree (2017) Advances in neural information processing systems, 30, pp. 3146-3154; Dorogush, Anna Veronika, Ershov, Vasily, Gulin, Andrey, (2018) CatBoost: gradient boosting with categorical features support, , arXiv preprint arXiv:1810.11363; Liudmila, Prokhorenkova, CatBoost: unbiased boosting with categorical features (2018) Advances in neural information processing systems, 31; Girish, Chandrashekar, Ferat, Sahin, A survey on feature selection methods (2014) Computers &amp; Electrical Engineering, 40 (1), pp. 16-28. , https://doi.org/10.1016/j.compeleceng.2013.11.024; Ethem, Alpaydin, (2020) Introduction to machine learning, , MIT press; Law Martin, HC, Figueiredo Mario, AT, Jain Anil, K., Simultaneous feature selection and clustering using mixture models (2004) IEEE transactions on pattern analysis and machine intelligence, 26 (9), pp. 1154-1166. , https://doi.org/10.1109/TPAMI.2004.71, PMID: 15742891; Rubinstein Reuven, Y., Kroese Dirk, P., (2004) The cross-entropy method: a unified approach to combinatorial optimization, Monte-Carlo simulation, and machine learning, 133. , New York: Springer; Leo, Breiman, Random forests (2001) Machine learning, 45 (1), pp. 5-32. , https://doi.org/10.1023/A:1010933404324; Leland, Wilkinson, Michael, Friendly, The history of the cluster heat map (2009) The American Statistician, 63 (2), pp. 179-184. , https://doi.org/10.1198/tas.2009.0033; https://github.com/MostafaRezapour/Artificial-Intelligence-Based-Analytics-for-Impacts-of-COVID-19-and-Online-Learning-on-College-Stude; Secil, Caskurlu, The qualitative evidence behind the factors impacting online learning experiences as informed by the community of inquiry framework: A thematic synthesis (2021) Computers &amp; Education, 165, p. 104111. , https://doi.org/10.1016/j.compedu.2020.104111; Ho, Mok Ka, Impact of COVID-19 pandemic on international higher education and student mobility: Student perspectives from mainland China and Hong Kong (2021) International Journal of Educational Research, 105, p. 101718. , https://doi.org/10.1016/j.ijer.2020.101718, PMID: 35719275; Mirka, Martel, COVID-19 effects on US higher education campuses (2020) From Emergency Response to Planning for Future Student Mobility, , https://bit.ly/2zVxewC, Recuperado de; Daniel, Eisenberg, Ezra, Golberstein, Hunt Justin, B., Mental health and academic success in college (2009) The BE Journal of Economic Analysis &amp; Policy, 9, p. 1; Parinaz, Mahdavi, Relationship between achievement motivation, mental health and academic success in university students (2021) International Quarterly of Community Health Education, p. 0272684X211025932. , PMID: 34176355; Moody James, W., Keister Lisa, A., Pasquale Dana, K., Community Effectiveness of Masks and Vaccines (2021) Socius, 7, p. 23780231211058026. , https://doi.org/10.1177/23780231211058026; Lunz, Trujillo Kristin, (2021) The COVID States Project# 69: Student Attitudes About University COVID-19 Policies; Walsemann Katrina, M., Gee Gilbert, C., Danielle, Gentile, Sick of our loans: Student borrowing and the mental health of young adults in the United States (2015) Social Science &amp; Medicine, 124, pp. 85-93. , https://doi.org/10.1016/j.socscimed.2014.11.027, PMID: 25461865; Shy, Oz, (2022) A Model of Student Loans and the Burden of Tuition, , SSRN 4141642; COVID-19 Loan Payment Pause and 0% Interest Federal Student Aid, , https://studentaid.gov/announcements-events/covid-19/payment-pause-zero-interest; Alvtegen, Caroline, Mattsson, Sofia, Communicating beyond the word; Jones Payton, J., Yeon, Park So, Tyler, Lefevor G., Contemporary college student anxiety: The role of academic distress, financial stress, and support (2018) Journal of College Counseling, 21 (3), pp. 252-264. , https://doi.org/10.1002/jocc.12107</t>
  </si>
  <si>
    <t>2-s2.0-85142144785</t>
  </si>
  <si>
    <t>Artificial intelligence-based analytics for impacts of covid-19 and online learning on college students’ mental health</t>
  </si>
  <si>
    <t>Garg D., Verma G.K., Singh A.K.</t>
  </si>
  <si>
    <t>57193556261;36700662900;55487558400;</t>
  </si>
  <si>
    <t>Modelling and statistical analysis of emotions in 3D space</t>
  </si>
  <si>
    <t>Engineering Research Express</t>
  </si>
  <si>
    <t>035062</t>
  </si>
  <si>
    <t>10.1088/2631-8695/ac93e8</t>
  </si>
  <si>
    <t>https://www.scopus.com/inward/record.uri?eid=2-s2.0-85139773010&amp;doi=10.1088%2f2631-8695%2fac93e8&amp;partnerID=40&amp;md5=5a9a6eb9df71c36d5059eed9c73850f9</t>
  </si>
  <si>
    <t>Department of Computer Engineering, NIT, Haryana, Kurukshetra, India; Department of Information Technology, NIT, Chhattisgarh, Raipur, India</t>
  </si>
  <si>
    <t>Garg, D., Department of Computer Engineering, NIT, Haryana, Kurukshetra, India; Verma, G.K., Department of Information Technology, NIT, Chhattisgarh, Raipur, India; Singh, A.K., Department of Computer Engineering, NIT, Haryana, Kurukshetra, India</t>
  </si>
  <si>
    <t>Emotional Intelligence provides an impetus for simulating human emotions in systems to make emotionally-sensitive machines. Integrating emotion-based theories and principles maturing with research in affective computing, we propose a novel statistical approach that can evaluate the correlation between different emotional states. It provides a way specialists can address the development of the entire passion experience, as reviewed through self-report. We also represent a three-dimensional model that can accommodate affect variabilities and analyze the distribution of affective states in valence, arousal, and dominance. The main idea is that human emotions can be quantified by measuring their degree of emotions. To the best of our knowledge, this is the first step in this direction, and we have proposed and successfully implemented it to induce feelings in robots and games. © 2022 IOP Publishing Ltd.</t>
  </si>
  <si>
    <t>DEAP; DREAMER; emotion recognition; emotions and learning process; human-computer interaction</t>
  </si>
  <si>
    <t>Computation theory; Human computer interaction; Learning systems; 3D spaces; Affective Computing; DEAP; DREAMER; Emotion and learning process; Emotion recognition; Emotional intelligence; Human emotion; Learning process; Statistical approach; Emotion Recognition</t>
  </si>
  <si>
    <t>Pfister, T, Robinson, P, Real-time recognition of affective states from nonverbal features of speech and its application for public speaking skill analysis (2011) IEEE Trans. Affect. Comput, 2, pp. 66-78; Wu, J, Zhang, Y, Sun, S, Li, Q, Zhao, X, Generalized zero-shot emotion recognition from body gestures (2022) Applied Intelligence, 52, pp. 8616-8634; Gunes, H, Piccardi, M, Bi-modal emotion recognition from expressive face and body gestures (2007) J. Netw. Comput. Appl, 30, pp. 1334-1345; Bhaskar, S, Thasleema, TM, LSTM model for visual speech recognition through facial expressions (2022) Multimedia Tools and Applications, p. 1901178; Klllç, B, Aydln, S, Classification of Contrasting Discrete Emotional States Indicated by EEG Based Graph (2021) Theoretical Network Measures Neuroinformatics, 1, p. 115; Darwin, C, (1868) The variation of animals and plants under domestication London J. Murray; James, W, What is an Emotion? (1884) Mind, 9, pp. 188-205. , http://jstor.org/stable/2246769; Picard, R W., Affective computing: Challenges (2003) International Journal of Human Computer Studies, 59, pp. 55-64; Ekman, P, (1999) Basic emotions Handbook of Cognition and Emotion Dalgleish T Power M 39 Sussex, , https://google.co.in/books/edition/Handbook_of_Cognition_and_Emotion/vsLvrhohXhAC?hl=en&amp;gbpv=1&amp;dq=Ekman+P+1999+Basic+emotions+Handbook+of+Cognition+and+Emotion+ed+Dalgleish+T,+Power+M+(Sussex,+U.K.:+John+Wiley+%26+Sons,+Ltd)+39&amp;pg=PA45&amp;printsec=frontcover, U.K. Wiley; Parrott, W G., (2001) Emotions in Social Psychology: Essential Readings Georgetown University Psychology Press, p. 378. , https://google.co.in/books/edition/Emotions_in_Social_Psychology/FNBnKLvFdM4C?hl=en&amp;gbpv=0, 9780863776830, 0863776833; Pierce, A H., Wundt, W, Judd, C H., Outlines of psychology (1908) Philos. Rev, 17, p. 228; Plutchik, R, The nature of emotions: Human emotions have deep evolutionary roots, a fact that may explain their complexity and provide tools for clinical practice (2001) Am. Sci, 89, pp. 344-350; Russell, J A., A circumplex model of affect (1980) Journal of Personality and Social Psychology, 39, pp. 1161-1178; Mehrabian, A, Pleasure-arousal-dominance: A general framework for describing and measuring individual differences in (1996) Temperament Current Psychology, 17, pp. 261-292. , volume; Grandjean, D, Sander, D, Scherer, K R., Conscious emotional experience emerges as a function of multilevel, appraisal-driven response synchronization (2008) Conscious Cogn, 17, pp. 484-495; Koelstra, S, Muhl, C, Soleymani, M, Lee, J, Yazdani, A, Ebrahimi, T, Pun, T, DEAP: A Database for Emotion Analysis using Physiological Signals (2012) IEEE Transactions on Affective Computing, 3, p. 1831; Katsigiannis, S, Ramzan, N, DREAMER: A database for emotion recognition through EEG and ECG signals from wireless low-cost off-the-shelf devices (2018) IEEE J. Biomed. Health Inform, 22, pp. 98-107; Gunes, H, Schuller, B, Categorical and dimensional affect analysis in continuous input: Current trends and future directions (2013) Image Vis Comput, 31, pp. 120-136; Ekman, P, (1999) Basic emotions Handbook of Cognition and Emotion, 98, p. 16; Zhang, S, Huang, Q, Tian, Q, Jiang, S, Gao, W, (2008) Personalized MTV Affective Analysis Using User Profile Pacific-Rim Conference on Multimedia Berlin, p. 327337. , Heidelberg Springer; Whissell, C M., The dictionary of affect in language (1989) The Measurement of Emotions Amsterdam Elsevier, 113, p. 131; Arifin, S, Cheung, P Y. K., Affective level video segmentation by utilizing the pleasure-arousal-dominance information (2008) IEEE Trans. Multimedia, 10, pp. 1325-1341; Garg, D, Verma, G K., Emotion recognition in valence-arousal space from multi-channel EEG data and wavelet based deep learning framework (2020) Procedia Computer Science, 171, pp. 857-867; Wang, H L., Cheong, L F., Affective understanding in film (2006) IEEE Trans. Circuits Syst. Video Technol, 16, pp. 689-704; Soleymani, M, Lichtenauer, J, Pun, T, Pantic, M, A multimodal database for affect recognition and implicit tagging (2012) IEEE Trans. Affect Comput, 3, pp. 42-55; Irie, G, Satou, T, Kojima, A, Yamasaki, T, Aizawa, K, Affective audio-visual words and latent topic driving model for realizing movie affective scene classification (2010) IEEE Trans. Multimedia, 12, pp. 523-535; Malandrakis, N, Potamianos, A, Evangelopoulos, G, Zlatintsi, A, A supervised approach to movie emotion tracking ICASSP (2011) IEEE Int. Conf. on Acoustics, Speech and Signal Processing-Proc, p. 23762379; Yan, L, Wen, X, Zheng, W, Study on unascertained clustering for video affective recognition (2011) Journal of Information and Computational Science, 8, pp. 2865-2873; Canini, L, Benini, S, Leonardi, R, Affective recommendation of movies based on selected connotative features (2013) IEEE Trans. Circuits Syst. Video Technol, 23, pp. 636-647; Zhang, C, Xue, L, Autoencoder with emotion embedding for speech emotion recognition (2021) IEEE Access, 9, p. 5123151241; Li, B, Ren, H, Jiang, X, Miao, F, Feng, F, Jin, L, Scep-a new image dimensional emotion recognition model based on spatial and channel-wise attention mechanisms (2021) IEEE Access, 9, p. 2527825290; Hsu, Y L., Wang, J S., Chiang, W C., Hung, C H., Automatic ECG-based emotion recognition in music listening (2020) IEEE Trans Affect Comput, 11, pp. 85-99; Correa, J A. M., Abadi, M K., Sebe, N, Patras, I, Amigos: A dataset for affect, personality and mood research on individuals and groups (2018) IEEE Trans. Affect Comput, 12, pp. 479-493; Dar, M N., Akram, M U., Khawaja, S G., Pujari, A N., Cnn and lstm-based emotion charting using physiological signals (2020) Sensors (Switzerland), 20, p. 126; Aldayel, M, Ykhlef, M, Al-Nafjan, A, Deep learning for EEG-based preference classification in neuromarketing (2020) Applied Sciences, 10, p. 1525; Huang, H, An EEG-based brain computer interface for emotion recognition and its application in patients with disorder of consciousness (2021) IEEE Trans. Affect Comput, 12, pp. 832-842; Xiong, R, Kong, F, Yang, X, Liu, G, Wen, W, Pattern recognition of cognitive load using EEG and ECG signals (2020) Sensors (Switzerland), 20, p. 114; Shukla, J, Barreda-Angeles, M, Oliver, J, Nandi, G C., Puig, D, Feature extraction and selection for emotion recognition from electrodermal activity (2021) IEEE Trans. Affect Comput, 12, pp. 857-869; Evmenenko, A, Teixeira, D S., The circumplex model of affect in physical activity contexts: A systematic review (2022) International Journal of Sport and Exercise Psychology, 20, pp. 168-201; Loderer, K, Pekrun, R, Plass, J L., Emotional foundations of game-based learning Handbook of game-based learning (2020), 111, p. 151. , Cambridge The MIT Press; Pekrun, R, Frenzel, A C., Goetz, T, Perry, R P., The control-value theory of achievement emotions: An integrative approach to emotions in education Emotion in education (2007), p. 1336. , Amsterdam Academic Press; Loderer, K, Pekrun, R, Lester, J C., Beyond cold technology: A systematic review and meta-analysis on emotions in technology-based learning environments (2020) Learning and instruction, p. 70101162; Knörzer, L, Brünken, R, Park, B, Facilitators or suppressors: Effects of experimentally induced emotions on multimedia learning (2016) Learn Instr, 44, pp. 97-107; Vega, D O. C., The role of epistemic beliefs and epistemic emotions in online learning (2019) Anthropological Researches and Studies, 9, pp. 74-78</t>
  </si>
  <si>
    <t>Institute of Physics</t>
  </si>
  <si>
    <t>26318695</t>
  </si>
  <si>
    <t>Eng. Res. Exp.</t>
  </si>
  <si>
    <t>2-s2.0-85139773010</t>
  </si>
  <si>
    <t>Modelling and statistical analysis of emotions in 3d space</t>
  </si>
  <si>
    <t>Liu J.</t>
  </si>
  <si>
    <t>57867518800;</t>
  </si>
  <si>
    <t>The Auxiliary Role of College Music in Teaching in View of Artificial Intelligence</t>
  </si>
  <si>
    <t>Mobile Information Systems</t>
  </si>
  <si>
    <t>2693199</t>
  </si>
  <si>
    <t>10.1155/2022/2693199</t>
  </si>
  <si>
    <t>https://www.scopus.com/inward/record.uri?eid=2-s2.0-85133566931&amp;doi=10.1155%2f2022%2f2693199&amp;partnerID=40&amp;md5=ca22871cb06c11412aaa82f6cfa9879f</t>
  </si>
  <si>
    <t>Department of Music, Xi'An Shiyou University, Shaanxi, Xi'an, 710065, China</t>
  </si>
  <si>
    <t>Liu, J., Department of Music, Xi'An Shiyou University, Shaanxi, Xi'an, 710065, China</t>
  </si>
  <si>
    <t>Music is a common art and it is a jewel of human civilisation. In the course of music's development, the evaluation of music teaching is an inevitable step in the development of quality music. Universities are important places that abound with musical souls and their contribution to the development of music has been outstanding. But with the development of the times, university music has been hampered in the field of teaching and learning. As an important branch in the field of computer science and information technology, artificial intelligence technology contains many intersecting and comprehensive subject connotations, bringing brand-new elements to music education. It has also had an important impact on the development of music teaching. The article focuses in depth on the traditional process of music development in terms of the characteristics and ways of teaching music. Based on this, the article further explores the integration of artificial intelligence and music and analyses the role of emerging technologies as an aid to music from the perspective of the times. And this article uses emotion recognition as an evaluation index to explore the evaluation role of artificial intelligence technology in college music teaching, and improve the quality and efficiency of music teaching. The experimental results show that the teacher's positive emotion rate based on image data is 57.8%, and the student's positive emotion rate is 44.5%; the teacher's positive emotion rate based on voice data is 53.3%, and the student's positive emotion rate is 51.1%. The classroom emotion is negative at 7-13 minutes, the classroom emotion continues to be low at 28-40 minutes, and the teacher and student emotions are more positive at 13-28 minutes. © 2022 Jie Liu.</t>
  </si>
  <si>
    <t>Artificial intelligence; Education computing; Emotion Recognition; Engineering education; Music; Students; Teaching; Artificial intelligence and music; Artificial intelligence technologies; Emerging technologies; Emotion recognition; Evaluation index; Human civilization; Music education; Positive emotions; Teachers'; Teaching and learning; Quality control</t>
  </si>
  <si>
    <t>Lu, H., Li, Y., Chen, M., Kim, H., Serikawa, S., Brain intelligence: Go beyond artificial intelligence (2017) Mobile Networks and Applications, 23 (2), pp. 368-375. , 2-s2.0-85029688332; Hassabis, D., Kumaran, D., Summerfield, C., Botvinick, M., Neuroscience-inspired artificial intelligence (2017) Neuron, 95 (2), pp. 245-258. , 2-s2.0-85029563607; Thrall, J.H., Li, X., Li, Q., Cruz, C., Do, S., Dreyer, K., Brink, J., Artificial intelligence and machine learning in radiology: Opportunities, challenges, pitfalls, and criteria for success (2018) Journal of the American College of Radiology, 15 (3), pp. 504-508. , 2-s2.0-85041593093; Rongpeng, L., Xuan, Z., Guoru, D., Yan, C., Zhongyao, W., Honggang, Z., Intelligent 5G: When cellular networks meet artificial intelligence (2017) IEEE Wireless Communications, 24 (5), pp. 175-183; Wong, P., Lau, M., Perceived attributes of music teaching effectiveness among kindergarten teachers: Role of personality (2018) Australian Journal of Teacher Education, 43 (9), pp. 28-38. , 2-s2.0-85054695142; Prichard, S., A mixed-methods investigation of preservice music teaching efficacy beliefs and commitment to music teaching (2017) Journal of Research in Music Education, 65 (2), pp. 237-257. , 2-s2.0-85020774259; Singh, Y., Makharia, A., Sharma, A., Agrawal, K., Varma, G., Yadav, T., A study on different forms of intelligence in Indian school-going children (2017) Industrial Psychiatry Journal, 26 (1), p. 71; Yaghoob, R.A., Hossein, Z.P., The correlation of multiple intelligences for the achievements of secondary students (2016) Educational Research and Reviews, 11 (4), pp. 141-145; Collins, T., Laney, R., Willis, A., Garthwaite, P.H., Developing and evaluating computational models of musical style (2016) Artificial Intelligence for Engineering Design, Analysis and Manufacturing, 30 (1), pp. 16-43. , 2-s2.0-84954370698; Silvia, P.J., Thomas, K.S., Nusbaum, E.C., Beaty, R.E., Hodges, D.A., How does music training predict cognitive abilities? A bifactor Approach to musical expertise and intelligence (2016) Psychology of Aesthetics Creativity and the Arts, 10 (2), pp. 184-190. , 2-s2.0-84957990473; Mora-Gutiérrez, R.A., Rincón-García, E.A., Ponsich, A., Ramirez-Rodriguez, J., Mendez-Gurrola, I.I., Influence of social network on method musical composition (2016) Artificial Intelligence Review, 46 (2), pp. 225-266. , 2-s2.0-84955258090; Pasquier, P., Eigenfeldt, A., Bown, O., Dubnov, S., An introduction to musical metacreation (2016) Computer Entertainment, 14 (2), pp. 1-14. , 2-s2.0-85009241707; Liu, C.H., Ting, C.K., Computational intelligence in music composition: A survey (2017) IEEE Transactions on Emerging Topics in Computational Intelligence, 1 (1), pp. 2-15; Gardini, E., Ferrarotti, M.J., Cavalli, A., Decherchi, S., Using principal paths to walk through music and visual art style spaces induced by convolutional neural networks (2021) Cognitive Computation, 13 (2), pp. 570-582; Frisk, H., Aesthetics, interaction and machine improvisation (2020) Organised Sound, 25 (1), pp. 33-40; Torppa, R., Faulkner, A., Laasonen, M., Lipsanen, J., Sammler, D., Links of prosodic stress perception and musical activities to language skills of children with cochlear implants and normal hearing (2020) Ear and Hearing, 41 (2), pp. 395-410; Roy, S., Sarkar, D., De, D., Entropy-aware ambient IoT analytics on humanized music information fusion (2020) Journal of Ambient Intelligence and Humanized Computing, 11 (1), pp. 151-171. , 2-s2.0-85063075168; Abboud, R., Tekli, J., Integration of nonparametric fuzzy classification with an evolutionary-developmental framework to perform music sentiment-based analysis and composition (2020) Soft Computing, 24 (13), pp. 9875-9925; Jiajun, X.U., Identifying students' self-perceived multiple intelligence preferences: The case of students from heilongjiang international university, China (2020) Arab World English Journal, 11 (2), pp. 59-69; Leah, F., Card playing enhances speech perception among aging adults: Comparison with aging musicians (2019) European Journal of Ageing, 16 (4), pp. 481-489; Allegri, R.F., Roman, F.N., Jose Ingenieros and the amusias: The beginning of the neuropsychology in Argentina (2018) Revista de Neurologia, 66 (10), pp. 353-356; Blasiman, R.N., Was, C.A., Why is working memory performance unstable? A review of 21 factors (2018) Europe's Journal of Psychology, 14 (1), pp. 188-231. , 2-s2.0-85043535290; Benetos, E., Dixon, S., Duan, Z., Ewert, S., Automatic music transcription: An overview (2019) IEEE Signal Processing Magazine, 36 (1), pp. 20-30. , 2-s2.0-85059769935; Abdul, A.L., Ahmed, A., Saleh, A., The theory of multiple stupidities: Education, technology and organisation in Arabia (2017) Cognitive Processing, 18 (4), pp. 1-13; Buckner, C., Yang, K., Mating dances and the evolution of language: What's the next step?[J] (2017) Biology and Philosophy, 32 (6), pp. 1289-1316. , 2-s2.0-85034772877; Chang, J., The musicality of artificial intelligence (2017) The Korean Journal of Arts Studies, (15), pp. 29-44. , https://www.dbpia.co.kr/journal/articleDetail?nodeId=NODE07133015&amp;language=ko_KR&amp;hasTopBanner=truehttps://www.researchgate.net/publication/315592911_Musicality_of_Artificial_Intelligence</t>
  </si>
  <si>
    <t>1574017X</t>
  </si>
  <si>
    <t>Mob. Inf. Sys.</t>
  </si>
  <si>
    <t>2-s2.0-85133566931</t>
  </si>
  <si>
    <t>The auxiliary role of college music in teaching in view of artificial intelligence</t>
  </si>
  <si>
    <t>Sweeney S.</t>
  </si>
  <si>
    <t>57203683008;</t>
  </si>
  <si>
    <t>Who wrote this? Essay mills and assessment – Considerations regarding contract cheating and AI in higher education</t>
  </si>
  <si>
    <t>International Journal of Management Education</t>
  </si>
  <si>
    <t>100818</t>
  </si>
  <si>
    <t>10.1016/j.ijme.2023.100818</t>
  </si>
  <si>
    <t>https://www.scopus.com/inward/record.uri?eid=2-s2.0-85154059181&amp;doi=10.1016%2fj.ijme.2023.100818&amp;partnerID=40&amp;md5=d6534f3e85be16fd45b8026aa4a9fc12</t>
  </si>
  <si>
    <t>University of York, United Kingdom</t>
  </si>
  <si>
    <t>Sweeney, S., University of York, United Kingdom</t>
  </si>
  <si>
    <t>The growing incidence of academic dishonesty (AD) involving students using commercial essay writing services (essay mills) or Artificial Intelligence (AI) risks the credibility of assessment approaches within higher education (HE) worldwide. Reflecting on experience from a UK business school, the article explores the potential for novel assessment design and feedback to reduce the prevalence of AD. Speculating on success and failure rates of students undertaking formal assessment, the article evaluates the broader ethical implications for universities in recruitment and learner support, particularly within contemporary discourses on international student attainment, mental health, and well-being. © 2023 The Author</t>
  </si>
  <si>
    <t>Academic dishonesty; Artificial intelligence (AI); Assessment; Essay mills; Ethics; Student well-being</t>
  </si>
  <si>
    <t>Market report China: The Chinese study abroad market (2022), https://www.educationfair.nl/market-reports/asia/china/#:~:text=With%20a%20population%20of%201,in%202021%3A%20a%20staggering%201%2C061%2C511, Retrieved from Accessed March 3rd, 2023; Ahsan, K., Akbar, S., Kam, B., Contract cheating in higher education: A systematic literature review and future research agenda (2021) Assessment &amp; Evaluation in Higher Education, 1-17; Ali, H., The difference between ChatGPT and GPT-3. Blog. 12 January (2023) Cubix, , https://www.cubix.co/blog/chatgpt-vs-gpt-3, Accessed March 3rd, 2023; Anitha, P., Sundaram, S., Prevalence, types and reasons for academic dishonesty among college students (2021) Journal of Studies in Social Sciences and Humanities, 7 (1), pp. 1-14; Austin, M.J., Brown, L.D., Internet plagiarism: Developing strategies to curb student academic dishonesty (1999) The Internet and Higher Education, 2 (1), pp. 21-33; Bartlett, T., Cheating goes global as essay mills multiply (2009) The Chronicle of Higher Education, 55 (28), p. A1; Birrell, B., Implications of low English standards among overseas students at Australian universities (2006) People and Place, 14 (4), pp. 53-64. , https://www.researchgate.net/publication/279907173_Implications_of_low_English_Standards_among_overseas_students_at_Australian_universities, Accessed March 3rd, 2023; Burrows, K., Engaging Chinese students in teaching and learning in Western higher education institutions (2016), Cambridge Scholars Publishing Newcastle Upon Tyne; Chartered association of business school learning, teaching, student experience conference (2022) Belfast, , 24-25 May; Chamas, Z., Chinese international student numbers in Australia hold steady despite pandemic and geopolitics (2021) The Guardian, , https://www.theguardian.com/australia-news/2021/sep/21/chinese-international-student-numbers-in-australia-hold-steady-despite-pandemic-and-geopolitics, 21 September Accessed March 3rd, 2023; Chirikov, I., Shmeleva, E., Loyalka, P., The role of faculty in reducing academic dishonesty among engineering students (2020) Studies in Higher Education, 45 (12), pp. 2464-2480. , Accessed March 3rd, 2023; Clare, J., Walker, S., Hobson, J., Can we detect contract cheating using existing assessment data? Applying crime prevention theory to an academic integrity issue (2017) International Journal for Educational Integrity, 13 (1), p. 4; Clarke, R., Lancaster, T., Eliminating the successor to plagiarism? Identifying the usage of contract cheating sites (2006), https://www.researchgate.net/publication/228367576_Eliminating_the_successor_to_plagiarism_Identifying_the_usage_of_contract_cheating_sites, Accessed March 3rd, 2023; Clark, R.M., Kayes, A.B., Building leadership story telling skills: A collaboration between management and theater students (2021) Management Teaching Review, 6 (2). , https://journals.sagepub.com/doi/10.1177/2379298119855943, Accessed March 3rd, 2023; Collini, S., (2011) From robbins to McKinsey, , London Review of Books 25 August; Cooke, C., Staton, B., Harlow, M., The essay mills undermining academic standards around the world (2021) Financial Times, , https://www.ft.com/content/ffc1c843-40c2-4fdf-b6f5-c118b363ad90, 5 November Accessed March 3rd, 2023; Crisostomo, M.E., Chauhan, R.S., Individualized student feedback: Are templates the solution? (2019) Management Teaching Review, 4 (4). , Accessed March 3rd, 2023; Curtis, G., One-in-ten uni students submit assignments written by someone else – and most are getting away with it (2021) The Conversation, , https://theconversation.com/1-in-10-uni-students-submit-assignments-written-by-someone-else-and-most-are-getting-away-with-it-166410, 30 August Accessed March 3rd, 2023; Delouya, S., I asked ChatGPT to do my work and write an Insider article for me. It quickly generated an alarmingly convincing article filled with misinformation (2022), https://www.businessinsider.com/i-asked-chatgpt-to-write-insider-story-it-was-convincing-2022-12?r=US&amp;IR=T, 19 December. Business Insider Accessed March 3rd, 2023; Derico, B., Kleinman, Z., OpenAI announces ChatGPT successor GPT-4. BBC news online (2023), https://www.bbc.co.uk/news/technology-64959346, 14 March Accessed March 16th, 2023; Draper, M., Lancaster, T., Dann, S., Crockett, R., Glendinning, I., Essay mills and other contract cheating services: To buy or not to buy and the consequences of students changing their minds (2021) International Journal for Educational Integrity, 17 (13). , https://edintegrity.biomedcentral.com/track/pdf/10.1007/s40979-021-00081-x.pdf, Accessed March 3rd, 2023; Dwyer, L.P., Turning the table: Developing learner skills in receiving feedback (2021) Management Teaching Review, 6 (4). , Accessed March 3rd, 2023; Edwards, D., Better academic support for students may help lower university attrition rates (2016) The Conversation, , https://theconversation.com/better-academic-support-for-students-may-help-lower-university-attrition-rates-66395, October 5 Accessed March 3rd, 2023; Ehrich, J., Howard, S.J., Mu, C., Bokosmaty, S., A comparison of Chinese and Australian university students' attitudes towards plagiarism (2016) Studies in Higher Education, 41 (2), pp. 231-246; Eze, S.C., Inegbedion, H., Key factors influencing academic performance of international students in UK universities: A preliminary investigation (2015) British Journal of Education, 3 (5), pp. 55-68. , http://eprints.lmu.edu.ng/2436/1/KeyFactorsThatInfluence.pdf, Accessed March 3rd, 2023; Ferguson, S.L., Flostrand, A., Lam, J., Pitt, L., Caught in a vicious cycle? Student perceptions of academic dishonesty in the business classroom (2022) International Journal of Management in Education, , November Accessed March 3rd, 2023; Forstenzer, J., Missing from the tuition fees debate: Student well-being and the public benefits of higher education (2017) The Conversation, , https://theconversation.com/missing-from-the-tuition-fees-debate-student-well-being-and-the-public-benefits-of-higher-education-80921, September 1st Accessed March 3rd, 2023; Gatwiri, G., The influence of language difficulties on the well-being of international students: An interpretive phenomenological analysis (2015) Inquiries, 7 (5), pp. 1-2. , http://www.inquiriesjournal.com/articles/1042/the-influence-of-language-difficulties-on-the-wellbeing-of-international-students-an-interpretive-phenomenological-analysis, Accessed March 3rd, 2023; Gonsalves, C., Generative AI in business schools: Embrace or avoid? Chartered association of business schools (2023), https://charteredabs.org/generative-ai-in-business-schools-embrace-or-avoid/, Accessed March 17th, 2023; Harms, P.L., Roebuck, D.B., Teaching the art and craft of giving and receiving feedback (2010) Business and Professional Communication Quarterly, 73 (4). , Accessed March 3rd, 2023; Higher education student statistics: Where do HE students come from? 31 January. Higher education statistics agency, UK (2023), https://www.hesa.ac.uk/data-and-analysis/students/where-from#non-uk, Accessed March 16th, 2023; Hill, G., Mason, J., Dunn, A., Contract cheating: An increasing challenge for global academic community arising from COVID-19 (2021) Research and Practice in Technology Enhanced Learning, 16. , Article No.24; (2021) Essay mills to be banned under plans to reform post-16 education, , https://www.gov.uk/government/news/essay-mills-to-be-banned-under-plans-to-reform-post-16-education, Press Release 5 November Accessed March 3rd, 2023; Hodgkinson, T., Curtis, H., MacAlister, D., Farrell, G., Student academic dishonesty: The potential for situational prevention (2016) Journal of Criminal Justice Education, 27 (1), pp. 1-18. , 1064982 Accessed March 3rd, 2023; Hu, G., Lei, J., Investigating Chinese university students' knowledge of and attitudes toward plagiarism from an integrated perspective (2011) Language Learning, 62 (3), pp. 813-850; Kerby, S., Ten reasons why we need diversity on college campuses (2012), https://www.americanprogress.org/article/10-reasons-why-we-need-diversity-on-college-campuses/, Center for American Progress AP October 9 Accessed March 3rd, 2023; Kleinman, Z., ‘Google launches ChatGPT rival called bard’ BBC online (2023), https://www.bbc.co.uk/news/technology-64546299, 6 February Accessed March 3rd, 2023; Lancaster, T., Profiling the international academic ghost writers who are providing low-cost essays and assignments for the contract cheating industry (2019) Journal of Information, Communication and Ethics in Society, 17 (1), pp. 72-86; Leong, A., How to detect ChatGPT plagiarism – and why it's becoming so difficult (2023) Digital Trends, , https://www.digitaltrends.com/computing/how-to-detect-chatgpt-plagiarism/, January 20th Accessed March 3rd, 2023; Lindebaum, D., Vesa, M., den Hond, F., Insights from “The Machine Stops” to better understand rational assumptions in algorithmic decision making and its implications for organizations (2020) Academy of Management Review, 45 (1), pp. 247-263. , Accessed March 3rd, 2023; MacDonald, S., It's not essay mills that are doing the grinding (2017) Higher Education, , https://www.timeshighereducation.com/opinion/itsnot-essay-mills-that-are-doing-the-grinding, May 25 Accessed March 3rd, 2023; Malesky, A., Grist, C., Poovey, K., Dennis, N., The Effects of peer influence, honor codes, and personality traits on cheating behavior in a University Setting (2022) Ethics &amp; Behavior, 22 (1). , Accessed March 3rd, 2023; McCabe, D.L., Butterfield, K.D., Trevino, L.K., Cheating in college: Why students do it and what educators can do about it (2012), JHU Press; McKie, A., Essay mills ‘targeting students’ as pandemic crisis shifts HE online (2020) Higher Education, , https://www.timeshighereducation.com/news/essay-mills-targeting-students-pandemic-crisis-shifts-he-online, 18 June Accessed March 3rd, 2023; McLean, M., Murdoch-Eaton, D., Shaban, S., Poor English language proficiency hinders generic skills development: A qualitative study of the perspectives of first-year medical students (2013) Journal of Further and Higher Education, 37 (4), pp. 462-481. , Accessed March 3rd, 2023; Medway, D., Roper, S., Gillooly, L., Contract cheating in UK higher education: A covert investigation of essay mills (2018) British Educational Research Journal, 44 (3), pp. 393-418; Mensah, K., Uh oh! Turnitin is officially going to detect if you've used an AI chatbot in your essay (2023) The Tab, , https://thetab.com/uk/2023/02/09/turnitin-chatgpt-essay-detection-294120#:~:text=Turnitin%20has%20officially%20developed%20software,via%20an%20AI%20writing%20tool, Accessed March 3rd, 2023; Miller, A.B., Murdock, T.B., Grotewiel, M.M., Addressing academic dishonesty amongst the highest achievers (2017) Theory into Practice, 56 (2), pp. 121-128. , Accessed March 3rd, 2023; Molesworth, M., Nixon, E., Scullion, R., Having, being and higher education: The marketisation of the university and the transformation of the student into consumer (2009) Teaching in Higher Education, 14 (3), pp. 277-287. , Accessed March 3rd, 2023; Moser, C., den Hond, F., Lindebaum, D., Morality in the age of artificially intelligent algorithms (2022) The Academy of Management Learning and Education, 21 (1), pp. 139-155. , Accessed March 3rd, 2023; Nixon, E., Scullion, R., Hearn, R., Her majesty the student: Marketized higher education and the narcissistic (dis)satisfactions of the student-consumer (2016) Studies in Higher Education, pp. 1-27. , Accessed March 3rd, 2023; O'Rourke, J., Barnes, J., Deaton, A., Fulks, K., Ryan, K., Rettinger, D.A., Imitation is the sincerest form of cheating: The influence of direct knowledge and attitudes on academic dishonesty (2010) Ethics &amp; Behavior, 20, pp. 47-64; Paton, M.J., Why international students are at greater risk of failure (2007) International Journal of Diversity in Organisations, Communities, and Nations, 6 (6), pp. 101-111. , https://www.researchgate.net/publication/302211403_'Why_International_Students_are_at_Greater_Risk_of_Failure_an_inconvenient_truth, Accessed March 3rd, 2023; Pugh, S., (2023), https://teachingexcellence.leeds.ac.uk/wp-content/uploads/sites/89/2018/10/PUGHcompendiumcomplete.pdf, (ed., n.d.) A Compendium of Assessment Techniques in Higher Education: from students’ perspectives. Leeds: Leeds Institute for Teaching Excellence., Accessed March 17th; Plagiarism in higher education - custom essay writing services: An exploration and next steps for the UK higher education sector (2016) Gloucester: Quality Assurance Agency for Higher Education, , https://www.qaa.ac.uk/search-results?indexCatalogue=global&amp;searchQuery=Plagiarism%20in%20higher%20education.%20Custom%20essay%20writing%20services%3A%20An%20exploration%20and%20next%20steps%20for%20the%20UK%20higher%20education%20sector&amp;wordsMode=AllWords, Accessed March 3rd, 2023; Contracting to cheat in higher education: How to address contract cheating, the use of third-party services and essay mills (2017) Gloucester: Quality Assurance Agency for Higher Education, , https://www.qaa.ac.uk/docs/qaa/quality-code/contracting-to-cheat-in-higher-education.pdf?sfvrsn=f66af681_12, Accessed March 3rd, 2023; QAA publishes new guidance to help tackle the use of essay mills (2020) Gloucester: Quality Assurance Agency for Higher Education, , https://www.qaa.ac.uk/news-events/news/qaa-publishes-new-guidance-to-help-tackle-the-use-of-essay-mills, June 18 Accessed March 3rd, 2023; Rigby, D., Burton, M., Balcombe, K., Bateman, I., Mulatu, A., Contract cheating &amp; the market in essays (2015) Journal of Economic Behavior &amp; Organization, 111, pp. 23-37; Rogerson, A.M., Detecting contract cheating in essay and report submissions: Process, patterns, clues and conversations (2017) International Journal for Educational Integrity, 13 (1), p. 10; Ross, J., We'll write for you, plagiarism-free – essay mills' latest ploy (2021) Higher Education, , https://www.timeshighereducation.com/news/well-write-you-plagiarism-free-essay-mills-latest-ploy, 17 November Accessed March 3rd, 2023; Scott, M., Matching final assessment to employability: Developing a digital viva as an end of programme assessment (2018) Higher Education Pedagogies, 3 (1). , Accessed March 3rd, 2023; Shepherd, T., University students turn to ‘contract cheating’ amid housing crisis and lack of support (2021) The Guardian, , https://www.theguardian.com/australia-news/2022/sep/20/university-students-turn-to-contract-cheating-amid-housing-crisis-and-lack-of-support, 19 September Accessed March 3rd, 2023; Snepvangers, P., ‘I got ChatGPT to write my essay to see if I could get a 2:1 from a Russell Group uni’ the Tab (UK) (2023), https://thetab.com/uk/2023/02/03/i-got-chatgpt-to-write-my-essay-to-see-if-i-could-get-a-21-from-a-russell-group-uni-292965, 3 February Accessed March 3rd, 2023; Sparrow, J., Full-on robot writing: The artificial intelligence challenge facing universities (2022) The Guardian, , https://www.theguardian.com/australia-news/2022/nov/19/full-on-robot-writing-the-artificial-intelligence-challenge-facing-universities, 18 November Accessed March 3rd, 2023; Statista, Number of students from China going abroad for study from 2010 to 2020 (2023) Stat, , https://www.statista.com/statistics/227240/number-of-chinese-students-that-study-abroad/, Accessed March 3rd, 2023; Stokel-Walker, C., Inside a Highly lucrative, ethically-questionable essay-writing service (2022), https://www.inverse.com/input/culture/killer-papers-essay-mill-academics-writing-service, 9 September. Input Accessed March 3rd, 2023; International student statistics in UK 2023 (2023), https://www.studying-in-uk.org/international-student-statistics-in-uk/#:~:text=According%20to%20the%202021%2F22,international%20students%20study%20Computing%20programs, Accessed March 16th, 2023; Taylor, V.F., Stickney, L.T., DeMarr, B., Improving academic literacy in the management classroom: Are your students lost in translation? (2021) Management Teaching Review, 6 (3). , Accessed March 3rd, 2023; Tomlinson, R.C., Contract cheating: The place of the essay in the age of the essay mill (2022) Council for the Defence of British Universities, , https://cdbu.org.uk/contracting-cheating-the-place-of-the-essay-in-the-age-of-the-essay-mill/, 27 September Accessed March 3rd, 2023; Why should I choose the UK for postgraduate studies? (2023), https://www.ucas.com/postgraduate/postgraduate-study/international-students/benefits-studying-uk#what-type-of-postgraduate-study-is-available-in-the-uk, Accessed March 3rd, 2023; International student recruitment data (2023), https://www.universitiesuk.ac.uk/universities-uk-international/explore-uuki/international-student-recruitment/international-student-recruitment-data, 3rd March Accessed March 16th, 2023; China remains the top sender of international students to the United States in 2020/21. Beijing: US embassy and consulates in China (2021), https://china.usembassy-china.org.cn/china-remains-the-top-sender-of-international-students-to-the-united-states-in-2020-2021/, Retrieved from Accessed March 3rd, 2023; Vesa, M., Tienari, J., Artificial intelligence and rationalized unaccountability: Ideology of the elites? Organization (2020), Accessed March 3rd, 2023; Vincent, J., Introducing the AI Mirror Test, which very smart people keep failing (2023) Verge, , https://www.theverge.com/23604075/ai-chatbots-bing-chatgpt-intelligent-sentient-mirror-test, 10th February Accessed March 3rd, 2023; Walker, M., Townley, C., Contract cheating: A new challenge for academic honesty? (2012) Journal of Academic Ethics, 10 (1), pp. 27-44. , Accessed March 3rd, 2023; Wallace, M.J., Newton, P.M., Turnaround time and market capacity in contract cheating (2014) Educational Studies, 40 (2), pp. 233-236; Warn, J., Plagiarism software: No magic bullet (2006) Higher Education Research and Development, 25 (2), pp. 195-208; White, D., More than half of universities' overseas enrolments are Chinese students despite closed borders 27 June (2022) Sydney Morning Herald, , https://www.smh.com.au/national/nsw/more-than-half-of-universities-overseas-enrolments-are-chinese-students-despite-closed-borders-20220627-p5aww4.html, Accessed March 3rd, 2023; Yorke, J., Sefcik, L., Veeran-Colton, T., Contract cheating and blackmail: A risky business? (2022) Studies in Higher Education, 47 (1), pp. 53-66; Youmans, R.J., Does the adoption of plagiarism-detection software in higher education reduce plagiarism? (2011) Studies in Higher Education, 36 (7), pp. 749-761</t>
  </si>
  <si>
    <t>14728117</t>
  </si>
  <si>
    <t>Int. J. Manage. Educ.</t>
  </si>
  <si>
    <t>2-s2.0-85154059181</t>
  </si>
  <si>
    <t>Who wrote this? essay mills and assessment – considerations regarding contract cheating and ai in higher education</t>
  </si>
  <si>
    <t>Priya P., Firdaus M., Ekbal A.</t>
  </si>
  <si>
    <t>57212521454;57193647187;23093674100;</t>
  </si>
  <si>
    <t>A multi-task learning framework for politeness and emotion detection in dialogues for mental health counselling and legal aid</t>
  </si>
  <si>
    <t>Expert Systems with Applications</t>
  </si>
  <si>
    <t>120025</t>
  </si>
  <si>
    <t>10.1016/j.eswa.2023.120025</t>
  </si>
  <si>
    <t>https://www.scopus.com/inward/record.uri?eid=2-s2.0-85151804785&amp;doi=10.1016%2fj.eswa.2023.120025&amp;partnerID=40&amp;md5=01688db7758f91c002e82091d72d9ec0</t>
  </si>
  <si>
    <t>Department of Computer Science and Engineering, Indian Institute of Technology Patna, Patna, India; University of Alberta, Edmonton, AB, Canada</t>
  </si>
  <si>
    <t>Priya, P., Department of Computer Science and Engineering, Indian Institute of Technology Patna, Patna, India; Firdaus, M., University of Alberta, Edmonton, AB, Canada; Ekbal, A., Department of Computer Science and Engineering, Indian Institute of Technology Patna, Patna, India</t>
  </si>
  <si>
    <t>The World Health Organization (WHO) has highlighted the need to greatly accelerate the prevention of crime and harassment against women and children, thereby promoting their mental well-being and gender parity to accomplish the United Nations Sustainable Development Goals by 2030. WHO estimates that globally around 736 million women1 and 1 billion children2 have been subjected to violence. There is a global scarcity of mental healthcare workers3; hence, a conversational artificial intelligent agent that can converse with people in a polite and empathetic way like a human companion can be of great importance. Such systems can serve as first aid for the victims and the entry point for referring them to other support services they may need. Towards this goal, we create a POliteness and EMotion annotated dialogue dataset, named POEM comprising of 5,000 dialogues in English for mental health counselling and legal aid for women and children crime victims. Furthermore, we propose a novel multi-task learning (MTL) framework, named Caps-DGCN for Politeness and Emotion Detection (PED) in conversations. Experimental results on POEM and DailyDialog datasets suggest that the Caps-DGCN framework achieves a considerable performance and the information shared between the tasks helps in improving the overall system. © 2023 Elsevier Ltd</t>
  </si>
  <si>
    <t>Caps-DGCN; Conversation; Emotion detection; Multi-task learning; Politeness detection</t>
  </si>
  <si>
    <t>Emotion Recognition; Intelligent agents; Learning systems; Cap-DGCN; Conversation; Emotion detection; Learning frameworks; Mental health; Multitask learning; Politeness detection; United Nations; Well being; World Health Organization; Crime</t>
  </si>
  <si>
    <t>Acosta, J.C., Using emotion to gain rapport in a spoken dialog system (2009); Acosta, J.C., Ward, N.G., Achieving rapport with turn-by-turn, user-responsive emotional coloring (2011) Speech Communication, 53, pp. 1137-1148; Althoff, T., Clark, K., Leskovec, J., Large-scale analysis of counseling conversations: An application of natural language processing to mental health (2016) Transactions of the Association for Computational Linguistics, 4, pp. 463-476; Aubakirova, M., Bansal, M., Interpreting neural networks to improve politeness comprehension (2016), arXiv preprint; Bao, J., Wu, J., Zhang, Y., Chandrasekharan, E., Jurgens, D., (2021), Conversations gone alright: Quantifying and predicting prosocial outcomes in online conversations. In Proceedings of the web conference 2021 (pp. 1134–1145); Bickmore, T.W., Picard, R.W., (2004), Towards caring machines. In CHI’04 extended abstracts on human factors in computing systems (pp. 1489–1492); Bothe, C., Polite emotional dialogue acts for conversational analysis in dialy dialog data (2021), arXiv preprint; Bothe, C., Magg, S., Weber, C., Wermter, S., Discourse-wizard: Discovering deep discourse structure in your conversation with RNNs (2018), arXiv preprint; Brown, P., Levinson, S.C., Levinson, S.C., Politeness: Some universals in language usage, volume 4 (1987), Cambridge University Press; Budzianowski, P., Wen, T.-H., Tseng, B.-H., Casanueva, I., Ultes, S., Ramadan, O., Multiwoz–a large-scale multi-domain wizard-of-oz dataset for task-oriented dialogue modelling (2018), arXiv preprint; Byon, A.S., The role of linguistic indirectness and honorifics in achieving linguistic politeness in Korean requests (2006), Walter de Gruyter; Callejas, Z., Griol, D., López-Cózar, R., Predicting user mental states in spoken dialogue systems (2011) EURASIP Journal on Advances in Signal Processing, 2011, pp. 1-21; Castonguay, L.G., Hill, C.E., How and why are some therapists better than others?: understanding therapist effects (2017), JSTOR; Cerisara, C., Jafaritazehjani, S., Oluokun, A., Le, H., Multi-task dialog act and sentiment recognition on mastodon (2018), arXiv preprint; Chen, Y., Hou, W., Cheng, X., Li, S., (2018), Joint learning for emotion classification and emotion cause detection. In Proceedings of the 2018 conference on empirical methods in natural language processing (pp. 646–651); Chen, G., Tian, Y., Song, Y., (2020), Joint aspect extraction and sentiment analysis with directional graph convolutional networks. In Proceedings of the 28th international conference on computational linguistics (pp. 272–279); Culpeper, J., Tantucci, V., The principle of (im) politeness reciprocity (2021) Journal of Pragmatics, 175, pp. 146-164; Danescu-Niculescu-Mizil, C., Sudhof, M., Jurafsky, D., Leskovec, J., Potts, C., A computational approach to politeness with application to social factors (2013), arXiv preprint; (2017), De Choudhury, M., Sharma, S. S., Logar, T., Eekhout, W., &amp; Nielsen, R. C. Gender and cross-cultural differences in social media disclosures of mental illness. In Proceedings of the 2017 ACM conference on computer supported cooperative work and social computing (pp. 353–369); Devlin, J., Chang, M.-W., Lee, K., Toutanova, K., Bert: Pre-training of deep bidirectional transformers for language understanding (2018), arXiv preprint; Dheeraj, K., Ramakrishnudu, T., Negative emotions detection on online mental-health related patients texts using the deep learning with MHA-BCNN model (2021) Expert Systems with Applications, 182; Do, P.-K., Nguyen, H.-T., Tran, C.-X., Nguyen, M.-T., Nguyen, M.-L., Legal question answering using ranking SVM and deep convolutional neural network (2017), arXiv preprint; Dou, Z.-Y., Tu, Z., Wang, X., Wang, L., Shi, S., Zhang, T., Dynamic layer aggregation for neural machine translation with routing-by-agreement (2019) Proceedings of the AAAI conference on artificial intelligence, 33, pp. 86-93; Dowling, M., Rickwood, D., Investigating individual online synchronous chat counselling processes and treatment outcomes for young people (2014) Advances in Mental Health, 12, pp. 216-224; Dowling, M., Rickwood, D., Exploring hope and expectations in the youth mental health online counselling environment (2016) Computers in Human Behavior, 55, pp. 62-68; Du, C., Sun, H., Wang, J., Qi, Q., Liao, J., Wang, C., (2019), Investigating capsule network and semantic feature on hyperplanes for text classification. In Proceedings of the 2019 conference on empirical methods in natural language processing and the 9th international joint conference on natural language processing (pp. 456–465); Du, C., Sun, H., Wang, J., Qi, Q., Liao, J., Xu, T., (2019), Capsule network with interactive attention for aspect-level sentiment classification. In Proceedings of the 2019 conference on empirical methods in natural language processing and the 9th international joint conference on natural language processing (pp. 5489–5498); Feng, S., Lubis, N., Geishauser, C., Lin, H.-C., Heck, M., van Niekerk, C., Emowoz: A large-scale corpus and labelling scheme for emotion in task-oriented dialogue systems (2021), arXiv preprint; Firdaus, M., Ekbal, A., Bhattacharyya, P., (2020), Incorporating politeness across languages in customer care responses: Towards building a multi-lingual empathetic dialogue agent. In Proceedings of the 12th language resources and evaluation conference (pp. 4172–4182); Fitzpatrick, K.K., Darcy, A., Vierhile, M., Delivering cognitive behavior therapy to young adults with symptoms of depression and anxiety using a fully automated conversational agent (woebot): A randomized controlled trial (2017) JMIR Mental Health, 4; Fleiss, J.L., Measuring nominal scale agreement among many raters (1971) Psychological Bulletin, 76, p. 378; Fulmer, R., Joerin, A., Gentile, B., Lakerink, L., Rauws, M., Using psychological artificial intelligence (tess) to relieve symptoms of depression and anxiety: Randomized controlled trial (2018) JMIR Mental Health, 5; Gan, C., Yang, Y., Zhu, Q., Jain, D.K., Struc, V., DHF-net: A hierarchical feature interactive fusion network for dialogue emotion recognition (2022) Expert Systems with Applications; Gaur, M., Kursuncu, U., Alambo, A., Sheth, A., Daniulaityte, R., Thirunarayan, K., (2018), “Let Me Tell You About Your Mental Health!” Contextualized Classification of Reddit Posts to DSM-5 for Web-based Intervention. In Proceedings of the 27th ACM international conference on information and knowledge management (pp. 753–762); Ghosal, D., Majumder, N., Poria, S., Chhaya, N., Gelbukh, A., (2019), DialogueGCN: A Graph Convolutional Neural Network for Emotion Recognition in Conversation. In Proceedings of the 2019 conference on empirical methods in natural language processing and the 9th international joint conference on natural language processing (pp. 154–164); Gibson, J., Can, D., Xiao, B., Imel, Z.E., Atkins, D.C., Georgiou, P., A deep learning approach to modeling empathy in addiction counseling (2016) Commitment, 111, p. 21; Golchha, H., Firdaus, M., Ekbal, A., Bhattacharyya, P., (2019), 1. , Courteously yours: Inducing courteous behavior in customer care responses using reinforced pointer generator network. In Proceedings of the 2019 conference of the north american chapter of the association for computational linguistics: Human language technologies: (pp. 851–860); Gong, J., Qiu, X., Wang, S., Huang, X., Information aggregation via dynamic routing for sequence encoding (2018), arXiv preprint; Gratch, J., Artstein, R., Lucas, G., Stratou, G., Scherer, S., Nazarian, A., The distress analysis interview corpus of human and computer interviews: Technical report (2014), UNIVERSITY OF SOUTHERN CALIFORNIA LOS ANGELES; Grice, H.P., Logic and conversation (1975) Speech acts, pp. 41-58. , Brill; Gupta, S., Walker, M.A., Romano, D.M., How rude are you?: Evaluating politeness and affect in interaction (2007) International conference on affective computing and intelligent interaction, pp. 203-217. , Springer; Gururaj, G., Varghese, M., Benegal, V., Rao, G., Pathak, K., Singh, L., National mental health survey of India, 2015-16: Mental health systems (2016), National Institute of Mental Health and Neuro Sciences. NIMHANS Publ Bengaluru, India; Hendrycks, D., Burns, C., Chen, A., Ball, S., Cuad: An expert-annotated nlp dataset for legal contract review (2021), arXiv preprint; Howes, C., Purver, M., McCabe, R., Linguistic indicators of severity and progress in online text-based therapy for depression (2014) Proceedings of the workshop on computational linguistics and clinical psychology: from linguistic signal to clinical reality, , Association for Computational Linguistics; Huang, B., Carley, K.M., Syntax-aware aspect level sentiment classification with graph attention networks (2019), arXiv preprint; Inkster, B., Sarda, S., Subramanian, V., An empathy-driven, conversational artificial intelligence agent (wysa) for digital mental well-being: Real-world data evaluation mixed-methods study (2018) JMIR mHealth and uHealth, 6; John, A.K., Caro, L.D., Robaldo, L., Boella, G., Legalbot: A deep learning-based conversational agent in the legal domain (2017) International conference on applications of natural language to information systems, pp. 267-273. , Springer; Kapoor, A., Dhawan, M., Goel, A., Arjun, T., Bhatnagar, A., Agrawal, V., HLDC: Hindi legal documents corpus (2022), arXiv preprint; Kelley, J.F., An iterative design methodology for user-friendly natural language office information applications (1984) ACM Transactions on Information Systems (TOIS), 2, pp. 26-41; Khoshnam, F., Baraani-Dastjerdi, A., A dual framework for implicit and explicit emotion recognition: An ensemble of language models and computational linguistics (2022) Expert Systems with Applications, 198; Kim, J., Kim, Y., Kim, B., Yun, S., Kim, M., Lee, J., (2018), Can a Machine Tend to Teenagers’ Emotional Needs? A Study with Conversational Agents. In Extended abstracts of the 2018 CHI conference on human factors in computing systems (pp. 1–6); Kingma, D.P., Ba, J., Adam: A method for stochastic optimization (2014), arXiv preprint; Kowsrihawat, K., Vateekul, P., Boonkwan, P., Predicting judicial decisions of criminal cases from thai supreme court using bi-directional GRU with attention mechanism (2018) 2018 5th Asian conference on defense technology, pp. 50-55. , IEEE; Lakoff, R., The logic of politeness: Or, minding your p's and q's (1973) Proceedings from the annual meeting of the Chicago linguistic society, 9, pp. 292-305. , Chicago Linguistic Society; Langlotz, A., Locher, M.A., (Im) politeness and emotion (2017) The palgrave handbook of linguistic (im) politeness, pp. 287-322. , Springer; Lee, F.-T., Hull, D., Levine, J., Ray, B., (2019), McKeown, K. Identifying therapist conversational actions across diverse psychotherapeutic approaches. In Proceedings of the sixth workshop on computational linguistics and clinical psychology (pp. 12–23); Li, C., Braud, C., Amblard, M., Multi-task learning for depression detection in dialogs (2022), arXiv preprint; Li, Y., Kazameini, A., Mehta, Y., Cambria, E., Multitask learning for emotion and personality detection (2021), arXiv preprint; Li, Y., Su, H., Shen, X., Li, W., Cao, Z., Niu, S., Dailydialog: A manually labelled multi-turn dialogue dataset (2017), arXiv preprint; Li, J., Zhang, M., Ji, D., Liu, Y., Multi-task learning with auxiliary speaker identification for conversational emotion recognition (2020), arXiv preprint; Liang, Y., Meng, F., Zhang, J., Chen, Y., Xu, J., Zhou, J., An iterative multi-knowledge transfer network for aspect-based sentiment analysis (2020), arXiv preprint; Liang, Y., Meng, F., Zhang, J., Chen, Y., Xu, J., Zhou, J., A dependency syntactic knowledge augmented interactive architecture for end-to-end aspect-based sentiment analysis (2021) Neurocomputing, 454, pp. 291-302; Lin, T., Sun, A., Wang, Y., EDU-capsule: Aspect-based sentiment analysis at clause level (2022) Knowledge and Information Systems, pp. 1-25; Lucas, G.M., Gratch, J., King, A., Morency, L.-P., It's only a computer: Virtual humans increase willingness to disclose (2014) Computers in Human Behavior, 37, pp. 94-100; Madaan, A., Setlur, A., Parekh, T., Poczos, B., Neubig, G., Yang, Y., Politeness transfer: A tag and generate approach (2020), arXiv preprint; Majumder, N., Poria, S., Hazarika, D., Mihalcea, R., Gelbukh, A., Cambria, E., Dialoguernn: An attentive rnn for emotion detection in conversations (2019) Proceedings of the AAAI conference on artificial intelligence, 33, pp. 6818-6825; Majumder, N., Poria, S., Peng, H., Chhaya, N., Cambria, E., Gelbukh, A., Sentiment and sarcasm classification with multitask learning (2019) IEEE Intelligent Systems, 34, pp. 38-43; Malhotra, G., Waheed, A., Srivastava, A., Akhtar, M.S., Chakraborty, T., (2022), Speaker and time-aware joint contextual learning for dialogue-act classification in counselling conversations. In Proceedings of the fifteenth ACM international conference on web search and data mining (pp. 735–745); Marreddy, M., Oota, S.R., Vakada, L.S., Chinni, V.C., Mamidi, R., Multi-task text classification using graph convolutional networks for large-scale low resource language (2022), arXiv preprint; Matsumoto, Y., Reexamination of the universality of face: Politeness phenomena in Japanese (1988) Journal of Pragmatics, 12, pp. 403-426; Matthews, M., Doherty, G., (2011), In the mood: Engaging teenagers in psychotherapy using mobile phones. In Proceedings of the SIGCHI conference on human factors in computing systems (pp. 2947–2956); McElvain, G., Sanchez, G., Matthews, S., Teo, D., Pompili, F., Custis, T., (2019), Westsearch plus: A non-factoid question-answering system for the legal domain. In Proceedings of the 42nd international ACM SIGIR conference on research and development in information retrieval (pp. 1361–1364); Mishra, K., Firdaus, M., Ekbal, A., Please be polite: Towards building a politeness adaptive dialogue system for goal-oriented conversations (2022) Neurocomputing, 494, pp. 242-254; Mishra, K., Firdaus, M., Ekbal, A., Predicting politeness variations in goal-oriented conversations (2022) IEEE Transactions on Computational Social Systems; Mohr, D.C., Burns, M.N., Schueller, S.M., Clarke, G., Klinkman, M., Behavioral intervention technologies: Evidence review and recommendations for future research in mental health (2013) General Hospital Psychiatry, 35, pp. 332-338; Morris, R.R., Kouddous, K., Kshirsagar, R., Schueller, S.M., Towards an artificially empathic conversational agent for mental health applications: System design and user perceptions (2018) Journal of Medical Internet Research, 20; Newbold, J., Doherty, G., Rintel, S., Thieme, A., Politeness Strategies in the Design of Voice Agents for Mental Health (2019); Niu, T., Bansal, M., Polite dialogue generation without parallel data (2018) Transactions of the Association for Computational Linguistics, 6, pp. 373-389; Ohbyung, K., Sukjae, C., Context-aware selection of politeness level for polite mobile service in Korea (2009) Expert Systems with Applications, 36, pp. 4198-4206; Perez-Gaspar, L.-A., Caballero-Morales, S.-O., Trujillo-Romero, F., Multimodal emotion recognition with evolutionary computation for human-robot interaction (2016) Expert Systems with Applications, 66, pp. 42-61; Pérez-Rosas, V., Mihalcea, R., Resnicow, K., Singh, S., An, L., (2017), Understanding and predicting empathic behavior in counseling therapy. In Proceedings of the 55th annual meeting of the association for computational linguistics (Vol. 1: Long lowercasePapers) (pp. 1426–1435); Pérez-Rosas, V., Wu, X., Resnicow, K., Mihalcea, R., (2019), What makes a good counselor? Learning to distinguish between high-quality and low-quality counseling conversations. In Proceedings of the 57th annual meeting of the association for computational linguistics (pp. 926–935); Peskov, D., Clarke, N., Krone, J., Fodor, B., Zhang, Y., Youssef, A., (2019), Multi-domain goal-oriented dialogues (multidogo): Strategies toward curating and annotating large scale dialogue data. In Proceedings of the 2019 conference on empirical methods in natural language processing and the 9th international joint conference on natural language processing (pp. 4526–4536); Pittermann, J., Pittermann, A., Minker, W., Emotion recognition and adaptation in spoken dialogue systems (2010) International Journal of Speech Technology, 13, pp. 49-60; Pruksachatkun, Y., Pendse, S.R., Sharma, A., (2019), Moments of change: Analyzing peer-based cognitive support in online mental health forums. In Proceedings of the 2019 CHI conference on human factors in computing systems (pp. 1–13); Qin, L., Che, W., Li, Y., Ni, M., Liu, T., Dcr-net: A deep co-interactive relation network for joint dialog act recognition and sentiment classification (2020) Proceedings of the AAAI conference on artificial intelligence, 34, pp. 8665-8672; Qin, L., Li, Z., Che, W., Ni, M., Liu, T., Co-gat: A co-interactive graph attention network for joint dialog act recognition and sentiment classification (2021) Proceedings of the AAAI conference on artificial intelligence, 35, pp. 13709-13717; Rashkin, H., Smith, E.M., Li, M., Boureau, Y.-L., Towards empathetic open-domain conversation models: A new benchmark and dataset (2018), arXiv preprint; Reis, J.C., Correia, A., Murai, F., Veloso, A., Benevenuto, F., Supervised learning for fake news detection (2019) IEEE Intelligent Systems, 34, pp. 76-81; Renner, B., (In) directness as an (im) politeness strategy in the contact between German and Brazilian Portuguese as additional languages (2020); Ruder, S., An overview of multi-task learning in deep neural networks (2017), arXiv preprint; Sabour, S., Frosst, N., Hinton, G.E., Dynamic routing between capsules (2017) Advances in Neural Information Processing Systems, 30; Saha, T., Chopra, S., Saha, S., Bhattacharyya, P., Kumar, P., A large-scale dataset for motivational dialogue system: An application of natural language generation to mental health (2021) 2021 international joint conference on neural networks, pp. 1-8. , IEEE; Saha, T., Gakhreja, V., Das, A.S., Chakraborty, S., Saha, S., (2022), Towards Motivational and Empathetic Response Generation in Online Mental Health Support. In Proceedings of the 45th international ACM SIGIR conference on research and development in information retrieval (pp. 2650–2656); Saha, T., Priya, N., Saha, S., Bhattacharyya, P., A transformer based multi-task model for domain classification, intent detection and slot-filling (2021) 2021 international joint conference on neural networks, pp. 1-8. , IEEE; Saha, T., Reddy, S., Das, A., Saha, S., Bhattacharyya, P., (2022), A Shoulder to Cry on: Towards A Motivational Virtual Assistant for Assuaging Mental Agony. In Proceedings of the 2022 conference of the North American chapter of the association for computational linguistics: Human language technologies (pp. 2436–2449); Saha, T., Reddy, S.M., Saha, S., Bhattacharyya, P., Mental health disorder identification from motivational conversations (2022) IEEE Transactions on Computational Social Systems; Shao, Z., Chandramouli, R., Subbalakshmi, K., Boyadjiev, C.T., An analytical system for user emotion extraction, mental state modeling, and rating (2019) Expert Systems with Applications, 124, pp. 82-96; Sharma, A., Choudhury, M., Althoff, T., Sharma, A., Engagement patterns of peer-to-peer interactions on mental health platforms (2020) Proceedings of the international AAAI conference on web and social media, 14, pp. 614-625; Sharma, E., (2018), De Choudhury, M. Mental health support and its relationship to linguistic accommodation in online communities. In Proceedings of the 2018 CHI conference on human factors in computing systems (pp. 1–13); Sharma, A., Lin, I.W., Miner, A.S., Atkins, D.C., Althoff, T., (2021), Towards facilitating empathic conversations in online mental health support: A reinforcement learning approach. In Proceedings of the web conference 2021 (pp. 194–205); Sharma, A., Miner, A.S., Atkins, D.C., Althoff, T., A computational approach to understanding empathy expressed in text-based mental health support (2020), arXiv preprint; Shi, W., Yu, Z., Sentiment adaptive end-to-end dialog systems (2018), arXiv preprint; Singh, G.V., Priya, P., Firdaus, M., Ekbal, A., Bhattacharyya, P., EmoInHindi: A multi-label emotion and intensity annotated dataset in Hindi for emotion recognition in dialogues (2022), arXiv preprint; Srinivasan, V., Takayama, L., (2016), Help me please: Robot politeness strategies for soliciting help from humans. In Proceedings of the 2016 CHI conference on human factors in computing systems (pp. 4945–4955); Srivastava, N., Hinton, G., Krizhevsky, A., Sutskever, I., Salakhutdinov, R., Dropout: A simple way to prevent neural networks from overfitting (2014) Journal of Machine Learning Research, 15, pp. 1929-1958; Staliūnaitė, I., Iacobacci, I., Auxiliary capsules for natural language understanding (2020) ICASSP 2020-2020 IEEE international conference on acoustics, speech and signal processing, pp. 8154-8158. , IEEE; Steinfeld, A., Fong, T., Kaber, D., Lewis, M., Scholtz, J., Schultz, A., (2006), Common metrics for human-robot interaction. In Proceedings of the 1st ACM SIGCHI/SIGART conference on human-robot interaction (pp. 33–40); Sun, K., Zhang, R., Mensah, S., Mao, Y., Liu, X., (2019), Aspect-level sentiment analysis via convolution over dependency tree. In Proceedings of the 2019 conference on empirical methods in natural language processing and the 9th international joint conference on natural language processing (pp. 5679–5688); Tian, Y., Song, Y., Ao, X., Xia, F., Quan, X., Zhang, T., (2020), Joint Chinese word segmentation and part-of-speech tagging via two-way attentions of auto-analyzed knowledge. In Proceedings of the 58th annual meeting of the association for computational linguistics (pp. 8286–8296); Vaswani, A., Shazeer, N., Parmar, N., Uszkoreit, J., Jones, L., Gomez, A.N., (2017), Attention is all you need. In Advances in neural information processing systems (pp. 5998–6008); Wadden, D., August, T., Li, Q., Althoff, T., (2021), The effect of moderation on online mental health conversations. In ICWSM; Wang, Y., Meng, X., Liu, Y., Sun, A., Wang, Y., Zheng, Y., Chat-capsule: A hierarchical capsule for dialog-level emotion analysis (2022), arXiv preprint; Wang, Y.-C., Papangelis, A., Wang, R., Feizollahi, Z., Tur, G., Kraut, R., Can you be more social? Injecting politeness and positivity into task-oriented conversational agents (2020), arXiv preprint; Wang, Y., Sun, A., Huang, M., Zhu, X., (2019), Aspect-level sentiment analysis using as-capsules. In The world wide web conference (pp. 2033–2044); Watts, R.J., Politeness (2003), Cambridge University Press; Welch, B.L., The generalization of ‘student's’problem when several different population varlances are involved (1947) Biometrika, 34, pp. 28-35; White, M., Dorman, S.M., Receiving social support online: Implications for health education (2001) Health Education Research, 16, pp. 693-707; Xiao, L., Zhang, H., Chen, W., Wang, Y., Jin, Y., (2018), Mcapsnet: Capsule network for text with multi-task learning. In Proceedings of the 2018 conference on empirical methods in natural language processing (pp. 4565–4574); Xiao, C., Zhong, H., Guo, Z., Tu, C., Liu, Z., Sun, M., Cail2018: A large-scale legal dataset for judgment prediction (2018), arXiv preprint; Xu, Y., Yao, E., Liu, C., Liu, Q., Xu, M., A novel ensemble model with two-stage learning for joint dialog act recognition and sentiment classification (2023) Pattern Recognition Letters, 165, pp. 77-83; Yang, Y., Wu, B., Li, L., Wang, S., A joint model for aspect-category sentiment analysis with textgcn and bi-GRU (2020) 2020 IEEE fifth international conference on data science in cyberspace, pp. 156-163. , IEEE; Yang, D., Yao, Z., Seering, J., Kraut, R., (2019), The channel matters: Self-disclosure, reciprocity and social support in online cancer support groups. In Proceedings of the 2019 chi conference on human factors in computing systems (pp. 1–15); Yazdavar, A.H., Al-Olimat, H.S., Ebrahimi, M., Bajaj, G., Banerjee, T., Thirunarayan, K., (2017), Semi-supervised approach to monitoring clinical depressive symptoms in social media. In Proceedings of the 2017 IEEE/ACM international conference on advances in social networks analysis and mining 2017 (pp. 1191–1198); Yazdavar, A.H., Mahdavinejad, M.S., Bajaj, G., Romine, W., Sheth, A., Monadjemi, A.H., Multimodal mental health analysis in social media (2020) Plos One, 15; Yazdavar, A.H., Mahdavinejad, M.S., Bajaj, G., Thirunarayan, K., Pathak, J., Sheth, A., Mental health analysis via social media data (2018) 2018 IEEE international conference on healthcare informatics, pp. 459-460. , IEEE; Zhang, J., Danescu-Niculescu-Mizil, C., Balancing objectives in counseling conversations: Advancing forwards or looking backwards (2020), arXiv preprint; Zhang, J., Filbin, R., Morrison, C., Weiser, J., Danescu-Niculescu-Mizil, C., Finding your voice: The linguistic development of mental health counselors (2019), arXiv preprint; Zhang, C., Li, Y., Du, N., Fan, W., Yu, P.S., Joint slot filling and intent detection via capsule neural networks (2018), arXiv preprint; Zhong, H., Xiao, C., Tu, C., Zhang, T., Liu, Z., Sun, M., JEC-QA: A legal-domain question answering dataset (2020) Proceedings of the AAAI conference on artificial intelligence, 34, pp. 9701-9708; Zhou, H., Huang, M., Zhang, T., Zhu, X., Liu, B., Emotional chatting machine: Emotional conversation generation with internal and external memory (2018) Proceedings of the AAAI conference on artificial intelligence, 32; Zhou, X., Wang, W.Y., Mojitalk: Generating emotional responses at scale (2017), arXiv preprint</t>
  </si>
  <si>
    <t>09574174</t>
  </si>
  <si>
    <t>ESAPE</t>
  </si>
  <si>
    <t>Expert Sys Appl</t>
  </si>
  <si>
    <t>2-s2.0-85151804785</t>
  </si>
  <si>
    <t>Li J., Qiu J., Li H.</t>
  </si>
  <si>
    <t>58123815400;37019778200;55082661900;</t>
  </si>
  <si>
    <t>Connectome-based predictive modeling of trait forgiveness</t>
  </si>
  <si>
    <t>Social cognitive and affective neuroscience</t>
  </si>
  <si>
    <t>10.1093/scan/nsad002</t>
  </si>
  <si>
    <t>https://www.scopus.com/inward/record.uri?eid=2-s2.0-85149182042&amp;doi=10.1093%2fscan%2fnsad002&amp;partnerID=40&amp;md5=aceb474f593f809f15f92d6da8288be7</t>
  </si>
  <si>
    <t>Department of Psychology, Shanghai Normal UniversityShanghai  200234, China; Research Base of Online Education for Shanghai Middle and Primary SchoolsShanghai  200234, China; Key Laboratory of Cognition and Personality (SWU), Ministry of EducationChongqing  400715, China; Faculty of Psychology, Southwest UniversityChongqing  400715, China</t>
  </si>
  <si>
    <t>Li, J., Department of Psychology, Shanghai Normal UniversityShanghai  200234, China, Research Base of Online Education for Shanghai Middle and Primary SchoolsShanghai  200234, China; Qiu, J., Key Laboratory of Cognition and Personality (SWU), Ministry of EducationChongqing  400715, China, Faculty of Psychology, Southwest UniversityChongqing  400715, China; Li, H., Department of Psychology, Shanghai Normal UniversityShanghai  200234, China, Research Base of Online Education for Shanghai Middle and Primary SchoolsShanghai  200234, China</t>
  </si>
  <si>
    <t>Forgiveness is a positive, prosocial manner of reacting to transgressions and is strongly associated with mental health and well-being. Despite recent studies exploring the neural mechanisms underlying forgiveness, a model capable of predicting trait forgiveness at the individual level has not been developed. Herein, we applied a machine-learning approach, connectome-based predictive modeling (CPM), with whole-brain resting-state functional connectivity (rsFC) to predict individual differences in trait forgiveness in a training set (dataset 1, N = 100, 35 men, 17-24 years). As a result, CPM successfully predicted individual trait forgiveness based on whole-brain rsFC, especially via the functional connectivity of the limbic, prefrontal and temporal areas, which are key contributors to the prediction model comprising regions previously implicated in forgiveness. These regions include the retrosplenial cortex, temporal pole, dorsolateral prefrontal cortex (PFC), dorsal anterior cingulate cortex, precuneus and dorsal posterior cingulate cortex. Importantly, this predictive model could be successfully generalized to an independent sample (dataset 2, N = 71, 17 men, 16-25 years). These findings highlight the important roles of the limbic system, PFC and temporal region in trait forgiveness prediction and represent the initial steps toward establishing an individualized prediction model of forgiveness. © The Author(s) 2023. Published by Oxford University Press.</t>
  </si>
  <si>
    <t>connectome-based predictive modeling; forgiveness; resting-state functional connectivity</t>
  </si>
  <si>
    <t>brain; connectome; forgiveness; human; male; nuclear magnetic resonance imaging; parietal lobe; Brain; Connectome; Forgiveness; Humans; Magnetic Resonance Imaging; Male; Parietal Lobe</t>
  </si>
  <si>
    <t>17495024</t>
  </si>
  <si>
    <t>Soc Cogn Affect Neurosci</t>
  </si>
  <si>
    <t>2-s2.0-85149182042</t>
  </si>
  <si>
    <t>van der Maden W., Lomas D., Hekkert P.</t>
  </si>
  <si>
    <t>57696099700;58072600000;6602210603;</t>
  </si>
  <si>
    <t>A framework for designing AI systems that support community wellbeing</t>
  </si>
  <si>
    <t>1011883</t>
  </si>
  <si>
    <t>10.3389/fpsyg.2022.1011883</t>
  </si>
  <si>
    <t>https://www.scopus.com/inward/record.uri?eid=2-s2.0-85146361704&amp;doi=10.3389%2ffpsyg.2022.1011883&amp;partnerID=40&amp;md5=4b9d8b3881a054ce15e173fb5ffd552e</t>
  </si>
  <si>
    <t>Department of Human Centered Design, Faculty of Industrial Design Engineering, Delft University of Technology, Delft, Netherlands</t>
  </si>
  <si>
    <t>van der Maden, W., Department of Human Centered Design, Faculty of Industrial Design Engineering, Delft University of Technology, Delft, Netherlands; Lomas, D., Department of Human Centered Design, Faculty of Industrial Design Engineering, Delft University of Technology, Delft, Netherlands; Hekkert, P., Department of Human Centered Design, Faculty of Industrial Design Engineering, Delft University of Technology, Delft, Netherlands</t>
  </si>
  <si>
    <t>Introduction: Designing artificial intelligence (AI) to support health and wellbeing is an important and broad challenge for technologists, designers, and policymakers. Drawing upon theories of AI and cybernetics, this article offers a design framework for designing intelligent systems to optimize human wellbeing. We focus on the production of wellbeing information feedback loops in complex community settings, and discuss the case study of My Wellness Check, an intelligent system designed to support the mental health and wellbeing needs of university students and staff during the COVID-19 pandemic. Methods: The basis for our discussion is the community-led design of My Wellness Check, an intelligent system that supported the mental health and wellbeing needs of university students and staff during the COVID-19 pandemic. Our system was designed to create an intelligent feedback loop to assess community wellbeing needs and to inform community action. This article provides an overview of our longitudinal assessment of students and staff wellbeing (n = 20,311) across two years of the COVID-19 pandemic. Results: We further share the results of a controlled experiment (n = 1,719) demonstrating the enhanced sensitivity and user experience of our context-sensitive wellbeing assessment. Discussion: Our approach to designing “AI for community wellbeing,” may generalize to the systematic improvement of human wellbeing in other human-computer systems for large-scale governance (e.g., schools, businesses, NGOs, platforms). The two main contributions are: 1) showcasing a simple way to draw from AI theory to produce more intelligent human systems, and 2) introducing a human-centered, community-led approach that may be beneficial to the field of AI. Copyright © 2023 van der Maden, Lomas and Hekkert.</t>
  </si>
  <si>
    <t>artificial intelligence; community wellbeing; cybernetics; feedback loop; human values; human-centered design; wellbeing economy</t>
  </si>
  <si>
    <t>Alexandrova, A., Well-being as an object of science (2012) Philos. Sci, 79, pp. 678-689. , 36427137, PMID; Allas, T., Chinn, D., Sjatil, P.E., Zimmerman, W., (2020) Well-being in Europe: Addressing the high cost of COVID-19 on life satisfaction, , Mckinsey and Company; Arnold, R.D., Wade, J.P., A definition of systems thinking: a systems approach (2015) Proc. Comput. Sci, 44, pp. 669-678. , 36425799, PMID; Aucejo, E.M., French, J., Ugalde Araya, M.P., Zafar, B., The impact of COVID-19 on student experiences and expectations: evidence from a survey (2020) J. Public Econ, 191, p. 104271. , 32873994, PMID; Baumgartner, J., Ruettgers, N., Hasler, A., Sonderegger, A., Sauer, J., Questionnaire experience and the hybrid system usability scale: using a novel concept to evaluate a new instrument (2021) Int. J. Hum. Comput. Stud, 147, p. 102575; Bloom, B.S., Recent developments in mastery learning (1973) Educ. Psychol, 10, pp. 53-57; Boateng, G.O., Neilands, T.B., Frongillo, E.A., Melgar-Quiñonez, H.R., Young, S.L., Best practices for developing and validating scales for health, social, and Behavioral research: a primer (2018) Front. Public Health, 6, p. 149; Bono, G., Reil, K., Hescox, J., Stress and wellbeing in urban college students in the U.S. during the COVID-19 pandemic: can grit and gratitude help? (2020) Int. J. Wellbeing, 10, pp. 39-57; Brodeur, A., Clark, A.E., Fleche, S., Powdthavee, N., COVID-19, lockdowns and well-being: Evidence from Google trends (2021) J. Public Econ, 193, p. 104346. , 33281237, PMID; Burns, D., Dagnall, N., Holt, M., Assessing the impact of the COVID-19 pandemic on student wellbeing at universities in the United Kingdom: A conceptual analysis (2020) Front. Educ, 5, p. 5; Butler, J., Kern, M.L., The PERMA-profiler: a brief multidimensional measure of flourishing (2016) Int. J. Wellbeing, 6, pp. 1-48; Carter, K., Banks, S., Armstrong, A., Kindon, S., Burkett, I., Issues of disclosure and intrusion: ethical challenges for a community researcher (2013) Ethics Soc. Welf, 7, pp. 92-100; Chan, L., Swain, V.D., Kelley, C., de Barbaro, K., Abowd, G.D., Wilcox, L., Students’ experiences with ecological momentary assessment tools to report on emotional well-being (2018) Proc. ACM Interact. Mob. Wearable Ubiquitous Technol, 2, pp. 1-20; Cloutier, S., Ehlenz, M., Afinowich, R., Cultivating community wellbeing: guiding principles for research and practice (2019) Int. J. Community Well-Being, 2, pp. 277-299; Coburn, A., Gormally, S., Defining well-being in community development from the ground up: a case study of participant and practitioner perspectives (2020) Commun. Dev. J, 55, pp. 237-257; Cooke, P.J., Melchert, T.P., Connor, K., Measuring well-being: a review of instruments (2016) Couns. Psychol, 44, pp. 730-757. , 36424824, PMID; Costanza-Chock, S., (2020) Design justice: Community-led practices to build the worlds we need, , The MIT Press; Crawford, D.N., (2020) Supporting student wellbeing during COVID-19: Tips from regional and remote Australia; Daher, M., Carré, P.D., Jaramillo, A., Olivares, H., Tomicic, A., Experience and meaning in qualitative research: a conceptual review and a methodological device proposal (2017) Forum Qual. Sozialforschung, 18; D’Alfonso, S., AI in mental health (2020) Current Opinion in Psychology, 36, pp. 112-117; De Pue, S., Gillebert, C., Dierckx, E., Vanderhasselt, M.-A., De Raedt, R., Van den Bussche, E., The impact of the COVID-19 pandemic on wellbeing and cognitive functioning of older adults (2021) Sci. Rep, 11, p. 4636; Diener, E., Emmons, R.A., Larsen, R., Griffin, S., The satisfaction with life scale (1985) J. Pers. Assess, 49, pp. 71-75; Diener, E., Suh, E.M., Lucas, R.E., Smith, H.L., Subjective well-being: three decades of progress (1999) Psychol. Bull, 125, pp. 276-302. , 36235868, PMID; Dodge, R., Daly, A., Huyton, J., Sanders, L., The challenge of defining wellbeing (2012) Int. J. Wellbeing, 2, pp. 222-235. , 36426432, PMID; Dooris, M., Farrier, A., Froggett, L., Wellbeing: the challenge of ‘operationalising’ an holistic concept within a reductionist public health programme (2018) Perspect. Public Health, 138, pp. 93-99. , 28574301, PMID; Dubberly, H., Pangaro, P., Cybernetics and service-craft: language for behavior-focused design (2007) Kybernetes, 36, pp. 1301-1317; Dubberly, H., Pangaro, P., Cybernetics and design: conversations for action (2019) Des. Res. Found, pp. 85-99; (2019), https://digital-strategy.ec.europa.eu/en/library/definition-artificial-intelligence-main-capabilities-and-scientific-disciplines, A definition of artificial intelligence: Main capabilities and scientific disciplines|shaping Europe’s digital future [WWW document]. :, [Accessed September 11, 2022]; Fawaz, M., Samaha, A., E-learning: depression, anxiety, and stress symptomatology among Lebanese university students during COVID-19 quarantine (2021) Nurs. Forum, 56, pp. 52-57. , 33125744, PMID; Fioramonti, L., Coscieme, L., Costanza, R., Kubiszewski, I., Trebeck, K., Wallis, S., Wellbeing economy: an effective paradigm to mainstream post-growth policies? (2022) Ecol. Econ, 192, p. 107261; Fokkinga, S.F., Desmet, P.M.A., Hekkert, P., Impact-centered design: Introducing an integrated framework of the psychological and behavioral effects of design (2020) Int. J. Design, 14, pp. 97-116; Frisch, M.B., Cornell, J., Villanueva, M., Retzlaff, P.J., Clinical validation of the quality of life inventory. A measure of life satisfaction for use in treatment planning and outcome assessment (1992) Psychol. Assess, 4, p. 92. , 34596671, :,, PMID; Genç, E., Arslan, G., Optimism and dispositional hope to promote college students’ subjective well-being in the context of the COVID-19 pandemic (2021) J. Posit. Sch. Psychol, 5, pp. 87-96; Gillespie, T., The relevance of algorithms (2014) Media Technologies, pp. 167-194. , Gillespie T., Boczkowski P.J., Foot K.A., (eds), Cambridge, Massachusetts: The MIT Press, eds; Glanville, R., (2009) System Science and Cybernetics, III, pp. 59-86; Graham, S., Depp, C., Lee, E.E., Nebeker, C., Tu, X., Kim, H.-C., Artificial intelligence for mental health and mental illnesses: an overview (2019) Curr. Psychiatry Rep, 21, p. 116; Gregory, T., Engelhardt, D., Lewkowicz, A., Luddy, S., Guhn, M., Gadermann, A., Validity of the middle years development instrument for population monitoring of student wellbeing in Australian school children (2019) Child Indic. Res, 12, pp. 873-899; Hagey, K., Horwitz, J., Facebook tried to make its platform a healthier place. It got angrier instead (2021) Wall Str. J, pp. 1-16; Hekkert, P., van Dijk, M., (2011) Vision in design - a guidebook for innovators, , BIS Publishers, Amsterdam; Hu, C., Chen, C., Dong, X.-P., Impact of COVID-19 pandemic on patients with neurodegenerative diseases (2021) Front. Aging Neurosci, 13, p. 664965; Khan, I., Shah, D., Shah, S.S., COVID-19 pandemic and its positive impacts on environment: an updated review (2021) Int. J. Environ. Sci. Technol, 18, pp. 521-530. , 33224247, PMID; Kjell, O.N.E., Diener, E., Abbreviated Three-Item Versions of the Satisfaction with Life Scale and the Harmony in Life Scale Yield as Strong Psychometric Properties as the Original Scales (2020) Journal of Personality Assessment, pp. 1-2; Klenk, M., Duijf, H., Ethics of digital contact tracing and COVID-19: who is (not) free to go? (2021) Ethics Inf. Technol, 23, pp. 69-77. , 32863740, PMID; Krippendorff, K., The cybernetics of design and the design of cybernetics (2007) Kybernetes, 36, pp. 1381-1392. , 34017925, PMID; Krippendorff, K., (2021), https://rsdsymposium.org/professor-dr-klaus-krippendorff/, From uncritical design to critical examinations of its systemic consequences. RSD Symp. :, [Accessed August 14, 2022]; Kross, E., Verduyn, P., Sheppes, G., Costello, C.K., Jonides, J., Ybarra, O., Social media and well-being: pitfalls, Progress, and next steps (2021) Trends Cogn. Sci, 25, pp. 55-66. , 33187873, PMID; Linton, M.J., Dieppe, P., Medina-Lara, A., Review of 99 self-report measures for assessing well-being in adults: exploring dimensions of well-being and developments over time (2016) BMJ Open, 6. , 27388349,, PMID; Löhr, K., Weinhardt, M., Sieber, S., The “world Café” as a participatory method for collecting qualitative data (2020) Int J Qual Methods, 19. , 1609406920916976; Lomas, D., Matzat, U., Pei, L., Rouwenhorst, C., van der Maden, W., Stevens, T., Den Brok, P., Klaassen, R., (2021) The impact of COVID-19 on university teaching and learning: Evidence for the central importance of student and staff well-being; Lomas, J.D., Patel, N., Forlizzi, J., Designing data-informed intelligent systems to create positive impact (2021) Relat. Syst. Des. Think. Symposium, p. 10; Lomas, D., van der Maden, W., (2021) My wellness check designing a student and staff wellbeing feedback loop to inform university policy and governance; London, A.J., Artificial intelligence and black-box medical decisions: accuracy versus explainability (2019) Hast. Cent. Rep, 49, pp. 15-21. , 30790315, PMID; Mackenzie, S.B., Podsakoff, P.M., Podsakoff, N.P., Linked references are available on JSTOR for this article: construct measurement and validation procedures in MIS and Behavioral research: integrating new and existing Techniques1 (2011) MIS Q, 35, pp. 293-334; Mccrea, R., Walton, A., Leonard, R., Developing a model of community wellbeing and resilience in response to change (2015) Soc. Indic. Res, 129; Mizobuchi, H., Measuring world better life frontier: a composite indicator for OECD better life index (2014) Soc. Indic. Res, 118, pp. 987-1007; Norman, D.A., Stappers, P.J., DesignX: complex sociotechnical systems (2015) She Ji, 1, pp. 83-106; Pangaro, P., (2017) Cybernetics as Phoenix: Why ashes, what new life, conversations. Cybernetics: State of the Art; Pangaro, P., (2021), https://pangaro.com/designconversation/2021/08/newmacy-in-2021-pandemics-ai/, #NewMacy 2021: responding to pandemics of Today’s AI Design+Conversation. :, [Accessed May 4, 2022]; Phillips, R., Wong, C., Handbook of community well-being research (2017) International Handbooks of Quality-of-Life, , Netherlands, Dordrecht, Springer; Pavot, W., Diener, E., Review of the satisfaction with life scale (2009) Assessing well-being. Springer, Dordrecht, pp. 101-117; Piliavin, J.A., Siegl, E., Health benefits of volunteering in the Wisconsin longitudinal study (2007) J. Health Soc. Behav, 48, pp. 450-464. , 18198690, PMID; Pressman, A., (2019) Design thinking: A guide to creative problem solving for everyone, , New York: Routledge; Pretorius, T., Depression among health care students in the time of COVID-19: the mediating role of resilience in the hopelessness–depression relationship (2021) South Afr. J. Psychol, 51, pp. 269-278; Radler, B.T., Ryff, C.D., Who participates? Accounting for longitudinal retention in the MIDUS National Study of health and well-being (2010) J. Aging Health, 22, pp. 307-331. , 20103686, PMID; Rambur, B., Vallett, C., Cohen, J.A., Tarule, J.M., Metric-driven harm: an exploration of unintended consequences of performance measurement (2013) Appl. Nurs. Res, 26, pp. 269-272. , 24206760, PMID; Renshaw, T.L., Bolognino, S.J., The college student subjective wellbeing questionnaire: a brief, multidimensional measure of undergraduate’ s covitality (2014) J. Happ. Stud.: Interdis. Forum Sub. Well-Being, 17, pp. 463-484; Renshaw, T.L., Long, A.C.J., Cook, C.R., (2014), Assessing adolescents’ Positive psychological functioning at school: Development and validation of the student subjective wellbeing questionnaire 29; Rossi, F., A definition of AI 9; Russell, S.J., Norvig, P., (2022) Artificial intelligence: A modern approach, fourth edition, global, , Pearson series artificial intelligence, Pearson, Harlow; Ryff, C.D., Keyes, C.L.M., The structure of psychological well-being revisited (1995) J. Pers. Soc. Psychol, 69, pp. 719-727. , 7473027, PMID; Ryff, C.D., Singer, B.H., Best news yet on the six-factor model of well-being (2006) Soc. Sci. Res, 35, pp. 1103-1119; Sanches, P., Janson, A., Karpashevich, P., Nadal, C., Qu, C., Daudén Roquet, C., Umair, M., Sas, C., (2019), HCI and affective health: Taking stock of a decade of studies and charting future research directions. Association for Computing Machinery: New York, NY, USA. 1–17; Sas, C., Höök, K., Doherty, G., Sanches, P., Leufkens, T., Westerink, J., Mental Wellbeing: Future Agenda Drawing from Design, HCI and Big Data (2020) Companion publication of the 2020 ACM designing interactive systems conference, pp. 425-428. , Eindhoven Netherlands, ACM; Seligman, M.E.P., Flourish: a visionary new understanding of happiness and well-being (2011) Policy, pp. 14-29. , 1st Ed. Policy; Shah, R., Chircu, A., IOT and ai in healthcare: A systematic literature review (2018) Issues in Information Systems, 19; Shahriari, K., Shahriari, M., IEEE standard review - ethically aligned design: a vision for prioritizing human wellbeing with artificial intelligence and autonomous systems (2017) Int. Humanit. Technol. Conf, 2017, pp. 197-201; Shaukat, K., Iqbal, F., Alam, T.M., Aujla, G.K., Devnath, L., Khan, A.G., The impact of artificial intelligence and robotics on the future employment opportunities (2020) Trends Comp. Sci. Inform. Tech, 5, pp. 050-054; Sirgy, M.J., The psychology of material well-being (2018) Appl. Res. Qual. Life, 13, pp. 273-301. , 36425465, PMID; Springer, K.W., Hauser, R.M., An assessment of the construct validity of Ryff’s scales of psychological well-being: method, mode, and measurement effects (2006) Soc. Sci. Res, 35, pp. 1080-1102; Stocké, V., Langfeldt, B., Effects of survey experience on respondents’ attitudes towards surveys (2004) Bull. Méthodologie Sociol, 81, pp. 5-32; Stray, J., Aligning AI optimization to community well-being (2020) Int. J. Commun; Sutton, R.S., Barto, A.G., (2018) Reinforcement learning, 3, pp. 443-463. , second edition, An Introduction. MIT Press, Well-Being; Sweeting, B., Design research as a variety of second-order cybernetic practice (2016) Constr. Found, 11, pp. 572-579; Tan, C., The impact of COVID-19 on student motivation, community of inquiry and learning performance (2020) Asian Educ. Dev. Stud, 10, pp. 308-321. , 35935690, PMID; Tennant, R., Hiller, L., Fishwick, R., Platt, S., Joseph, S., Weich, S., The Warwick-Dinburgh mental well-being scale (WEMWBS): development and UK validation (2007) Health Qual. Life Outcomes, 5, pp. 1-13; Thomas, R.L., Uminsky, D., Reliance on metrics is a fundamental challenge for AI (2020) Ethics Data Sci. Conf; Topp, C.W., Østergaard, S.D., Søndergaard, S., Bech, P., The WHO-5 well-being index: a systematic review of the literature (2015) Psychother. Psychosom, 84, pp. 167-176. , 25831962, PMID; Ura, K., Alkire, S., Zangmo, T., GNH and GNH index (2012) Cent. Bhutan Stud, pp. 1-60; van der Maden, W., Lomas, J.D., Hekkert, P., (2022), Design for wellbeing during Covid-19: a cybernetic perspective on data feedback loops complex socIotechnical systems. DRS2022: Bilbao, 25; Vander Weele, T.J., Measures of community well-being: a template (2019) Int. J. Community Well-Being, 2, pp. 253-275. , 36397075, PMID; Vander Weele, T.J., Trudel-Fitzgerald, C., Allin, P., Farrelly, C., Fletcher, G., Frederick, D.E., Current recommendations on the selection of measures for well-being (2020) Prev. Med, 133, p. 106004. , 32006530, :,, PMID; von Foerster, H., Cybernetics of cybernetics (2003) Underst. Underst, pp. 283-286; Wang, F., Kaushal, R., Khullar, D., Should health care demand interpretable artificial intelligence or accept “black box” medicine? (2020) Annals of internal medicine, 179, pp. 59-60; White, R.G., Van Der Boor, C., Impact of the COVID-19 pandemic and initial period of lockdown on the mental health and well-being of adults in the UK (2020) BJPsych. Open, 6, p. e90. , 32799958, :,, PMID; Wiener, N., (1961) Cybernetics or control and communication in the animal and the machine, , MIT Press, New York; Williams, G.M., Pendlebury, H., Thomas, K., Smith, A.P., The student well-being process questionnaire (student WPQ) (2017) Psychology, 8, pp. 1748-1761; Wong, C.S., Law, K.S., Multidimensional constructs in structural equation analysis: an illustration using the job perception and job satisfaction constructs (1999) J. Manag, 25, pp. 143-160; (1946), Constitution; Xiong, J., Lipsitz, O., Nasri, F., Lui, L.M.W., Gill, H., Phan, L., Impact of COVID-19 pandemic on mental health in the general population: a systematic review (2020) J. Affect. Disord, 277, pp. 55-64. , 32799105, PMID; Yang, Q., Steinfeld, A., Zimmerman, J., (2019), Unremarkable AI: Fitting intelligent decision suort into critical, clinical decision-making processes. 1–11; Zuckerberg, M., (2018), https://www.facebook.com/zuck/posts/10104413015393571, Untitled. Facebook., (accessed December 1, 2022</t>
  </si>
  <si>
    <t>2-s2.0-85146361704</t>
  </si>
  <si>
    <t>A framework for designing ai systems that support community wellbeing</t>
  </si>
  <si>
    <t>Periyanayagi S., Nandini V., Basarikodi K., Sumathy V.</t>
  </si>
  <si>
    <t>50361721600;57194439343;58091315800;6603660124;</t>
  </si>
  <si>
    <t>IOT Assisted Biomedical Monitoring Sensors for Healthcare in Human</t>
  </si>
  <si>
    <t>Computer Systems Science and Engineering</t>
  </si>
  <si>
    <t>2853</t>
  </si>
  <si>
    <t>2868</t>
  </si>
  <si>
    <t>10.32604/csse.2023.030538</t>
  </si>
  <si>
    <t>https://www.scopus.com/inward/record.uri?eid=2-s2.0-85147444552&amp;doi=10.32604%2fcsse.2023.030538&amp;partnerID=40&amp;md5=009cb321591adca92c27615aa8a239b5</t>
  </si>
  <si>
    <t>Department of ECE, Ramco Institute of Technology, Rajapalayam, 626117, India; Department of CSE, Sona College of Technology, Salem, 636005, India; Department of Mathematics, Ramco Institute of Technology, Rajapalayam, India; Government College of Engineering, Dharmapuri, India</t>
  </si>
  <si>
    <t>Periyanayagi, S., Department of ECE, Ramco Institute of Technology, Rajapalayam, 626117, India; Nandini, V., Department of CSE, Sona College of Technology, Salem, 636005, India; Basarikodi, K., Department of Mathematics, Ramco Institute of Technology, Rajapalayam, India; Sumathy, V., Government College of Engineering, Dharmapuri, India</t>
  </si>
  <si>
    <t>The Internet of Things (IoT) is a concept that refers to the deployment of Internet Protocol (IP) address sensors in health care systems to monitor patients' health. It has the ability to access the Internet and collect data from sensors. Automated decisions are made after evaluating the information of illness people records. Patients' health and well-being can be monitored through IoT medical devices. It is possible to trace the origins of biological, medical equipment and processes. Human reliability is a major concern in user activity and fitness trackers in day-to-day activities. The fundamental challenge is to measure the efficiency of the human system accurately. Aim to maintain tabs on the well-being of humans; this paper recommends the use of wireless body area networks (WBANs) and artificial neural networks (ANN) to create an IoT-based healthcare framework for hospital information systems (IoT-HF-HIS). Our evaluation system uses a server to estimate how much computing power is needed for modeling, and simulations of the framework have been done using data rate and latency requirements are implementing the energy-aware technology presented in this paper. The proposed framework implements several hospital information system case studies by building a time-saving simulation environment. As the world's population ages, more and more people suffer from physical and emotional ailments. Using the recommended strategy regularly has been proven user-friendly, reliable, and cost-effective, with an overall performance of 95.2%. © 2023 CRL Publishing. All rights reserved.</t>
  </si>
  <si>
    <t>ANN; biomedical sensors; healthcare; humans; IoT; WBANs</t>
  </si>
  <si>
    <t>Biosensors; Computing power; Cost effectiveness; Health care; Hospitals; Information systems; Information use; Internet protocols; Neural networks; Power management (telecommunication); Wireless local area networks (WLAN); Biomedical monitoring; Biomedical sensors; Healthcare; Hospital information systems; Human; Internet protocol address; Monitoring sensors; Patient health; Well being; Wireless body area network; Internet of things</t>
  </si>
  <si>
    <t>Rani, S., Ahmed, S. H., Rastogi, R., Dynamic clustering approach based on wireless sensor networks genetic algorithm for IoT applications (2019) Wireless Networks, 9, pp. 1154-1172; Catherwood, P. A., Steele, D., Little, M., McComb, S., McLaughlin, J. A., A Community-based iot personalized wireless healthcare solution trial (2021) IEEE Journal of Translational Engineering in Health and Medicine, 6, pp. 1-3; Liao, H., Zhou, Z., Zhao, X., Zhang, L., Mumtaz, S., Learning-based context-aware resource allocation for edge-computing-empowered industrial IOT (2019) IEEE Internet of Things Journal, 7 (5), pp. 4260-4277; Chakraborty, S., Bhatt, V., Chakravorty, T., Impact of IOT adoption on agility and flexibility of healthcare organization (2019) International Journal of Innovative Technology and Exploring Engineering, 10, pp. 2673-2681; Chen, X., Ma, M., Liu, A., Dynamic power management and adaptive packet size selection for IoT in e-healthcare (2019) Computers &amp; Electrical Engineering, 65, pp. 357-375; Choi, A., Shin, H., Longitudinal healthcare data management platform of healthcare IoT devices for personalized services (2019) Journal of UCS, 24 (9), pp. 1153-1169; Dhanvijay, M. M., Patil, S. C., Internet of things: A survey of enabling technologies in healthcare and its applications (2019) Computer Networks, 153, pp. 113-131; Khalaf, O. I., Abdulsahib, G. M., Zghair, N. A., IOT fire detection system using sensor with arduino (2019) AUS, 26, pp. 74-80; Farahani, B., Firouzi, F., Chang, V., Badaroglu, M., Mankodiya, K., Towards fog-driven iotehealth: Promises and challenges of IoT in medicine and healthcare (2021) Future Generation Computer Systems, 78, pp. 659-676; Gaona García, P. A., Sánchez Alonso, S., Montenegro Marin, C., Visualization of information: A proposal to improve the search and access to digital resources in repositories (2021) Ingeniería e Investigación, 34 (1), pp. 83-90; Islam, M. M., Rahaman, A., Islam, M., Development of smart healthcare monitoring system in IoT environment (2020) SN Computer Science, 1 (3), pp. 267-281; Shin, C., Cho, Y., Efficient energy consumption prediction model for a data analytic-enabled industry building in a smart city (2020) Building Research &amp; Information, 5, pp. 1-7; Jeong, Y. S., Shin, S. S., An IoT healthcare service model of a vehicle using implantable devices (2016) Cluster Computing, 21 (1), pp. 1059-1068; Li, W., Jung, C., Park, J., IoT healthcare communication system for IEEE 11073 PhD and IHE PCD-01 integration using coap (2021) KSII Transactions on Internet &amp; Information Systems, 12 (4), pp. 567-581; Malik, H., Alam, M. M., Moullec, Y., Kuusik, A., Narrowband-IoT performance analysis for healthcare applications (2021) Procedia Computer Science, 130, pp. 1077-1083; Al-Turjman, F., Alturjman, S., 5G/IoT-enabled UAVs for multimedia delivery in industry-oriented applications (2020) Multimedia Tools and Applications, 79 (13), pp. 8627-8648; Mutlag, A. A., AbdGhani, M. K., Arunkumar, N. A., Mohammed, M. A., Mohd, O., Enabling technologies for fog computing in healthcare IoT systems (2019) Future Generation Computer Systems, 90, pp. 62-78; Palanimurugan, S., Chinnadurai, M., Manikandan, S., Tour planning design for mobile robots using pruned adaptive resonance theory networks (2022) Computers, Materials &amp; Continua, 70 (1), pp. 181-194; Sharma, S., Chen, K., Sheth, A., Toward practical privacy-preserving analytics for iot and cloud-based healthcare systems (2021) IEEE Internet Computing, 22 (2), pp. 42-51; Sodhro, A. H., Pirbhulal, S., Luo, Z., Towards an optimal resource management for IoT-based green and sustainable smart cities (2019) Journal of Cleaner Production, 220, pp. 1167-1179; Soni, V., Dineshkumar, V., Soni, F., IOT connected with e-learning (2019) International Journal on Integrated Education, 2 (5), pp. 273-277; Subahi, A. F., Edge-based IoT medical record system: Requirements, recommendations, and conceptual design (2019) IEEE Access, 7, pp. 94150-94159; Tekeste, T., Saleh, H., Mohammad, B., Ismail, M., Ultra-low power QRS detection and ECG compression architecture for IoT healthcare devices (2021) IEEE Transactions on Circuits and Systems I: Regular Papers, 66 (2), pp. 669-679; Wang, H., IoT-Based clinical sensor data management and transfer using blockchain technology (2020) Journal of ISMAC, 2 (3), pp. 154-159; Woo, M. W., Lee, J., Park, K., A reliable IoT system for personal healthcare devices (2021) Future Generation Computer Systems, 78, pp. 626-640; Al-Turjman, F., 5G-enabled devices and smart-spaces in social-IoT: An overview (2019) Future Generation Computer Systems, 92, pp. 732-744; Manikandan, S., Dhanalakshmi, P., Rajeswari, K. C., Delphin Carolina Rani, A., Deep sentiment learning for measuring similarity recommendations in twitter data (2022) Intelligent Automation &amp; Soft Computing, 34 (1), pp. 183-192; Das, A., Rad, P., Choo, K., Martel, J., Distributed machine learning cloud teleophthalmology IoT for predicting AMD disease progression (2019) Future Generation Computer Systems, 93, pp. 486-498; Fang, L., Yin, C., Zhu, J., Ge, C., Privacy protection for medical data sharing in smart healthcare (2020) ACM Transactions on Multimedia Computing, Communications, and Applications (TOMM), 16 (3), pp. 1-18</t>
  </si>
  <si>
    <t>02676192</t>
  </si>
  <si>
    <t>CSSEE</t>
  </si>
  <si>
    <t>Comput Syst Sci Eng</t>
  </si>
  <si>
    <t>2-s2.0-85147444552</t>
  </si>
  <si>
    <t>Iot assisted biomedical monitoring sensors for healthcare in human</t>
  </si>
  <si>
    <t>Zhao Y., Yin D., Wang L., Yu Y.</t>
  </si>
  <si>
    <t>55809563500;57755781200;58093327300;55731445800;</t>
  </si>
  <si>
    <t>The rise of artificial intelligence, the fall of human wellbeing?</t>
  </si>
  <si>
    <t>International Journal of Social Welfare</t>
  </si>
  <si>
    <t>10.1111/ijsw.12586</t>
  </si>
  <si>
    <t>https://www.scopus.com/inward/record.uri?eid=2-s2.0-85147518896&amp;doi=10.1111%2fijsw.12586&amp;partnerID=40&amp;md5=021db87dd9b5e38bee4f2453bef556e3</t>
  </si>
  <si>
    <t>School of Economics, Renmin University of China, Beijing, China; Institute of International Economy, University of International Business and Economics, Beijing, China; School of Applied Economics, Renmin University of China, Beijing, China</t>
  </si>
  <si>
    <t>Zhao, Y., School of Economics, Renmin University of China, Beijing, China; Yin, D., School of Economics, Renmin University of China, Beijing, China; Wang, L., Institute of International Economy, University of International Business and Economics, Beijing, China; Yu, Y., School of Applied Economics, Renmin University of China, Beijing, China</t>
  </si>
  <si>
    <t>Concerns exist regarding the impact on our lives of the rise of artificial intelligence (AI). Using a large dataset of 137 countries over the period 2005–2018 from multiple sources, we estimate the causal effect of AI on individual-level subjective wellbeing. Our identification strategy is inferred from the gravity framework and uses merely the variation in exogenous drivers of a country's AI development. We find a significant negative effect of AI on an individual's wellbeing, in terms of current levels or expectations of future wellbeing. The results are robust to alternative measures of AI, identification strategies, and sampling. Moreover, we find evidence of significant heterogeneity in the impact of AI on individual wellbeing. Further, this dampening effect on individual wellbeing resulting from the use of AI is more prominent among young people, men, high-income groups, high-skilled groups, and manufacturing workers. © 2023 Akademikerförbundet SSR (ASSR) and John Wiley &amp; Sons Ltd.</t>
  </si>
  <si>
    <t>artificial intelligence; subjective wellbeing; trade gravity model; world poll</t>
  </si>
  <si>
    <t>Abrardi, L., Cambini, C., Rondi, L., The economics of artificial intelligence: A survey (2019) Robert Schuman Centre for Advanced Studies Research Paper No. RSCAS, 58, , European University Institute; Acemoglu, D., Restrepo, P., Robots and jobs: Evidence from US labor markets (2020) Journal of Political Economy, 128 (6), pp. 2188-2244; Aghion, P., Jones, B., Jones, C., Artificial intelligence and economic growth (2017) NBER Working Paper Series, 23928. , https://doi.org/10.3386/w23928; Ahuvia, A., Friedman, D., Income, consumption, and subjective well-being: Toward a composite macromarketing model (1998) Journal of Macromarketing, 18 (2), pp. 153-168; Aksoy, C., Guriev, S., Treisman, D., Globalization, government popularity, and the great skill divide (2018) NBER Working Paper Series, 25062. , https://doi.org/10.3386/w25062; Anderson, T., Rubin, H., Estimation of the parameters of a single equation in a complete system of stochastic equations (1949) The Annals of Mathematical Statistics, 20 (1), pp. 46-63; Angrist, J., Pischke, J., (2009) Mostly harmless econometrics: An empiricist's companion, , Princeton University Press; Arntz, M., Gregory, T., Zierahn, U., (2016) The risk of automation for jobs in OECD countries: A comparative analysis. OECD Social, Employment and Migration Working Papers, 189, , https://doi.org/10.1787/5jlz9h56dvq7-en; Artuc, E., Bastos, P., Rijkers, B., (2020) Robots, tasks, and trade. CEPR Discussion Paper, DP14487, , https://papers.ssrn.com/abstract=3560294; Ateca-Amestoy, V., Gerstenblüth, M., Mussio, I., Rossi, M., How do cultural activities influence happiness? Investigating the relationship between self-reported well-being and leisure (2016) Estudios Económicos (México, DF), 31 (2), pp. 217-234; Athey, S., The impact of machine learning on economics (2019) The economics of artificial intelligence: An agenda, pp. 507-547. , A. Agrawal, J. Gans, A. Goldfarb, (Eds.),, University of Chicago Press; Autor, D., Salomons, A., Robocalypse now: Does productivity growth threaten employment. Proceedings of the ECB Forum on Central Banking: Investment and Growth in Advanced Economies, pp. 45–118 (2017), https://www.economicsofai.com/nber-conference-toronto-2017; Barbieri, L., Mussida, C., Piva, M., Vivarelli, M., Testing the employment impact of automation, robots and AI: A survey and some methodological issues (2019) IZA Discussion Paper, 12612, pp. 1-23. , https://doi.org/10.2139/ssrn.3457656; Baron, R., Kenny, D., The moderator–mediator variable distinction in social psychological research: Conceptual, strategic, and statistical considerations (1986) Journal of Personality and Social Psychology, 51 (6), pp. 1173-1182; Baruffaldi, S., Beuzekom, B., Dernis, H., Harhoff, D., Rao, N., Rosenfeld, D., Squicciarini, M., Identifying and measuring developments in artificial intelligence (2020) OECD Science, Technology and Industry Working Papers, 2020 (5), pp. 1-68. , https://doi.org/10.1787/5f65ff7e-en, van; Batz, C., Tay, L., Gender differences in subjective well-being (2018) Handbook of well-being, , E. Diener, S. Oishi, L. Tay, (Eds.),, DEF Publishers; Belsley, D., Kuh, E., Welsch, R., (2005) Regression diagnostics: Identifying influential data and sources of collinearity, , John Wiley &amp; Sons; Benzell, S., Kotlikoff, L., LaGarda, G., Sachs, J., Robots are us: Some economics of human replacement (2015) NBER Working Paper Series, 20941. , https://doi.org/10.3386/w20941; Bessen, J., AI and jobs: The role of demand (2018) NBER Working Paper Series, 24235. , https://doi.org/10.3386/w24235; Bessen, J., Goos, M., Salomons, A., van den Berge, W., (2019) Automatic reaction-what happens to workers at firms that automate? Boston University School of Law, Law and Economics Research Paper, 19–2, , https://scholarship.law.bu.edu/faculty_scholarship/584; Biermann, P., Bitzer, J., Gören, E., The relationship between age and subjective well-being: Estimating within and between effects simultaneously (2022) The Journal of the Economics of Ageing, 21; Blanas, S., Gancia, G., Lee, S.T., Who is afraid of machines? (2019) Economic Policy, 34 (100), pp. 627-690. , https://doi.org/10.1093/epolic/eiaa005; Blanchard, E., Olney, W., Globalization and human capital investment: Export composition drives educational attainment (2017) Journal of International Economics, 106, pp. 165-183. , https://doi.org/10.1016/j.jinteco.2017.03.004; Blanchflower, D., Is happiness U-shaped everywhere? Age and subjective well-being in 145 countries (2021) Journal of Population Economics, 34 (2), pp. 575-624. , https://doi.org/10.1007/s00148-020-00797-z; Blanchflower, D., Oswald, A., Is well-being U-shaped over the life cycle? (2008) Social Science &amp; Medicine, 66 (8), pp. 1733-1749. , https://doi.org/10.1016/j.socscimed.2008.01.030; Brynjolfsson, E., Hui, X., Liu, M., Does machine translation affect international trade? Evidence from a large digital platform (2019) Management Science, 65 (12), pp. 5449-5460. , https://doi.org/10.1287/mnsc.2019.3388; Brynjolfsson, E., McAfee, A., (2014) The second machine age: Work, progress, and prosperity in a time of brilliant technologies, , WW Norton &amp; Company; Bughin, J., Seong, J., Manyika, J., Chui, M., Joshi, R., (2018) Notes from the AI frontier: Modeling the impact of AI on the world economy. Kinsey Global Institute Discussion Paper, , https://www.mckinsey.com/featured-insights/artificial-intelligence/notes-from-the-ai-frontier-modeling-the-impact-of-ai-on-the-world-economy; Cameron, A., Trivedi, P., (2005) Microeconometrics: Methods and applications, , Cambridge University Press; Cantril, H., (1965) The pattern of human concerns, , Rutgers University Press; (2016) 2016 economic report of the president, , http://go.wh.gov/7J6qNx, Council of Economic Advisers; Chapman, B., Guven, C., Revisiting the relationship between marriage and wellbeing: Does marriage quality matter? (2016) Journal of Happiness Studies, 17 (2), pp. 533-551. , https://doi.org/10.1007/s10902-014-9607-3; Cheng, T., Powdthavee, N., Oswald, A., Longitudinal evidence for a midlife nadir in human well-being: Results from four data sets (2017) Economic Journal, 127 (599), pp. 126-142. , https://doi.org/10.1111/ecoj.12256; Chevalier, A., Feinstein, L., (2006) Sheepskin or prozac: The causal effect of education on mental health. IZA Discussion Paper, 2231, , https://doi.org/10.2139/ssrn.923530; Chiacchio, F., Petropoulos, G., Pichler, D., (2018) The impact of industrial robots on EU employment and wages: A local labour market approach. Bruegel Working Paper, 2018/02, , http://hdl.handle.net/10419/207001; Cockburn, I., Henderson, R., Stern, S., The impact of artificial intelligence on innovation (2018) NBER Working Paper Series, 24449. , https://doi.org/10.3386/w24449; D'Ambrosio, C., Jäntti, M., Lepinteur, A., Money and happiness: Income, wealth and subjective well-being (2020) Social Indicators Research, 148 (1), pp. 47-66. , https://doi.org/10.1007/s11205-019-02186-w; Dauth, W., Findeisen, S., Suedekum, J., Woessner, N., (2018) Adjusting to robots: Worker-level evidence. Federal Reserve Banks of Minneapolis Working Paper, 13, , https://doi.org/10.21034/iwp.13; DeCanio, S., Robots and humans – Complements or substitutes? (2016) Journal of Macroeconomics, 49, pp. 280-291. , https://doi.org/10.1016/j.jmacro.2016.08.003; Diener, E., Diener, C., Most people are happy (1996) Psychological Science, 7 (3), pp. 181-185. , https://doi.org/10.1111/j.1467-9280.1996.tb00354.x; Diener, E., Oishi, S., Tay, L., Advances in subjective well-being research (2018) Nature Human Behaviour, 2 (4), pp. 253-260. , https://doi.org/10.1038/s41562-018-0307-6; Easterlin, R., (2011) Happiness, growth, and the life cycle, , H. Hinte, &amp;, K. Zimmermann, (Eds.),, Oxford University Press; Easterlin, R., Angelescu, L., Zweig, J., The impact of modern economic growth on urban–rural differences in subjective well-being (2011) World Development, 39 (12), pp. 2187-2198. , https://doi.org/10.1016/j.worlddev.2011.04.015; Easterlin, R., McVey, L., Switek, M., Sawangfa, O., Zweig, J., The happiness–income paradox revisited (2010) Proceedings of the National Academy of Sciences, 107 (52), pp. 22463-22468. , https://doi.org/10.1073/pnas.1015962107; Ejrnæs, A., Greve, B., Your position in society matters for how happy you are (2017) International Journal of Social Welfare, 26 (3), pp. 206-217. , https://doi.org/10.1111/ijsw.12233; Feyrer, J., Trade and income – Exploiting time series in geography (2009) NBER Working Paper Series, 14910. , https://doi.org/10.3386/w14910; Ford, M., (2015) Rise of the robots: Technology and the threat of a jobless future, , Basic Books; Frey, C.B., Osborne, M.A., The future of employment: How susceptible are jobs to computerisation? (2017) Technological Forecasting and Social Change, 114, pp. 254-280. , https://doi.org/10.1016/j.techfore.2016.08.019; Frey, B., Stutzer, A., Happiness, economy and institutions (2000) The Economic Journal, 110 (466), pp. 918-938. , https://doi.org/10.1111/1468-0297.00570; Frijters, P., Lalji, C., Pakrashi, D., Daily weather only has small effects on wellbeing in the US (2020) Journal of Economic Behavior &amp; Organization, 176, pp. 747-762. , https://doi.org/10.1016/j.jebo.2020.03.009; Glaeser, E., Gottlieb, J., Ziv, O., Unhappy cities (2016) Journal of Labor Economics, 34 (S2), pp. S129-S182. , https://doi.org/10.1086/684044; Goldfarb, A., Trefler, D., AI and international trade (2018) NBER Working Paper Series, 24254. , https://doi.org/10.3386/w24254; Goyal, A., Aneja, R., Artificial intelligence and income inequality: Do technological changes and worker's position matter? (2020) Journal of Public Affairs, 20 (4). , https://doi.org/10.1002/pa.2326; Graafland, J., Compen, B., Economic freedom and life satisfaction: Mediation by income per capita and generalized trust (2015) Journal of Happiness Studies, 16 (3), pp. 789-810. , https://doi.org/10.1007/s10902-014-9534-3; Graetz, G., Michaels, G., Robots at work (2018) Review of Economics and Statistics, 100 (5), pp. 753-768. , https://doi.org/10.1162/rest_a_00754; Graham, C., Chattopadhyay, S., Gender and well-being around the world (2013) International Journal of Happiness and Development, 1 (2), pp. 212-232; Grossi, E., Tavano Blessi, G., Sacco, P., Buscema, M., The interaction between culture, health and psychological well-being: Data mining from the Italian culture and well-being project (2012) Journal of Happiness Studies, 13 (1), pp. 129-148. , https://doi.org/10.1007/s10902-011-9254-x; Guerreiro, J., Rebelo, S., Teles, P., Should robots be taxed? (2022) Review of Economic Studies, 89 (1), pp. 279-311. , https://doi.org/10.1093/restud/rdab019; Hardy, W., Keister, R., Lewandowski, P., Educational upgrading, structural change and the task composition of jobs in Europe (2018) Economics of Transition, 26 (2), pp. 201-231. , https://doi.org/10.1111/ecot.12145; Helliwell, J., Huang, H., Grover, S., Wang, S., Empirical linkages between good governance and national well-being (2018) Journal of Comparative Economics, 46 (4), pp. 1332-1346. , https://doi.org/10.1016/j.jce.2018.01.004; Hendriks, M., Bartram, D., Macro-conditions and immigrants' happiness: Is moving to a wealthy country all that matters? (2016) Social Science Research, 56, pp. 90-107. , https://doi.org/10.1016/j.ssresearch.2015.11.006; Hilbe, J.M., (2011) Negative binomial regression, , https://doi.org/10.1017/CBO9780511973420, 2nd ed., Cambridge University Press, Cambridge Core; (2020) Strong growth for artificial intelligence market in 2020, , https://usdc.vn/strong-growth-for-ai-market-in-2020, International Data Corporation; (2020) World robotics report 2020, , https://ifr.org/downloads/press2018/Presentation_WR_2020.pdf, International Federation of Robotics; Jäger, A., Moll, C., Som, O., Zanker, C., (2015) Analysis of the impact of robotic systems on employment in the European Union: Final report, , https://data.europa.eu/doi/10.2759/516348, Publications Office of the European Union; Jin, G., Artificial intelligence and consumer privacy (2018) NBER Working Paper Series, 2453. , https://doi.org/10.3386/w24253; Klinger, J., Mateos-Garcia, J., Stathoulopoulos, K., Deep learning, deep change? Mapping the development of the artificial intelligence general purpose technology (2018) SSRN Working Paper, , https://doi.org/10.2139/ssrn.3233463; Korinek, A., Stiglitz, J., Artificial intelligence, globalization, and strategies for economic development (2021) NBER Working Paper Series, 28453. , https://doi.org/10.3386/w28453; Lacey, H., Smith, D., Ubel, P., Hope I die before I get old: Mispredicting happiness across the adult lifespan (2006) Journal of Happiness Studies, 7 (2), pp. 167-182. , https://doi.org/10.1007/s10902-005-2748-7; Larsen, W., McCleary, S., The use of partial residual plots in regression analysis (1972) Technometrics, 14 (3), pp. 781-790. , https://doi.org/10.1080/00401706.1972.10488966; Li, Q., An, L., Corruption takes away happiness: Evidence from a cross-national study (2020) Journal of Happiness Studies, 21 (2), pp. 485-504. , https://doi.org/10.1007/s10902-019-00092-z; Li, X., Hui, E., Lang, W., Zheng, S., Qin, X., Transition from factor-driven to innovation-driven urbanization in China: A study of manufacturing industry automation in Dongguan City (2020) China Economic Review, 59. , https://doi.org/10.1016/j.chieco.2019.101382; Magee, L., Improving survey-weighted least squares regression (1998) Journal of the Royal Statistical Society: Series B (Statistical Methodology), 60 (1), pp. 115-126. , https://doi.org/10.1111/1467-9868.00112; Michaels, G., Natraj, A., van Reenen, J., Has ICT polarized skill demand? Evidence from eleven countries over twenty-five years (2014) The Review of Economics and Statistics, 96 (1), pp. 60-77. , https://doi.org/10.1162/REST_a_00366; Moravec, H., When will computer hardware match the human brain (1998) Journal of Evolution and Technology, 1 (1), p. 10; Moulton, B., An illustration of a pitfall in estimating the effects of aggregate variables on micro units (1990) Review of Economics and Statistics, 72 (2), pp. 334-338. , https://doi.org/10.2307/2109724; Muro, M., Whiton, J., Maxim, R., (2019) What jobs are affected by AI? Better-paid, better-educated workers face the most exposure. Metropolitan Policy Program Report, , http://hdl.voced.edu.au/10707/531845; Nikolova, M., Graham, C., In transit: The well-being of migrants from transition and post-transition countries (2015) Journal of Economic Behavior &amp; Organization, 112, pp. 164-186. , https://doi.org/10.1016/j.jebo.2015.02.003; Noy, S., Sin, I., The effects of neighbourhood and workplace income comparisons on subjective wellbeing (2021) Journal of Economic Behavior &amp; Organization, 185, pp. 918-945. , https://doi.org/10.1016/j.jebo.2020.11.008; Ramia, I., Voicu, M., Life satisfaction and happiness among older Europeans: The role of active ageing (2022) Social Indicators Research, 160 (2), pp. 667-687. , https://doi.org/10.1007/s11205-020-02424-6; Reyes-García, V., Babigumira, R., Pyhälä, A., Wunder, S., Zorondo-Rodríguez, F., Angelsen, A., Subjective wellbeing and income: Empirical patterns in the rural developing world (2016) Journal of Happiness Studies, 17 (2), pp. 773-791. , https://doi.org/10.1007/s10902-014-9608-2; Rock, D., Engineering value: The returns to technological talent and investments in artificial intelligence (2019) SSRN Working Paper, , https://doi.org/10.2139/ssrn.3427412; Ruiu, G., Ruiu, M., The complex relationship between education and happiness: The case of highly educated individuals in Italy (2019) Journal of Happiness Studies, 20 (8), pp. 2631-2653. , https://doi.org/10.1007/s10902-018-0062-4; Sachs, J., R&amp;D, structural transformation, and the distribution of income (2019) The economics of artificial intelligence: An agenda, pp. 329-348. , A. Agrawal, J. Gans, A. Goldfarb, (Eds.),, University of Chicago Press; Sacks, D., Stevenson, B., Wolfers, J., The new stylized facts about income and subjective well-being (2012) Emotion, 12, pp. 1181-1187. , https://doi.org/10.1037/a0029873; Senik, C., Gender gaps in subjective wellbeing: A new paradox to explore (2017) Review of Behavioral Economics, 4 (4), pp. 349-369. , https://doi.org/10.1561/105.00000076; Soulsby, L., Bennett, K., Marriage and psychological wellbeing: The role of social support (2015) Psychology, 6 (11), pp. 1349-1359; Spruk, R., Kešeljević, A., Institutional origins of subjective well-being: Estimating the effects of economic freedom on national happiness (2016) Journal of Happiness Studies, 17 (2), pp. 659-712. , https://doi.org/10.1007/s10902-015-9616-x; Tucker, C., (2019) Privacy, algorithms, and artificial intelligence, , https://doi.org/10.7208/chicago/9780226613475.001.0001, A. Agrawal, J. Gans, A. Goldfarb, (Eds.),, University of Chicago Press; Veenhoven, R., Cross-national differences in happiness: Cultural measurement bias or effect of culture? (2012) International Journal of Wellbeing, 2 (4). , https://internationaljournalofwellbeing.org/index.php/ijow/article/view/98, 333–353; Veenhoven, R., Berg, M., Has modernization gone too far? Happiness and modernity in 141 contemporary nations (2013) International Journal of Happiness and Development, 1 (2), pp. 172-195. , https://doi.org/10.1504/IJHD.2013.055645; Walsh, T., Levy, N., Bell, G., Elliott, A., Maclaurin, J., Mareels, I., Wood, F., (2019) The effective and ethical development of artificial intelligence: An opportunity to improve our wellbeing, , http://hdl.voced.edu.au/10707/518873, Australian Council of Learned Academies Melbourne; Wang, Y., Kosinski, M., Deep neural networks are more accurate than humans at detecting sexual orientation from facial images (2018) Journal of Personality and Social Psychology, 114, pp. 246-257. , https://doi.org/10.1037/pspa0000098; Webb, M., The impact of artificial intelligence on the labor market (2019) SSRN Working Paper, , https://doi.org/10.2139/ssrn.3482150; Wilson, C., Oswald, A., How does marriage affect physical and psychological health? A survey of the longitudinal evidence (2005) IZA Discussion Paper, 1619, , https://ssrn.com/abstract=735205; Zhang, P., Automation, wage inequality and implications of a robot tax (2019) International Review of Economics &amp; Finance, 59, pp. 500-509. , https://doi.org/10.1016/j.iref.2018.10.013; Zhang, X., Zhang, X., Chen, X., Happiness in the air: How does a dirty sky affect mental health and subjective well-being? (2017) Journal of Environmental Economics and Management, 85, pp. 81-94. , https://doi.org/10.1016/j.jeem.2017.04.001; Zhou, Y., Tyers, R., Automation and inequality in China (2019) China Economic Review, 58. , https://doi.org/10.1016/j.chieco.2018.07.008; Zuckerman, M., Li, C., Diener, E., Societal conditions and the gender difference in well-being: Testing a three-stage model (2017) Personality and Social Psychology Bulletin, 43 (3), pp. 329-336. , https://doi.org/10.1177/0146167216684133; Zweig, J., Are women happier than men? Evidence from the Gallup world poll (2015) Journal of Happiness Studies, 16 (2), pp. 515-541. , https://doi.org/10.1007/s10902-014-9521-8</t>
  </si>
  <si>
    <t>13696866</t>
  </si>
  <si>
    <t>Int. J. Soc. Welf.</t>
  </si>
  <si>
    <t>2-s2.0-85147518896</t>
  </si>
  <si>
    <t>Shruthi K., Poornima A.S.</t>
  </si>
  <si>
    <t>57350028100;24315276100;</t>
  </si>
  <si>
    <t>Medical Data Asset Management and an Approach for Disease Prediction using Blockchain and Machine Learning</t>
  </si>
  <si>
    <t>International Journal of Engineering Trends and Technology</t>
  </si>
  <si>
    <t>491</t>
  </si>
  <si>
    <t>514</t>
  </si>
  <si>
    <t>10.14445/22315381/IJETT-V71I4P242</t>
  </si>
  <si>
    <t>https://www.scopus.com/inward/record.uri?eid=2-s2.0-85154620272&amp;doi=10.14445%2f22315381%2fIJETT-V71I4P242&amp;partnerID=40&amp;md5=e673c8bdb807408076d2406cc7ab5df6</t>
  </si>
  <si>
    <t>Department of Computer Science and Engineering, Siddaganga Institute of Technology, Karnataka, India</t>
  </si>
  <si>
    <t>Shruthi, K., Department of Computer Science and Engineering, Siddaganga Institute of Technology, Karnataka, India; Poornima, A.S., Department of Computer Science and Engineering, Siddaganga Institute of Technology, Karnataka, India</t>
  </si>
  <si>
    <t>In the present medical services, the board, clinical well-being records are as electronic clinical record (EHR/EMR) frameworks. These frameworks store patients' clinical histories in a computerized design. Notwithstanding, a patient's clinical information is gained in a productive and ideal way and is demonstrated to be troublesome through these records. Powerlessness constantly prevents the well-being of the board from getting data, less use of data obtained, unmanageable protection controls, and unfortunate information resource security. In this paper, we present an effective and safe clinical information resource, the executives' framework involving Blockchain, to determine these issues. Blockchain innovation facilitates the openness of all such records by keeping a block for each patient. This paper proposes an engineering utilizing an off-chain arrangement that will empower specialists and patients to get records in a protected manner. Blockchain makes clinical records permanent and scrambles them for information honesty. Clients can notice their wwell-being records, yet just patients own the confidential key and can impart it to those they want. Smart contracts likewise help our information proprietors to deal with their information access in a permission way. The eventual outcome will be seen as a web and portable connection point to get to, identify, and guarantee high-security information handily. In this adventure, we will give deals with any consequences regarding the issues associated with clinical consideration data and the chiefs using AI and Blockchain. Removing only the imperative information from the data is possible with the use of AI. This is done using arranged estimations. At the point when this data is taken care of, the accompanying issue is information sharing and its constancy. This is where Blockchain comes into the picture. Understanding Blockchain development guarantees that data is real and trades are secure. Blockchain development could work on clinical benefits by setting patients at the point of convergence of the clinical consideration structure and extending the insurance and interoperability of prosperity data. This paper is based in a general sense on dealing with clinical benefits data the board issues using Blockchain development and including a couple of key AI components. The fundamental thought process is to bring the attributes of AI and Blockchain together. AI assumes a pivotal part in identifying lethal illnesses. Then again, Blockchain innovation can reform clinical information base interoperability and limit unapproved record admittance. This would guarantee that the touchy patient information is firmly gotten. Expects to construct a safe, ML-driven medical care executive's framework that would guarantee that the sicknesses are precisely anticipated and sorted in the beginning phase. Further, it guarantees that the prepared model channels the information and disposes of the multitude of individual subtleties of the patient and safeguards it from information holes and breaks. It drives the framework with Blockchain to get the exchanges among patients and the approved specialist. It also gives patients the adaptability to pick which specialist should see their wwell-being record and who should not. © 2023 Seventh Sense Research Group®</t>
  </si>
  <si>
    <t>Blockchain; Ethereum; Flask; Ganache; Machine learning</t>
  </si>
  <si>
    <t>Fan, Kai, MedBlock: Efficient and Secure Medical Data Sharing via Blockchain (2018) Journal of Medical Systems, 42 (136). , [CrossRef] [Google Scholar] [Publisher Link]; Griggs, Kristen N., Healthcare Blockchain System Using Smart Contracts for Secure Automated Remote Patient Monitoring (2018) Journal of Medical Systems, 42 (130). , [CrossRef] [Google Scholar] [Publisher Link]; Harshini, V. M., Health Record Management through Blockchain Technology (2019) 3rd International Conference on Trends in Electronics and Informatics (ICOEI), pp. 1411-1415. , [CrossRef] [Google Scholar] [Publisher Link]; Hasavari, Shirin, Song, Yeong Tae, A Secure and Scalable Data Source for Emergency Medical Care using Blockchain Technology (2019) IEEE 17th International Conference on Software Engineering Research, Management and Applications (SERA), pp. 71-75. , [CrossRef] [Google Scholar] [Publisher Link]; Yu, Yao, Blockchain-Based Multi-Role Healthcare Data Sharing System (2021) IEEE International Conference on E-health Networking, Application &amp; Services, pp. 1-6. , [CrossRef] [Google Scholar] [Publisher Link]; Hirtan, Liviu, Blockchain-Based Approach for e-Health Data Access Management with Privacy Protection (2019) IEEE 24th International Workshop on Computer Aided Modeling and Design of Communication Links and Networks (CAMAD), pp. 1-7. , [CrossRef] [Google Scholar] [Publisher Link]; Chen, Hannah S, Blockchain in Healthcare: A Patient-Centered Model (2019) Biomedical Journal of Scientific &amp; Technical Research (BJSTR), 20 (3), pp. 10517-15022. , [Google Scholar] [Publisher Link]; Misbhauddin, Mohammed, A Scalable Architecture for Blockchain-based Health Record Management (2020) 2nd International Conference on Computer and Information Sciences (ICCIS), pp. 1-5. , [CrossRef] [Google Scholar] [Publisher Link]; (2022) Wikipedia, , https://en.wikipedia.org/wiki/Blockchain, Blockchain, [Online]. Available; (2022) Hyperledger fabric, , https://www.ibm.com/topics/hyperledger, [online]. Available; Jain, Sankarr, Blockchain and Machine Learning in Health Care and Management (2020) International Conference on Mainstreaming Block Chain Implementation (ICOMBI), pp. 1-5. , [CrossRef] [Google Scholar] [Publisher Link]; Daley, Sam, AI in Healthcare that will Make You Feel Better about Future; Thomas, Liji, Blockchain Applications in Healthcare, , Dr. MD; (2023), https://www.healthit.gov/, The Office of the National Coordinator for Health Information Technology (ONC), HealthIT.gov, [online]. Available; Dhanalakshmii, G., Victo Sudha George, G., An Enhanced Data Integrity for the E-Health Cloud System using a Secure Hashing Cryptographic Algorithm with a Password Based Key Derivation Function2 (KDF2) (2022) International Journal of Engineering Trends and Technology, 70 (9), pp. 290-297. , [CrossRef] [Google Scholar] [Publisher Link]; Kumar, B L V V, Raja Kumar, K, Collaboration of Blockchain and Machine Learning in Healthcare Industry (2019) International Journal of Engineering and Advanced Technology (IJEAT), 9 (1), pp. 2642-2645. , [CrossRef] [Publisher Link]; Harry, Channel, (2021) CodeWithHarry, Python Flask Web Development Tutorial, , https://www.youtube.com/watch?v=oA8brF3w5XQ, [online]. Available; Bhat, Rashmi V, Hegde, Shruti H, A Survey on Applications of Blockchain in Healthcare Sector (2020) International Journal of Recent Engineering Science, 7 (3), pp. 36-39. , [CrossRef] [Google Scholar] [Publisher Link]; https://www.analyticsvidhya.com/blog/2020/09/integrating-machine-learning-into-web-applications-with-flask/, [online]. Available; https://stackoverflow.com/questions/22445371/npm-install-error-from-the-terminal, [online]. Available; https://stackoverflow.com/questions/70874761/why-this-truffle-installation-error-coming, [online]. Available; https://docs.moralis.io/moralis-dapp/users/web3-login/metamask, [online]. Available; https://www.tabnine.com/code/javascript/functions/web3-eth/Eth/getAccounts, [online]. Available; https://www.tabnine.com/, [online]. Available; Fenu, Gianni, The ICO Phenomenon and its Relationships with Ethereum Smart Contract Environment (2018) International Workshop on Blockchain Oriented Software Engineering (IWBOSE), pp. 26-32. , [CrossRef] [Google Scholar] [Publisher Link]; Wang, Yingli, Han, Jeong Hugh, Beynon-Davies, Paul, Understanding Blockchain Technology for Future Supply Chains: A Systematic Literature Review and Research Agenda (2019) Supply Chain Management, 24 (1), pp. 62-84. , [CrossRef] [Google Scholar] [Publisher Link]; Lu, Qinghua, Xu, Xiwei, Adaptable Blockchain-Based Systems: A Case Study for Product Traceability (2017) IEEE Software, 34 (6), pp. 21-27. , [CrossRef] [Google Scholar] [Publisher Link]; Di Francesco Maesa, Damiano, Mori, Paolo, Blockchain 3.0 Applications Survey (2020) Journal of Parallel and Distributed Computing, 138, pp. 99-114. , [CrossRef] [Google Scholar] [Publisher Link]; Akram, Shaik V., Adoption of Blockchain Technology in Various Realms: Opportunities and Challenges (2020) Security and Privacy, 3 (5). , [CrossRef] [Google Scholar] [Publisher Link]; de Aguiar, Erikson Júlio, A Survey of Blockchain-Based Strategies for Healthcare (2021) ACM Computing Surveys, 53 (2), pp. 1-27. , [CrossRef] [Google Scholar] [Publisher Link]; Xu, Xiwei, Weber, Ingo, Staples, Mark, Architecture for Blockchain Applications (2019) Springer Nature, , [CrossRef] [Google Scholar] [Publisher Link]; Chen, Min, Disease Prediction by Machine Learning Over Big Data from Healthcare Communities (2017) IEEE Access, 5, pp. 8869-8879. , [CrossRef] [Google Scholar] [Publisher Link]; Khezr, Seyednima, Blockchain Technology in Healthcare: A Comprehensive Review and Directions for Future Research (2019) Applied Sciences, 9 (9), p. 1736. , [CrossRef] [Google Scholar] [Publisher Link]</t>
  </si>
  <si>
    <t>Seventh Sense Research Group</t>
  </si>
  <si>
    <t>23490918</t>
  </si>
  <si>
    <t>Int. J. Eng. Trends Technol.</t>
  </si>
  <si>
    <t>2-s2.0-85154620272</t>
  </si>
  <si>
    <t>Medical data asset management and an approach for disease prediction using blockchain and machine learning</t>
  </si>
  <si>
    <t>Wang H., Tobón D.P.V., Hossain M.S., El Saddik A.</t>
  </si>
  <si>
    <t>57258976600;55863782600;24066717900;35431360000;</t>
  </si>
  <si>
    <t>Deep Learning (DL)-Enabled System for Emotional Big Data</t>
  </si>
  <si>
    <t>116073</t>
  </si>
  <si>
    <t>116082</t>
  </si>
  <si>
    <t>10.1109/ACCESS.2021.3103501</t>
  </si>
  <si>
    <t>https://www.scopus.com/inward/record.uri?eid=2-s2.0-85153353257&amp;doi=10.1109%2fACCESS.2021.3103501&amp;partnerID=40&amp;md5=acc922e34153b0a79ea310778969707c</t>
  </si>
  <si>
    <t>MCRLAB, School of Electrical Engineering and Computer Science, University of Ottawa, Ottawa, ON  K1N 6N5, Canada; Department of Software Engineering, College of Computer and Information Sciences, King Saud University, Riyadh, 11543, Saudi Arabia</t>
  </si>
  <si>
    <t>Wang, H., MCRLAB, School of Electrical Engineering and Computer Science, University of Ottawa, Ottawa, ON  K1N 6N5, Canada; Tobón, D.P.V., MCRLAB, School of Electrical Engineering and Computer Science, University of Ottawa, Ottawa, ON  K1N 6N5, Canada; Hossain, M.S., Department of Software Engineering, College of Computer and Information Sciences, King Saud University, Riyadh, 11543, Saudi Arabia; El Saddik, A., MCRLAB, School of Electrical Engineering and Computer Science, University of Ottawa, Ottawa, ON  K1N 6N5, Canada</t>
  </si>
  <si>
    <t>Emotion care for human well-being is important for all ages. In this paper, we propose an emotion care system based on big data analysis for autism disorder patient training, where emotion is detected in terms of facial expression. The expression can be captured through a camera as well as Internet of Things (IoT)-enabled devices. The system works with deep learning techniques on emotional big data to extract emotional features and recognize six kinds of facial expressions in real-time and offline. A convolutional neural network (CNN) model based on MobileNet V1 structure is trained with two emotional datasets, FER-2013 dataset and a new proposed dataset named MCFER. The experiments on three strategies showed that the proposed system with deep learning model obtained an accuracy of 95.89%. The system can also detect and track multiple faces as well as recognize facial expressions with high performance on mobile devices with a speed of up to 12 frames per second. © 2021 Institute of Electrical and Electronics Engineers Inc.. All rights reserved.</t>
  </si>
  <si>
    <t>Convolutional neural network; emotion; facial expression recognition; mobile application</t>
  </si>
  <si>
    <t>Convolution; Convolutional neural networks; Deep learning; Emotion Recognition; Face recognition; Internet of things; Learning systems; Neural network models; Autism disorders; Convolutional neural network; Emotion; Facial expression recognition; Facial Expressions; Learning techniques; Mobile applications; Patient training; Real- time; Well being; Big data</t>
  </si>
  <si>
    <t>Ahmed, E., Yaqoob, I., Hashem, I.A.T., Khan, I., Ahmed, A.I.A., Imran, M., Vasilakos, A.V., The role of big data analytics in Internet of Things (2017) Comput. Netw., 129, pp. 459-471. , Dec; Lin, K., Xia, F., Wang, W., Tian, D., Song, J., System design for big data application in emotion-aware healthcare (2016) IEEE Access, 4, pp. 6901-6909; Jiang, Y., Li, W., Hossain, M.S., Chen, M., Alelaiwi, A., Al-Hammadi, M., A snapshot research and implementation of multimodal information fusion for data-driven emotion recognition (2020) Inf. Fusion, 53, pp. 209-221. , Jan; Chatterjee, A., Gupta, U., Chinnakotla, M.K., Srikanth, R., Galley, M., Agrawal, P., Understanding emotions in text using deep learning and big data (2019) Comput. Hum. Behav., 93, pp. 309-317. , Apr; Ma, Y., Hao, Y., Chen, M., Chen, J., Lu, P., Košir, A., Audio-visual emotion fusion (AVEF): A deep efficient weighted approach (2019) Inf. Fusion, 46, pp. 184-192. , Mar; Hossain, M.S., Muhammad, G., Emotion recognition using deep learning approach from audio-visual emotional big data (2019) Inf. Fusion, 49, pp. 69-78. , Sep; Miao, Y., Dong, H., Jaam, J.M.A., Saddik, A.E., A deep learning system for recognizing facial expression in real-time (2019) ACM Trans. Multimedia Comput., Commun., Appl., 15 (2), pp. 1-20. , Jun; Muhammad, G., Hossain, M.S., Kumar, N., EEG-based pathology detection for home health monitoring (2021) IEEE J. Sel. Areas Commun., 39 (2), pp. 603-610. , Feb; Saddik, A.E., Digital twins: The convergence of multimedia technologies (2018) IEEE Multimedia, 25 (2), pp. 87-92. , Apr./Jun; Chuah, M., Diblasio, M., Smartphone based autism social alert system (2012) Proc. 8th Int. Conf. Mobile Ad-hoc Sensor Netw. (MSN), pp. 6-13. , Dec; Long, Z., Alharthi, R., Saddik, A.E., NeedFull—A tweet analysis platform to study human needs during the COVID-19 pandemic in New York state (2020) IEEE Access, 8, pp. 136046-136055; Zhou, Y., Dong, H., Saddik, A.E., Deep learning in next-frame prediction: A benchmark review (2020) IEEE Access, 8, pp. 69273-69283; Yassine, A., Singh, S., Hossain, M.S., Muhammad, G., IoT big data analytics for smart homes with fog and cloud computing (2019) Future Gener. Comput. Syst., 91, pp. 563-573. , https://www.sciencedirect.com/science/article/pii/S0167739X18311099, Feb; Darwin, C., (2013) The Expression of the Emotions in Man and Animals (Cambridge Library Collection—Darwin, Evolution and Genetics), , Cambridge, U.K.: Cambridge Univ. Press; Ekman, P., Friesen, W.V., (1975) Unmasking the Face: A Guide to Recognizing Emotions From Facial Expressions, , Upper Saddle River, NJ, USA: Prentice-Hall; Hao, Y., Yang, J., Chen, M., Hossain, M.S., Alhamid, M.F., Emotion-aware video QoE assessment via transfer learning (2019) IEEE Multimedia Mag, 26 (1), pp. 31-40. , Jan; Hossain, M.S., Muhammad, G., Audio-visual emotion recognition using multi-directional regression and ridgelet transform (2016) J. Multimodal User Interfaces, 10 (4), pp. 325-333; Hossain, M.S., Muhammad, G., Emotion-aware connected healthcare big data towards 5G (2018) IEEE Internet Things J, 5 (4), pp. 2399-2406. , Aug; Zhang, Y., Qian, Y., Wu, D., Hossain, M.S., Ghoneim, A., Chen, M., Emotion-aware multimedia systems security (2019) IEEE Trans. Multimedia, 21 (3), pp. 617-624. , Mar; Kim, B.-K., Roh, J., Dong, S.-Y., Lee, S.-Y., Hierarchical committee of deep convolutional neural networks for robust facial expression recognition (2016) J. Multimodal User Interfaces, 10 (2), pp. 173-189. , Jun; Lucey, P., Cohn, J.F., Kanade, T., Saragih, J., Ambadar, Z., Matthews, I., The extended Cohn–Kanade dataset (CK+): A complete dataset for action unit and emotion-specified expression (2010) Proc. IEEE Comput. Soc. Conf. Comput. Vis. Pattern Recognit. Workshops, pp. 94-101. , Jun; Deng, H.B., Jin, L.-W., Zhen, L.-X., Huang, J.-C., A new facial expression recognition method based on local Gabor filter bank and PCA plus LDA (2005) Int. J. Inf. Techn., 11 (11), pp. 86-96; Cohen, L., Sebe, N., Garg, A., Chen, L.S., Huang, T.S., Facial expression recognition from video sequences: Temporal and static modeling (2003) Comput. Vis. Image Understand., 91 (1), pp. 160-187. , http://www.sciencedirect.com/science/article/pii/S107731420300081X; Li, J., Lam, E.Y., Facial expression recognition using deep neural networks (2015) Proc. IEEE Int. Conf. Imag. Syst. Techn. (IST), pp. 1-6. , Sep; Hossain, M.S., Muhammad, G., Song, B., Hassan, M.M., Alelaiwi, A., Alamri, A., Audio–visual emotion-aware cloud gaming framework (2015) IEEE Trans. Circuits Syst. Video Technol., 25 (12), pp. 2105-2118. , Dec; Cootes, T.F., Taylor, C.J., Cooper, D.H., Graham, J., Active shape models-their training and application (1995) Comput. Vis. Image Understand., 61 (1), pp. 38-59. , http://www.sciencedirect.com/science/article/pii/S1077314285710041; Liao, S., Fan, W., Chung, A.C.S., Yeung, D.-Y., Facial expression recognition using advanced local binary patterns, Tsallis entropies and global appearance features (2006) Proc. Int. Conf. Image Process., pp. 665-668. , Oct; Kumar, P., Happy, S.L., Routray, A., A real-time robust facial expression recognition system using HOG features (2016) Proc. Int. Conf. Comput., Anal. Secur. Trends (CAST), pp. 289-293. , Dec; Burkert, P., Trier, F., Afzal, M.Z., Dengel, A., Liwicki, M., Dexpression: Deep convolutional neural network for expression recognition (2015) CoRR, pp. 1-8. , http://arxiv.org/abs/1509.05371, Sep; Qian, S., Zhang, T., Xu, C., Hossain, M.S., Social event classification via boosted multimodal supervised latent Dirichlet allocation (2015) ACM Trans. Multimedia Comput., Commun., Appl., 11 (2), pp. 1-22. , Jan; Suk, M., Prabhakaran, B., Real-time mobile facial expression recognition system—A case study (2014) Proc. IEEE Conf. Comput. Vis. Pattern Recognit. Workshops, pp. 132-137. , Jun; Song, I., Kim, H.-J., Jeon, P.B., Deep learning for real-time robust facial expression recognition on a smartphone (2014) Proc. IEEE Int. Conf. Consum. Electron. (ICCE), pp. 564-567. , Jan; Jo, G.-S., Choi, I.-H., Kim, Y.-G., Robust facial expression recognition against illumination variation appeared in mobile environment (2011) Proc. 1st ACIS/JNU Int. Conf. Comput., Netw., Syst. Ind. Eng., pp. 10-13. , May; Alshamsi, H., Kepuska, V., Meng, H., Automated facial expression recognition app development on smart phones using cloud computing (2017) Proc. IEEE 8th Annu. Ubiquitous Comput., Electron. Mobile Commun. Conf. (UEMCON), pp. 577-583. , Oct; Goodfellow, I.J., Challenges in representation learning: A report on three machine learning contests (2015) Neural Netw, 64, pp. 59-63. , http://www.sciencedirect.com/science/article/pii/S0893608014002159, Apr; Lyons, M., Akamatsu, S., Kamachi, M., Gyoba, J., Coding facial expressions with Gabor wavelets (1998) Proc. 3rd IEEE Int. Conf. Autom. Face Gesture Recognit., pp. 200-205. , Apr; Viola, P., Jones, M.J., Robust real-time face detection (2004) Int. J. Comput. Vis., 57 (2), pp. 137-154; Howard, A.G., Zhu, M., Chen, B., Kalenichenko, D., Wang, W., Weyand, T., Andreetto, M., Adam, H., MobileNets: Efficient convolutional neural networks for mobile vision applications (2017) CoRR, pp. 1-9. , http://arxiv.org/abs/1704.04861, Apr; Krizhevsky, A., Sutskever, I., Hinton, G.E., ImageNet classification with deep convolutional neural networks (2017) Commun. ACM, 60 (6), pp. 84-90. , May; Simonyan, K., Zisserman, A., Very deep convolutional networks for large-scale image recognition (2015) Proc. Int. Conf. Learn. Represent., pp. 1-14; Wen, Y., Zhang, K., Li, Z., Qiao, Y., A discriminative feature learning approach for deep face recognition (2016) Proc. ECCV, pp. 499-515; LeCun, Y., Bottou, L., Bengio, Y., Haffner, P., Gradient-based learning applied to document recognition (1998) Proc. IEEE, 86 (11), pp. 2278-2324. , Nov; Russakovsky, O., Deng, J., Su, H., Krause, J., Satheesh, S., Ma, S., Huang, Z., Fei-Fei, L., ImageNet large scale visual recognition challenge (2015) Int. J. Comput. Vis., 115 (3), pp. 211-252</t>
  </si>
  <si>
    <t>2-s2.0-85153353257</t>
  </si>
  <si>
    <t>Deep learning (dl)-enabled system for emotional big data</t>
  </si>
  <si>
    <t>Gupta B.B., Gaurav A., Panigrahi P.K.</t>
  </si>
  <si>
    <t>34770593700;57195480314;48761941000;</t>
  </si>
  <si>
    <t>Analysis of the development of sustainable entrepreneurship practices through knowledge and smart innovative based education system</t>
  </si>
  <si>
    <t>International Entrepreneurship and Management Journal</t>
  </si>
  <si>
    <t>10.1007/s11365-023-00853-6</t>
  </si>
  <si>
    <t>https://www.scopus.com/inward/record.uri?eid=2-s2.0-85151267667&amp;doi=10.1007%2fs11365-023-00853-6&amp;partnerID=40&amp;md5=fd9f5ade8047c3bac0af5ff5e957d92f</t>
  </si>
  <si>
    <t>International Center for AI and Cyber Security Research and Innovations, &amp; Department of Computer Science and Information Engineering, Asia University, Taichung, 413, Taiwan; Indian Institute of Management Indore, Indore, India; Symbiosis Centre for Information Technology (SCIT), Symbiosis International University, Pune, India; Lebanese American University, Beirut, 1102, Lebanon; Center for Interdisciplinary Research, University of Petroleum and Energy Studies (UPES), Dehradun, India</t>
  </si>
  <si>
    <t>Gupta, B.B., International Center for AI and Cyber Security Research and Innovations, &amp; Department of Computer Science and Information Engineering, Asia University, Taichung, 413, Taiwan, Symbiosis Centre for Information Technology (SCIT), Symbiosis International University, Pune, India, Lebanese American University, Beirut, 1102, Lebanon, Center for Interdisciplinary Research, University of Petroleum and Energy Studies (UPES), Dehradun, India; Gaurav, A., International Center for AI and Cyber Security Research and Innovations, &amp; Department of Computer Science and Information Engineering, Asia University, Taichung, 413, Taiwan; Panigrahi, P.K., Indian Institute of Management Indore, Indore, India</t>
  </si>
  <si>
    <t>Smart and innovative education is an integral part of the development of sustainable entrepreneurship practices. Due to this, UNCED included it on its agenda. The primary goal of smart education is to teach young people to be responsible members of society in the years to come. The youth of this generation should have the opportunity to play an active role in shaping our future. For the sake of future generations, they should be taught to accept personal responsibility for their own well-being and the well-being of future generations. However, with traditional teaching techniques, this goal is not achieved; therefore, there is a requirement for the integration of cutting-edge technologies such as IoT, cloud computing, AI, and machine learning with the education process for the development of sustainable entrepreneurship practices in order to achieve a better future. In this context, we analyze the current smart education techniques proposed by different researchers that lead to the development of sustainable entrepreneurship practices. In this investigation, we also highlight the various limitations and challenges of the current smart education system. © 2023, The Author(s), under exclusive licence to Springer Science+Business Media, LLC, part of Springer Nature.</t>
  </si>
  <si>
    <t>IIoT; Smart Campus; Smart Education; Sustainable Entrepreneurship</t>
  </si>
  <si>
    <t>Ahad, M., Paiva, S., Tripathi, G., Feroz, N., Enabling technologies and sustainable smart cities (2020) Sustainable Cities and Society, 61. , &amp;, (,).,., https://doi.org/10.1016/j.scs.2020.102301; Ahvenniemi, H., Huovila, A., Pinto-Seppä, I., Airaksinen, M., What are the differences between sustainable and smart cities? (2017) Cities, 60, pp. 234-245; Gender inequity in engineering higher education: A case study of an american university in a middle eastern country (2022) In 2022 10Th International Conference on Information and Education Technology (ICIET), pp. 345-354. , IEEE; Al-Ayyoub, M., Al-Andoli, M., Jararweh, Y., Smadi, M., Gupta, B., Improving fuzzy c-mean-based community detection in social networks using dynamic parallelism (2019) Computers &amp; Electrical Engineering, 74, pp. 533-546; Alhaidary, M., Rahman, S.M.M., Zakariah, M., Hossain, M.S., Alamri, A., Haque, M.S.M., Gupta, B.B., Vulnerability analysis for the authentication protocols in trusted computing platforms and a proposed enhancement of the offpad protocol (2018) IEEE Access, 6, pp. 6071-6081; Allam, Z., Newman, P., Redefining the smart city: Culture, metabolism and governance (2018) Smart Cities, 1, pp. 4-25; Alvarado-Herrera, A., Bigne, E., Aldas-Manzano, J., Curras-Perez, R., A scale for measuring consumer perceptions of corporate social responsibility following the sustainable development paradigm (2017) Journal of Business Ethics, 140, pp. 243-262; Angelidou, M., Smart city planning and development shortcomings (2017) TeMA-Journal of Land Use, Mobility and Environment, 10, pp. 77-94; Babashamsi, P., Md Yusoff, N.I., Ceylan, H., Md Nor, N.G., Je, S., Natabadi, H., Sustainable development factors in pavement life-cycle: Highway/airport review (2016) Sustainability, 8, p. 248; Burmeister, M., Rauch, F., Eilks, I., Education for sustainable development (esd) and chemistry education (2012) Chemistry Education Research and Practice, 13, pp. 59-68; Chen, M., Corporate Responsibility and Future Education Develop- ment in the Era of Information Technology (2021) 2021 4Th International Conference on Information Systems and Computer Aided Education, pp. 770-774. , https://doi.org/10.1145/3482632.3483014, ACM, Dalian China; De Haan, G., The blk ‘21’programme in germany: A ‘gestaltungskompetenz’-based model for education for sustainable development (2006) Environmental Education Research, 12, pp. 19-32; Dhamija, P., Bag, S., Role of artificial intelligence in operations environment: A review and bibliometric analysis (2020) TQM Journal, 32, pp. 869-896; Dlodlo, N., Kalezhi, J., (2015) The internet of things in agriculture for sustainable rural development, pp. 13-18. , https://doi.org/10.1109/ETNCC.2015.7184801; Ewa, D.E., Egbe, E.A., Ukpata, J.O., Etika, A., Sustainable subgrade improvement using limestone dust and sugarcane bagasse ash (2023) Sustainable Technology and Entrepreneurship, 2. , &amp;; Faritha Banu, J., Revathi, R., Suganya, M., Gladiss Merlin, N., (2020) Iot based cloud integrated smart classroom for smart and a sustainable campus, pp. 77-81. , https://doi.org/10.1016/j.procs.2020.05.012; George, G., Lal, A.M., A personalized approach to course recom- mendation in higher education (2021) International Journal on Semantic Web and Information Systems (IJSWIS), 17, pp. 100-114; Gore, C., The post-2015 moment: Towards Sustainable Development Goals and a new global development paradigm (2015) Journal of International Development, 27 (6), pp. 717-732; Gowdy, J., (1999) Economic Concepts of Sustainability: Relocating Economic Activity within Society and Environment. Sustainability and the Social Sciences: A Cross-Disciplinary Approach to Integrating Environmental Considerations into Theoretical Reorientation. Londres, pp. 162-181. , Zed Books; Gupta, B.B., Sheng, Q.Z., (2019) Machine learning for computer and cyber security: Principle, algorithms, and practices, , CRC Press; Hahn, W.A., Knoke, T., Sustainable development and sustainable forestry: Analogies, differences, and the role of flexibility (2010) European Journal of Forest Research, 129, pp. 787-801; Hamadeh, W., Bahous, R., Diab, R., Nabhani, M., Using social media to enhance second language learning (2020) Computer-Assisted Language Learning Electronic Journal, 21, pp. 132-149; Hollands, R.G., Critical interventions into the corporate smart city (2015) Cambridge Journal of Regions, Economy and Society, 8, pp. 61-77; Hu, B., Gaurav, A., Choi, C., Almomani, A., evaluation and comparative analysis of semantic web-based strategies for enhancing educational system development (2022) International Journal on Semantic Web and Information Systems (IJSWIS), 18, pp. 1-14; Huba, M., Kozak, S., From e-Learning to Industry 4.0 (2016) 2016 International Conference on Emerging Elearning Technologies and Applications (ICETA), pp. 103-108. , https://doi.org/10.1109/ICETA.2016.7802083, S Smokovec, IEEE, High Tatras, Slovakia; Ikrissi, G., Mazri, T., A Study of smart campus environment and its security attacks (2020) The International Archives of the Photogrammetry, Remote Sensing and Spatial Information Sciences, 44, pp. 255-261. , –,., https://doi.org/10.5194/isprs-archives-XLIV-4-W3-2020-255-2020; Keeble, B.R., The brundtland commission: Environment and devel- opment to the year 2000 (1987) Medicine and War, 3, pp. 207-210; Koleva, N., Andreev, O., Aspects of Training in the Field of Operations Management with Respect to Industry 4.0 (2018) In 2018 International Conference on High Technology for Sustainable Development (Hitech), pp. 1-3. , https://doi.org/10.1109/HiTech.2018.8566581, IEEE, Sofia; Krivy`, M.,, Towards a critique of cybernetic urbanism: The smart city and the society of control (2018) Planning Theory, 17, pp. 8-30; Latif, S., Qadir, J., Farooq, S., Imran, M., How 5g wireless (and concomitant technologies) will revolutionize healthcare? (2017) Future Internet, 9. , &amp;, (,).,., https://doi.org/10.3390/fi9040093; Lawrence, G., Promoting sustainable development: The question of governance (2005) In New Directions in the Sociology of Global Development.; Lazaroiu, C., Roscia, M., (2017) Smart district through iot and blockchain, pp. 454-461. , https://doi.org/10.1109/DISTRA.2017.8191102; Li, Z., Xiao, H., Design of visual distance teaching platform based on Internet of things and embedded software system (2021) Jour- Nal of Ambient Intelligence and Humanized Computing; Lin, K., Shyu, J., Ding, K., A cross-strait comparison of innovation policy under industry 4.0 and sustainability development transition (2017) Sustainability (Switzerland), 9. , https://doi.org/10.3390/su9050786; Luke, T.W., Neither sustainable nor development: Reconsidering sustainability in development (2005) Sustainable Development, 13, pp. 228-238; Marti, L., Puertas, R., Sustainable energy development analysis: Energy trilemma (2022) Sustainable Technology and Entrepreneurship, 1; Martins, R.H.D.S., Sustainable development requires an integrated design discipline to address unique problems. tripleC: Communication, Capitalism &amp; Critique (2010) Open Access Journal for a Global Sustainable Information Society, 8, pp. 28-35; McEntire, D.A., The history, meaning and policy recommendations of sustainable development: A review essay (2005) International Journal of Environment and Sustainable Development, 4, pp. 106-118; Memos, V.A., Minopoulos, G., Stergiou, C., Psannis, K.E., Ishibashi, Y., A Revolutionary Interactive Smart Classroom (RISC) with the Use of Emerging Technologies (2020) 2020 2Nd International Conference on Computer Communication and the Internet (ICCCI), pp. 174-178. , https://doi.org/10.1109/ICCCI49374.2020.9145987, IEEE, Nagoya, Japan; Nikolaidis, P., Ismail, M., Shuib, L., Khan, S., Dhiman, G., Predicting student attrition in higher education through the determinants of learning progress: A structural equation modelling approach (2022) Sustainability, 14, p. 13584; Nikolov, R., Shoikova, E., Krumova, M., Kovatcheva, E., Dimitrov, V., Shikalanov, A., Learning in a smart city environment (2016) Journal of Communication and Computer, 13, pp. 338-350; Nunez, S., Padilla, J.M., Industry 4.0: An Integrated Distance Learning Solution (2020) 2020 6Th International Conference on Science in Information Technology (Icsitech), pp. 29-34. , https://doi.org/10.1109/ICSITech49800.2020.9392072, IEEE, Palu, Indonesia; Oh, D.S., Building Inter-Personal Competence in Architecture and Urban Design Students through Smart Cities at a Higher Education Institution (2019) Sustainability, 11, p. 7179; Paganelli, F., Mylonas, G., Cuffaro, G., Nesi, I., (2019) Experiences from Using Gamification and Iot-Based Educational Tools in High Schools Towards Energy Savings; Prasanna, S., Expanding the learning environment by using Internet of Things for eLearning (2017) 2017 International Conference on Intelligent Sustainable Systems (ICISS), pp. 361-364. , https://doi.org/10.1109/ISS1.2017.8389430, IEEE, Palladam; Ramakrishna, S., Ngowi, A., Jager, H., Awuzie, B., Emerging industrial revolution: Symbiosis of industry 4.0 and circular economy: The role of universities (2020) Science, Technology and Society, 25, pp. 505-525; Revathi, R., Suganya, M., NR, G., Iot based cloud integrated smart classroom for smart and a sustainable campus (2020) Procedia Computer Science, 172, pp. 77-81; Robles-Gomez, A., Tobarra, L., Pastor-Vargas, R., Hernandez, R., Haut, J.M., Analyzing the Users’ Acceptance of an IoT Cloud Platform Using the UTAUT/TAM Model (2021) IEEE Access, 9, pp. 150004-150020; Ruggerio, C.A., Sustainability and sustainable development: A review of principles and definitions. Science of the Total Environment, 786, 147481 (2021) Https://Www.Ncbi.Nlm.Nih.Gov/Pubmed/33965820, , https://doi.org/10.1016/j.scitotenv.2021.147481; Shallcross, T., Robinson, J., Is a decade of teacher education for sustainable development essential for survival? (2007) Journal of Education for Teaching, 33, pp. 137-147; Shankar, K., Perumal, E., Elhoseny, M., Taher, F., Gupta, B., El-Latif, A.A.A., Synergic deep learning for smart health diagnosis of covid-19 for connected living and smart cities (2021) ACM Transactions on Internet Technology (TOIT), 22, pp. 1-14; Sharma, K., Anand, D., Mishra, K., Harit, S., Progressive study and investigation of machine learning techniques to enhance the efficiency and effectiveness of industry 4.0 (2022) International Journal of Software Science and Computational Intelligence (IJSSCI), 14, pp. 1-14; Sood, S.K., Rawat, K.S., Fog-assisted virtual reality-based learning framework to control panic (2022) Expert Systems, p. 39. , https://doi.org/10.1111/exsy.12700; Suresh, P., Keerthika, P., Sathiyamoorthi, V., Logeswaran, K., Sentamil- Selvan, K., Sangeetha, M., Sagana, C., Et Al. (2021), pp. 63-90. , https://doi.org/10.4018/978-1-7998-7468-3.ch004; Tarhini, A., Harfouche, A., De Marco, M., Artificial intelligence- based digital transformation for sustainable societies: The prevailing effect of covid-19 crises (2022) Pacific Asia Journal of the Association for Information Systems, 14, p. 1; Toapanta, S.M.T., Lopez, J.M.V., Soledispa, R.S.T., Gallegos, L.E.M., Definition of a Security Prototype for IoT Applied to Higher Education (2019) 2019 Third World Conference on Smart Trends in Systems Security and Sustainablity (Worlds4), pp. 115-120. , https://doi.org/10.1109/WorldS4.2019.8904028, IEEE, London, UK; Touma, W.R., Zein, S.E., Entrepreneurship ecosystem in lebanon (2021) Communications of the ACM, 64, pp. 62-63; Tuptuk, N., Hailes, S., Security of smart manufacturing systems (2018) Journal of Manufacturing Systems, 47, pp. 93-106; Waas, T., Hugé, J., Verbruggen, A., Wright, T., Sustainable develop- ment: A bird’s eye view (2011) Sustainability, 3, pp. 1637-1661; Walia, H., Katiyar, S., Building engineering e-learning grid to foster engineering aptitude and Engineering attitude by leveraging ICT (2015) 2015 International Conference on Green Computing and Internet of Things (Icgciot), pp. 65-68. , https://doi.org/10.1109/ICGCIoT.2015.7380429, IEEE, Greater Noida, Delhi, India; Waqas, A., Malik, H.A.M., Karbasi, M., Nawaz, N.A., Mahessar, A.W., Cloudsis: An application of cloud computing for smart school management system (2017) University of Sindh Journal of Information and Communication Technology, 1, pp. 35-38; Wiesner, S., Marilungo, E., Thoben, K.D., Cyber-physical product- service systems – challenges for requirements engineering (2017) International Journal of Automation Technology, 11, pp. 17-28; Yadav, G., Kumar, A., Luthra, S., Garza-Reyes, J., Kumar, V., Batista, L., A framework to achieve sustainability in manufacturing organisa- tions of developing economies using industry 4.0 technologies’ enablers (2020) Computers in Industry, 122. , &amp;, (,).,., https://doi.org/10.1016/j.compind.2020.103280; Yamaguchi, S., Gupta, B., Malware threat in internet of things and its mitigation analysis (2021) Research Anthology on Combating Denial-Of-Service Attacks, pp. 371-387. , IGI Global; Yunis, M., Markarian, C., El-Kassar, A., A conceptual model for sustainable adoption of ehealth: Role of digital transformation culture and healthcare provider’s readiness (2020) Proceedings of the IMCIC; Zaballos, A., Briones, A., Massa, A., Centelles, P., Caballero, V., A Smart Campus’ Digital Twin for Sustainable Comfort Monitoring (2020) Sustainability, 12, p. 9196; Zemmouchi-Ghomari, L., How industry 4.0 can benefit from seman- tic web technologies and artefacts (2021) International Journal of Software Science and Computational Intelligence (IJSSCI), 13, pp. 64-74; Zhang, A., Venkatesh, V., Liu, Y., Wan, M., Qu, T., Huisingh, D., Barriers to smart waste management for a circular economy in china (2019) Journal of Cleaner Production, 240. , &amp;, (,).,., https://doi.org/10.1016/j.jclepro.2019.118198; Zhang, Y., Geng, P., Sivaparthipan, C., Muthu, B., Big data and artificial intelligence based early risk warning system of fire hazard for smart cities (2021) Sustainable Energy Technologies and Assessments, 45. , &amp;, (,).,., https://doi.org/10.1016/j.seta.2020.100986; Zhong, H., Zhu, W., Xu, Y., Cui, J., Multi-authority attribute-based encryption access control scheme with policy hidden for cloud storage (2018) Soft Computing, 22, pp. 243-251</t>
  </si>
  <si>
    <t>15547191</t>
  </si>
  <si>
    <t>Int. Entrep. Manage. J.</t>
  </si>
  <si>
    <t>2-s2.0-85151267667</t>
  </si>
  <si>
    <t>Han N., Li S., Huang F., Wen Y., Wang X., Liu X., Li L., Zhu T.</t>
  </si>
  <si>
    <t>57222135551;57215856176;57218514578;57849121400;57221208117;56542486700;58087074700;58087122300;</t>
  </si>
  <si>
    <t>Sensing Psychological Well-being Using Social Media Language: Prediction Model Development Study</t>
  </si>
  <si>
    <t>e41823</t>
  </si>
  <si>
    <t>10.2196/41823</t>
  </si>
  <si>
    <t>https://www.scopus.com/inward/record.uri?eid=2-s2.0-85147234812&amp;doi=10.2196%2f41823&amp;partnerID=40&amp;md5=80384168dfb87259de6492eb1aeec03c</t>
  </si>
  <si>
    <t>Chinese Academy Sciences Key Laboratory of Behavioral Science, Institute of Psychology, Chinese Academy of Sciences, Beijing, China; Department of Psychology, University of Chinese Academy of Sciences, Beijing, China; School of Data Science, City University of Hong Kong, Hong Kong, Hong Kong; Department of Social Work and Social Administration, The Unversity of Hong Kong, Hong Kong, Hong Kong; School of Electronic, Electrical and Communication Engineering, University of Chinese Academy of Sciences, Beijing, China; Department of Infectious Diseases and Public Health, Jockey Club College of Veterinary Medicine and Life Sciences, City University of Hong Kong, Hong Kong, Hong Kong</t>
  </si>
  <si>
    <t>Han, N., Chinese Academy Sciences Key Laboratory of Behavioral Science, Institute of Psychology, Chinese Academy of Sciences, Beijing, China, Department of Psychology, University of Chinese Academy of Sciences, Beijing, China, School of Data Science, City University of Hong Kong, Hong Kong, Hong Kong; Li, S., Department of Social Work and Social Administration, The Unversity of Hong Kong, Hong Kong, Hong Kong; Huang, F., Chinese Academy Sciences Key Laboratory of Behavioral Science, Institute of Psychology, Chinese Academy of Sciences, Beijing, China, Department of Psychology, University of Chinese Academy of Sciences, Beijing, China; Wen, Y., School of Electronic, Electrical and Communication Engineering, University of Chinese Academy of Sciences, Beijing, China; Wang, X., Chinese Academy Sciences Key Laboratory of Behavioral Science, Institute of Psychology, Chinese Academy of Sciences, Beijing, China; Liu, X., Chinese Academy Sciences Key Laboratory of Behavioral Science, Institute of Psychology, Chinese Academy of Sciences, Beijing, China; Li, L., School of Data Science, City University of Hong Kong, Hong Kong, Hong Kong, Department of Infectious Diseases and Public Health, Jockey Club College of Veterinary Medicine and Life Sciences, City University of Hong Kong, Hong Kong, Hong Kong; Zhu, T., Chinese Academy Sciences Key Laboratory of Behavioral Science, Institute of Psychology, Chinese Academy of Sciences, Beijing, China, Department of Psychology, University of Chinese Academy of Sciences, Beijing, China</t>
  </si>
  <si>
    <t>Background: Positive mental health is arguably increasingly important and can be revealed, to some extent, in terms of psychological well-being (PWB). However, PWB is difficult to assess in real time on a large scale. The popularity and proliferation of social media make it possible to sense and monitor online users’ PWB in a nonintrusive way, and the objective of this study is to test the effectiveness of using social media language expression as a predictor of PWB. Objective: This study aims to investigate the predictive power of social media corresponding to ground truth well-being data in a psychological way. Methods: We recruited 1427 participants. Their well-being was evaluated using 6 dimensions of PWB. Their posts on social media were collected, and 6 psychological lexicons were used to extract linguistic features. A multiobjective prediction model was then built with the extracted linguistic features as input and PWB as the output. Further, the validity of the prediction model was confirmed by evaluating the model's discriminant validity, convergent validity, and criterion validity. The reliability of the model was also confirmed by evaluating the split-half reliability. Results: The correlation coefficients between the predicted PWB scores of social media users and the actual scores obtained using the linguistic prediction model of this study were between 0.49 and 0.54 (P&lt;.001), which means that the model had good criterion validity. In terms of the model’s structural validity, it exhibited excellent convergent validity but less than satisfactory discriminant validity. The results also suggested that our model had good split-half reliability levels for every dimension (ranging from 0.65 to 0.85; P&lt;.001). Conclusions: By confirming the availability and stability of the linguistic prediction model, this study verified the predictability of social media corresponding to ground truth well-being data from the perspective of PWB. Our study has positive implications for the use of social media to predict mental health in nonprofessional settings such as self-testing or a large-scale user study. ©Nuo Han, Sijia Li, Feng Huang, Yeye Wen, Xiaoyang Wang, Xiaoqian Liu, Linyan Li, Tingshao Zhu.</t>
  </si>
  <si>
    <t>domain knowledge; ground truth; lexicon; linguistic; machine learning; mental health; mental well being; mental wellbeing; model; predict; psychological well-being; social media</t>
  </si>
  <si>
    <t>adult; article; cell proliferation; comparative effectiveness; controlled study; convergent validity; correlation coefficient; discriminant validity; female; human; human experiment; language; machine learning; major clinical study; male; mental health; prediction; psychological well-being; reliability; self-testing; social media; wellbeing; language; mental health; reproducibility; Humans; Language; Mental Health; Psychological Well-Being; Reproducibility of Results; Social Media</t>
  </si>
  <si>
    <t>Keller, S., What does mental health have to do with well-being? (2020) Bioethics, 34 (3), pp. 228-234. , Mar 29; [doi] [Medline: 31782815]; Keyes, CLM., Mental illness and/or mental health? Investigating axioms of the complete state model of health (2005) J Consult Clin Psychol, 73 (3), pp. 539-548. , Jun; [FREE Full _text] [doi] [Medline: 15982151]; Westerhof, GJ, Keyes, CLM., Mental illness and mental health: the two continua model across the lifespan (2010) J Adult Dev, 17 (2), pp. 110-119. , Jun 26; [FREE Full _text] [doi] [Medline: 20502508]; Keyes, CLM., Mental health in adolescence: is America's youth flourishing? (2006) Am J Orthopsychiatry, 76 (3), pp. 395-402. , Jul; [doi] [Medline: 16981819]; Galderisi, S, Heinz, A, Kastrup, M, Beezhold, J, Sartorius, N., Toward a new definition of mental health (2015) World Psychiatry, 14 (2), pp. 231-233. , Jun 04; [FREE Full _text] [doi] [Medline: 26043341]; Keyes, CLM., Mental Health as a Complete State: How the Salutogenic Perspective Completes the Picture (2014) Bridging Occupational, Organizational and Public Health, pp. 179-192. , Dordrecht, Netherlands: Springer Netherlands; Ryff, C, Almeida, D, Ayanian, J, Carr, D, Cleary, P, Coe, C, Midlife in the United States (MIDUS 2), 2004-2006 (ICPSR 4652) https://www.icpsr.umich.edu/web/NACDA/studies/4652/versions/V5, National Archive of Computerized Data on Aging. [accessed 2022-12-26]; Twenge, JM, Campbell, WK., Media use is linked to lower psychological well-being: evidence from three datasets (2019) Psychiatr Q, 90 (2), pp. 311-331. , Jun; [doi] [Medline: 30859387]; Drevets, W, Price, J, Furey, M., Brain structural and functional abnormalities in mood disorders: implications for neurocircuitry models of depression (2008) Brain Struct Funct, 213 (1-2), pp. 93-118. , Sep; [FREE Full _text] [doi] [Medline: 18704495]; Froese, AP, Cassem, N, Hackett, TP, Silverberg, EL., Galvanic skin potential as a predictor of mental status, anxiety, depression and denial in acute coronary patients (1975) J Psychosom Res, 19 (1), pp. 1-9. , Feb; [doi] [Medline: 1142310]; Wang, X, Wang, Y, Zhou, M, Li, B, Liu, X, Zhu, T., Identifying psychological symptoms based on facial movements (2020) Front Psychiatry, 11, p. 607890. , Dec 15;: [FREE Full _text] [doi] [Medline: 33384632]; Bai, S, Yuan, S, Hao, B, Zhu, T., Predicting personality traits of microblog users (2014) Web Intelligence and Agent Systems: An International Journal, 12 (3), pp. 249-265. , [doi]; Zhu, C, Li, B, Li, A, Zhu, T., Detecting depression from Internet behaviors by time-frequency features (2019) WEB, 17 (3), pp. 199-208. , Aug 16; [doi]; Saha, K, Chan, L, De Barbaro, K, Abowd, GD, De Choudhury, M., Inferring mood instability on social media by leveraging ecological momentary assessments (2017) Proceedings of the ACM on Interactive, Mobile, Wearable and Ubiquitous Technologies, 1 (3), pp. 1-27. , Sep 11; [doi]; Saha, K, Yousuf, A, Boyd, RL, Pennebaker, JW, De Choudhury, M., Social media discussions predict mental health consultations on college campuses (2022) Sci Rep, 12 (1), p. 123. , Jan 07; [FREE Full _text] [doi] [Medline: 34996909]; Jaidka, K, Giorgi, S, Schwartz, HA, Kern, ML, Ungar, LH, Eichstaedt, JC., Estimating geographic subjective well-being from Twitter: A comparison of dictionary and data-driven language methods (2020) Proc Natl Acad Sci U S A, 117 (19), pp. 10165-10171. , May 12; [FREE Full _text] [doi] [Medline: 32341156]; Hao, B, Li, L, Gao, R, Li, A, Zhu, T., Sensing Subjective Well-being from Social Media (2014) Active Media Technology. AMT 2014. Lecture Notes in Computer Science, 8610, pp. 324-335. , Śl zak D, Schaefer G, Vuong ST, Kim YS, editors. Cham, Switzerland: Springer; Saha, K, De Choudhury, M., Modeling stress with social media around incidents of gun violence on college campuses (2017) Proceedings of the ACM on Human-Computer Interaction, 1, pp. 1-27. , Nov;(CSCW): [doi]; Schwartz, HA, Eichstaedt, JC, Kern, ML, Dziurzynski, L, Ramones, SM, Agrawal, M, Personality, gender, and age in the language of social media: the open-vocabulary approach (2013) PLoS One, 8 (9), p. e73791. , [FREE Full _text] [doi] [Medline: 24086296]; Eichstaedt, J, Weidman, A., Tracking fluctuations in psychological states using social media language: a case study of weekly emotion (2020) Eur J Pers, 34 (5), pp. 845-858. , Sep 01; [doi]; China: number of social media users 2026 https://www.statista.com/statistics/277586/number-of-socialnetwork-users-in-china/, Statista. [accessed 2022-05-27]; Kosinski, M, Matz, SC, Gosling, SD, Popov, V, Stillwell, D., Facebook as a research tool for the social sciences: Opportunities, challenges, ethical considerations, and practical guidelines (2015) Am Psychol, 70 (6), pp. 543-556. , Sep; [doi] [Medline: 26348336]; Ryff, CD, Keyes, CLM., The structure of psychological well-being revisited (1995) Journal of Personality and Social Psychology, 69 (4), pp. 719-727. , [doi]; Gao, R, Hao, B, Li, H, Gao, Y, Zhu, T., Developing Simplified Chinese Psychological Linguistic Analysis Dictionary for Microblog (2013) Brain and Health Informatics. BHI 2013. Lecture Notes in Computer Science, 8211, pp. 359-368. , Imamura K, Usui S, Shirao T, Kasamatsu T, Schwabe L, Zhong N, editors. Cham, Switzerland: Springer; Dong, Y, Chen, H, Lai, K, Le, G., Weibo social moods measurement and validation: measurement and validation of basic social emotions in microblogs (2015) Psychological Science, 38 (5), pp. 1141-1146. , [FREE Full _text] [doi]; Lv, M, Li, A, Liu, T, Zhu, T., Creating a Chinese suicide dictionary for identifying suicide risk on social media (2015) PeerJ, 3, p. e1455. , [FREE Full _text] [doi] [Medline: 26713232]; Zhang, Y, Yu, F., Which socio-economic indicators influence collective morality? Big data analysis on online Chinese social media (2018) Emerging Markets Finance and Trade, 54 (4), pp. 792-800. , Feb 06; [doi]; Graham, J, Haidt, J, Nosek, BA., Liberals and conservatives rely on different sets of moral foundations (2009) J Pers Soc Psychol, 96 (5), pp. 1029-1046. , May; [doi] [Medline: 19379034]; Ren, X, Xiang, Y, Zhou, Y, Zhu, T., Psychological map of Chinese individualism/collectivism based on Weibo big data (2017) Journal of Inner Mongolia Normal University: Philosophy and Social Sciences Edition, 46 (6), p. 64. , [FREE Full _text] [doi]; Tausczik, YR, Pennebaker, JW., The psychological meaning of words: LIWC and computerized text analysis methods (2009) Journal of Language and Social Psychology, 29 (1), pp. 24-54. , Dec 08; [doi]; Zhao, N, Jiao, D, Bai, S, Zhu, T., Evaluating the validity of Simplified Chinese version of LIWC in detecting psychological expressions in short texts on social network services (2016) PLoS One, 11 (6), p. e0157947. , Jun 20; [FREE Full _text] [doi] [Medline: 27322382]; Golbeck, J, Robles, C, Turner, K., Predicting personality with social media (2011) CHI '11 Extended Abstracts on Human Factors in Computing Systems, pp. 253-262. , [FREE Full _text] [doi]; Hao, B, Li, L, Li, A, Zhu, T., Predicting Mental Health Status on Social Media (2013) Cross-Cultural Design. Cultural Differences in Everyday Life. CCD 2013. Lecture Notes in Computer Science, 8024, pp. 101-110. , Rau PLP, editor. Berlin, Heidelberg: Springer; Hu, B, Fan, J, Zhen, W, Posner, M., Advances in computational psychophysiology (2015) Science, 350 (6256), p. 114. , Oct 02; [doi]; Han, N, Chen, G, Li, S, Huang, F, Wang, X, Ren, X, Impacts of the COVID-19 pandemic on the bereaved: a study of bereaved Weibo users (2021) Healthcare (Basel), 9 (6), p. 724. , Jun 12; [FREE Full _text] [doi] [Medline: 34204707]; Zapf, D., Emotion work and psychological well-being (2002) Human Resource Management Review, 12 (2), pp. 237-268. , Jun; [doi]; Li, H, Han, Y, Xiao, Y, Liu, X, Li, A, Zhu, T., Suicidal ideation risk and socio-cultural factors in China: a longitudinal study on social media from 2010 to 2018 (2021) Int J Environ Res Public Health, 18 (3), p. 1098. , Jan 26; [FREE Full _text] [doi] [Medline: 33530647]; Choi, D, Noh, G., The influence of social media use on attitude toward suicide through psychological well-being, social isolation, and social support (2019) Information, Communication &amp; Society, 23 (10), pp. 1427-1443. , Feb 17; [doi]; Zhao, L, Ding, X, Yu, F., Public moral motivation during the COVID-19 pandemic: Analysis of posts on Chinese social media (2020) Social Behavior and Personality, 48 (11), pp. 1-14. , [doi]; Assor, A., Autonomous moral motivation: Consequences, socializing antecedents, and the unique role of integrated moral principles (2012) The social psychology of morality: Exploring the causes of good and evil, pp. 239-255. , Mikulincer M, Shaver PR, editors. Washington, DC: American Psychological Association; Wu, S, Yang, C, Zhang, Y., The Chinese version of Moral Foundations Dictionary: a brief introduction and pilot analysis (2019) ChinaXiv, p. 1. , [FREE Full _text] [doi]; Huang, F, Li, H, Ding, H, Wu, S, Liu, M, Liu, T, Influence model of economic development on collective morality from the perspective of social media big data (2019) Chin. Sci. Bull, 65 (19), pp. 2062-2070. , Dec 30; [doi]; Waytz, A, Hofmann, W., Nudging the better angels of our nature: A field experiment on morality and well-being (2020) Emotion, 20 (5), pp. 904-909. , Aug; [doi] [Medline: 30816744]; Han, N, Ren, X, Wu, P, Liu, X, Zhu, T., Increase of collectivistic expression in China during the COVID-19 outbreak: an empirical study on online social networks (2021) Front Psychol, 12, p. 632204. , Apr 20;: [FREE Full _text] [doi] [Medline: 33959071]; Huang, F, Ding, H, Liu, Z, Wu, P, Zhu, M, Li, A, How fear and collectivism influence public's preventive intention towards COVID-19 infection: a study based on big data from the social media (2020) BMC Public Health, 20 (1), p. 1707. , Nov 16; [FREE Full _text] [doi] [Medline: 33198699]; (2004) Promoting mental health: concepts, emerging evidence, practice: summary report, , https://apps.who.int/iris/handle/10665/42940, World Health Organization. [accessed 2022-12-26]; Farnadi, G, Sitaraman, G, Sushmita, S, Celli, F, Kosinski, M, Stillwell, D, Computational personality recognition in social media (2016) User Model User-Adap Inter, 26 (2-3), pp. 109-142. , Feb 5; [doi]; Geurts, P, Ernst, D, Wehenkel, L., Extremely randomized trees (2006) Mach Learn, 63 (1), pp. 3-42. , Mar 2; [doi]; Gall, J, Yao, A, Razavi, N, Van Gool, L, Lempitsky, V., Hough forests for object detection, tracking, and action recognition (2011) IEEE Trans. Pattern Anal. Mach. Intell, 33 (11), pp. 2188-2202. , Nov; [doi]; SPSS Statistics 22.0 Available for Download. IBM, , https://www.ibm.com/support/pages/spss-statistics-220-available-download, [accessed 2022-12-26]; Craig, RJ., Assessing personality and psychopathology with interviews (2013) Handbook of psychology: Assessment psychology, pp. 558-582. , Graham JR, Naglieri JA, Weiner IB, editors. Hoboken, NJ: John Wiley &amp; Sons, Inc; Liu, X, Liu, X, Sun, J, Yu, NX, Sun, B, Li, Q, Proactive Suicide Prevention Online (PSPO): machine identification and crisis management for Chinese social media users with suicidal thoughts and behaviors (2019) J Med Internet Res, 21 (5), p. e11705. , May 08; [FREE Full _text] [doi] [Medline: 31344675]; Xu, Z, Xu, Y, Cheung, F, Cheng, M, Lung, D, Law, YW, Detecting suicide risk using knowledge-aware natural language processing and counseling service data (2021) Soc Sci Med, 283, p. 114176. , Aug;:. [doi] [Medline: 34214846]; Christopher, JC., Situating psychological well-being: exploring the cultural roots of its theory and research (1999) Journal of Counseling &amp; Development, 77 (2), pp. 141-152. , [doi]; Gubler, DA, Makowski, LM, Troche, SJ, Schlegel, K., Loneliness and well-being during the Covid-19 pandemic: associations with personality and emotion regulation (2021) J Happiness Stud, 22 (5), pp. 2323-2342. , Oct 20; [FREE Full _text] [doi] [Medline: 33100896]; Lawanot, W, Inoue, M, Yokemura, T, Mongkolnam, P, Nukoolkit, C., Daily Stress and Mood Recognition System Using Deep Learning and Fuzzy Clustering for Promoting Better Well-Being (2019) 2019 Presented at: IEEE International Conference on Consumer Electronics (ICCE), , January 11-13, Las Vegas, NV. [doi]; Ryff, CD., Happiness is everything, or is it? Explorations on the meaning of psychological well-being (1989) Journal of Personality and Social Psychology, 57 (6), pp. 1069-1081. , Dec; [doi]; Li, S, Wang, Y, Xue, J, Zhao, N, Zhu, T., The impact of COVID-19 epidemic declaration on psychological consequences: a study on active Weibo users (2020) Int J Environ Res Public Health, 17 (6), p. 2032. , Mar 19; [doi] [Medline: 32204411]; Salama-Younes, M, Ismaïl, A, Montazeri, A, Roncin, C., Factor Structure of the French Ryff’s Psychological Well-Being Scales for Active Older Adults (2011) The Human Pursuit of Well-Being, pp. 203-212. , Brdar I, editor. Dordrecht, Netherlands: Springer; Ottenbacher, ME, Kuo, Y, Ostir, GV., Test-retest reliability of a psychological well-being scale in hospitalized older adults (2013) Aging Clin Exp Res, 19 (5), pp. 424-429. , Jul 25; [doi]; Kosinski, M, Stillwell, D, Graepel, T., Private traits and attributes are predictable from digital records of human behavior (2013) Proc Natl Acad Sci U S A, 110 (15), pp. 5802-5805. , Apr 09; [FREE Full _text] [doi] [Medline: 23479631]; Kern, ML, Eichstaedt, JC, Schwartz, HA, Dziurzynski, L, Ungar, LH, Stillwell, DJ, The online social self: an open vocabulary approach to personality (2014) Assessment, 21 (2), pp. 158-169. , Apr 08; [doi] [Medline: 24322010]; Wang, Y, Wu, P, Liu, X, Li, S, Zhu, T, Zhao, N., Subjective well-being of Chinese Sina Weibo users in residential lockdown during the COVID-19 pandemic: machine learning analysis (2020) J Med Internet Res, 22 (12), p. e24775. , Dec 17; [FREE Full text] [doi] [Medline: 33290247]</t>
  </si>
  <si>
    <t>2-s2.0-85147234812</t>
  </si>
  <si>
    <t>Sensing psychological well-being using social media language: prediction model development study</t>
  </si>
  <si>
    <t>Zou Y., Chu Z., Guo J., Liu S., Ma X., Guo J.</t>
  </si>
  <si>
    <t>58086059300;58086181400;57200326689;57201658617;55324343900;55560757800;</t>
  </si>
  <si>
    <t>Minimally invasive electrochemical continuous glucose monitoring sensors: Recent progress and perspective</t>
  </si>
  <si>
    <t>Biosensors and Bioelectronics</t>
  </si>
  <si>
    <t>115103</t>
  </si>
  <si>
    <t>10.1016/j.bios.2023.115103</t>
  </si>
  <si>
    <t>https://www.scopus.com/inward/record.uri?eid=2-s2.0-85147192673&amp;doi=10.1016%2fj.bios.2023.115103&amp;partnerID=40&amp;md5=d1eb7e2ea567d57985718af9b06c80b2</t>
  </si>
  <si>
    <t>University of Electronic Science and Technology of China, Chengdu, 611731, China; Chongqing Medical University, Chongqing, 400016, China; School of Sensing Science and Engineering, Shanghai Jiaotong University, Shanghai, China; School of Materials Science and Engineering, Harbin Institute of Technology (Shenzhen), Shenzhen, 518055, China; Department of Laboratory Medicine, Sichuan Academy of Medical Sciences and Sichuan Provincial People's Hospital, University of Electronic Science and Technology, Chengdu, 610072, China</t>
  </si>
  <si>
    <t>Zou, Y., University of Electronic Science and Technology of China, Chengdu, 611731, China; Chu, Z., School of Sensing Science and Engineering, Shanghai Jiaotong University, Shanghai, China; Guo, J., University of Electronic Science and Technology of China, Chengdu, 611731, China, Chongqing Medical University, Chongqing, 400016, China; Liu, S., Department of Laboratory Medicine, Sichuan Academy of Medical Sciences and Sichuan Provincial People's Hospital, University of Electronic Science and Technology, Chengdu, 610072, China; Ma, X., School of Materials Science and Engineering, Harbin Institute of Technology (Shenzhen), Shenzhen, 518055, China; Guo, J., Chongqing Medical University, Chongqing, 400016, China, School of Sensing Science and Engineering, Shanghai Jiaotong University, Shanghai, China</t>
  </si>
  <si>
    <t>Diabetes and its complications are seriously threatening the health and well-being of hundreds of millions of people. Glucose levels are essential indicators of the health conditions of diabetics. Over the past decade, concerted efforts in various fields have led to significant advances in glucose monitoring technology. In particular, the rapid development of continuous glucose monitoring (CGM) based on electrochemical sensing principles has great potential to overcome the limitations of self-monitoring blood glucose (SMBG) in continuously tracking glucose trends, evaluating diabetes treatment options, and improving the quality of life of diabetics. However, the applications of minimally invasive electrochemical CGM sensors are still limited owing to the following aspects: i) invasiveness, ii) short lifespan, iii) biocompatibility, and iv) calibration and prediction. In recent years, the performance of minimally invasive electrochemical CGM systems (CGMSs) has been significantly improved owing to breakthrough developments in new materials and key technologies. In this review, we summarize the history of commercial CGMSs, the development of sensing principles, and the research progress of minimally invasive electrochemical CGM sensors in reducing the invasiveness of implanted probes, maintaining enzyme activity, and improving the biocompatibility of the sensor interface. In addition, this review also introduces calibration algorithms and prediction algorithms applied to CGMSs and describes the application of machine learning algorithms for glucose prediction. © 2023 Elsevier B.V.</t>
  </si>
  <si>
    <t>Biocompatible membranes; Calibration; Continuous glucose monitoring; Enzyme immobilization; Invasiveness; Prediction</t>
  </si>
  <si>
    <t>Biocompatibility; Calibration; Enzyme activity; Enzyme immobilization; Glucose; Learning algorithms; Machine learning; Bio-compatible membranes; Continuous glucose monitoring; Continuous glucose monitoring sensors; Electrochemicals; Glucose level; Invasiveness; Minimally invasive; Recent progress; Sensing principle; Well being; Forecasting; biological marker; gold nanoparticle; algorithm; biocompatibility; blood glucose monitoring; blood sampling; calibration; diabetes mellitus; electrochemical analysis; enzyme activity; enzyme immobilization; human; iontophoresis; lacrimal fluid; learning algorithm; machine learning; minimally invasive procedure; prediction; quality of life; Review; saliva; sweat; urine; blood glucose monitoring; diabetes mellitus; genetic procedures; glucose blood level; Biosensing Techniques; Blood Glucose; Blood Glucose Self-Monitoring; Diabetes Mellitus; Humans; Quality of Life</t>
  </si>
  <si>
    <t>Blood Glucose</t>
  </si>
  <si>
    <t xml:space="preserve">Aashima Bhargav, S., Kaushik, S., Dutt, V., A combination of decision trees with machine learning ensembles for blood glucose level predictions (2022) Proceedings of International Conference on Data Science and Applications, pp. 533-548. , M. Saraswat S. Roy C. Chowdhury A.H. Gandomi Springer Singapore Singapore; Abbas, H.T., Alic, L., Erraguntla, M., Ji, J.X., Abdul-Ghani, M., Abbasi, Q.H., Qaraqe, M.K., Predicting long-term type 2 diabetes with support vector machine using oral glucose tolerance test (2019) PLoS One, 14 (12); Acciaroli, G., Vettoretti, M., Facchinetti, A., Sparacino, G., Calibration of minimally invasive continuous glucose monitoring sensors: state-of-the-art and current perspectives (2018) Biosensors, 8 (1); Acciaroli, G., Vettoretti, M., Facchinetti, A., Sparacino, G., Toward calibration-free continuous glucose monitoring sensors: bayesian calibration approach applied to next-generation Dexcom technology (2018) Diabetes Technol. Therapeut., 20 (1), pp. 59-67; Acciaroli, G., Vettoretti, M., Facchinetti, A., Sparacino, G., Cobelli, C., Reduction of blood glucose measurements to calibrate subcutaneous glucose sensors: a bayesian multiday framework (2018) IEEE Trans. Biomed. Eng., 65 (3), pp. 587-595; Ahmad, N.N., Ghazali, N.N.N., Wong, Y.H., Concept design of transdermal microneedles for diagnosis and drug delivery: a review (2021) Adv. Eng. Mater., 23 (12); Alberti, K.G., Zimmet, P.Z., Definition, diagnosis and classification of diabetes mellitus and its complications. Part 1: diagnosis and classification of diabetes mellitus provisional report of a WHO consultation (1998) Diabet. Med., 15 (7), pp. 539-553; Alhaddad, A.Y., Aly, H., Gad, H., Al-Ali, A., Sadasivuni, K.K., Cabibihan, J.-J., Malik, R.A., Sense and Learn: Recent Advances in Wearable Sensing and Machine Learning for Blood Glucose Monitoring and Trend-Detection 10 (2022); Alhaddad, A.Y., Aly, H., Gad, H., Al-Ali, A.K., Sadasivuni, K.K., Cabibihan, J.-J., Malik, R.A., Biotechnology (2022) Sense and Learn: Recent Advances in Wearable Sensing and Machine Learning for Blood Glucose Monitoring and Trend-Detection 10; Aliberti, A., Pupillo, I., Terna, S., Macii, E., Cataldo, S.D., Patti, E., Acquaviva, A., A multi-patient data-driven approach to blood glucose prediction (2019) IEEE Access, 7, pp. 69311-69325; Alsunaidi, B., Althobaiti, M., Tamal, M., Albaker, W., Al-Naib, I., A review of non-invasive optical systems for continuous blood glucose monitoring (2021) Sensors, 21 (20); American Diabetes, A., 6. Glycemic targets: standards of medical care in diabetes-2019 (2019) Diabetes Care, 42, pp. S61-S70; Arakawa, T., Tomoto, K., Nitta, H., Toma, K., Takeuchi, S., Sekita, T., Minakuchi, S., Mitsubayashi, K., A wearable Cellulose acetate-coated mouthguard biosensor for in vivo salivary glucose measurement (2020) Anal. Chem., 92 (18), pp. 12201-12207; Arana-Peña, S., Carballares, D., Morellon-Sterlling, R., Berenguer-Murcia, Á., Alcántara, A.R., Rodrigues, R.C., Fernandez-Lafuente, R., Enzyme co-immobilization: always the biocatalyst designers' choice or not? (2021) Biotechnol. Adv., 51; Assoc, A.D., 7. Diabetes technology: standards of medical care in diabetes-2021 (2021) Diabetes Care, 44, pp. S85-S99; Baek, S.H., Roh, J., Park, C.Y., Kim, M.W., Shi, R., Kailasa, S.K., Park, T.J., Cu-nanoflower decorated gold nanoparticles-graphene oxide nanofiber as electrochemical biosensor for glucose detection (2020) Mat Sci Eng C-Mater, 107; Balasooriya, K., Nanayakkara, N.D., Predicting Short-Term Changing Blood Glucose Level of Diabetes Patients Using Noninvasive Data (2020), pp. 31-36; Bamgboje, D., Christoulakis, I., Smanis, I., Chavan, G., Shah, R., Malekzadeh, M., Violaris, I., Tzallas, A., Continuous non-invasive glucose monitoring via Contact lenses: current approaches and future perspectives (2021) Biosens. Bioelectron., 11 (6); Bao, L., Park, J., Bonfante, G., Kim, B., Recent advances in porous microneedles: materials, fabrication, and transdermal applications (2022) Drug delivery and translational research, 12 (2), pp. 395-414; Barathi, P., Thirumalraj, B., Chen, S.M., Angaiah, S., A simple and flexible enzymatic glucose biosensor using chitosan entrapped mesoporous carbon nanocomposite (2019) Microchem. J., 147, pp. 848-856; Ben Ali, J., Hamdi, T., Fnaiech, N., Di Costanzo, V., Fnaiech, F., Ginoux, J.-M., Continuous blood glucose level prediction of type 1 diabetes based on artificial neural network (2018) Biocybern. Biomed. Eng., 38 (4), pp. 828-840; Bertachi, A., Biagi, L., Contreras, I., Luo, N., Vehí, J., Prediction of Blood Glucose Levels and Nocturnal Hypoglycemia Using Physiological Models and Artificial Neural Networks (2018), KHD@IJCAI; Bertachi, A., Viñals, C., Biagi, L., Contreras, I., Vehí, J., Conget, I., Giménez, M., Prediction of nocturnal hypoglycemia in adults with type 1 diabetes under multiple daily injections using continuous glucose monitoring and physical activity monitor (2020) Sensors, 20 (6); Bevan, R., Coenen, F., Experiments in Non-personalized Future Blood Glucose Level Prediction (2020), KDH@ECAI; Bolinder, J., Antuna, R., Geelhoed-Duijvestijn, P., Kröger, J., Weitgasser, R., Novel glucose-sensing technology and hypoglycaemia in type 1 diabetes: a multicentre, non-masked, randomised controlled trial (2016) Lancet (London, England), 388 (10057), pp. 2254-2263; Bollella, P., Sharma, S., Cass, A.E.G., Antiochia, R., Minimally-invasive microneedle-based biosensor array for simultaneous lactate and glucose monitoring in artificial interstitial fluid (2019) Electroanalysis, 31 (2), pp. 374-382; Bollella, P., Sharma, S., Cass, A.E.G., Tasca, F., Antiochia, R., Minimally invasive glucose monitoring using a highly porous gold microneedles-based biosensor: characterization and application in artificial interstitial fluid (2019) Catalysts, 9 (7); Bunescu, R., Struble, N., Marling, C., Shubrook, J., Schwartz, F., Blood Glucose Level Prediction Using Physiological Models and Support Vector Regression (2013) 12th International Conference on Machine Learning and Applications, pp. 135-140. , 2013; Cai, Y., Liang, B., Chen, S., Zhu, Q., Tu, T., Wu, K., Cao, Q., Ye, X., One-step modification of nano-polyaniline/glucose oxidase on double-side printed flexible electrode for continuous glucose monitoring: characterization, cytotoxicity evaluation and in vivo experiment (2020) Biosens. Bioelectron., 165; Cai, Y., Liang, B., Chen, S., Zhu, Q., Tu, T., Wu, K., Cao, Q., Ye, X., One-step modification of nano-polyaniline/glucose oxidase on double-side printed flexible electrode for continuous glucose monitoring: characterization, cytotoxicity evaluation and in vivo experiment (2020) Biosens. Bioelectron., 165; Cameron, F.M., Ly, T.T., Buckingham, B.A., Maahs, D.M., Forlenza, G.P., Levy, C.J., Lam, D., Bequette, B.W., Closed-loop control without meal announcement in type 1 diabetes (2017) Diabetes Technol. Therapeut., 19 (9), pp. 527-532; Cao, Q., Liang, B., Tu, T., Wei, J., Fang, L., Ye, X., Three-dimensional paper-based microfluidic electrochemical integrated devices (3D-PMED) for wearable electrochemical glucose detection (2019) RSC Adv., 9 (10), pp. 5674-5681; Cappon, G., Vettoretti, M., Sparacino, G., Facchinetti, A., Continuous glucose monitoring sensors for diabetes management: a review of technologies and applications (2019) Diabetes &amp; metabolism journal, 43 (4), pp. 383-397; Carcamo-Martinez, A., Mallon, B., Dominguez-Robles, J., Vora, L.K., Anjani, Q.K., Donnelly, R.F., Hollow microneedles: a perspective in biomedical applications (2021) Int. J. Pharm., 599; Cass, A.E., Davis, G., Francis, G.D., Hill, H.A., Aston, W.J., Higgins, I.J., Plotkin, E.V., Turner, A.P., Ferrocene-mediated enzyme electrode for amperometric determination of glucose (1984) Anal. Chem., 56 (4), pp. 667-671; Castle, J.R., DeVries, J.H., Kovatchev, B., Future of automated insulin delivery systems (2017) Diabetes Technol. Therapeut., 19, pp. S67-S72; Chaubey, A., Malhotra, B.D., Mediated biosensors (2002) Biosens. Bioelectron., 17 (6-7), pp. 441-456; Chen, D.J., Wang, C., Chen, W., Chen, Y.Q., Zhang, J.X.J., PVDF-Nafion nanomembranes coated microneedles for in vivo transcutaneous implantable glucose sensing (2015) Biosens. Bioelectron., 74, pp. 1047-1052; Chen, J., Li, K., Herrero, P., Zhu, T., Georgiou, P., Dilated Recurrent Neural Network for Short-Time Prediction of Glucose Concentration (2018), KHD@IJCAI; Chen, Y., Lu, S., Zhang, S., Li, Y., Qu, Z., Chen, Y., Lu, B., Feng, X., Skin-like biosensor system via electrochemical channels for noninvasive blood glucose monitoring (2017) Sci. Adv., 3 (12); Cheng, Y., Gong, X., Yang, J., Zheng, G., Zheng, Y., Li, Y., Xu, Y., Jiang, L., A touch-actuated glucose sensor fully integrated with microneedle array and reverse iontophoresis for diabetes monitoring (2022) Biosens. Bioelectron., 203; Chien, M.N., Chen, Y.J., Bai, C.H., Huang, J.T., Continuous glucose monitoring system based on percutaneous microneedle array (2022) Micromachines-Basel, 13 (3); Chien, M.N., Chen, Y.J., Bai, C.H., Huang, J.T., Continuous glucose monitoring system based on percutaneous microneedle array (2022) Micromachines, 13 (3); Chinnadayyala, S.R., Park, I., Cho, S., Nonenzymatic determination of glucose at near neutral pH values based on the use of nafion and platinum black coated microneedle electrode array (2018) Microchim. Acta, 185 (5), p. 250; Clark, L.C., Jr., Lyons, C., Electrode systems for continuous monitoring in cardiovascular surgery (1962) Ann. N. Y. Acad. Sci., 102, pp. 29-45; Cohen, R., Cohen, Y., Mukha, D., Yehezkeli, O., Oxygen insensitive amperometric glucose biosensor based on FAD dependent glucose dehydrogenase co-entrapped with DCPIP or DCNQ in a polydopamine layer (2021) Electrochim. Acta, 367; Cooney, M.J., Kinetic measurements for enzyme immobilization (2017) Methods Mol. Biol., 1504, pp. 215-232; Dervisevic, M., Alba, M., Yan, L., Senel, M., Gengenbach, T.R., Prieto-Simon, B., Voelcker, N.H., Transdermal electrochemical monitoring of glucose via high-density silicon (2022) Microneedle Array Patch, 32 (3); Diouri, O., Cigler, M., Vettoretti, M., Mader, J.K., Choudhary, P., Renard, E., Hypoglycaemia detection and prediction techniques: a systematic review on the latest developments (2021) Diabetes/metabolism research and reviews, 37 (7), p. e3449; Duong, H.D., Sohn, O.J., Rhee, J.I., Development of a ratiometric fluorescent glucose sensor using an oxygen-sensing membrane immobilized with glucose oxidase for the detection of glucose in tears (2020) Biosens. Bioelectron., 10 (8); Dworzynski, P., Aasbrenn, M., Rostgaard, K., Melbye, M., Gerds, T.A., Hjalgrim, H., Pers, T.H., Nationwide prediction of type 2 diabetes comorbidities (2020) Sci Rep-Uk, 10 (1); El Idrissi, T., Idri, A., Deep learning for blood glucose prediction: CNN vs LSTM (2020) Computational Science and its Applications – ICCSA 2020, pp. 379-393. , O. Gervasi B. Murgante S. Misra C. Garau I. Blečić D. Taniar B.O. Apduhan A.M.A.C. Rocha E. Tarantino C.M. Torre Y. Karaca Springer International Publishing Cham; Eom, T.H., Lee, H., A WTTE-RNN Based Hypoglycemic Event Prediction (2022), pp. 378-379; Facchinetti, A., Sparacino, G., Cobelli, C., Signal processing algorithms implementing the “smart sensor” concept to improve continuous glucose monitoring in diabetes (2013) J. Diabet. Sci. Technol., 7 (5), pp. 1308-1318; Fang, L., Liu, B., Liu, L., Li, Y., Huang, K., Zhang, Q., Direct electrochemistry of glucose oxidase immobilized on Au nanoparticles-functionalized 3D hierarchically ZnO nanostructures and its application to bioelectrochemical glucose sensor (2016) Sensor. Actuator. B Chem., 222, pp. 1096-1102; Faruqui, S.H.A., Du, Y., Meka, R., Alaeddini, A., Li, C., Shirinkam, S., Wang, J., Development of a Deep Learning Model for Dynamic Forecasting of Blood Glucose Level for Type 2 Diabetes Mellitus: Secondary Analysis of a Randomized Controlled Trial 7 (2019); Felizardo, V., Garcia, N.M., Pombo, N., Megdiche, I., Data-based algorithms and models using diabetics real data for blood glucose and hypoglycaemia prediction – a systematic literature review (2021) Artif. Intell. Med., 118; Fonseca, V.A., Grunberger, G., Anhalt, H., Bailey, T.S., Blevins, T., Garg, S.K., Handelsman, Y., Tamborlane, W., Continuous glucose monitoring: a consensus conference of the AMERICAN association of clinical endocrinologists and AMERICAN college of endocrinology (2016) Endocr. Pract. : official journal of the American College of Endocrinology and the American Association of Clinical Endocrinologists, 22 (8), pp. 1008-1021; Frandes, M., Timar, B., Lungeanu, D., A risk based neural network approach for predictive modeling of blood glucose dynamics (2016) Stud. Health Technol. Inf., 228, pp. 577-581; Gao, J., Huang, W., Chen, Z., Yi, C., Jiang, L., Simultaneous detection of glucose, uric acid and cholesterol using flexible microneedle electrode array-based biosensor and multi-channel portable electrochemical analyzer (2019) Sensor. Actuator. B Chem., 287, pp. 102-110; Georga, E.I., Protopappas, V.C., Polyzos, D., Fotiadis, D.I., Online prediction of glucose concentration in type 1 diabetes using extreme learning machines. Annual International Conference of the IEEE Engineering in Medicine and Biology Society (2015) IEEE Engineering in Medicine and Biology Society. Annual International Conference, pp. 3262-3265. , 2015; Grant, P.J., Cosentino, F., The 2019 ESC guidelines on diabetes, pre-diabetes, and cardiovascular diseases developed in collaboration with the EASD: new features and the 'ten Commandments' of the 2019 guidelines are discussed by professor peter J. Grant and professor francesco Cosentino, the task force chairmen (2019) Eur. Heart J., 40 (39), pp. 3215-3217; Güneş, M., Karakaya, S., Dilgin, Y., Development of an interference-minimized amperometric-FIA glucose biosensor at a pyrocatechol violet/glucose dehydrogenase-modified graphite pencil electrode (2020) Chem. Pap., 74 (6), pp. 1923-1936; Habermuller, K., Mosbach, M., Schuhmann, W., Electron-transfer mechanisms in amperometric biosensors (2000) Fresenius’ J. Anal. Chem., 366 (6-7), pp. 560-568; Hadler-Olsen, E., Kanapathippillai, P., Berg, E., Svineng, G., Winberg, J.O., Uhlin-Hansen, L., Gelatin in situ zymography on fixed, paraffin-embedded tissue: zinc and ethanol fixation preserve enzyme activity (2010) J. Histochem. Cytochem., 58 (1), pp. 29-39; Hamdi, T., Ben Ali, J., Di Costanzo, V., Fnaiech, F., Moreau, E., Ginoux, J.-M., Accurate prediction of continuous blood glucose based on support vector regression and differential evolution algorithm (2018) Biocybern. Biomed. Eng., 38 (2), pp. 362-372; Harding, J.L., Pavkov, M.E., Magliano, D.J., Shaw, J.E., Gregg, E.W., Global trends in diabetes complications: a review of current evidence (2019) Diabetologia, 62 (1), pp. 3-16; Hassan, M.H., Vyas, C., Grieve, B., Bartolo, P., Recent advances in enzymatic and non-enzymatic electrochemical glucose sensing (2021) Sensors, 21 (14); Hidalgo, J.I., Colmenar, J.M., Kronberger, G., Winkler, S.M., Garnica, O., Lanchares, J., Data based prediction of blood glucose concentrations using evolutionary methods (2017) J. Med. Syst., 41 (9), p. 142; Homaei, A., Samari, F., Investigation of activity and stability of papain by adsorption on multi-wall carbon nanotubes (2017) Int. J. Biol. Macromol., 105, pp. 1630-1635; Jankovic, M.V., Mosimann, S., Bally, L., Stettler, C., Mougiakakou, S., Deep Prediction Model: the Case of Online Adaptive Prediction of Subcutaneous Glucose. 2016 13th Symposium on Neural Networks and Applications (NEUREL) (2016), pp. 1-5; Jin, X., Li, G., Xu, T., Su, L., Yan, D., Zhang, X., Fully integrated flexible biosensor for wearable continuous glucose monitoring (2022) Biosens. Bioelectron., 196; Johnston, L., Wang, G., Hu, K., Qian, C., Liu, G., Advances in biosensors for continuous glucose monitoring towards wearables (2021) Front. Bioeng. Biotechnol., 9; Juska, V.B., Pemble, M.E., A critical review of electrochemical glucose sensing: evolution of biosensor platforms based on advanced nanosystems (2020) Sensors, 20 (21); Juska, V.B., Pemble, M.E., A dual-enzyme, micro-band array biosensor based on the electrodeposition of carbon nanotubes embedded in chitosan and nanostructured Au-foams on microfabricated gold band electrodes (2020) Analyst, 145 (2), pp. 402-414; Juska, V.B., Walcarius, A., Pemble, M.E., Cu nanodendrite foams on integrated band array electrodes for the nonenzymatic detection of glucose (2019) ACS Appl. Nano Mater., 2 (9), pp. 5878-5889; Kamalraj, R., Neelakandan, S., Ranjith Kumar, M., Chandra Shekhar Rao, V., Anand, R., Singh, H., Interpretable filter based convolutional neural network (IF-CNN) for glucose prediction and classification using PD-SS algorithm (2021) Measurement, 183; Karpova, E.V., Shcherbacheva, E.V., Galushin, A.A., Vokhmyanina, D.V., Karyakina, E.E., Karyakin, A.A., Noninvasive diabetes monitoring through continuous analysis of sweat using flow-through glucose biosensor (2019) Anal. Chem., 91 (6), pp. 3778-3783; Kausaite-Minkstimiene, A., Glumbokaite, L., Ramanaviciene, A., Ramanavicius, A., Reagent-less amperometric glucose biosensor based on nanobiocomposite consisting of poly(1,10-phenanthroline-5,6-dione), poly(pyrrole-2-carboxylic acid), gold nanoparticles and glucose oxidase (2020) Microchem. J., 154; Khan, G.F., Ohwa, M., Wernet, W., Design of a stable charge transfer complex electrode for a third-generation amperometric glucose sensor (1996) Anal. Chem., 68 (17), pp. 2939-2945; Khanam, J.J., Foo, S.Y., A comparison of machine learning algorithms for diabetes prediction (2021) Ict Express, 7 (4), pp. 432-439; Kim, K.B., Choi, H., Jung, H.J., Oh, Y.-J., Cho, C.-H., Min, J.H., Yoon, S., Cha, H.J., Mussel-inspired enzyme immobilization and dual real-time compensation algorithms for durable and accurate continuous glucose monitoring (2019) Biosens. Bioelectron., 143; Kim, K.B., Lee, W.C., Cho, C.H., Park, D.S., Cho, S.J., Shim, Y.B., Continuous glucose monitoring using a microneedle array sensor coupled with a wireless signal transmitter (2019) Sensor Actuat B-Chem, 281, pp. 14-21; Kovatchev, B.P., Breton, M., Man, C.D., Cobelli, C., In silico preclinical trials: a proof of concept in closed-loop control of type 1 diabetes (2009) J. Diabet. Sci. Technol., 3 (1), pp. 44-55; Kownacka, A.E., Vegelyte, D., Joosse, M., Anton, N., Toebes, B.J., Lauko, J., Buzzacchera, I., Wilson, C.J., Clinical evidence for use of a noninvasive biosensor for tear glucose as an alternative to painful finger-prick for diabetes management utilizing a biopolymer coating (2018) Biomacromolecules, 19 (11), pp. 4504-4511; Laboratories, A., Introducing the New FreeStyle Libre 14-day System (2018); Lane, J.E., Shivers, J.P., Zisser, H., Continuous glucose monitors: current status and future developments (2013) Curr. Opin. Endocrinol. Diabetes Obes., 20 (2), pp. 106-111; Lee, I., Probst, D., Klonoff, D., Sode, K., Continuous glucose monitoring systems - current status and future perspectives of the flagship technologies in biosensor research (2021) Biosens. Bioelectron., 181; Lekha, S., M, S, Recent advancements and future prospects on E-nose sensors technology and machine learning approaches for non-invasive diabetes diagnosis: a review (2021) IEEE rev. biomed. eng., 14, pp. 127-138; Lin, F.Y., Lee, P.Y., Chu, T.F., Peng, C.I., Wang, G.J., Neutral nonenzymatic glucose biosensors based on electrochemically deposited Pt/Au nanoalloy electrodes (2021) Int. J. Nanomed., 16, pp. 5551-5563; Lipińska, W., Grochowska, K., Siuzdak, K., Enzyme immobilization on gold nanoparticles for electrochemical glucose biosensors (2021) Nanomaterials, 11 (5); Liu, J., Wang, J., A novel improved design for the first-generation glucose biosensor (2001) Food Technol. Biotechnol., 39 (1), pp. 55-58; Liu, Y., Yu, Q., Luo, X., Yang, L., Cui, Y., Continuous monitoring of diabetes with an integrated microneedle biosensing device through 3D printing (2021) Microsystems &amp; nanoengineering, 7, p. 75; Loughran, M.G., Hall, J.M., Turner, A.P.F., Development of a pyrroloquinoline quinone (PQQ) mediated glucose oxidase enzyme electrode for detection of glucose in fruit juice (1996) Electroanalysis, 8 (10), pp. 870-875; Lu, H., Zada, S., Yang, L., Dong, H., Microneedle-Based Device for Biological Analysis 10 (2022); Lu, J., Ma, X., Zhang, L., Mo, Y., Ying, L., Lu, W., Zhu, W., Zhou, J., Glycemic variability assessed by continuous glucose monitoring and the risk of diabetic retinopathy in latent autoimmune diabetes of the adult and type 2 diabetes (2019) J Diabetes Investig, 10 (3), pp. 753-759; Lunn, D.J., Wei, C., Hovorka, R., Fitting dynamic models with forcing functions: application to continuous glucose monitoring in insulin therapy (2011) Stat. Med., 30 (18), pp. 2234-2250; Ma, X., Ahadian, S., Liu, S., Zhang, J.W., Liu, S.N., Cao, T., Lin, W.B., Khademhosseini, A., Smart Contact lenses for biosensing applications (2021) Adv Intell Syst-Ger, 3 (5); Mahmoudi, Z., Jensen, M.H., Dencker Johansen, M., Christensen, T.F., Tarnow, L., Christiansen, J.S., Hejlesen, O., Accuracy evaluation of a new real-time continuous glucose monitoring algorithm in hypoglycemia (2014) Diabetes Technol. Therapeut., 16 (10), pp. 667-678; Makroum, M.A., Adda, M., Bouzouane, A., Ibrahim, H., Machine learning and smart devices for diabetes management: systematic review (2022) Sensors, 22 (5); Man, C.D., Micheletto, F., Lv, D., Breton, M., Kovatchev, B., Cobelli, C., The UVA/PADOVA type 1 diabetes simulator: new features (2014) J. Diabet. Sci. Technol., 8 (1), pp. 26-34; Maritsch, M., Föll, S., Lehmann, V., Bérubé, C., Kraus, M., Feuerriegel, S., Kowatsch, T., Wortmann, F., Towards Wearable-Based Hypoglycemia Detection and Warning in Diabetes (2020); Martinsson, J., Schliep, A., Eliasson, B., Mogren, O., Blood glucose prediction with variance estimation using recurrent neural networks (2020) J. Healthcare Infor. Res., 4 (1), pp. 1-18; Mayo, M., Chepulis, L., Paul, R.G., Glycemic-aware metrics and oversampling techniques for predicting blood glucose levels using machine learning (2019) PLoS One, 14 (12); Medtronic, guardian-sensor-3 (2022); Midroni, C., Leimbigler, P., Baruah, G., kolla, M., Whitehead, A., Fossat, Y., Predicting Glycemia in Type 1 Diabetes Patients: Experiments with XGBoost (2018); Mosquera-Lopez, C., Jacobs, P.G., Incorporating glucose variability into glucose forecasting accuracy assessment using the new glucose variability impact index and the prediction consistency index: an LSTM Case example (2022) J. Diabet. Sci. Technol., 16 (1), pp. 7-18; Mou, Q., Li, J., Zheng, F., Cui, Y., Jin, Y., Li, Z., A Minimally Invasive Flexible Micro-needle Array as Continuous in Vivo Electrochemical Glucose Sensor (2019), pp. 258-261. , IEEE 13th International Conference on Nano/Molecular Medicine &amp; Engineering (NANOMED) 2019; Mujahid, O., Contreras, I., Vehi, J., Machine learning techniques for hypoglycemia prediction: trends and Challenges (2021) Sensors-Basel, 21 (2); Naikoo, G.A., Awan, T., Salim, H., Arshad, F., Hassan, I.U., Pedram, M.Z., Ahmed, W., Tambuwala, M.M., Fourth-generation glucose sensors composed of copper nanostructures for diabetes management: a critical review (2022) Bioeng. Transl. Med., 7 (1); Nandagopal, M.S.G., Antony, R., Rangabhashiyam, S., Sreekumar, N., Selvaraju, N., Overview of microneedle system: a third generation transdermal drug delivery approach (2014) Microsyst. Technol., 20 (7), pp. 1249-1272; Nasser, A.R., Hasan, A.M., Humaidi, A.J., Alkhayyat, A., Alzubaidi, L., Fadhel, M.A., Santamaría, J., Duan, Y., IoT and Cloud Computing in health-care: a new wearable device and Cloud-based deep learning algorithm for monitoring of diabetes (2021) Electronics, 10 (21); Nathanson, D., Svensson, A.M., Miftaraj, M., Franzen, S., Bolinder, J., Eeg-Olofsson, K., Effect of flash glucose monitoring in adults with type 1 diabetes: a nationwide, longitudinal observational study of 14,372 flash users compared with 7691 glucose sensor naive controls (2021) Diabetologia, 64 (7), pp. 1595-1603; Ogurtsova, K., Guariguata, L., Barengo, N.C., Ruiz, P.L., Sacre, J.W., Karuranga, S., Sun, H., Magliano, D.J., IDF diabetes Atlas: global estimates of undiagnosed diabetes in adults for 2021 (2022) Diabetes Res. Clin. Pract., 183; Olejnik, A., Śliwiński, G., Karczewski, J., Ryl, J., Siuzdak, K., Grochowska, K., Laser-assisted approach for improved performance of Au-Ti based glucose sensing electrodes (2021) Appl. Surf. Sci., 543; Ooka, T., Johno, H., Nakamoto, K., Yoda, Y., Yokomichi, H., Yamagata, Z., Random forest approach for determining risk prediction and predictive factors of type 2 diabetes: large-scale health check-up data in Japan (2021) BMJ Nutr. Prev. Health, 4 (1), pp. 140-148; Osuna, V., Vega-Rios, A., Zaragoza-Contreras, E.A., Estrada-Moreno, I.A., Dominguez, R.B., Progress of polyaniline glucose sensors for diabetes mellitus management utilizing enzymatic and non-enzymatic detection (2022) Biosensors, 12 (3); Parrilla, M., Detamornrat, U., Dominguez-Robles, J., Donnelly, R.F., De Wael, K., Wearable hollow microneedle sensing patches for the transdermal electrochemical monitoring of glucose (2022) Talanta, 249; Peng, Z., Xie, X., Tan, Q., Kang, H., Cui, J., Zhang, X., Li, W., Feng, G., Blood glucose sensors and recent advances (2022) Review, 15. , 02; Picconi, F., Parravano, M., Ylli, D., Pasqualetti, P., Coluzzi, S., Giordani, I., Malandrucco, I., Frontoni, S., Retinal neurodegeneration in patients with type 1 diabetes mellitus: the role of glycemic variability (2017) Acta Diabetol., 54 (5), pp. 489-497; Plis, K., Bunescu, R.C., Marling, C.R., Shubrook, J.H., Schwartz, F., A Machine Learning Approach to Predicting Blood Glucose Levels for Diabetes Management (2014) AAAI Workshop: Modern Artificial Intelligence for Health Analytics; Polonsky, W.H., Hessler, D., Ruedy, K.J., Beck, R.W., Grp, D.S., The impact of continuous glucose monitoring on markers of quality of life in adults with type 1 diabetes: further findings from the DIAMOND randomized clinical trial (2017) Diabetes Care, 40 (6), pp. 736-741; Prendin, F., Del Favero, S., Vettoretti, M., Sparacino, G., Facchinetti, A., Forecasting of glucose levels and hypoglycemic events: head-to-head comparison of linear and nonlinear data-driven algorithms based on continuous glucose monitoring data only (2021) Sensors-Basel, 21 (5); Prendin, F., Del Favero, S., Vettoretti, M., Sparacino, G., Facchinetti, A., Forecasting of glucose levels and hypoglycemic events: head-to-head comparison of linear and nonlinear data-driven algorithms based on continuous glucose monitoring data only (2021) Sensors, 21 (5); Pustozerov, E.A., Tkachuk, A.S., Vasukova, E.A., Anopova, A.D., Kokina, M.A., Gorelova, I.V., Pervunina, T.M., Popova, P.V., Machine learning approach for postprandial blood glucose prediction in gestational diabetes mellitus (2020) IEEE Access, 8, pp. 219308-219321; Rabby, M.F., Tu, Y., Hossen, M.I., Lee, I., Maida, A.S., Hei, X., Stacked LSTM based deep recurrent neural network with kalman smoothing for blood glucose prediction (2021) BMC Med. Inf. Decis. Making, 21 (1), p. 101; Reddy, R., Resalat, N., Wilson, L.M., Castle, J.R., El Youssef, J., Jacobs, P.G., Prediction of hypoglycemia during aerobic exercise in adults with type 1 diabetes (2019) J. Diabet. Sci. Technol., 13 (5), pp. 919-927; Reddy, V.S., Agarwal, B., Ye, Z., Zhang, C., Roy, K., Chinnappan, A., Narayan, R.J., Ghosh, R., Recent advancement in biofluid-based glucose sensors using invasive, minimally invasive, and non-invasive technologies: a review (2022) Nanomaterials, 12 (7); Reymann, M.P., Dorschky, E., Groh, B.H., Martindale, C., Blank, P., Eskofier, B.M., Blood glucose level prediction based on support vector regression using mobile platforms. Annual International Conference of the IEEE Engineering in Medicine and Biology Society (2016) IEEE Engineering in Medicine and Biology Society. Annual International Conference, pp. 2990-2993. , 2016; Ribet, F., Stemme, G., Roxhed, N., Real-time intradermal continuous glucose monitoring using a minimally invasive microneedle-based system (2018) Biomed. Microdevices, 20 (4); Riemsma, R., Corro Ramos, I., Birnie, R., Büyükkaramikli, N., Armstrong, N., Ryder, S., Duffy, S., Kleijnen, J., Integrated sensor-augmented pump therapy systems [the MiniMed® Paradigm™ Veo system and the Vibe™ and G4® PLATINUM CGM (continuous glucose monitoring) system] for managing blood glucose levels in type 1 diabetes: a systematic review and economic evaluation (2016) Health Technol. Assess., 20 (17), pp. 1-251. , v-xxxi; Rizwan, M., Elma, S., Lim, S.A., Ahmed, M.U., AuNPs/CNOs/SWCNTs/chitosan-nanocomposite modified electrochemical sensor for the label-free detection of carcinoembryonic antigen (2018) Biosens. Bioelectron., 107, pp. 211-217; Rubin-Falcone, H., Fox, I., Wiens, J., Deep Residual Time-Series Forecasting: Application to Blood Glucose Prediction (2020), KDH@ECAI; Samir, M., Mohamed, Z., Abdelmotaleb, M., Atia, A., Applying Deep Learning to Track Food Consumption and Human Activity for Non-intrusive Blood Glucose Monitoring (2021); Samir, M.A., Mohamed, Z.A., Hussein, M.A.A., Atia, A., Applying Deep Learning to Track Food Consumption and Human Activity for Non-intrusive Blood Glucose Monitoring. 2021 IEEE 12th Annual Ubiquitous Computing (2021), Electronics &amp; Mobile Communication Conference (UEMCON) 0319-0324; Sankhala, D., Sardesai, A.U., Pali, M., Lin, K.C., Jagannath, B., Muthukumar, S., Prasad, S., A machine learning-based on-demand sweat glucose reporting platform (2022) Sci. Rep., 12 (1), p. 2442; Sapountzi, E., Braiek, M., Vocanson, F., Chateaux, J.-F., Jaffrezic-Renault, N., Lagarde, F., Gold nanoparticles assembly on electrospun poly(vinyl alcohol)/poly(ethyleneimine)/glucose oxidase nanofibers for ultrasensitive electrochemical glucose biosensing (2017) Sensor. Actuator. B Chem., 238, pp. 392-401; Sassolas, A., Blum, L.J., Leca-Bouvier, B.D., Immobilization strategies to develop enzymatic biosensors (2012) Biotechnol. Adv., 30 (3), pp. 489-511; Schiavon, M., Dalla Man, C., Dube, S., Slama, M., Kudva, Y.C., Peyser, T., Basu, A., Cobelli, C., Modeling plasma-to-interstitium glucose kinetics from multitracer plasma and microdialysis data (2015) Diabetes Technol. Therapeut., 17 (11), pp. 825-831; Sempionatto, J.R., Lin, M., Yin, L., De la paz, E., Pei, K., Sonsa-ard, T., de Loyola Silva, A.N., Wang, J., An epidermal patch for the simultaneous monitoring of haemodynamic and metabolic biomarkers (2021) Nat. Biomed. Eng., 5 (7), pp. 737-748; Şenel, M., Simple method for preparing glucose biosensor based on in-situ polypyrrole cross-linked chitosan/glucose oxidase/gold bionanocomposite film (2015) Materials science &amp; engineering. C, Materials for biological applications, 48, pp. 287-293; Seo, W., Park, S.W., Kim, N., Jin, S.M., Park, S.M., A personalized blood glucose level prediction model with a fine-tuning strategy: a proof-of-concept study (2021) Comput. Methods Progr. Biomed., 211; Shahid, S., Hussain, S., Khan, W., Predicting Continuous Blood Glucose Level Using Deep Learning (2021); Sharma, S., El-Laboudi, A., Reddy, M., Jugnee, N., Sivasubramaniyam, S., El Sharkawy, M., Georgiou, P., Cass, A.E.G., A pilot study in humans of microneedle sensor arrays for continuous glucose monitoring (2018) Anal Methods-Uk, 10 (18), pp. 2088-2095; Sheldon, R.A., Cross-linked enzyme aggregates as industrial biocatalysts (2011) Org. Process Res. Dev., 15 (1), pp. 213-223; Shin, E.J., Choi, S.M., Advances in waterborne polyurethane-based biomaterials for biomedical applications (2018) Adv. Exp. Med. Biol., 1077, pp. 251-283; Singer, N., Pillai, R.G., Johnson, A.I.D., Harris, K.D., Jemere, A.B., Nanostructured nickel oxide electrodes for non-enzymatic electrochemical glucose sensing (2020) Mikrochim. Acta, 187 (4), p. 196; Song, W., Cai, W., Li, J., Jiang, F., He, S., Predicting Blood Glucose Levels with EMD and LSTM Based CGM Data. 2019 6th International Conference on Systems and Informatics (ICSAI) (2019), pp. 1443-1448; Sreekumar, A., Navaneeth, P., Suneesh, P.V., Nair, B.G., Babu, T.G.S., A graphite pencil electrode with electrodeposited Pt-CuO for nonenzymatic amperometric sensing of glucose over a wide linear response range (2020) Mikrochim. Acta, 187 (2), p. 113; Ståhl, F., Johansson, R., Renard, E., Ensemble glucose prediction in insulin-dependent diabetes (2014) Data-driven Modeling for Diabetes: Diagnosis and Treatment, pp. 37-71. , V. Marmarelis G. Mitsis Springer Berlin Heidelberg Berlin, Heidelberg; Sun, H., Saeedi, P., Karuranga, S., Pinkepank, M., Ogurtsova, K., Duncan, B.B., Stein, C., Magliano, D.J., IDF Diabetes Atlas: global, </t>
  </si>
  <si>
    <t>09565663</t>
  </si>
  <si>
    <t>BBIOE</t>
  </si>
  <si>
    <t>Biosens. Bioelectron.</t>
  </si>
  <si>
    <t>2-s2.0-85147192673</t>
  </si>
  <si>
    <t>Minimally invasive electrochemical continuous glucose monitoring sensors: recent progress and perspective</t>
  </si>
  <si>
    <t>Yushun L., Yijia L., Kunling L.</t>
  </si>
  <si>
    <t>24721866400;57221688073;57221693639;</t>
  </si>
  <si>
    <t>Research on Design of PBL in Blended Learning Environment—Aiming at Promoting Students’ Deep Learning</t>
  </si>
  <si>
    <t>International Journal of Learning</t>
  </si>
  <si>
    <t>10.18178/ijlt.5.1.1-11</t>
  </si>
  <si>
    <t>https://www.scopus.com/inward/record.uri?eid=2-s2.0-85099802413&amp;doi=10.18178%2fijlt.5.1.1-11&amp;partnerID=40&amp;md5=cceab37e673fdced63435b3c258dd97a</t>
  </si>
  <si>
    <t>Beijing Normal University, Beijing, China</t>
  </si>
  <si>
    <t>Yushun, L., Beijing Normal University, Beijing, China; Yijia, L., Beijing Normal University, Beijing, China; Kunling, L., Beijing Normal University, Beijing, China</t>
  </si>
  <si>
    <t>The rapid social development has brought about changes in the field of education. More and more precise division of labor has also put higher demands on the effectiveness of education. Under the background of education reform, many educational methods and educational concepts that conform to the requirements of the times have come into being, such as project-based learning, blended learning and in-depth learning. Through literature review and field research, it is found that although project learning and blended learning bring new vitality to the traditional classroom, there are also some shortcomings. For example, in the project-based learning, the interaction between teachers and students is not timely and the learning resources are not sufficient. The shallow learning brought by digital reading in blended learning will affect the teaching effect. However, they also have the advantage of being complementary in each other. That is to say, blended learning can provide a convenient and interactive platform for project-based learning and a rich variety of learning resources. Project-based learning can enrich the offline activities of blended learning, and help to promote the deep learning of students. Therefore, by studying papers and excellent cases both at home and abroad, this study summarizes the curriculum framework and key links of project-based learning, blended learning and in-depth learning respectively, and explores the effective combination of the former two to promote the students’ deep learning. And then put forward the corresponding curriculum framework, a total of educators for reference. © 2019. International Journal of Learning and Teaching. All rights reserved.</t>
  </si>
  <si>
    <t>blended learning; deep learning; PBL</t>
  </si>
  <si>
    <t>Xue, Z., Rui, P., Application of project learning method in higher mathematics teaching (2015) Educational Theory and Practice, p. 18. , 1; Feng, R., A review of domestic web-based project-based learning (2002-2012) (2013) Science and Technology Information, 24, pp. 51-51. , 2; Wateridge, J., Successful project management (1986) International Journal of Project Management, 4, pp. 22-24. , 3; Jones, R. A., Advice for the first-time project manager (2003) Mla Forum, 2. , 4; Wiek, A., Xiong, A., Brundiers, K., Leeuw, S. V. D., Integrating problem-and project-based learning into sustainability programs (2014) International Journal of Sustainability in Higher Education, 15, pp. 431-449. , 5; Constructivism, , http://baike.baidu.com/item/constructivism?sefr=enterbtn, 6. [Online]. Available; Thibeault, M. D., The shifting locus of musical experience from performance to recording to data: Some implications for music education (2013) Music Education Research International, , 7; Han, S., Bhattacharya, K., Constructionism, learning by design, and project-based learning (2002) Emerging Perspectives on Learning, Teaching, and Technology, , 8; Botty, H. M. R. H., Shahrill, M., Jaidin, J. H., Li, H. C., Chong, M. S. F., (2016) The implementation of problem-based learning (PBL) in a year 9 mathematics classroom: A study in brunei darussalam, 4, pp. 34-47. , 9; Zhao, Y., Application of PBL teaching mode in ideological and political theory course (2015) Journal of Shenyang University, , 10; Gao, J., The overall study and practice of the PYP learning curriculum (2016) Elementary and Junior High School Management, 5, pp. 38-40. , 11; Barneveld, A. V., Strobel, J., Reports from teaching practice: Experiences and management of tensions encountered with PBL implementations in the early years of undergraduate engineering education (2011) Journal of Healthcare Risk Management the Journal of the American Society for Healthcare Risk Management, 22, pp. 177-193. , 12; Outline of basic education curriculum reform (Trial) (2003) Tibet Education, 1, pp. 17-19. , 13. Ministry of Education of the People’s Republic of China; Tsigarides, J., Wingfield, L. R., Kulendran, M., Does a PBL-based medical curriculum predispose training in specific career paths? A systematic review of the literature (2017) Bmc. Research Notes, 10, p. 1. , 14; Gómez-Pablos, V. B., Pozo, M. M. D., Project-based learning (pbl) through the incorporation of digital technologies: An evaluation based on the experience of serving teachers (2017) Computers in Human Behavior, 68, pp. 501-512. , 15; Estrada, F. J. P., (2007) Trabajo por proyectos en el aula: Descripción, investigación y experiencias, , 16; Liu, L., Fang, D., Investigation and exploration of PBL teaching methods (2006) Journal of Chinese Medical Education Exploration, 5, pp. 95-96. , 17; Kirwin, S., Swan, J., Breakwell, N., Comparing online learning with blended learning in a teacher training program (2009) Journal of the Research Center for Educational Technology, 5, pp. 67-74. , 18; Ronghuai, H., Lanqin, Z., Haisen, Z., Curriculum design theory based on blended learning (2009) Research on Audio-visual Education, 1, pp. 9-14. , 19; He, K., Looking at the new development of educational technology theory from blending learning (2004) China Electrification Education, 4, pp. 10-15. , 20; Li, K., Zhao, J., The principle and application of mixed learning (2004) The Research of Electrification Education, 7, pp. 1-6. , 21; Oshima, R., Oshima, J., Ishiyama, T., Horino, R., Formative assessment on a cscl-based learning environment: Evaluation and support through mentoring activities (studies on practical use of e-learning) (2006) Japan Journal of Educational Technology, 29, pp. 261-270. , 22; Elaine, A. I., Seaman, J., Learning on demand: Online education in the united states, 2009 (2010) Sloan Consortium, 21, p. 29. , 23; Huang, R., (2006) Theory and Practice of Blended Learning, , 24. Higher Education Press; Wu, X., Yan, D., Application of information technology supported project learning in elementary science teaching (2017) Digital Education, 3, pp. 50-54. , 25; Riffell, S., Sibley, D., Using web-based instruction to improve large undergraduate biology courses: An evaluation of a hybrid course format (2005) Computers &amp; Education, 44, pp. 217-235. , 26; Lin, X., Hu, Q., Zhang, Y., Huang, L., A way to improve students’ skills in the 21st century: An empirical study based on a hybrid mobile learning activity (2016) China Electrification Education, 11, pp. 39-44. , 27; Dan, G., Problems with blended learning and improvement strategies (2012) Vocational Education Forum, 35, pp. 37-38. , 28; Thys, M., Verschaffel, L., Dooren, W. V., Laevers, F., Investigating the quality of project-based science and technology learning environments in elementary school: A critical review of instruments (2015) Studies in Science Education, 11, pp. 1-27. , 29; Fan, Y., Wang, B., Wang, W., Tang, Y., A review of deep learning in China (2015) China Distance Education: Comprehensive Edition, 6, pp. 27-33. , 30</t>
  </si>
  <si>
    <t>Common Ground Research Networks</t>
  </si>
  <si>
    <t>14479494</t>
  </si>
  <si>
    <t>Int. J. Learn.</t>
  </si>
  <si>
    <t>2-s2.0-85099802413</t>
  </si>
  <si>
    <t>Research on design of pbl in blended learning environment—aiming at promoting students’ deep learning</t>
  </si>
  <si>
    <t>Al-Zyoud I., Laamarti F., Ma X., Tobón D., El Saddik A.</t>
  </si>
  <si>
    <t>58025274400;56398557900;57218572829;55863782600;35431360000;</t>
  </si>
  <si>
    <t>Towards a Machine Learning-Based Digital Twin for Non-Invasive Human Bio-Signal Fusion</t>
  </si>
  <si>
    <t>9747</t>
  </si>
  <si>
    <t>10.3390/s22249747</t>
  </si>
  <si>
    <t>https://www.scopus.com/inward/record.uri?eid=2-s2.0-85144515996&amp;doi=10.3390%2fs22249747&amp;partnerID=40&amp;md5=a32f31f7fef23eb8eeced6de1bda44f2</t>
  </si>
  <si>
    <t>Multimedia Communications Research Laboratory (MCRLab), School of Electrical Engineering and Computer Science, University of Ottawa, Ottawa, ON  K1N 6N5, Canada; Mohamed bin Zayed University of AI, Abu Dhabi, United Arab Emirates; Faculty of Engineering, University of Medellín, Medellín, 050010, Colombia</t>
  </si>
  <si>
    <t>Al-Zyoud, I., Multimedia Communications Research Laboratory (MCRLab), School of Electrical Engineering and Computer Science, University of Ottawa, Ottawa, ON  K1N 6N5, Canada; Laamarti, F., Multimedia Communications Research Laboratory (MCRLab), School of Electrical Engineering and Computer Science, University of Ottawa, Ottawa, ON  K1N 6N5, Canada, Mohamed bin Zayed University of AI, Abu Dhabi, United Arab Emirates; Ma, X., Multimedia Communications Research Laboratory (MCRLab), School of Electrical Engineering and Computer Science, University of Ottawa, Ottawa, ON  K1N 6N5, Canada; Tobón, D., Faculty of Engineering, University of Medellín, Medellín, 050010, Colombia; El Saddik, A., Multimedia Communications Research Laboratory (MCRLab), School of Electrical Engineering and Computer Science, University of Ottawa, Ottawa, ON  K1N 6N5, Canada, Mohamed bin Zayed University of AI, Abu Dhabi, United Arab Emirates</t>
  </si>
  <si>
    <t>Human bio-signal fusion is considered a critical technological solution that needs to be advanced to enable modern and secure digital health and well-being applications in the metaverse. To support such efforts, we propose a new data-driven digital twin (DT) system to fuse three human physiological bio-signals: heart rate (HR), breathing rate (BR), and blood oxygen saturation level (SpO2). To accomplish this goal, we design a computer vision technology based on the non-invasive photoplethysmography (PPG) technique to extract raw time-series bio-signal data from facial video frames. Then, we implement machine learning (ML) technology to model and measure the bio-signals. We accurately demonstrate the digital twin capability in the modelling and measuring of three human bio-signals, HR, BR, and SpO2, and achieve strong performance compared to the ground-truth values. This research sets the foundation and the path forward for realizing a holistic human health and well-being DT model for real-world medical applications. © 2022 by the authors.</t>
  </si>
  <si>
    <t>bio-signal fusion; computer vision; digital health; digital twin; machine learning; metaverse</t>
  </si>
  <si>
    <t>E-learning; Machine learning; Medical applications; Bio-signal fusion; Biosignals; Breathing rate; Digital health; Heart-rate; Machine-learning; Metaverses; Signal fusions; Technological solution; Well being; Computer vision; heart rate; human; machine learning; oximetry; photoelectric plethysmography; physiology; procedures; signal processing; Heart Rate; Humans; Machine Learning; Oximetry; Photoplethysmography; Signal Processing, Computer-Assisted</t>
  </si>
  <si>
    <t>El Saddik, A., Laamarti, F., Alja’Afreh, M., The Potential of Digital Twins (2021) IEEE Instrum. Meas. Mag, 24, pp. 36-41; Gámez Díaz, R., Yu, Q., Ding, Y., Laamarti, F., El Saddik, A., Digital Twin Coaching for Physical Activities: A Survey (2020) Sensors, 20. , 33096595; Sahal, R., Alsamhi, S.H., Brown, K.N., Personal Digital Twin: A Close Look into the Present and a Step towards the Future of Personalised Healthcare Industry (2022) Sensors, 22. , 35957477; Costantini, A., Di Modica, G., Ahouangonou, J.C., Duma, D.C., Martelli, B., Galletti, M., Antonacci, M., Delamarre, C., IoTwins: Toward Implementation of Distributed Digital Twins in Industry 4.0 Settings (2022) Computers, 11; Segovia, M., Garcia-Alfaro, J., Design, Modeling and Implementation of Digital Twins (2022) Sensors, 22. , 35891076; da Silva Mendonça, R., de Oliveira Lins, S., de Bessa, I.V., de Carvalho Ayres, F.A., Jr., de Medeiros, R.L.P., de Lucena, V.F., Jr., Digital Twin Applications: A Survey of Recent Advances and Challenges (2022) Processes, 10; El Saddik, A., Digital twins: The convergence of multimedia technologies (2018) IEEE Multimed, 25, pp. 87-92; Laamarti, F., Badawi, H.F., Ding, Y., Arafsha, F., Hafidh, B., Saddik, A.E., An ISO/IEEE 11073 Standardized Digital Twin Framework for Health and Well-Being in Smart Cities (2020) IEEE Access, 8, pp. 105950-105961; Muhammad, G., Alshehri, F., Karray, F., Saddik, A.E., Alsulaiman, M., Falk, T.H., A comprehensive survey on multimodal medical signals fusion for smart healthcare systems (2021) Inf. Fusion, 76, pp. 355-375; Cheng, C.H., Wong, K.L., Chin, J.W., Chan, T.T., So, R.H.Y., Deep Learning Methods for Remote Heart Rate Measurement: A Review and Future Research Agenda (2021) Sensors, 21. , 34577503; Ma, X., Tobón, D.P., El Saddik, A., Remote Photoplethysmography (rPPG) for Contactless Heart Rate Monitoring Using a Single Monochrome and Color Camera (2020) Proceedings of the Smart Multimedia, pp. 248-262. , McDaniel T., Berretti S., Curcio I.D.D., Basu A., (eds), San Diego, CA, USA, 16–18 December 2019, Springer International Publishing, Cham, Switzerland; Niu, X., Han, H., Shan, S., Chen, X., VIPL-HR: A multi-modal database for pulse estimation from less-constrained face video (2018) Proceedings of the Asian Conference on Computer Vision, pp. 562-576. , Perth, Australia, 2–6 December 2018, Springer, Berlin/Heidelberg, Germany; Wang, H., Zhou, Y., Saddik, A.E., VitaSi: A real-time contactless vital signs estimation system (2021) Comput. Electr. Eng, 95, p. 107392; Atienza, R., (2020) Advanced Deep Learning with TensorFlow 2 and Keras: Apply DL, GANs, VAEs, Deep RL, Unsupervised Learning, Object Detection and Segmentation, and More, , Packt Publishing Ltd., Birmingham, UK; Ioffe, S., Szegedy, C., Batch Normalization: Accelerating Deep Network Training by Reducing Internal Covariate Shift Proceedings of the 32nd International Conference on International Conference on Machine Learning, 37, pp. 448-456. , Lille, France, 6–11 July 2015; Goodfellow, I., Bengio, Y., Courville, A., (2016) Deep Learning (Adaptive Computation And Machine Learning Series), , MIT Press, Cambridge, MA, USA; Kingma, D.P., Ba, J., Adam: A method for stochastic optimization (2014) arXiv, , 1412.6980; Hochreiter, S., Schmidhuber, J., Long short-term memory (1997) Neural Comput, 9, pp. 1735-1780. , 9377276; Chen, T., Guestrin, C., Xgboost: A scalable tree boosting system Proceedings of the 22nd ACM SIGKDD International Conference on Knowledge Discovery and Data Mining, pp. 785-794. , San Francisco, CA, USA, 13–17 August 2016; Chen, D.Y., Wang, J.J., Lin, K.Y., Chang, H.H., Wu, H.K., Chen, Y.S., Lee, S.Y., Image sensor-based heart rate evaluation from face reflectance using Hilbert–Huang transform (2014) IEEE Sens. J, 15, pp. 618-627; Wang, C., Pun, T., Chanel, G., A comparative survey of methods for remote heart rate detection from frontal face videos (2018) Front. Bioeng. Biotechnol, 6, p. 33. , 29765940; Lévesque, L., Nyquist sampling theorem: Understanding the illusion of a spinning wheel captured with a video camera (2014) Phys. Educ, 49, p. 697; https://www.hopkinsmedicine.org/health/conditions-and-diseases/vital-signs-body-temperature-pulse-rate-respiration-rate-blood-pressure, Available online</t>
  </si>
  <si>
    <t>2-s2.0-85144515996</t>
  </si>
  <si>
    <t>Towards a machine learning-based digital twin for non-invasive human bio-signal fusion</t>
  </si>
  <si>
    <t>Figueroa C., Ayala A., Trejo L.A., Ramos B., Briz C.L., Noriega I., Chávez A.</t>
  </si>
  <si>
    <t>57217471892;58136033900;15124174500;36483377400;58136462200;58135387400;58135387500;</t>
  </si>
  <si>
    <t>Measuring the Effectiveness of a Multicomponent Program to Manage Academic Stress through a Resilience to Stress Index</t>
  </si>
  <si>
    <t>2650</t>
  </si>
  <si>
    <t>10.3390/s23052650</t>
  </si>
  <si>
    <t>https://www.scopus.com/inward/record.uri?eid=2-s2.0-85149784535&amp;doi=10.3390%2fs23052650&amp;partnerID=40&amp;md5=d3f217e47a91f0e356f4ff6a83a8c960</t>
  </si>
  <si>
    <t>School of Health, Tecnologico de Monterrey, Ciudad de México, 14380, Mexico; Vicerrectoría de Innovación Educativa y Normatividad Académica, Tecnologico de Monterrey, Monterrey, 64849, Mexico; School of Engineering and Sciences, Tecnologico de Monterrey, Atizapán, 52926, Mexico; Facultad de Estudios Superiores Zaragoza, Universidad Nacional Autónoma de México, Ciudad de México, 09230, Mexico; Psychology Department, University of Los Andes, Bogotá, 11605, Colombia; School of Engineering and Sciences, Tecnologico de Monterrey, Monterrey64849, Mexico</t>
  </si>
  <si>
    <t>Figueroa, C., School of Health, Tecnologico de Monterrey, Ciudad de México, 14380, Mexico; Ayala, A., Vicerrectoría de Innovación Educativa y Normatividad Académica, Tecnologico de Monterrey, Monterrey, 64849, Mexico; Trejo, L.A., School of Engineering and Sciences, Tecnologico de Monterrey, Atizapán, 52926, Mexico; Ramos, B., Facultad de Estudios Superiores Zaragoza, Universidad Nacional Autónoma de México, Ciudad de México, 09230, Mexico; Briz, C.L., Psychology Department, University of Los Andes, Bogotá, 11605, Colombia; Noriega, I., School of Engineering and Sciences, Tecnologico de Monterrey, Monterrey64849, Mexico; Chávez, A., School of Health, Tecnologico de Monterrey, Ciudad de México, 14380, Mexico</t>
  </si>
  <si>
    <t>In this work, we evaluate the effectiveness of a multicomponent program that includes psychoeducation in academic stress, mindfulness training, and biofeedback-assisted mindfulness, while enhancing the Resilience to Stress Index (RSI) of students through the control of autonomic recovery from psychological stress. Participants are university students enrolled in a program of excellence and are granted an academic scholarship. The dataset consists of an intentional sample of 38 undergraduate students with high academic performance, 71% (27) women, 29% (11) men, and 0% (0) non-binary, with an average age of 20 years. The group belongs to the “Leaders of Tomorrow” scholarship program from Tecnológico de Monterrey University, in Mexico. The program is structured in 16 individual sessions during an eight-week period, divided into three phases: pre-test evaluation, training program, and post-test evaluation. During the evaluation test, an assessment of the psychophysiological stress profile is performed while the participants undergo a stress test; it includes simultaneous recording of skin conductance, breathing rate, blood volume pulse, heart rate, and heart rate variability. Based on the pre-test and post-test psychophysiological variables, an RSI is computed under the assumption that changes in physiological signals due to stress can be compared against a calibration stage. The results show that approximately 66% of the participants improved their academic stress management after the multicomponent intervention program. A Welch’s t-test showed a difference in mean RSI scores (t = −2.30, p = 0.025) between the pre-test and post-test phases. Our findings show that the multicomponent program promoted positive changes in the RSI and in the management of the psychophysiological responses to academic stress. © 2023 by the authors.</t>
  </si>
  <si>
    <t>academic stress management; biofeedback; educational innovation; heart rate variability; higher education; Leaders of Tomorrow; machine learning; mindfulness; physiological response; resilience to stress index</t>
  </si>
  <si>
    <t>Heart; Machine learning; Physiological models; Software testing; Stress analysis; Students; Academic stress management; Educational innovations; Heart rate variability; High educations; Leader of tomorrow; Machine-learning; Mindfulness; Physiological response; Resilience to stress index; Stress indices; Stress management; Biofeedback; academic achievement; adult; biofeedback; education; female; human; male; mental stress; mindfulness; procedures; psychology; student; young adult; Academic Performance; Adult; Biofeedback, Psychology; Female; Humans; Male; Mindfulness; Stress, Psychological; Students; Young Adult</t>
  </si>
  <si>
    <t>Levine, S., Developmental determinants of sensitivity and resistance to stress (2005) Psychoneuroendocrinology, 10, pp. 939-946. , 15958281; Koolhaasa, J.M., Bartolomuccic, A., Buwaldaa, B., de Boera, S.F., Flüggeb, G., Kortei, S.M., Meerloa, P., Palanzak, P., Stress revisited: A critical evaluation of the stress concept (2011) Neurosci. Biobehav. Rev, 35, pp. 1291-1301. , 21316391; Behnke, M., Buchwald, M., Bykowski, A., Kupiński, S., Kaczmarek, L.D., Psychophysiology of positive and negative emotions, dataset of 1157 cases and 8 biosignals (2022) Sci. Data, 20, p. 10. , 35058476; Lizheng, P., Shunchao, W., Zeming, Y., Aiguo, S., Recognition of Human Inner Emotion Based on Two-Stage FCA-ReliefF Feature Optimization (2022) Inf. Technol. Control, 1, pp. 32-47; Šalkevicius, J., Damaševičius, R., Maskeliunas, R., Laukienė, I., Anxiety Level Recognition for Virtual Reality Therapy System Using Physiological Signals (2019) Electronics, 9; O’Donohue, J.S., Mesagno, C., O’Brien, B., How can stress resilience be monitored? A systematic review of measurement in humans (2021) Curr. Psychol. J. Divers. Perspect. Divers. Psychol. Issues, 40, pp. 2853-2876; Diaz-Ramos, R.E., Gomez-Cravioto, D.A., Trejo, L.A., Figueroa, L.C., Medina-Pérez, M.A., Towards a Resilience to Stress Index Based on Physiological Response: A Machine Learning Approach (2021) Sensors, 21; Biegańska, J., Pihut, M., Psychoeducation program on strategies for coping with stress in patients with temporomandibular joint dysfunction BioMed Res. Int, p. 2014; Taylor, S., (2007) Psicología de la Salud, , McGraw-Hill, Madrid, Spain; Van-der Zwan, J., de Vente, W., Huizink, A., Bögels, S., de Bruin, E., Physical activity, Mindfulness meditation, or heart rate variability biofeedback for stress reduction: A randomized controlled trail (2015) Appl. Psychophysiol. Biofeedback, 40, pp. 257-268; Shapiro, S.L., Carlson, L.E., What is mindfulness? (2017) The Art and Science of Mindfulness: Integrating Mindfulness Into Psychology and the Helping Professions, pp. 9-20. , American Psychological Association, Washington, DC, USA; Kabat-Zinn, J., Meditation Is Not What you Think (2021) Mindfulness, 12, pp. 784-787; Nolan, R., Kamath, M., Floras, J., Stanley, J., Pang, C., Picton, P., Young, Q.R., Heart rate variability biofeedback as a behavioral neurocardiac intervention to enhance vagal heart rate control (2005) Am. Heart J, 49, pp. 1137.e1-1137.e7; Fakhrzadeh, H., Yamini-Sharif, A., Sharifi, F., Tajalizadekhoob, Y., Mirarefin, M., Mohammadzadeh, M., Sadeghian, S., Larijani, B., Cardiac autonomic neuropathy measured by heart rate variability and markers of subclinical atherosclerosis in early type 2 diabetes (2012) ISRN Endocrinol, 2012, pp. 1-7; Druschky, K., Druschky, A., Mobile biofeedback of heart rate variability in patients with diabetic polyneuropathy: A preliminary study (2015) Clin. Physiol. Funct. Imaging, 35, p. 332. , 24438496; Khazan, I.Z., (2013) The Clinical Handbook of Biofeedback: A Step-By-Step Guide for Training and Practice with Mindfulness, p. 1. , John Wiley &amp; Sons, Hoboken, NJ, USA; Rolnick, A., Oren, N., Bassett, D., Developing acceptance with the help of sensors—“Embracing the me that I can see (2016) Biofeedback, 44, pp. 148-151; Oren, N., Gronich, D., Rolnick, A., Stairway to togetherness: Tanking mindfulness and biofeedback into the intersubjective realm (2018) Biofeedback, 46, pp. 30-36; Rush, K., Golden, M., Mortenson, B., Albohn, D., Horger, M., The effects of a mindfulness and biofeedback program on the on- and off-task behaviors of students with emotional beharioral disorders (2017) Contemp. School Psychol, 21, pp. 347-357; Oded, Y., Integrating mindfulness and biofeedback in the treatment of posttraumatic stress disorder (2018) Biofeedback, 46, pp. 37-47; Trautwein, F.M., Kanske, P., Böckler, A., Singer, T., Differential benefits of mental training types for attention, compassion and theory of mind (2020) Cognition, 194, pp. 531-536. , 31450018; Patarathipakor, O., Ruchiwit, M., Smith, M., The effects of meditation with a biofeedback program on stress and depression levels among people with mild depression diabetes (2021) Open Public Health J, 14, pp. 104-115; Lawrence, E., Combining biofeedback and Mindfulness in education (2016) Biofeedback, 44, pp. 126-129; Bogusch, L.M., O’Brien, W.H., The effects of mindfulness-based interventions on diabetes-related distress, quality of life and metabolic control among persons with diabetes: A meta-analytic review (2019) Behav. Med, 45, pp. 19-29; Bruin, E., van der Zwan, J., Bögels, S., A RCT comparing daily Mindfulness meditations, biofeedback exercises and daily physical exercise on attention control, executive functioning, mainful awareness, self-compassion and worrying in stressed young adults (2016) Mindfulnes, 7, pp. 1182-1192. , 27642375; Nunes, M., Moura, J.J.G., Noronha, J.P., Branco, L.C., Samhan-Arias, A., Sousa, J.P., Rouco, C., Cordas, C.M., Evaluation of Sweat-Sampling Procedures for Human Stress-Biomarker Detection (2022) Analytica, 3, pp. 178-194; Lin, H., Lin, H., Lin, W., andrew Chih-Wei, H., Effects of stress, depression and their interaction on heart rate, skin conductance, finger temperature and respiratory rate: Sympathetic-parasympathetic hypothesis of stress and depression (2011) J. Clin. Psychol, 67, pp. 1080-1091; Matthews, K.A., Salomon, K., Brady, S., Allen, M.T., Cardiovascular reactivity to stress predicts future blood pressure in adolescence (2003) Psychosom. Med, 63, pp. 531-536. , 12764214; Kim, H.G., Cheon, E.J., Bai, D.S., Lee, Y.H., Koo, B.H., Stress and Heart Rate Variability: A Meta-Analysis and Review of the Literature (2018) Psychiatry Investig, 15, pp. 235-245; Bhoja, R., Guttman, O.T., Fox, A.A., Melikman, E., Kosemund, M., Gingrich, K.J., Psychophysiological Stress Indicators of Heart Rate Variability and Electrodermal Activity With Application in Healthcare Simulation Research (2020) J. Soc. Simul. Healthc, 15, pp. 39-45; Grassmann, M., Vlemincx, E., von Leupoldt, A., Mittelstädt, J.M., Van den Bergh, O., Respiratory Changes in Response to Cognitive Load: A Systematic Review (2016) Neural Plast; Tipton, M.J., Harper, A., Paton, J.F.R., Costello, J.T., The human ventilatory response to stress: Rate or depth? (2017) J. Physiol, 17, pp. 5729-5752; Anniko, M.K., Boersma, K., Tillfors, M., Sources of stress and worry in the development of stress-related mental health problems: A longitudinal investigation from early- to mid-adolescence (2019) Anxiety Stress Coping, 32, pp. 155-167; Auerbach, R.P., Alonso, J., Axinn, W.G., Cuijpers, P., Ebert, D.D., Green, J.G., Hwang, I., Mortier, P., Mental disorders among college students in the World Health Organization World Mental Health Surveys (2016) Psychol. Med, 46, pp. 2955-2970. , 27484622; Beiter, R., Nash, M., McCrady, D., Rhoades, M., Linscomb, M., Clarahan, S., The prevalence and correlates of depression, anxiety and stress in a sample of college students (2015) J. Affect. Disord, 173, pp. 90-96; Singh, R., Masih, P.P., Overview of the Relation between Depression Anxiety Stress and Resilience among College Students (2021) Int. J. Soc. Sci. Rev, 10, pp. 376-378; Mortier, P., Auerbach, R.P., Alonso, J., Axinn, W.G., Cuijpers, P., Ebert, D.D., Green, J.G., Liu, H., Suicidal thoughts and behaviors among college students and same-aged peers: Results from the World Health Organization World Mental Health Surveys (2018) Soc. Psychiatry Psychiatr. Epidemiol, 53, pp. 279-288; Pulido, R., Serrano, S., Valdés, C., Chávez, M., Hidalgo, M., Vera, G., Estrés académico en estudiantes universitarios (2011) Psicol. Salud, 21, pp. 31-37; Kloudova, G., Kozlova, S., Sthelik, M., The Use of Biofeedback to Increase Resilience and Mental Health of Supersonic Pilots (2019) Int. J. Sci. Eng. Investig, 8, pp. 85-93; Vitasari, P., Wahab, N., Herawan, T., Sinnadurai, S.K., Psychophysiological treatment in reduced anxiety with biofeedback training for university students (2011) Procedia—Soc. Behav. Sci, 30, pp. 629-633; Goldberg, S.B., Riordan, K.M., Sun, S., Davidson, R.J., The Empirical Status of Mindfulness-Based Interventions: A Systematic Review of 44 Meta-Analyses of Randomized Controlled Trials (2022) Perspect. Psychol. Sci, 17, pp. 108-130. , 33593124; Carracher, A.M., Marathe, P.H., Close, K.L., International Diabetes Federation 2017 (2018) J. Diabetes, 10, pp. 353-356; Pearson, S., Wills, K., Woods, M., Warnecke, E., Effects of mindfulness on psychological distress and HbA1c in people with diabetes (2018) Mindfulness, 9, pp. 1615-1626; Whitebird, R.R., Kreitzer, M.J., Vazquez-Benitez, G., Enstad, C.J., Reducing diabetes distress and improving self-management with mindfulness (2018) Soc. Work. Health Care, 57, pp. 48-65; Gouda, S., Luong, M., Schmidt, S., Bauer, J., Students and teachers benefit from mindfulness-based stress reduction in a school-embedded pilot study (2016) Front. Psychol, 7, p. 590. , 27199825; Prasad, B.V.P., Parthasarathy, V., Detection and classification of cardiovascular abnormalities using FFT based multi-objective genetic algorithm (2018) Biotechnol. Biotechnol. Equip, 32, pp. 183-193; Ferreira, P., Le, D.C., Zincir-Heywood, N., Exploring feature normalization and temporal information for machine learning based insider threat detection Proceedings of the 2019 15th International Conference on Network and Service Management (CNSM), pp. 1-7. , Halifax, NS, Canada, 21–25 October 2019; Wold, S., Esbensen, K., Geladi, P., Principal component analysis (1987) Chemom. Intell. Lab. Syst, 2, pp. 37-52; Schölkopf, B., Smola, A., Müller, K.R., Kernel principal component analysis Proceedings of the International Conference on Artificial Neural Networks, pp. 583-588. , Lausanne, Switzerland, 8–10 October 1997; Chin, B., Lindsay, E.K., Greco, C.M., Brown, K.W., Smyth, J.M., Wright, A.G.C., Creswell, J.D., Psychological Mechanisms Driving Stress Resilience in Mindfulness Training: A Randomized Controlled Trial (2019) Health Psychol. Neuroimaging, 38, pp. 759-768; Steffen, P.R., Bartlett, D., Increasing Stress Resilience in Difficult Times: Integrating Proven Practices from Biofeedback and Psychotherapy (2022) Policy Insights Behav. Brain Sci, 9, pp. 164-170; Lehrer, P.M., Gevirtz, R., Heart rate variability biofeedback: How and why does it work? (2014) Front. Psychol, 9, p. 756; Kabat-Zinn, J., (2013) Full Catastrophe Living: Using the Wisdom of Your Body and Mind to Face Stress, Pain, and Illness, , Bantam, New York, NY, USA; Hölzel, B.K., Carmody, J., Vangel, M., Congleton, C., Yerramsetti, S.M., Gard, T., Mindfulness practice leads to increases in regional brain gray matter density (2011) Psychiatr. Res. Neuroimaging, 36, p. 191; Kausar, R., Perceived Stress, Academic Workloads and Use of Coping Strategies by University Students (2010) J. Behav. Sci, 20, pp. 21-45; Hidrogo, I., Zambrano, D., Hernandez-de Menendez, M., Morales-Menendez, M., Mostla for engineering education: Part 2 emerging technologies (2020) Int. J. Interact. Des. Manuf, 14, pp. 1461-1473; Portuguez-Castro, M., Hernández-Méndez, R.V., Peña-Ortega, L.O., Novus Projects: Innovative Ideas to Build New.Opportunities upon Technology-Based Avenues in Higher Education (2022) Educ. Sci, 12</t>
  </si>
  <si>
    <t>2-s2.0-85149784535</t>
  </si>
  <si>
    <t>Measuring the effectiveness of a multicomponent program to manage academic stress through a resilience to stress index</t>
  </si>
  <si>
    <t>Chung H., Kim J.-I., Jung E., Park S.</t>
  </si>
  <si>
    <t>57934113300;35327012200;57934737900;57478262400;</t>
  </si>
  <si>
    <t>An International Comparison Study Exploring the Influential Variables Affecting Students’ Reading Literacy and Life Satisfaction [Un Estudio de Comparación Internacional que Explora las Variables Influyentes que Afectan la Competencia Lectora y la Satisfacción con la Vida de los Estudiantes]</t>
  </si>
  <si>
    <t>International Journal of Educational Psychology</t>
  </si>
  <si>
    <t>261</t>
  </si>
  <si>
    <t>10.17583/ijep.8924</t>
  </si>
  <si>
    <t>https://www.scopus.com/inward/record.uri?eid=2-s2.0-85140241719&amp;doi=10.17583%2fijep.8924&amp;partnerID=40&amp;md5=ce60f5e7a53f80d5612a9a6a0d73f04d</t>
  </si>
  <si>
    <t>Chungnam National University, South Korea; University of Colorado Denver, United States; University of San Francisco, United States</t>
  </si>
  <si>
    <t>Chung, H., Chungnam National University, South Korea; Kim, J.-I., University of Colorado Denver, United States; Jung, E., University of San Francisco, United States; Park, S., Chungnam National University, South Korea</t>
  </si>
  <si>
    <t>The Program for International Student Assessment (PISA) aims to provide comparative data on 15-year-olds’ academic performance and well-being. The purpose of the current study is to explore and compare the variables that predict the reading literacy and life satisfaction of U.S. and South Korean students. The random forest algorithm, which is a machine learning approach, was applied to PISA 2018 data (4,677 U.S. students and 6,650 South Korean students) to explore and select the key variables among 305 variables that predict reading literacy and life satisfaction. In each random forest analysis, one for the U.S. and another for South Korea, 23 variables were derived as key variables in students’ reading literacy. In addition, 23 variables in the U.S. and 26 variables in South Korea were derived as important variables for students’ life satisfaction. The multilevel analysis revealed that various student-, teacher-or school-related key variables derived from the random forest were statistically related to either U.S. and/or South Korean students’ reading literacy and/or life satisfaction. The current study proposes to use a machine learning approach to examine international large-scale data for an international comparison. The implications of the current study and suggestions for future research are discussed. © 2022, Hipatia Editorial. All rights reserved.</t>
  </si>
  <si>
    <t>international comparison; life satisfaction; PISA 2018; reading literacy; South Korea; United States</t>
  </si>
  <si>
    <t>Barrett, N., Toma, E. F., Reward or punishment? Class size and teacher quality (2013) Economics of Education Review, 35, pp. 41-52. , https://doi.org/10.1016/j.econedurev.2013.03.001; Breiman, L., Random forests (2001) Machine Learning, 45 (1), pp. 5-32. , https://doi.org/10.1023/A:1010933404324; Breiman, L., Cutler, A., Liaw, A., Wiener, M., (2018) The randomForest package, , https://CRAN.R-project.org/package=randomForest, R Core Team. Retrieved from; Chen, R. C., Dewi, C., Huang, S. W., Caraka, R. E., Selecting critical features for data classification based on machine learning methods (2020) Journal of Big Data, 7 (1), pp. 1-26. , https://doi.org/10.1186/s40537-020-00327-4; Cho, E. Y. N., A multilevel analysis of life satisfaction among secondary school students: Do school-level factors matter? (2019) Children and Youth Services Review, 102, pp. 231-242. , https://doi.org/10.1016/j.childyouth.2019.05.002; Claro, S., Paunesku, D., Dweck, C. S., Growth mindset tempers the effects of poverty on academic achievement (2016) Proceedings of the National Academy of Sciences, 113 (31), pp. 8664-8668. , https://doi.org/10.1073/pnas.1608207113; Dewi, C., Chen, R. C., Random forest and support vector machine on features selection for regression analysis (2019) International Journal of Innovative Computing, Information and Control, 15 (6), pp. 2027-2037. , https://doi.org/10.24507/ijicic.15.06.2027; Dong, X., Hu, J., An exploration of impact factors influencing students’ reading literacy in Singapore with machine learning approaches (2019) International Journal of English Linguistics, 9 (5), pp. 52-65. , https://doi.org/10.5539/ijel.v9n5p52; Elliot, A. J., Chirkov, V. I., Kim, Y., Sheldon, K. M., A cross-cultural analysis of avoidance (relative to approach) personal goals (2001) Psychological Science, 12 (6), pp. 505-510. , https://doi.org/10.1111/1467-9280.00393; Ertem, H. Y., Examination of Turkey’s PISA 2018 reading literacy scores within student-level and school-level variables (2020) Participatory Educational Research, 8 (1), pp. 248-264. , https://doi.org/10.17275/per.21.14.8.1; Fuchs, T., Wößmann, L., What accounts for international differences in student performance? A re-examination using PISA data (2007) Empirical Economics, 32 (2–3), pp. 433-464. , https://doi.org/10.1007/s00181-006-0087-0; Gamazo, A., Martínez-Abad, F., An exploration of factors linked to academic performance in PISA 2018 through data mining techniques (2020) Frontiers in Psychology, 11, pp. 1-17. , https://doi.org/10.3389/fpsyg.2020.575167; Gilman, R., The relationship between life satisfaction, social interest, and frequency of extracurricular activities among adolescent students (2001) Journal of Youth and Adolescence, 30 (6), pp. 749-767. , https://doi.org/10.1023/a:1012285729701; Guess, P. E., McCane-Bowling, S. J., Teacher support and life satisfaction: an investigation with urban, middle school students (2016) Education and Urban Society, 48 (1), pp. 30-47. , https://doi.org/10.1177/0013124513514604; Hu, X., Gong, Y., Lai, C., Leung, F. K., The relationship between ICT and student literacy in mathematics, reading, and science across 44 countries: A multilevel analysis (2018) Computers &amp; Education, 125 (1), pp. 1-13. , https://doi.org/10.1016/j.compedu.2018.05.021; Kang, D. J., Yum, S. C., An analysis of school effects based on reading achievement data from PISA 2009 (2013) Journal of Research in Curriculum Instruction, 17 (2), pp. 323-345. , https://doi.org/10.24231/rici.2013.17.2.323; Kaplan, A., Maehr, M. L., Achievement goals and student well-being (1999) Contemporary Educational Psychology, 24 (4), pp. 330-358. , https://doi.org/10.1006/ceps.1999.0993; Kardefelt‐Winther, D., Rees, G., Livingstone, S., Contextualizing the link between adolescents’ use of digital technology and their mental health: a multi‐country study of time spent online and life satisfaction (2020) Journal of Child Psychology and Psychiatry, 61 (8), pp. 875-889. , https://doi.org/10.1111/jcpp.13280; Kim, H. S., The impact of ICT use on students' academic performance based on PISA 2009 Korean data (2012) Asian Journal of Education, 13 (1), pp. 1-22. , https://doi.org/10.15753/aje.2012.13.1.001; Koyuncu, I., Fırat, A., Investigating reading literacy in PISA 2018 assessment (2020) International Electronic Journal of Elementary Education, 13 (2), pp. 263-275. , https://doi.org/10.26822/iejee.2021.189; Lee, I. W., Ku, N. W., Analysis of PISA 2015 reading achievement characteristics of Korean students and influence of educational context variables (2019) Journal of Reading Research, 50, pp. 113-144. , 20https:/doi.org; Lim, H. J., Jung, H., Factors related to digital reading achievement: A multilevel analysis using international large scale data (2019) Computers &amp; Education, 133, pp. 82-93. , https://doi.org/10.1016/j.compedu.2019.01.007; Liu, Z., Chen, H., A predictive performance comparison of machine learning models for judicial cases (2017) 2017 IEEE Symposium Series on Computational Intelligence (SSCI), pp. 1-6. , https://doi.org/10.1109/SSCI.2017.8285436; Muthén, L. K., Muthén, B. O., (1998) Mplus user’s guide, , (–2019). (8th ed). Los Angeles, CA: Muthén &amp; Muthén; Nakhla, G., (2019) The relationship between fear of failure, academic motivation and student engagement in higher education: A general linear model (Unpublished doctoral dissertation), , United Kingdom, Lancaster: Lancaster University; (2019) PISA 2018 technical report, , OECD Publishing; (2019) PISA 2018 results (Volume I) what students know and can do, , OECD Publishing; (2019) PISA 2018 results (Volume III) what school life means for students' lives, , OECD Publishing; Park, S. Y., Chung, H. W., Classifying latent profiles in academic achievement and life satisfaction of adolescents (2020) The Journal of Yeolin Education, 28 (3), pp. 47-72. , https://doi.org/10.18230/tjye.2020.28.3.47; Park, N., Huebner, E. S., A cross-cultural study of the levels and correlates of life satisfaction among adolescents (2005) Journal of Cross-Cultural Psychology, 36 (4), pp. 444-456. , https://doi.org/10.1177/0022022105275961; Perry, L. B., McConney, A., Does the SES of the school matter? An examination of socioeconomic status and student achievement using PISA 2003 (2010) Teachers College Record, 112 (4), pp. 1137-1162. , https://doi.org/10.1177/016146811011200401; Raudenbush, S.W., Bryk, A.S., (2002) Hierarchical linear models, , (2nd ed). Newbury Park, CA: Sage; Reilly, D., Gender, culture, and sex-typed cognitive abilities (2012) PLoS ONE, 7 (7), pp. 1-16. , https://doi.org/10.1371/journal.pone.0039904; Rudolf, R., (2020) Life satisfaction among middle school students around the world cross-cultural evidence from PISA 2018, , https://ssrn.com/abstract=3544001, Retrieved April 28, 2021, from; Shin, J., Lee, H., Kim, Y., Student and school factors affecting mathematics achievement: International comparisons between Korea, Japan and the USA (2009) School Psychology International, 30 (5), pp. 520-537. , https://doi.org/10.1177/0143034309107070; Shin, S. H., Slater, C. L., Backhoff, E., Principal perceptions and student achievement in reading in Korea, Mexico, and the United States (2013) Educational Administration Quarterly, 49 (3), pp. 489-527. , https://doi.org/10.1177/0013161X12458796; Sothe, C., De Almeida, C. M., Schimalski, M. B., La Rosa, L. E. C., Castro, J. D. B., Feitosa, R. Q., Tommaselli, A. M. G., Comparative Performance of Convolutional Neural Network, Weighted and Conventional Support Vector Machine and Random Forest for Classifying Tree Species Using Hyperspectral and Photogrammetric Data (2020) GIScience &amp; Remote Sensing, 57 (3), pp. 369-394. , https://doi.org/10.1080/15481603.2020.1712102; Tang, Y., Immigration status and adolescent life satisfaction: an international comparative analysis based on PISA 2015 (2019) Journal of Happiness Studies, 20 (5), pp. 1499-1518. , https://doi.org/10.1007/s10902-018-0010-3; Topçu, M. S., Arıkan, S., Erbilgin, E., Turkish students’ science performance and related factors in PISA 2006 and 2009 (2015) The Australian Educational Researcher, 42 (1), pp. 117-132. , https://doi.org/10.1007/s13384-014-0157-9; Won, S. J., Han, S., Out-of-school activities and achievement among middle school students in the U.S. and South Korea (2010) Journal of Advanced Academics, 21 (4), pp. 628-661. , https://doi.org/10.1177/1932202X1002100404; van Buuren, S., Groothuis-Oudshoorn, K., mice: Multivariate imputation by chained equations in R (2011) Journal of Statistical Software, 45 (3), pp. 1-68. , https://doi.org/10.18637/jss.v045.i03; Yoon, J., Järvinen, T., Are model PISA pupils happy at school? Quality of school life of adolescents in Finland and Korea (2016) Comparative Education, 52 (4), pp. 427-448. , https://doi.org/10.1080/03050068.2016.1220128; Xiao, Y., Hu, J., Regression analysis of ICT impact factors on early adolescents’ reading proficiency in five high-performing countries (2019) Frontiers in Psychology, 10, pp. 1-14. , https://doi.org/10.3389/fpsyg.2019.01646</t>
  </si>
  <si>
    <t>Hipatia Editorial</t>
  </si>
  <si>
    <t>20143591</t>
  </si>
  <si>
    <t>Intl. J. Edu. Psychol.</t>
  </si>
  <si>
    <t>2-s2.0-85140241719</t>
  </si>
  <si>
    <t>An international comparison study exploring the influential variables affecting students’ reading literacy and life satisfaction [un estudio de comparación internacional que explora las variables influyentes que afectan la competencia lectora y la satisfacción con la vida de los estudiantes]</t>
  </si>
  <si>
    <t>Lahti L.</t>
  </si>
  <si>
    <t>23397195800;</t>
  </si>
  <si>
    <t>Detecting the patient’s need for help with machine learning based on expressions</t>
  </si>
  <si>
    <t>BMC Medical Research Methodology</t>
  </si>
  <si>
    <t>60</t>
  </si>
  <si>
    <t>10.1186/s12874-021-01502-8</t>
  </si>
  <si>
    <t>https://www.scopus.com/inward/record.uri?eid=2-s2.0-85125772634&amp;doi=10.1186%2fs12874-021-01502-8&amp;partnerID=40&amp;md5=6946a341f09fe984c5cdce9b964b4ae4</t>
  </si>
  <si>
    <t>Department of Computer Science, Aalto University School of Science, Espoo, Finland</t>
  </si>
  <si>
    <t>Lahti, L., Department of Computer Science, Aalto University School of Science, Espoo, Finland</t>
  </si>
  <si>
    <t>Background: Developing machine learning models to support health analytics requires increased understanding about statistical properties of self-rated expression statements used in health-related communication and decision making. To address this, our current research analyzes self-rated expression statements concerning the coronavirus COVID-19 epidemic and with a new methodology identifies how statistically significant differences between groups of respondents can be linked to machine learning results. Methods: A quantitative cross-sectional study gathering the “need for help” ratings for twenty health-related expression statements concerning the coronavirus epidemic on an 11-point Likert scale, and nine answers about the person’s health and wellbeing, sex and age. The study involved online respondents between 30 May and 3 August 2020 recruited from Finnish patient and disabled people’s organizations, other health-related organizations and professionals, and educational institutions (n = 673). We propose and experimentally motivate a new methodology of influence analysis concerning machine learning to be applied for evaluating how machine learning results depend on and are influenced by various properties of the data which are identified with traditional statistical methods. Results: We found statistically significant Kendall rank-correlations and high cosine similarity values between various health-related expression statement pairs concerning the “need for help” ratings and a background question pair. With tests of Wilcoxon rank-sum, Kruskal-Wallis and one-way analysis of variance (ANOVA) between groups we identified statistically significant rating differences for several health-related expression statements in respect to groupings based on the answer values of background questions, such as the ratings of suspecting to have the coronavirus infection and having it depending on the estimated health condition, quality of life and sex. Our new methodology enabled us to identify how statistically significant rating differences were linked to machine learning results thus helping to develop better human-understandable machine learning models. Conclusions: The self-rated “need for help” concerning health-related expression statements differs statistically significantly depending on the person’s background information, such as his/her estimated health condition, quality of life and sex. With our new methodology statistically significant rating differences can be linked to machine learning results thus enabling to develop better machine learning to identify, interpret and address the patient’s needs for well-personalized care. © 2022, The Author(s).</t>
  </si>
  <si>
    <t>Convolutional neural network; Coronavirus; Decision making; Disabled; Interpretation; Machine learning; Patient; Personalized care; Self-rating; The need for help</t>
  </si>
  <si>
    <t>cross-sectional study; female; human; machine learning; male; quality of life; COVID-19; Cross-Sectional Studies; Female; Humans; Machine Learning; Male; Quality of Life; SARS-CoV-2</t>
  </si>
  <si>
    <t>Gallagher, J.E., Wilkie, A.A., Cordner, A., Hudgens, E., Ghio, A., Birch, R., Wade, T., Factors associated with self-reported health: Implications for screening level community-based health and environmental studies (2016) BMC Public Health, 640 (2016), p. 16. , https://doi.org/10.1186/s12889-016-3321-5; Wu, S., Wang, R., Zhao, Y., Ma, X., Wu, M., Yan, X., He, J., The relationship between self-rated health and objective health status: a population-based study (2013) BMC Public Health, 13, p. 320; Cullati, S., Bochatay, N., Rossier, C., Guessous, I., Burton-Jeangros, C., Courvoisier, D.S., Does the single-item self-rated health measure the same thing across different wordings? Construct validity study (2020) Quality of Life Research: An International Journal of Quality of Life Aspects of Treatment Care Rehabilitation, 29 (9), pp. 2593-2604; Garbarski, D., Schaeffer, N.C., Dykema, J., The effect of response option order on self-rated health: a replication study (2016) Quality of Life Research: An International Journal of Quality of Life Aspects of Treatment Care Rehabilitation, 25 (8), pp. 2117-2121; Joffer, J., Jerdén, L., Öhman, A., Flacking, R., Exploring self-rated health among adolescents: a think-aloud study (2016) BMC Public Health, 16, p. 156; Borraccino, A., Pera, R., Lemma, P., What being healthy means to me”: Aqualitative analysis uncovering the core categories of adolescents’ perception of health (2019) PLOS One, 14 (6). , https://doi.org/10.1371/journal.pone.0218727; Tucker, C.A., Escorpizo, R., Cieza, A., Lai, J.S., Stucki, G., Ustun, T.B., Kostanjsek, N., Forrest, C.B., Mapping the content of the Patient-Reported Outcomes Measurement Information System (PROMIS®) using the International Classification of Functioning, Health and Disability (2014) Quality Life Res Int J Quality Life Aspects Treatment Care Rehabil, 23 (9), pp. 2431-2438; Anttila, H., Kokko, K., Hiekkala, S., Weckström, P., Paltamaa, J., Asiakaslähtöinen Toimintakykyni-sovellus. Kehittäminen ja käytettävyystutkimus. Kansaneläkelaitos (Kela), Työpapereita 119 (2017) ISSN, pp. 2323-9239. , http://hdl.handle.net/10138/187061; Jacobson, R.P., Kang, D., Houck, J., Can Patient-Reported Outcomes Measurement Information System® (PROMIS) measures accurately enhance understanding of acceptable symptoms and functioning in primary care? (2020) Journal of Patient-Reported Outcomes, 4 (1), p. 39; Schalet, B.D., Revicki, D.A., Cook, K.F., Krishnan, E., Fries, J.F., Cella, D., Establishing a common metric for physical function: linking the HAQ-DI and SF-36 PF subscale to PROMIS Physical Function (2015) J Gen Intern Med, 30 (10), pp. 1517-1523; Deo, R.C., Machine learning in medicine (2015) Circulation, 132 (20), pp. 1920-1930; Zhao, X., Miao, C.Z., . Identifying cognitive distortion by convolutional neural network based text classification (2017) Int J Information Technol, 23 (No. 1), pp. 1-12. , http://www.intjit.org/cms/journal/volume/23/1/231_4.pdf, Singapore Computer Society, LILY Research Centre, Nanyang Technological University, Singapore; Gehrmann, S., Dernoncourt, F., Li, Y., Carlson, E., Wu, J., Welt, J., Foote, J., Jr., Celi, L., Comparing deep learning and concept extraction based methods for patient phenotyping from clinical narratives (2018) PLOS One, 13 (2); Rojas-Barahona, L., Tseng, B., Dai, Y., Mansfield, C., Ramadan, O., Ultes, S., Crawford, M., Gašić, M., Deep learning for language understanding of mental health concepts derived from cognitive behavioural therapy (2018) Proceedings of the Ninth International Workshop on Health Text Mining and Information Analysis; Shickel, B., Siegel, S., Heesacker, M., Benton, S., Rashidi, P., Automatic detection and classification of cognitive distortions in mental health text (2019) Research Article, , https://arxiv.org/abs/1909.07502; Abd-Alrazaq, A., Safi, Z., Alajlani, M., Warren, J., Househ, M., Denecke, K., Technical metrics used to evaluate health care chatbots: scoping review (2020) Journal of Medical Internet Research, 22 (6); Laranjo, L., Dunn, A., Tong, H., Kocaballi, A., Chen, J., Bashir, R., Surian, D., Coiera, E., Conversational agents in healthcare: a systematic review (2018) J Am Med Inform Assoc, 25 (9), pp. 1248-1258; Knäuper, B., Carrière, K., Chamandy, M., Xu, Z., Schwarz, N., Rosen, N.O., How aging affects self-reports (2016) Eur J Ageing, 13 (2), pp. 185-193; Sinclair, S., Jaggi, P., Hack, T.F., Russell, L., McClement, S., Cuthbertson, L., Selman, L., Leget, C., Initial validation of a patient-reported measure of compassion: determining the content validity and clinical sensibility among patients living with a life-limiting and incurable illness (2020) The Patient - Patient-Centered Outcomes Research, 13, pp. 327-337. , (,),.,., volume, pages., https://doi.org/10.1007/s40271-020-00409-8; Sinclair, S., Jaggi, P., Hack, T.F., McClement, S.E., Cuthbertson, L.A., A practical guide for item generation in measure development: Insights from the development of a patient-reported experience measure of compassion (2020) J Nurs Meas, 28 (1); Lahti, L., Interpretation of health-related expressions and dialogues: Enabling personalized care with contextual measuring and machine learning (2017) . International Journal of New Technology and Research (IJNTR), 3 (11), pp. 171-179. , .https://www.ijntr.org/download_data/IJNTR03110081.pdfandhttp://urn.fi/URN:NBN:fi:aalto-201712298340, November 2017; Lahti, L., Supporting care by interpretation of expressions about patient experience with machine learning (2018) Int J New Technol Research (IJNTR, (4), pp. 27-34. , https://www.ijntr.org/download_data/IJNTR04120016.pdfandhttp://urn.fi/URN:NBN:fi:aalto-201812015463, 2454-4116; Bradley, M.M., Lang, P.J., Affective norms for English words (ANEW): Instruction manual and affective ratings. Technical Report C-1, The Center for Research in Psychophysiology (1999) University of Florida, , http://www.uvm.edu/pdodds/teaching/courses/2009-08UVM-300/docs/others/everything/bradley1999a.pdf; Warriner, A., Kuperman, V., Brysbaert, M., Norms of valence, arousal, and dominance for 13,915 English lemmas (2013) Behavior Research Methods, 45 (4), pp. 1191-1207. , http://link.springer.com/article/10.3758/s13428-012-0314-x; Mauss, I.B., Robinson, M.D., Measures of emotion: a review (2009) Cogn Emot, 23 (2), pp. 209-237; Berna, C., Vincent, K., Moore, J., Tracey, I., Goodwin, G., Holmes, E., Presence of mental imagery associated with chronic pelvic pain: a pilot study (2011) Pain Med, 12 (7), pp. 1086-1093. , issue, pages., https://doi.org/10.1111/j.1526-4637.2011.01152.x; Hughes, M., Li, I., Kotoulas, S., Suzumura, T., (2017) Medical text classification using convolutional neural networks. Studies in Health Technology and Informatics, 235, pp. 246-250; Yao, L., Mao, C., Luo, Y., Clinical text classification with rule-based features and knowledge-guided convolutional neural networks (2019) BMC Med Informatics Decision Making, 19, p. 71; Qing, L., Linhong, W., Xuehai, D., A novel neural network-based method for medical text classification (2019) Future Internet, 11 (12), p. 255; Bhandare, A., Bhide, M., Gokhale, P., Chandavarkar, R., Applications of convolutional neural networks (2016) International Journal of Computer Science and Information Technologies (IJCSIT), 7 (5), pp. 2206-2215. , https://ijcsit.com/docs/Volume%207/vol7issue5/ijcsit20160705014.pdf; Jelodar, H., Wang, Y., Orji, R., Huang, S., Deep sentiment classification and topic discovery on novel coronavirus or COVID-19 online discussions: NLP using LSTM recurrent neural network approach (2020) IEEE J Biomed Health Informatics, 24 (10), pp. 2733-2742; (2012) ). Health, functional capacity and welfare in Finland in, , http://urn.fi/URN, Koskinen S, Lundqvist A, Ristiluoma N, editors, ISBN 978-952-245-768-4 (printed), ISBN 978-952-245-769-1 (online publication, ISBN: 978-952-245-769-1); Interpretation of the patient’s need for help can be supported with machine learning (2020) Personalized Medicine: Legal and Ethical Challenges. Faculty of Law, University of Helsinki, Finland, Forum Iuris Series, Helsinki, , https://doi.org/10.31885/9789515169419, In Mansnérus, Juli, Lahti, Raimo, &amp; Blick, Amanda, editors; Lahti, L., Development of care decision-making model (2021) A Manuscript Completed and Self-Archived on 14 July 2021 in the Open-Access Aaltodoc Publication Archive at Https://Aaltodoc.Aalto.Fi/Handle/123456789/108753 And, , http://urn.fi/URN:NBN:fi:aalto-202107148007; Health interview surveys: Towards international harmonization of methods and instruments (1996) World Health Organization (WHO)., , https://www.euro.who.int/__data/assets/pdf_file/0017/111149/E72841.pdf, de Bruin A, Picavet H, Nossikov A, editors, WHO regional publications, European series; (2003) EUROHIS: Developing Common Instruments for Health Surveys. World Health Organization (WHO) and IOS Press, , https://www.euro.who.int/__data/assets/pdf_file/0015/101193/WA9502003EU.pdf, Nosikov A, Gudex C, Amsterdam, the Netherlands; Aalto, A., Korpilahti, U., Sainio, P., Malmivaara, A., Koskinen, S., Saarni, S., Valkeinen, H., Luoma, M., Aikuisten geneeriset elämänlaatumittarit terveys- ja hyvinvointitutkimuksessa sekä terveys- ja kuntoutuspalvelujen vaikutusten arvioinnissa. Terveyden ja hyvinvoinnin laitos (THL). TOIMIA-suositus, TOIMIA-verkosto (2013) Http://Urn.Fi/Urn:Nbn:Fi-Fe2016092224121, , https://www.terveysportti.fi/dtk/tmi/tms00040; Akoglu, H., User’s guide to correlation coefficients (2018) Turkish Journal of Emergency Medicine, 18 (3), pp. 91-93; TensorFlow image classification tutorial with Python language scripts (2020) Tensorflow Image Classification Tutorial, , https://www.tensorflow.org/tutorials/images/classification;https://github.com/tensorflow/docs/blob/master/site/en/tutorials/images/classification.ipynb;https://www.tensorflow.org/api_docs/python/tf/keras/layers/Conv2D; Lahti, L., Tenhunen, H., Nieminen, M., How patients talk about care? Identifying patient experience expressions from online discussions (2018) Proc. Medical Informatics Europe (MIE 2018), 24-26 April 2018, Gothenburg, Sweden, pp. 116-120. , http://ebooks.iospress.nl/volumearticle/48765andhttp://urn.fi/URN:NBN:fi:aalto-201812106386, Ugon, A., Karlsson, D., Klein, G., &amp; Moen, A, ISBN 978-1-61499-851-8 (print) and ISBN 978-1-61499-852-5 (online); When to seek admission for care and guidance concerning the symptoms and care (2020) Web Pages Offering Guidelines about Coronavirus (COVID-19) Disease, , https://thl.fi/fi/web/infektiotaudit-ja-rokotukset/taudit-ja-torjunta/taudit-ja-taudinaiheuttajat-a-o/koronavirus-covid-19/koronavirustauti-milloin-on-hakeuduttava-hoitoon, Published in Finnish. Terveyden ja hyvinvoinnin laitos (THL), https://thl.fi/fi/web/infektiotaudit-ja-rokotukset/ajankohtaista/ajankohtaista-koronaviruksesta-covid-19/oireet-ja-hoito-koronavirus/koronaviruksen-hoito-ja-ohjeet-sairastuneelle;https://thl.fi/fi/web/infektiotaudit-ja-rokotukset/ajankohtaista/ajankohtaista-koronaviruksesta-covid-19/oireet-ja-hoito-koronavirus; Coronavirus. A web page offering guidelines about coronavirus (COVID-19) disease (2020) World Health Organization (WHO), , https://www.who.int/health-topics/coronavirus; Boateng, G.O., Neilands, T.B., Frongillo, E.A., Melgar-Quiñonez, H.R., Young, S.L., Best practices for developing and validating scales for health, social, and behavioral research: a primer (2018) Frontiers in Public Health, 6, p. 149; Kulikowski, K., Measurement of work engagement with single-item measure (2018) Polish Psychological Bulletin, 49 (4), pp. 406-415; Siegel, J., van Dolen, W., Child helplines: exploring determinants and boundary conditions of volunteer encounter satisfaction (2020) J Serv Mark, 34 (5), pp. 589-600; Tolvanen, E., Koskela, T.H., Kosunen, E., Comparison of the Patient Enablement Instrument (PEI) with two single-item measures among Finnish health care centre patients (2019) BMC Health Serv Res, 19 (1), p. 376; Sullivan, M., Bishop, S., Pivik, J., The pain catastrophizing scale: development and validation (1995) Psychological Assessment, 7 (4), pp. 524-553; Ganis, G., Thompson, W.L., Kosslyn, S.M., Brain areas underlying visual mental imagery and visual perception: an fMRI study (2004) Cogn Brain Res, 20 (2), pp. 226-241; McNorgan, C., A meta-analytic review of multisensory imagery identifies the neural correlates of modality-specific and modality-general imagery (2012) Frontiers in Human Neuroscience, 6; Pearson, D., Deeprose, C., Wallace-Hadrill, S., Heyes, S.B., Holmes, E., Assessing mental imagery in clinical psychology: a review of imagery measures and a guiding framework (2013) Clin Psychol Rev, 33 (1), pp. 1-23; Cui, X., Jeter, C.B., Yang, D., Montague, P.R., Eagleman, D.M., Vividness of mental imagery: individual variability can be measured objectively (2007) Vision Res, 47 (4), pp. 474-478; Herholz, S.C., Halpern, A.R., Zatorre, R.J., Neuronal correlates of perception, imagery, and memory for familiar tunes (2012) J Cogn Neurosci, 24 (6), pp. 1382-1397; Belardinelli, M., Palmiero, M., Sestieri, C., Nardo, D., Di Matteo, R., Londei, A., D’Ausilio, A., Romani, G., An fMRI investigation on image generation in different sensory modalities: The influence of vividness (2009) Acta Physiol (Oxf), 132, pp. 190-200; Carroll, J.S., The effect of imagining an event on expectations for the event: an interpretation in terms of the availability heuristic (1978) J Exp Soc Psychol, 14 (1), pp. 88-96; Sherman, S.J., Cialdini, R.B., Schwartzman, D.F., Reynolds, K.D., Imagining can heighten or lower the perceived likelihood of contracting a disease: the mediating effect of ease of imagery (1985) Pers Soc Psychol Bull, 11 (1), pp. 118-127; Lombrozo, T., Simplicity and probability in causal explanation (2007) Cogn Psychol, 55, pp. 232-257</t>
  </si>
  <si>
    <t>14712288</t>
  </si>
  <si>
    <t>BMC Med. Res. Methodol.</t>
  </si>
  <si>
    <t>2-s2.0-85125772634</t>
  </si>
  <si>
    <t>Khogali H.O., Mekid S.</t>
  </si>
  <si>
    <t>57950988300;57218323762;</t>
  </si>
  <si>
    <t>The blended future of automation and AI: Examining some long-term societal and ethical impact features</t>
  </si>
  <si>
    <t>Technology in Society</t>
  </si>
  <si>
    <t>102232</t>
  </si>
  <si>
    <t>10.1016/j.techsoc.2023.102232</t>
  </si>
  <si>
    <t>https://www.scopus.com/inward/record.uri?eid=2-s2.0-85151004811&amp;doi=10.1016%2fj.techsoc.2023.102232&amp;partnerID=40&amp;md5=733188fe5580fb6c96ee5fc14b39af80</t>
  </si>
  <si>
    <t>King Fahd University of Petroleum and Minerals, Saudi Arabia; Interdisciplinary Research Center for Intelligent Manufacturing and Robotics, Saudi Arabia; Mechanical Engineering Department, Saudi Arabia; Department of Global Studies, Saudi Arabia</t>
  </si>
  <si>
    <t>Khogali, H.O., King Fahd University of Petroleum and Minerals, Saudi Arabia, Interdisciplinary Research Center for Intelligent Manufacturing and Robotics, Saudi Arabia, Department of Global Studies, Saudi Arabia; Mekid, S., King Fahd University of Petroleum and Minerals, Saudi Arabia, Interdisciplinary Research Center for Intelligent Manufacturing and Robotics, Saudi Arabia, Mechanical Engineering Department, Saudi Arabia</t>
  </si>
  <si>
    <t>The potential impacts of machine learning and artificial intelligence (AI) on society are receiving increased attention owing to the rapid growth of these technologies during the fourth industrial revolution. Thus, a detailed analysis of the positive implications and drawbacks of AI technology in human society is necessary. The development of AI technology has created new markets and employment opportunities in vital industries, including transportation, health, education, and the environment. According to experts, the rapidly increasing improvements in AI will continue. As part of humankind's continual efforts to create more prosperous technological growth, automation and AI are changing people's lives and are widely considered to be game-changers in a variety of industries. This study presents a review of how automation and AI may affect businesses and jobs. To determine some of the prospective long-term consequences of AI on human civilisation, this study investigates a variety of connected primary impacting potentials, including job losses, employees' well-being, dehumanisation of jobs, fear of AI, and examples of autonomous technology developments, such as autonomous-vehicle challenges. A diverse methodology of narrative review and thematic pattern was used to add to transdisciplinary or multidisciplinary work, particularly in the theoretical development of AI technologies. © 2023 The Authors</t>
  </si>
  <si>
    <t>Artificial intelligence; Automation; Ethical impact; I4.0; Machine learning; Societal impact</t>
  </si>
  <si>
    <t>Automation; Economic and social effects; Employment; Engineering education; Ethical technology; Artificial intelligence technologies; Ethical impact; Human society; I4.0; Industrial revolutions; Machine-learning; Market opportunities; Potential impacts; Rapid growth; Societal impacts; Machine learning; artificial intelligence; automation; business; ethics; future prospect; machine learning; social impact</t>
  </si>
  <si>
    <t>Dietz, T., Theory and method in social impact assessment (1987) Socio. Inq., 57, pp. 54-69; Viana-Lora, A., Nel-lo-Andreu, M.G., Approaching the social impact of research through a literature review (2021) Int. J. Qual. Methods, 20; Riessman, C.K., Narrative methods for the human sciences (2008) Forum Qualitative Sozialforschung/Forum: Qualitative Social Research, 11; Snyder, H., Literature review as a research methodology: an overview and guidelines (2019) J. Bus. Res., 104, pp. 333-339; Nissim, G., Simon, T., The future of labor unions in the age of automation and at the dawn of AI (2021) Technol. Soc., 67; Wang, L., Artificial intelligence for COVID-19: a systematic review (2021) Front. Med., 8; Egaña del Sol, P., Cruz, G., Micco, A., COVID-19's impact on the labor market shaped by automation: evidence from Chile (2021) SSRN Electron. J.; Dahlin, E., (2019) Are Robots Stealing Our Jobs? Socius Sociological Research for a Dynamic World, 5; Pham, Q.C., Madhavan, R., Righetti, L., Smart, W., Chatila, R., The impact of robotics and automation on working conditions and employment [ethical, legal, and societal issues] (2018) IEEE Robot. Autom. Mag., 25, pp. 126-128; Ivanov, S., Kuyumdzhiev, M., Webster, C., Automation fears: drivers and solutions (2020) Technol. Soc., 63. , https://www.sciencedirect.com/science/article/pii/S0160791X20300488, 10.1016/j.techsoc.2020.101431; Klenk, M., How do technological artefacts embody moral values? Philos (2021) Technol., 34, pp. 525-544; Tahseen, R., Omer, U., Farooq, S., Ethical guidelines for artificial intelligence: a systematic literature review (2021) VFAST Transactions on Software Engineering, 9, pp. 33-47; Enholm, I.M., Papagiannidis, E., Mikalef, P., Artificial intelligence and business value: a literature review (2021) Inf. Syst. Front; Braun, V., Clarke, V., Using thematic analysis in psychology (2006) Qual. Res. Psychol., 3, pp. 77-101; Czarniawska, B., Narratives in Social Science Research (2004) Introducing Qualitative Methods, 2011. , SAGE Publications, Ltd Series Online publication date: January 01; Haddaway, N.R., Eight problems with literature reviews and how to fix them (2020) Nat. Ecol. Evol., 4, pp. 1582-1589; Byrne, D., Worked example of Braun and Clarke's approach to reflexive thematic analysis (2022) Qual. Quant., 56, pp. 1391-1412; Viana-Lora, A., Nel-lo-Andreu, M.G., Approaching the social impact of research through a literature review (2021) Int. J. Qual. Methods, 20; McAllum, K., Fox, S., Simpson, M., Unson, C., A comparative tale of two methods: how thematic and narrative analyses author the data story differently (2019) Communication Research and Practice, 5, pp. 1-18; Wagner, G., Lukyanenko, R., Paré, G., Artificial intelligence and the conduct of literature reviews (2022) J. Inf. Technol., 37 (2), pp. 209-226; Ferrari, R., Writing narrative style literature reviews (2015) The European Medical Writers Association, 24, pp. 230-235; Lima, G.D.M.R., Wood, T., Jr., The social impact of research in business and public administration (2014) Rev. Adm. Empres., 54, pp. 458-463; Onyx, J., Social impact, a theoretical model (2014) Cosmop. Civ. Soc., 6, pp. 1-18; Mökander, J., Schroeder, R., AI and social theory (2022) AI Soc., 37, pp. 1337-1351; Social impact theory - simply psychology https://www.simplypsychology.org/social-impact-theory.html#:∼:text=Social%20impact%20theory%20was%20created,threatened%2C%20and%20supported%20by%20others, Last accessed (Accessed 2 January 2023); Joyce, K., Toward a sociology of artificial intelligence: a call for research on inequalities and structural change (2021) Socius, 7; Moore, S., Brown, S., Butler, W., AI and social impact: a review of current use cases and broader implications (2022) Book: Cybersecurity Capabilities in Developing Nations and its Impact on Global Security, pp. 133-161; Bostrom, N., Transhumanist values (2003) Rev. Contemp. Philos., 30, pp. 3-14; Fox, K.A., The present status of objective social indicators: a review of theory and measurement (1986) Am. J. Agric. Econ., 68, pp. 1113-1120; Ransbotham, S., Candelon, F., Kiron, D., LaFountain, B., Khodabandeh, S., The cultural benefits of artificial intelligence in the enterprise, MIT sloan management review and boston consulting group (2021), https://boardmember.com/wp-content/uploads/2022/06/BCG-The-Hidden-Cultural-Benefits-of-AI.pdf, Available at: Last accessed (Accessed 2 January 2023); Stahl, B.C., Concepts of ethics and their application to AI (2021) Artificial Intelligence for a Better Future, 18, pp. 19-33; Kaptein, M., Wempe, J., Three general theories of ethics and the integrative role of integrity theory (2002) SSRN Electron. J.; Tamunosiki, V.O., John Stuart Mill's utilitarianism: a critique (2021) Int. J. Peace Conflict Stud., 5, pp. 65-76. , http://journals.rcmss.com/index.php/ijpcs/article/view/174, Retrieved from Last accessed (Accessed 2 January 2023); Tussyadiah, I., Tuomi, A., Ling, E., Miller, G., Lee, G., Drivers of organizational adoption of automation (2022) Ann. Tourism Res., 93; Milner-Gulland, E.J., Interactions between human behavior and ecological systems (2012) Philos. Trans. R. Soc. Lond. B Biol. Sci., 367, pp. 270-278; Oliveira, A.W., Theorizing technology and behavior: introduction to special issue (2020) Hum. Behav, Emerg. Technol., 2, pp. 302-306; Gábor, O., Behavior of Artificial Intelligence: Summa Aethologica Intelligentiae Artificialis (2020), published by GeniaNet; Donepudi, P.K., Application of artificial intelligence in automation industry (2018) Asian J. Appl. Sci. Eng., 7, pp. 7-20. , https://upright.pub/index.php/ajase/article/view/23, Retrieved from; Griep, Y., Vranjes, I., van Hooff, M.M., Beckers, D.G., Geurts, S.A., Technology in the Workplace: Opportunities and Challenges, Flexible Working Practices and Approaches: Psychological and Social Implications (2021), pp. 93-116; Yamin, M., Information technologies of 21st century and their impact on the society (2019) Int. J. Inf. Tecnol., 11, pp. 759-766; (2022) What's next for AI – Building trust (ibm.com) IBM Cognitive – What's next for AI, , Last accessed; Morchid, N., The current state of technology acceptance: a comparative study (2020) J. Bus. Manag., 22, pp. 1-16; Egana-delSol, P., Cruz, G., Micco, A., COVID-19's impact on the labor market shaped by automation: evidence from Chile (2021), https://ssrn.com/abstract=3761822, Available at: SSRN:; Naikoo, A.A., Thakur, S.S., Guroo, T.A., Lone, A.A., Development of society under the modern technology - a review (2018) Scholedge Int. J. Bus. Policy &amp; Gov., 5, pp. 1-8; Thamik, H., Wu, J., The impact of artificial intelligence on sustainable development in electronic markets (2022) Sustainability, 14, p. 3568; Ismatullaev, U.V.U., Kim, S.H., Review of the factors affecting acceptance of AI-infused systems (2022) Hum. Factors; Enholm, I.M., Papagiannidis, E., Mikalef, P., Krogstie, J., Artificial intelligence and business value: a literature review (2021) Inf. Syst. Front, 24, pp. 1709-1734; Siau, K., Wang, W., Artificial intelligence (AI) ethics: ethics of AI and ethical AI (2020) J. Database Manag., 31, pp. 74-87; Damioli, G., Van Roy, V., Vertesy, D., The impact of artificial intelligence on labor productivity (2021) Eurasian Bus. Rev., 11, pp. 1-25; Zhang, T., Tao, D., Qu, X., Zhang, X., Zeng, J., Zhu, H., Zhu, H., Automated vehicle acceptance in China: social influence and initial trust are key determinants (2020) Transport. Res. C Emerg. Technol., 112, pp. 220-233; Kaye, S.-A., Lewis, I., Forward, S., Delhomme, P., A priori acceptance of highly automated cars in Australia, France, and Sweden: a theoretically-informed investigation guided by the TPB and UTAUT, Accid (2020) Anal. Prev., 137; Zhu, G., Chen, Y., Zheng, J., Modelling the acceptance of fully autonomous vehicles: a media-based perception and adoption model (2020) Transp. Res. F: Traffic Psychol. Behav., 73, pp. 80-91; Schoettle, B., Sivak, M., (2014) Public Opinion about Self-Driving Vehicles in China, 5, pp. 53-59. , Transportation Research Institute India, Japan, the U.S., the U.K., and Australia University of Michigan, Ann Arbor; Abraham, H., Lee, C., Brady, S., Fitzgerald, C., Mehler, B., Reimer, B., Coughlin, J.F., Autonomous vehicles and alternatives to driving: trust, preferences, and effects of age (2017) Proceedings of the Transportation Research Board 96th Annual Meeting, pp. 8-12. , Transportation Research Board Washington, DC; Mohammadzadeh, M., Sharing or owning autonomous vehicles? Comprehending the role of ideology in the adoption of autonomous vehicles in the society of automobility (2021) Transp. Res. Interdiscip. Perspect., 9; Gopinath, K., Narayanamurthy, G., Early bird catches the worm! Meta-analysis of autonomous vehicles adoption – moderating role of automation level, ownership and culture (2022) Int. J. Inf. Manag., 66; Cunneen, M., Mullins, M., Murphy, F., Autonomous vehicles and embedded artificial intelligence: the challenges of framing machine driving decisions (2019) Appl. Artif. Intell., 33, pp. 706-731; Cingano, F., Trends in Income Inequality and its Impact on Economic Growth (2014) OECD Social, Employment and Migration Working Papers, 163. , OECD Publishing; Legault, G.A., Verchère, C., Patenaude, J., Support for the development of technological innovations: promoting responsible social uses (2018) Sci. Eng. Ethics, 24, pp. 529-549; Olesen, S.C., Butterworth, P., Leach, L.S., Kelaher, M., Pirkis, J., Mental health affects future employment as job loss affects mental health: findings from a longitudinal population study (2013) BMC Psychiatr., 13, pp. 1-9; An, K., Shan, Y., Shi, S., Impact of industrial intelligence on total factor productivity (2022) Sustainability, 14; Osoba, O.A., Welser, W., (2017) The Risks of Artificial Intelligence to Security and the Future of Work, 2023. , https://www.rand.org/pubs/perspectives/PE237.html, RAND Corporation Santa Monica, CA Last accessed January 2; Alarcon, G.M., Capiola, A., Hamdan, I.A., Lee, M.A., Jessup, S.A., Differential biases in human-human versus human-robot interactions (2023) Appl. Ergon., 106; Zajko, M., Artificial intelligence, algorithms, and social inequality: sociological contributions to contemporary debates (2022) Soc. Compass, 16; Elliott, D., Soifer, E., AI Technologies, privacy, and security (2022) Front. Artif. Intell., 5; Ligozat, A.L., Lefevre, J., Bugeau, A., Combaz, J., Unraveling the hidden environmental impacts of AI solutions for environment life cycle assessment of AI solutions (2022) Sustainability, 14, p. 5172; Jarrahi, M.H., Artificial intelligence and the future of work: human-AI symbiosis in organizational decision making (2018) Bus. Horiz., 61, pp. 577-586; Liu, L., Song, X., Li, Y., The emotional mechanisms of interpersonal preemptive behavior (2022) Front. Psychol., 13; Cave, S., Dihal, K., Hopes and fears for intelligent machines in fiction and reality (2019) Nat. Mach. Intell., 1, pp. 74-78; Daniele Amore, M., Pelucco, V., Quarato, F., Family ownership during the Covid-19 pandemic (2022) J. Bank. Finance, 135, p. 2022. , https://www.sciencedirect.com/science/article/pii/S0378426621003368, 106385. ISSN 0378-4266; Ping, H., Ying, G.Y., Comprehensive view on the effect of artificial intelligence on employment (2018) Topics in Education, Culture and Social Development (TECSD), 1, pp. 32-35; Paolillo, A., How to compete with robots by assessing job automation risks and resilient alternatives (2022) Sci. Robot., 7. , eabg5561; Oliveira, A., Braga, H., Artificial intelligence: learning and limitations (2020) WSEAS Trans. Adv. Eng. Educ., 17, pp. 80-86; Zajko, M., Artificial intelligence, algorithms, and social inequality: sociological contributions to contemporary debates (2022) Sociology Compass, 16; Mirbabaie, M., Brünker, F., Möllmann, N.R., Stieglitz, S., The rise of artificial intelligence – understanding the AI identity threat at the workplace, Electron (2022) Market, 32, pp. 73-99; Chiodo, S., Human autonomy, technological automation (and reverse) (2022) AI Soc., 37, pp. 39-48; Haslam, N., Dehumanization: an integrative review (2006) Pers. Soc. Psychol. Rev., 10, pp. 252-264; Rubbab, U.E., Khattak, S.A., Shahab, H., Akhter, N., Impact of organizational dehumanization on employee knowledge hiding (2022) Front. Psychol., 13, p. 80; Nguyen, N., Besson, T., Stinglhamber, F., Emotional labor: the role of organizational dehumanization (2022) J. Occup. Health Psychol., 27, pp. 179-194; Zhang, Y., A new look of dehumanization in work domain: the relationship between communication means and disrespect to deliveryman (2020) Psychology, 11, pp. 572-580; Anderson, E., Private Government: How Employers Rule Our Lives (And Why We Don't Talk about it) (2017) University Center for Human Values Series, 44. , Princeton University Press; Valtorta, R.R., Baldissarri, C., Volpato, C., Burnout and workplace dehumanization at the supermarket: a field study during the COVID‐ 19 outbreak in Italy (2022) J. Community Appl. Soc. Psychol., 32, pp. 767-785; Cascio, W.F., Montealegre, R., How technology is changing work and organizations (2016) Annu. Rev. Organ. Psychol. Organ. Behav., 3, pp. 349-375; Martela, F., Sheldon, K.M., Clarifying the concept of well-being: psychological need satisfaction as the common core connecting eudaimonic and subjective well-being (2019) Rev. Gen. Psychol., 23, pp. 458-474; Musikanski, L., Rakova, B., Bradbury, J., Phillips, R., Manson, M., Artificial intelligence and community well-being: a proposal for an emerging area of research (2020) Int. Journal of Com. W.B., 3, pp. 39-55; Edmonds, E., (2019) Three in four Americans remain afraid of fully self-driving vehicles | AAA Newsroom, AAA International Relations, , Last accessed November 4, 2022; Wang, J., Zhang, L., Huang, Y., Zhao, J., Bella, F., Safety of autonomous vehicles (2020) J. Adv. Transport., 2020, pp. 1-13; JafariNaimi, N., Our bodies in the trolley's path, or Why self-driving cars must *not* be programmed to kill (2018) Sci. Technol. Hum. Val., 43, pp. 302-323; Tesla's ‘phantom braking’ problem is now being investigated by the US government - the Verge (2023) Tesla's ‘phantom braking’ problem is now being investigated by the US government - The Verge, , accessed 1/2/23 Last accessed; (2023) Daily briefing: ChatGPT listed as author on research papers: many scientists disapprove (nature.com), , Last accessed</t>
  </si>
  <si>
    <t>0160791X</t>
  </si>
  <si>
    <t>Technol. Soc.</t>
  </si>
  <si>
    <t>2-s2.0-85151004811</t>
  </si>
  <si>
    <t>The blended future of automation and ai: examining some long-term societal and ethical impact features</t>
  </si>
  <si>
    <t>Li C., Li P., Zhang Y., Li N., Si Y., Li F., Cao Z., Chen H., Chen B., Yao D., Xu P.</t>
  </si>
  <si>
    <t>57811080500;55585509900;55277965900;57451263600;57195381661;58081998400;57826731600;8876008200;57750875200;55558568500;56939689500;</t>
  </si>
  <si>
    <t>Effective Emotion Recognition by Learning Discriminative Graph Topologies in EEG Brain Networks</t>
  </si>
  <si>
    <t>IEEE Transactions on Neural Networks and Learning Systems</t>
  </si>
  <si>
    <t>10.1109/TNNLS.2023.3238519</t>
  </si>
  <si>
    <t>https://www.scopus.com/inward/record.uri?eid=2-s2.0-85148465049&amp;doi=10.1109%2fTNNLS.2023.3238519&amp;partnerID=40&amp;md5=a705794c90b6a9de3436d433aa340e71</t>
  </si>
  <si>
    <t>Ministry of Education (MOE) Key Laboratory for Neuroinformation, Clinical Hospital of Chengdu Brain Science Institute, and the School of Life Science and Technology, University of Electronic Science and Technology of China, Chengdu, China; School of Bioinfomatics, Chongqing University of Posts and Telecommunications, Chongqing, China; School of Computer Science and Technology, Southwest University of Science and Technology, Mianyang, China; Department of Psychology, Xinxiang Medical University, Xinxiang, China; Science, Technology, Engineering and Mathematics (STEM), University of South Australia, Adelaide, SA, Australia; Department of Radiology, First Affiliated Hospital to Army Medical University, Chongqing, China; Institute of Artificial Intelligence and Robotics, Xi&amp;#x2019;an Jiaotong University, Xi&amp;#x2019;an, China; Clinical Hospital of Chengdu Brain Science Institute, Ministry of Education (MOE) Key Laboratory for Neuroinformation, and the School of Life Science and Technology, University of Electronic Science and Technology of China, Chengdu, China</t>
  </si>
  <si>
    <t>Li, C., Ministry of Education (MOE) Key Laboratory for Neuroinformation, Clinical Hospital of Chengdu Brain Science Institute, and the School of Life Science and Technology, University of Electronic Science and Technology of China, Chengdu, China; Li, P., School of Bioinfomatics, Chongqing University of Posts and Telecommunications, Chongqing, China; Zhang, Y., School of Computer Science and Technology, Southwest University of Science and Technology, Mianyang, China; Li, N., Ministry of Education (MOE) Key Laboratory for Neuroinformation, Clinical Hospital of Chengdu Brain Science Institute, and the School of Life Science and Technology, University of Electronic Science and Technology of China, Chengdu, China; Si, Y., Department of Psychology, Xinxiang Medical University, Xinxiang, China; Li, F., Ministry of Education (MOE) Key Laboratory for Neuroinformation, Clinical Hospital of Chengdu Brain Science Institute, and the School of Life Science and Technology, University of Electronic Science and Technology of China, Chengdu, China; Cao, Z., Science, Technology, Engineering and Mathematics (STEM), University of South Australia, Adelaide, SA, Australia; Chen, H., Department of Radiology, First Affiliated Hospital to Army Medical University, Chongqing, China; Chen, B., Institute of Artificial Intelligence and Robotics, Xi&amp;#x2019;an Jiaotong University, Xi&amp;#x2019;an, China; Yao, D., Clinical Hospital of Chengdu Brain Science Institute, Ministry of Education (MOE) Key Laboratory for Neuroinformation, and the School of Life Science and Technology, University of Electronic Science and Technology of China, Chengdu, China; Xu, P., Ministry of Education (MOE) Key Laboratory for Neuroinformation, Clinical Hospital of Chengdu Brain Science Institute, and the School of Life Science and Technology, University of Electronic Science and Technology of China, Chengdu, China</t>
  </si>
  <si>
    <t>Multichannel electroencephalogram (EEG) is an array signal that represents brain neural networks and can be applied to characterize information propagation patterns for different emotional states. To reveal these inherent spatial graph features and increase the stability of emotion recognition, we propose an effective emotion recognition model that performs multicategory emotion recognition with multiple emotion-related spatial network topology patterns (MESNPs) by learning discriminative graph topologies in EEG brain networks. To evaluate the performance of our proposed MESNP model, we conducted single-subject and multisubject four-class classification experiments on two public datasets, MAHNOB-HCI and DEAP. Compared with existing feature extraction methods, the MESNP model significantly enhances the multiclass emotional classification performance in the single-subject and multisubject conditions. To evaluate the online version of the proposed MESNP model, we designed an online emotion monitoring system. We recruited 14 participants to conduct the online emotion decoding experiments. The average online experimental accuracy of the 14 participants was 84.56%, indicating that our model can be applied in affective brain&amp;#x2013;computer interface (aBCI) systems. The offline and online experimental results demonstrate that the proposed MESNP model effectively captures discriminative graph topology patterns and significantly improves emotion classification performance. Moreover, the proposed MESNP model provides a new scheme for extracting features from strongly coupled array signals. IEEE</t>
  </si>
  <si>
    <t>Brain modeling; Brain neural network; Electroencephalography; Emotion recognition; emotion recognition; emotional intelligence; Feature extraction; graph topology; Monitoring; multiple emotion-related spatial network topology pattern (MESNP); Network topology; Topology</t>
  </si>
  <si>
    <t>Biomedical signal processing; Classification (of information); Electroencephalography; Electrophysiology; Extraction; Feature extraction; Information dissemination; Online systems; Speech recognition; Topology; Brain modeling; Brain neural network; Emotion recognition; Emotional intelligence; Features extraction; Graph topology; Multiple emotion-related spatial network topology pattern; Network topology; Neural-networks; Spatial network; Topology patterns; Emotion Recognition</t>
  </si>
  <si>
    <t>2162237X</t>
  </si>
  <si>
    <t>IEEE Trans. Neural Networks Learn. Sys.</t>
  </si>
  <si>
    <t>2-s2.0-85148465049</t>
  </si>
  <si>
    <t>Effective emotion recognition by learning discriminative graph topologies in eeg brain networks</t>
  </si>
  <si>
    <t>Matulionyte R.</t>
  </si>
  <si>
    <t>37003005700;</t>
  </si>
  <si>
    <t>Can AI infringe moral rights of authors and should we do anything about it? An Australian perspective</t>
  </si>
  <si>
    <t>Law, Innovation and Technology</t>
  </si>
  <si>
    <t>124</t>
  </si>
  <si>
    <t>10.1080/17579961.2023.2184138</t>
  </si>
  <si>
    <t>https://www.scopus.com/inward/record.uri?eid=2-s2.0-85150945149&amp;doi=10.1080%2f17579961.2023.2184138&amp;partnerID=40&amp;md5=499b20ef1fb6e975ecdc80e5fe6c3d68</t>
  </si>
  <si>
    <t>Macquarie Law School, Macquarie University, Macquarie Park, Australia</t>
  </si>
  <si>
    <t>Matulionyte, R., Macquarie Law School, Macquarie University, Macquarie Park, Australia</t>
  </si>
  <si>
    <t>While artificial intelligence technologies (AI), such as machine learning (ML), hold significant potential for the economy and social wellbeing, it is unclear to what extent copyright laws stimulate or impede the development of these promising technologies. The unauthorised use of copyright-protected works in the ML process and its possible implications on economic rights of authors have been previously explored, however, the implications of such use on the moral rights of authors–the rights of attribution and integrity–have not been examined. This paper, by focusing on Australia as a case study, explores whether the use of works as training data in the ML process could amount to the infringement of moral rights of authors and, if so, whether law reform in the area is needed. © 2023 Informa UK Limited, trading as Taylor &amp; Francis Group.</t>
  </si>
  <si>
    <t>artificial intelligence; Copyright; machine learning; moral rights; proportionality</t>
  </si>
  <si>
    <t>17579961</t>
  </si>
  <si>
    <t>Law Innov. Technol.</t>
  </si>
  <si>
    <t>2-s2.0-85150945149</t>
  </si>
  <si>
    <t>Can ai infringe moral rights of authors and should we do anything about it? an australian perspective</t>
  </si>
  <si>
    <t>Wu R., Yu Z.</t>
  </si>
  <si>
    <t>57808278700;35975507500;</t>
  </si>
  <si>
    <t>Do AI chatbots improve students learning outcomes? Evidence from a meta-analysis</t>
  </si>
  <si>
    <t>British Journal of Educational Technology</t>
  </si>
  <si>
    <t>10.1111/bjet.13334</t>
  </si>
  <si>
    <t>https://www.scopus.com/inward/record.uri?eid=2-s2.0-85158102295&amp;doi=10.1111%2fbjet.13334&amp;partnerID=40&amp;md5=8b82cc28bb27296f9e7dceb104340686</t>
  </si>
  <si>
    <t>Faculty of Foreign Studies, Beijing Language and Culture University, Beijing, China</t>
  </si>
  <si>
    <t>Wu, R., Faculty of Foreign Studies, Beijing Language and Culture University, Beijing, China; Yu, Z., Faculty of Foreign Studies, Beijing Language and Culture University, Beijing, China</t>
  </si>
  <si>
    <t>Artificial intelligence (AI) chatbots are gaining increasing popularity in education. Due to their increasing popularity, many empirical studies have been devoted to exploring the effects of AI chatbots on students' learning outcomes. The proliferation of experimental studies has highlighted the need to summarize and synthesize the inconsistent findings about the effects of AI chatbots on students' learning outcomes. However, few reviews focused on the meta-analysis of the effects of AI chatbots on students' learning outcomes. The present study performed a meta-analysis of 24 randomized studies utilizing Stata software (version 14). The main goal of the current study was to meta-analytically examine the effects of AI chatbots on students' learning outcomes and the moderating effects of educational levels and intervention duration. The results indicated that AI chatbots had a large effect on students' learning outcomes. Moreover, AI chatbots had a greater effect on students in higher education, compared to those in primary education and secondary education. In addition, short interventions were found to have a stronger effect on students' learning outcomes than long interventions. It could be explained by the argument that the novelty effects of AI chatbots could improve learning outcomes in short interventions, but it has worn off in the long interventions. Future designers and educators should make attempt to increase students' learning outcomes by equipping AI chatbots with human-like avatars, gamification elements and emotional intelligence. Practitioner notes What is already known about this topic In recent years, artificial intelligence (AI) chatbots have been gaining increasing popularity in education. Studies undertaken so far have provided conflicting evidence concerning the effects of AI chatbots on students' learning outcomes. There has remained a paucity of meta-analyses synthesizing the contradictory findings about the effects of AI chatbots on students' learning outcomes. What this paper adds This study, through meta-analysis, synthesized these recent findings about the effects of AI chatbots on students' learning outcomes. This study found that AI chatbots could have a large effect on students' learning outcomes. This study found that the effects of AI chatbots were moderated by educational levels and intervention duration. Implications for practice and/or policy AI chatbot designers could make AI chatbots better by equipping AI chatbots with human-like avatars, gamification elements and emotional intelligence Practitioners and/or teachers should draw attention to the positive and negative effects of AI chatbots on students. Considering the importance of ChatGPT, more research is required to develop a better understanding of the effects of ChatGPT in education. More research is needed to examine the mechanisms underlying the effects of AI chatbots on students' learning outcomes. © 2023 British Educational Research Association.</t>
  </si>
  <si>
    <t>artificial intelligence chatbots; educational levels; intervention duration; learning outcomes; meta-analysis</t>
  </si>
  <si>
    <t>Students; Artificial intelligence chatbot; Chatbots; Educational intervention; Educational levels; Gamification; Human like; Intervention duration; Learning outcome; Meta-analysis; Student learning outcomes; Artificial intelligence</t>
  </si>
  <si>
    <t>Abbasi, S., Kazi, H., Hussaini, N., Effect of chatbot systems on student's learning outcomes (2019) Sylwan, 163 (10), pp. 49-63; Adamopoulou, E., Moussiades, L., Chatbots: History, technology, and applications (2020) Machine Learning with Applications, 2. , https://doi.org/10.1016/j.mlwa.2020.100006; Bai, S., Hew, K.F., Huang, B., Does gamification improve student learning outcome? Evidence from a meta-analysis and synthesis of qualitative data in educational contexts (2020) Educational Research Review, 30. , https://doi.org/10.1016/j.edurev.2020.100322; Brachten, F., Brünker, F., Frick, N.R.J., Ross, B., Stieglitz, S., On the ability of virtual agents to decrease cognitive load: An experimental study (2020) Information Systems and e-Business Management, 18 (2), pp. 187-207. , https://doi.org/10.1007/s10257-020-00471-7; Chang, C.Y., Hwang, G.J., Gau, M.L., Promoting students' learning achievement and self-efficacy: A mobile chatbot approach for nursing training (2022) British Journal of Educational Technology, 53 (1), pp. 171-188. , https://doi.org/10.1111/bjet.13158; Chien, Y.C., Wu, T.T., Lai, C.H., Huang, Y.M., Investigation of the influence of artificial intelligence markup language-based LINE chatbot in contextual English learning (2022) Frontiers in Psychology, 13. , https://doi.org/10.3389/fpsyg.2022.785752; Cohen, J., Weighted kappa: Nominal scale agreement provision for scaled disagreement or partial credit (1968) Psychological Bulletin, 70, pp. 213-220. , https://doi.org/10.1037/h0026256; Cohen, J., (1988) Statistical power analysis for the behavioral sciences, , Routledge; Cooper, H., (2016) Research synthesis and meta-analysis: A step-by-step approach, , SAGE; Deveci Topal, A., Dilek Eren, C., Kolburan Geçer, A., Chatbot application in a 5th grade science course (2021) Education and Information Technologies, 26 (5), pp. 6241-6265. , https://doi.org/10.1007/s10639-021-10627-8; Duval, S., Tweedie, R., Trim and fill: A simple funnel-plot–based method of testing and adjusting for publication bias in meta-analysis (2000) Biometrics, 56 (2), pp. 455-463. , https://doi.org/10.1111/j.0006-341X.2000.00455.x; Ebadi, S., Amini, A., Examining the roles of social presence and human-likeness on Iranian EFL learners' motivation using artificial intelligence technology: A case of CSIEC chatbot (2022) Interactive Learning Environments, pp. 1-19. , https://doi.org/10.1080/10494820.2022.2096638; Essel, H.B., Vlachopoulos, D., Tachie-Menson, A., Johnson, E.E., Baah, P.K., The impact of a virtual teaching assistant (chatbot) on students' learning in Ghanaian higher education (2022) International Journal of Educational Technology in Higher Education, 19 (1). , https://doi.org/10.1186/s41239-022-00362-6; Fidan, M., Gencel, N., Supporting the instructional videos with chatbot and peer feedback mechanisms in online learning: The effects on learning performance and intrinsic motivation (2022) Journal of Educational Computing Research, 60 (7), pp. 1716-1741. , https://doi.org/10.1177/07356331221077901; Fryer, L., Coniam, D., Carpenter, R., Lăpușneanu, D., Bots for language learning now: Current and future directions (2020) Language Learning &amp; Technology, 24 (2), pp. 8-22. , http://hdl.handle.net/10125/44719; Fryer, L.K., Ainley, M., Thompson, A., Gibson, A., Sherlock, Z., Stimulating and sustaining interest in a language course: An experimental comparison of chatbot and human task partners (2017) Computers in Human Behavior, 75, pp. 461-468. , https://doi.org/10.1016/j.chb.2017.05.045; Garrido, D., Martín, M.V., Rodríguez, C., Iglesias, J., Navarro, J.C., Estévez, A., Hontoria, F., Almansa, E., Meta-analysis approach to the effects of live prey on the growth of Octopus vulgaris paralarvae under culture conditions (2018) Reviews in Aquaculture, 10 (1), pp. 3-14. , https://doi.org/10.1111/raq.12142; Garzón, J., Acevedo, J., Meta-analysis of the impact of augmented reality on students' learning gains (2019) Educational Research Review, 27, pp. 244-260. , https://doi.org/10.1016/j.edurev.2019.04.001; Han, D.E., The effects of voice-based AI chatbots on Korean EFL middle school students' speaking competence and affective domains (2020) Asia-Pacific Journal of Convergent Research Interchange, 6 (7), pp. 71-80. , https://doi.org/10.47116/apjcri.2020.07.07; Han, J.W., Park, J., Lee, H., Analysis of the effect of an artificial intelligence chatbot educational program on non-face-to-face classes: A quasi-experimental study (2022) BMC Medical Education, 22 (1). , https://doi.org/10.1186/s12909-022-03898-3; Haristiani, N., Artificial intelligence (AI) chatbot as language learning medium: An inquiry (2019) Journal of Physics: Conference Series, 1387 (1). , https://doi.org/10.1088/1742-6596/1387/1/012020; Hedges, L.V., Olkin, I., (1985) Statistical methods for meta-analysis, , Academic Press; Higgins, J.P.T., Altman, D.G., Gøtzsche, P.C., Jüni, P., Moher, D., Oxman, A.D., Savović, J., Sterne, J.A.C., The cochrane collaboration's tool for assessing risk of bias in randomised trials (2011) BMJ, 343. , https://doi.org/10.1136/bmj.d5928; Higgins, J.P.T., Thompson, S.G., Quantifying heterogeneity in a meta-analysis (2002) Statistics in Medicine, 21 (11), pp. 1539-1558. , https://doi.org/10.1002/sim.1186; Hsu, M.H., Chen, P.S., Yu, C.S., Proposing a task-oriented chatbot system for EFL learners speaking practice (2021) Interactive Learning Environments, pp. 1-12. , https://doi.org/10.1080/10494820.2021.1960864; Huang, W., Hew, K.F., Fryer, L.K., Chatbots for language learning—Are they really useful? A systematic review of chatbot-supported language learning (2022) Journal of Computer Assisted Learning, 38 (1), pp. 237-257. , https://doi.org/10.1111/jcal.12610; Hwang, W.Y., Guo, B.C., Hoang, A., Chang, C.C., Wu, N.T., Facilitating authentic contextual EFL speaking and conversation with smart mechanisms and investigating its influence on learning achievements (2022) Computer Assisted Language Learning, pp. 1-27. , https://doi.org/10.1080/09588221.2022.2095406; Jeno, L.M., Vandvik, V., Eliassen, S., Grytnes, J.A., Testing the novelty effect of an m-learning tool on internalization and achievement: A self-determination theory approach (2019) Computers &amp; Education, 128, pp. 398-413. , https://doi.org/10.1016/j.compedu.2018.10.008; Jeon, J., Chatbot-assisted dynamic assessment (CA-DA) for L2 vocabulary learning and diagnosis (2021) Computer Assisted Language Learning, pp. 1-27. , https://doi.org/10.1080/09588221.2021.1987272; Jeon, J., Exploring AI chatbot affordances in the EFL classroom: Young learners' experiences and perspectives (2022) Computer Assisted Language Learning, pp. 1-26. , https://doi.org/10.1080/09588221.2021.2021241; Kamal, A., Radhakrishnan, S., Individual learning preferences based on personality traits in an E-learning scenario (2019) Education and Information Technologies, 24 (1), pp. 407-435. , https://doi.org/10.1007/s10639-018-9777-4; Kim, H.S., Kim, N.Y., Cha, Y.J., Effects of AI chatbots on EFL students' communication skills (2021) Korean Journal of English Language and Linguistics, 21, pp. 712-734. , https://doi.org/10.15738/KJELL.21.202108.712; Kim, J.H., Kim, M., Kwak, D.W., Lee, S., Home-tutoring services assisted with technology: Investigating the role of artificial intelligence using a randomized field experiment (2022) Journal of Marketing Research, 59 (1), pp. 79-96. , https://doi.org/10.1177/00222437211050351; Kim, N.Y., A study on chatbots for developing Korean college students' English listening and reading skills (2018) Journal of Digital Convergence, 16 (8), pp. 19-26. , https://doi.org/10.14400/JDC.2018.16.8.019; Kim, N.Y., Chatbots and Korean EFL students' English vocabulary learning (2018) Journal of Digital Convergence, 16 (2), pp. 1-7. , https://doi.org/10.14400/JDC.2018.16.2.001; Kim, N.Y., A study on the use of artificial intelligence chatbots for improving English grammar skills (2019) Journal of Digital Convergence, 17 (8), pp. 37-46. , https://doi.org/10.14400/JDC.2019.17.8.037; Klos, M.C., Escoredo, M., Joerin, A., Lemos, V.N., Rauws, M., Bunge, E.L., Artificial intelligence–based chatbot for anxiety and depression in university students: Pilot randomized controlled trial (2021) JMIR Formative Research, 5 (8). , https://doi.org/10.2196/20678; Kmet, L.M., Lee, R.C., Cook, L.S., (2004) Standard quality assessment criteria for evaluating primary research papers from a variety of fields, , https://www.deslibris.ca/ID/200548, Alberta Heritage Foundation for Medical Research; Kuhail, M.A., Alturki, N., Alramlawi, S., Alhejori, K., Interacting with educational chatbots: A systematic review (2022) Education and Information Technologies, 28 (1), pp. 973-1018. , https://doi.org/10.1007/s10639-022-11177-3; Kumar, J.A., Educational chatbots for project-based learning: Investigating learning outcomes for a team-based design course (2021) International Journal of Educational Technology in Higher Education, 18 (1). , https://doi.org/10.1186/s41239-021-00302-w; Kuo, T.M., Tsai, C.C., Wang, J.C., Linking web-based learning self-efficacy and learning engagement in MOOCs: The role of online academic hardiness (2021) The Internet and Higher Education, 51. , https://doi.org/10.1016/j.iheduc.2021.100819; Lee, Y.F., Hwang, G.J., Chen, P.Y., Impacts of an AI-based chatbot on college students' after-class review, academic performance, self-efficacy, learning attitude, and motivation (2022) Educational Technology Research and Development, 70 (5), pp. 1843-1865. , https://doi.org/10.1007/s11423-022-10142-8; Lin, C.J., Mubarok, H., Learning analytics for investigating the mind map-guided AI chatbot approach in an EFL flipped speaking classroom (2021) Educational Technology &amp; Society, 24 (4), pp. 16-35; Lin, J.J., Lin, H., Mobile-assisted ESL/EFL vocabulary learning: A systematic review and meta-analysis (2019) Computer Assisted Language Learning, 32 (8), pp. 878-919. , https://doi.org/10.1080/09588221.2018.1541359; Lin, M.P.C., Chang, D., Enhancing post-secondary writers' writing skills with a chatbot: A mixed-method classroom study (2020) Journal of Educational Technology &amp; Society, 23 (1), pp. 78-92; Liu, C.C., Liao, M.G., Chang, C.H., Lin, H.M., An analysis of children’ interaction with an AI chatbot and its impact on their interest in reading (2022) Computers &amp; Education, 189. , https://doi.org/10.1016/j.compedu.2022.104576; Liu, H., Peng, H., Song, X., Xu, C., Zhang, M., Using AI chatbots to provide self-help depression interventions for university students: A randomized trial of effectiveness (2022) Internet Interventions, 27. , https://doi.org/10.1016/j.invent.2022.100495; Luo, B., Lau, R.Y.K., Li, C., Si, Y.W., A critical review of state-of-the-art chatbot designs and applications (2022) WIREs Data Mining and Knowledge Discovery, 12 (1). , https://doi.org/10.1002/widm.1434; Mageira, K., Pittou, D., Papasalouros, A., Kotis, K., Zangogianni, P., Daradoumis, A., Educational AI chatbots for content and language integrated learning (2022) Applied Sciences, 12 (7). , https://doi.org/10.3390/app12073239; Mogali, S.R., Initial impressions of ChatGPT for anatomy education (2023) Anatomical Sciences Education, pp. 1-4. , https://doi.org/10.1002/ase.2261; Nadarzynski, T., Miles, O., Cowie, A., Ridge, D., Acceptability of artificial intelligence (AI)-led chatbot services in healthcare: A mixed-methods study (2019) Digital Health, 5, pp. 1-12. , https://doi.org/10.1177/2055207619871808; Nghi, T., Huu Phuc, T., Nguyen Tat, T., Applying AI chatbot for teaching a foreign language: An empirical research (2019) International Journal of Scientific &amp; Technology Research, 8 (12), pp. 897-902; Nguyen, Q.N., Sidorova, A., Torres, R., User interactions with chatbot interfaces vs. menu-based interfaces: An empirical study (2022) Computers in Human Behavior, 128. , https://doi.org/10.1016/j.chb.2021.107093; Page, M.J., McKenzie, J.E., Bossuyt, P.M., Boutron, I., Hoffmann, T.C., Mulrow, C.D., Shamseer, L., Moher, D., The PRISMA 2020 statement: An updated guideline for reporting systematic reviews (2021) Systematic Reviews, 10 (1). , https://doi.org/10.1186/s13643-021-01626-4; Pavlik, J.V., Collaborating with ChatGPT: Considering the implications of generative artificial intelligence for journalism and media education (2023) Journalism &amp; Mass Communication Educator, 78 (1), pp. 84-93. , https://doi.org/10.1177/10776958221149577; Pérez, J.Q., Daradoumis, T., Puig, J.M.M., Rediscovering the use of chatbots in education: A systematic literature review (2020) Computer Applications in Engineering Education, 28 (6), pp. 1549-1565. , https://doi.org/10.1002/cae.22326; Pickering, C., Byrne, J., The benefits of publishing systematic quantitative literature reviews for PhD candidates and other early-career researchers (2014) Higher Education Research &amp; Development, 33 (3), pp. 534-548. , https://doi.org/10.1080/07294360.2013.841651; Ran, H., Kim, N.J., Secada, W.G., A meta-analysis on the effects of technology's functions and roles on students' mathematics achievement in K-12 classrooms (2022) Journal of Computer Assisted Learning, 38 (1), pp. 258-284. , https://doi.org/10.1111/jcal.12611; Ruan, S., Jiang, L., Xu, Q., Liu, Z., Davis, G.M., Brunskill, E., Landay, J.A., EnglishBot: An AI-powered conversational system for second language learning (2021) In Proceedings of 26th International Conference on Intelligent User Interfaces, pp. 434-444. , https://doi.org/10.1145/3397481.3450648, . Association for Computing Machinery; Rudolph, J., Tan, S., Tan, S., ChatGPT: Bullshit spewer or the end of traditional assessments in higher education? (2023) Journal of Applied Learning and Teaching, 6 (1). , https://doi.org/10.37074/jalt.2023.6.1.9; Salas-Pilco, S.Z., The impact of AI and robotics on physical, social-emotional and intellectual learning outcomes: An integrated analytical framework (2020) British Journal of Educational Technology, 51 (5), pp. 1808-1825. , https://doi.org/10.1111/bjet.12984; Shumanov, M., Johnson, L., Making conversations with chatbots more personalized (2021) Computers in Human Behavior, 117. , https://doi.org/10.1016/j.chb.2020.106627; Tang, X., Tang, S., Ren, Z., Wong, D.F.K., Psychosocial risk factors associated with depressive symptoms among adolescents in secondary schools in mainland China: A systematic review and meta-analysis (2020) Journal of Affective Disorders, 263, pp. 155-165. , https://doi.org/10.1016/j.jad.2019.11.118; Terblanche, N., Molyn, J., De Haan, E., Nilsson, V.O., Coaching at scale: Investigating the efficacy of artificial intelligence coaching (2022) International Journal of Evidence Based Coaching and Mentoring, 20 (2), pp. 20-36. , https://doi.org/10.24384/5cgf-ab69; Theeboom, T., Beersma, B., van Vianen, A.E.M., Does coaching work? A meta-analysis on the effects of coaching on individual level outcomes in an organizational context (2014) The Journal of Positive Psychology, 9 (1), pp. 1-18. , https://doi.org/10.1080/17439760.2013.837499; Tsai, Y., Lin, C., Hong, J., Tai, K., The effects of metacognition on online learning interest and continuance to learn with MOOCs (2018) Computers &amp; Education, 121, pp. 18-29. , https://doi.org/10.1016/j.compedu.2018.02.011; van Dis, E.A.M., Bollen, J., Zuidema, W., van Rooij, R., Bockting, C.L., ChatGPT: Five priorities for research (2023) Nature, 614 (7947), pp. 224-226. , https://doi.org/10.1038/d41586-023-00288-7; Vázquez-Cano, E., Mengual-Andrés, S., López-Meneses, E., Chatbot to improve learning punctuation in Spanish and to enhance open and flexible learning environments (2021) International Journal of Educational Technology in Higher Education, 18 (1). , https://doi.org/10.1186/s41239-021-00269-8; Villena-Taranilla, R., Tirado-Olivares, S., Cózar-Gutiérrez, R., González-Calero, J.A., Effects of virtual reality on learning outcomes in K-6 education: A meta-analysis (2022) Educational Research Review, 35. , https://doi.org/10.1016/j.edurev.2022.100434; Wambsganss, T., Kueng, T., Soellner, M., Leimeister, J.M., ArgueTutor: An adaptive dialog-based learning system for argumentation skills (2021) Proceedings of the 2021 CHI Conference on Human Factors in Computing Systems, pp. 1-13. , https://doi.org/10.1145/3411764.3445781, . Association for Computing Machinery; Wollny, S., Schneider, J., Di Mitri, D., Weidlich, J., Rittberger, M., Drachsler, H., Are we there yet? A systematic literature review on chatbots in education (2021) Frontiers in Artificial Intelligence, 4. , https://doi.org/10.3389/frai.2021.654924; Wu, B., Yu, X., Gu, X., Effectiveness of immersive virtual reality using head-mounted displays on learning performance: A meta-analysis (2020) British Journal of Educational Technology, 51 (6), pp. 1991-2005. , https://doi.org/10.1111/bjet.13023; Wu, E.H.K., Lin, C.H., Ou, Y.Y., Liu, C.Z., Wang, W.K., Chao, C.Y., Advantages and constraints of a hybrid model K-12 e-learning assistant chatbot (2020) IEEE Access, 8, pp. 77788-77801. , https://doi.org/10.1109/ACCESS.2020.2988252; Xu, W.W., Su, C.Y., Hu, Y., Chen, C.H., Exploring the effectiveness and moderators of augmented reality on science learning: A meta-analysis (2022) Journal of Science Education and Technology, 31 (5), pp. 621-637. , https://doi.org/10.1007/s10956-022-09982-z; Yin, J., Goh, T.T., Yang, B., Xiaobin, Y., Conversation technology with micro-learning: The impact of chatbot-based learning on students' learning motivation and performance (2021) Journal of Educational Computing Research, 59 (1), pp. 154-177. , https://doi.org/10.1177/0735633120952067; Yu, Z.G., A meta-analysis of the effect of virtual reality technology use in education (2021) Interactive Learning Environments, pp. 1-21. , https://doi.org/10.1080/10494820.2021.1989466; Zhang, J., Oh, Y.J., Lange, P., Yu, Z., Fukuoka, Y., Artificial intelligence chatbot behavior change model for designing artificial intelligence chatbots to promote physical activity and a healthy diet: Viewpoint (2020) Journal of Medical Internet Research, 22 (9). , https://doi.org/10.2196/22845; Zhang, T., Schoene, A.M., Ji, S., Ananiadou, S., Natural language processing applied to mental illness detection: A narrative review (2022) npj Digital Medicine, 5 (1). , https://doi.org/10.1038/s41746-022-00589-7</t>
  </si>
  <si>
    <t>00071013</t>
  </si>
  <si>
    <t>BJETD</t>
  </si>
  <si>
    <t>Br J Educ Technol</t>
  </si>
  <si>
    <t>2-s2.0-85158102295</t>
  </si>
  <si>
    <t>Do ai chatbots improve students learning outcomes? evidence from a meta-analysis</t>
  </si>
  <si>
    <t>Halder B., Anjum T., Bhuiyan M.I.H.</t>
  </si>
  <si>
    <t>58111136200;58111300900;55490623000;</t>
  </si>
  <si>
    <t>An attention-based multi-resolution deep learning model for automatic A-phase detection of cyclic alternating pattern in sleep using single-channel EEG</t>
  </si>
  <si>
    <t>104730</t>
  </si>
  <si>
    <t>10.1016/j.bspc.2023.104730</t>
  </si>
  <si>
    <t>https://www.scopus.com/inward/record.uri?eid=2-s2.0-85148543370&amp;doi=10.1016%2fj.bspc.2023.104730&amp;partnerID=40&amp;md5=53a76616b84433dbe4386e97356d7156</t>
  </si>
  <si>
    <t>Department of Electrical and Electronic Engineering, Bangladesh University of Engineering and Technology, Dhaka, 1205, Bangladesh</t>
  </si>
  <si>
    <t>Halder, B., Department of Electrical and Electronic Engineering, Bangladesh University of Engineering and Technology, Dhaka, 1205, Bangladesh; Anjum, T., Department of Electrical and Electronic Engineering, Bangladesh University of Engineering and Technology, Dhaka, 1205, Bangladesh; Bhuiyan, M.I.H., Department of Electrical and Electronic Engineering, Bangladesh University of Engineering and Technology, Dhaka, 1205, Bangladesh</t>
  </si>
  <si>
    <t>Sleep is a crucial part of human well-being. Many people suffer from various sleep disorders and insufficient sleep. The detection of the cyclic alternating pattern (CAP) of electroencephalogram (EEG) activity during sleep is essential for identifying and monitoring these problems. In this paper, we present a multi-resolution deep neural network model with temporal and channel attention for detecting A-phase and its subtypes. A multi-branch one-dimensional convolutional neural network (1D-CNN) is employed where each branch has different kernel sizes to extract features of different frequency resolutions automatically. An attention-based transformer network exploits the dynamic and temporal relationship between CAP event features extracted from the single-channel EEG data. Our model achieves 90.31% accuracy, 95.30% specificity, and 65.73% F1-Score in A-phase detection and 86.72% accuracy, 89.53% specificity, and 59.59% F1-Score in the detection of its subtypes, superior performance as compared to those of the recent approaches. © 2023 Elsevier Ltd</t>
  </si>
  <si>
    <t>Attention model; Cyclic alternating pattern; Deep learning; Sleep EEG</t>
  </si>
  <si>
    <t>Convolutional neural networks; Deep neural networks; Learning systems; Signal detection; Sleep research; Attention model; Cyclic alternating pattern; Deep learning; F1 scores; Learning models; Phase detection; Single channels; Sleep disorders; Sleep electroencephalogram; Well being; Electroencephalography; article; attention; controlled study; convolutional neural network; deep learning; deep neural network; electroencephalogram; fruit size; human; human experiment; sleep</t>
  </si>
  <si>
    <t>U.S. Department of Health and Human Services, What are sleep deprivation and deficiency? (2017), https://www.nhlbi.nih.gov/health/health-topics/topics/sdd/, (Online; Accessed 04 February 2022); Redline, S., Yenokyan, G., Gottlieb, D.J., Shahar, E., O'Connor, G.T., Resnick, H.E., Diener-West, M., Geraghty, E.M., Obstructive sleep apnea–hypopnea and incident stroke: the sleep heart health study (2010) Am. J. Respir. Crit. Care Med., 182 (2), pp. 269-277; Khan, M.S., Aouad, R., The effects of insomnia and sleep loss on cardiovascular disease (2017) Sleep Med. Clin., 12 (2), pp. 167-177; Moser, D., Anderer, P., Gruber, G., Parapatics, S., Loretz, E., Boeck, M., Kloesch, G., Danker-Hopfe, H., Sleep classification according to AASM and Rechtschaffen &amp; Kales: effects on sleep scoring parameters (2009) Sleep, 32 (2), pp. 139-149; Iber, C., The AASM manual for the scoring of sleep and associated events: Rules (2007) Terminology and Technical Specification, , American Academy of sleep Medicine; Patel, A.K., Reddy, V., Araujo, J.F., Physiology, sleep stages (2022) StatPearls, , StatPearls Publishing Treasure Island (FL); Terzano, M.G., Parrino, L., Sherieri, A., Chervin, R., Chokroverty, S., Guilleminault, C., Hirshkowitz, M., Rosa, A., Atlas, rules, and recording techniques for the scoring of cyclic alternating pattern (CAP) in human sleep (2001) Sleep Med., 2 (6), pp. 537-553; Machado, F., Sales, F., Santos, C., Dourado, A., Teixeira, C., A knowledge discovery methodology from EEG data for cyclic alternating pattern detection (2018) BioMed. Eng. OnLine, 17 (1), pp. 1-23; Halasz, P., Hierarchy of micro-arousals and the microstructure of sleep (1998) Clin. Neurophysiol., 28 (6), pp. 461-475; Gnoni, V., Drakatos, P., Higgins, S., Duncan, I., Wasserman, D., Kabiljo, R., Mutti, C., Leschziner, G.D., Cyclic alternating pattern in obstructive sleep apnea: A preliminary study (2021) J. Sleep Res., 30 (6); Korkmaz, S., Bilecenoglu, N.T., Aksu, M., Yoldas, T.K., Cyclic alternating pattern in obstructive sleep apnea patients with versus without excessive sleepiness (2018) Sleep Disord., 2018; Terzano, M.G., Smerieri, A., Del Felice, A., Giglia, F., Palomba, V., Parrino, L., Cyclic alternating pattern (CAP) alterations in narcolepsy (2006) Sleep Med., 7 (8), pp. 619-626; Chouvarda, I., Mendez, M.O., Rosso, V., Bianchi, A.M., Parrino, L., Grassi, A., Terzano, M.G., Maglaveras, N., Cyclic alternating patterns in normal sleep and insomnia: structure and content differences (2012) IEEE Trans. Neural Syst. Rehabil. Eng., 20 (5), pp. 642-652; Senel, G.B., Ozcelik, E.U., Karadeniz, D., Cyclic Alternating Pattern Analysis in Periodic Leg Movements in Sleep in Patients With Obstructive Sleep Apnea Syndrome Before and After Positive Airway Pressure Treatment (2021) J. Clin. Neurophysiol., 38 (5), pp. 456-465; Kassab, M.Y., Farooq, M.U., Diaz-Arrastia, R., Van Ness, P.C., The clinical significance of EEG cyclic alternating pattern during coma (2007) J. Clin. Neurophysiol., 24 (6), pp. 425-428; Woo, S., Park, J., Lee, J.-Y., Kweon, I.S., CBAM: Convolutional block attention module (2018) Computer Vision – ECCV 2018, pp. 3-19. , Ferrari V. Hebert M. Sminchisescu C. Weiss Y. Springer International Publishing Cham; Vaswani, A., Shazeer, N., Parmar, N., Uszkoreit, J., Jones, L., Gomez, A.N., Kaiser, Ł.U., Polosukhin, I., Attention is all you need (2017) Advances in Neural Information Processing Systems, Vol. 30, , Guyon I. Luxburg U.V. Bengio S. Wallach H. Fergus R. Vishwanathan S. Garnett R. Curran Associates, Inc; Rosa, A., Parrino, L., Terzano, M., Automatic detection of cyclic alternating pattern (CAP) sequences in sleep: preliminary results (1999) Clin. Neurophysiol., 110 (4), pp. 585-592; Machado, F., Sales, F., Bento, C., Dourado, A., Teixeira, C., Automatic identification of Cyclic Alternating Pattern (CAP) sequences based on the Teager Energy Operator (2015) 2015 37th Annual International Conference of the IEEE Engineering in Medicine and Biology Society, EMBC, pp. 5420-5423; Machado, F., Teixeira, C., Santos, C., Bento, C., Sales, F., Dourado, A., A-phases subtype detection using different classification methods (2016) 2016 38th Annual International Conference of the IEEE Engineering in Medicine and Biology Society, EMBC, pp. 1026-1029; Karimzadeh, F., Seraj, E., Boostani, R., Torabi-Nami, M., Presenting efficient features for automatic CAP detection in sleep EEG signals (2015) 2015 38th International Conference on Telecommunications and Signal Processing, TSP, pp. 448-452; Hartmann, S., Baumert, M., Automatic A-phase detection of cyclic alternating patterns in sleep using dynamic temporal information (2019) IEEE Trans. Neural Syst. Rehabil. Eng., 27 (9), pp. 1695-1703; Arce-Santana, E.R., Alba, A., Mendez, M.O., Arce-Guevara, V., A-phase classification using convolutional neural networks (2020) Med. Biol. Eng. Comput., 58 (5), pp. 1003-1014; Dhok, S., Pimpalkhute, V., Chandurkar, A., Bhurane, A.A., Sharma, M., Acharya, U.R., Automated phase classification in cyclic alternating patterns in sleep stages using Wigner–Ville distribution based features (2020) Comput. Biol. Med., 119; Mendonça, F., Mostafa, S.S., Morgado-Dias, F., Ravelo-García, A.G., Cyclic alternating pattern estimation from one EEG monopolar derivation using a long short-term memory (2019) 2019 International Conference in Engineering Applications, ICEA, pp. 1-5; Loh, H., Ooi, C., Dhok, S., Sharma, M., Bhurane, A., Acharya, U.R., Automated detection of cyclic alternating pattern and classification of sleep stages using deep neural network (2022) Appl. Intell., 52; Hartmann, S., Baumert, M., Improved A-phase detection of cyclic alternating pattern using deep learning (2019) 2019 41st Annual International Conference of the IEEE Engineering in Medicine and Biology Society, EMBC, pp. 1842-1845; Mendonça, F., Fred, A., Mostafa, S.S., Morgado-Dias, F., Ravelo-García, A.G., Automatic detection of cyclic alternating pattern (2018) Neural Comput. Appl., pp. 1-11; Mendonça, F., Mostafa, S.S., Morgado-Dias, F., Ravelo-García, A.G., Cyclic alternating pattern estimation based on a probabilistic model over an EEG signal (2020) Biomed. Signal Process. Control, 62; Murarka, S., Wadichar, A., Bhurane, A., Sharma, M., Acharya, U.R., Automated classification of cyclic alternating pattern sleep phases in healthy and sleep-disordered subjects using convolutional neural network (2022) Comput. Biol. Med., 146; Mousavi, S., Afghah, F., Acharya, U.R., SleepEEGNet: Automated sleep stage scoring with sequence to sequence deep learning approach (2019) PLoS One, 14 (5); Supratak, A., Dong, H., Wu, C., Guo, Y., DeepSleepNet: A model for automatic sleep stage scoring based on raw single-channel EEG (2017) IEEE Trans. Neural Syst. Rehabil. Eng., 25 (11), pp. 1998-2008; Eldele, E., Chen, Z., Liu, C., Wu, M., Kwoh, C.-K., Li, X., Guan, C., An attention-based deep learning approach for sleep stage classification with single-channel EEG (2021) IEEE Trans. Neural Syst. Rehabil. Eng., 29, pp. 809-818; Mahmud, T., Khan, I.A., Mahmud, T.I., Fattah, S.A., Zhu, W.-P., Ahmad, M.O., Sleep apnea event detection from sub-frame based feature variation in EEG signal using deep convolutional neural network (2020) 2020 42nd Annual International Conference of the IEEE Engineering in Medicine &amp; Biology Society, EMBC, pp. 5580-5583. , IEEE; Terzano, M.G., Parrino, L., Sherieri, A., Chervin, R., Chokroverty, S., Guilleminault, C., Hirshkowitz, M., Walters, A., CAP Sleep Database (2001), physionet.org; Kiranyaz, S., Avci, O., Abdeljaber, O., Ince, T., Gabbouj, M., Inman, D., 1D Convolutional Neural Networks and Applications: A Survey (2021) Mech. Syst. Signal Process., 151; Arce-Santana, E., Alba, A., Mendez, M., Arce, V., A-phase classification using convolutional neural networks (2020) Med. Biol. Eng. Comput., 58; Türk, Ö., Özerdem, M.S., Epilepsy detection by using scalogram based convolutional neural network from EEG signals (2019) Brain Sci., 9 (5), p. 115; Kiranyaz, S., Ince, T., Hamila, R., Gabbouj, M., Convolutional neural networks for patient-specific ECG classification (2015) 2015 37th Annual International Conference of the IEEE Engineering in Medicine and Biology Society, EMBC, pp. 2608-2611; Huang, W., Cheng, J., Yang, Y., Guo, G., An improved deep convolutional neural network with multi-scale information for bearing fault diagnosis (2019) Neurocomputing, 359, pp. 77-92; Dai, W., Dai, C., Qu, S., Li, J.B., Das, S., Very deep convolutional neural networks for raw waveforms (2017), pp. 421-425. , 2017 IEEE International Conference on Acoustics, Speech and Signal Processing, ICASSP; Eldele, E., Chen, Z., Liu, C., Wu, M., Kwoh, C.-K., Li, X., Guan, C., An attention-based deep learning approach for sleep stage classification with single-channel EEG (2021) IEEE Trans. Neural Syst. Rehabil. Eng., 29, pp. 809-818; LeCun, Y., Bottou, L., Bengio, Y., Haffner, P., Gradient-based learning applied to document recognition (1998) Proc. Inst. Radio Eng., 86 (11), pp. 2278-2323; Ioffe, S., Szegedy, C., Batch normalization: Accelerating deep network training by reducing internal covariate shift (2015) Proceedings of the 32nd International Conference on International Conference on Machine Learning - Volume 37, ICML ’15, pp. 448-456. , JMLR.org; Hendrycks, D., Gimpel, K., Bridging nonlinearities and stochastic regularizers with Gaussian error linear units, CoRR abs/1606.08415 (2016); Hansen, C., Activation functions explained - Gelu, Selu, Elu, relu and more (2020) Machine Learning from Scratch, , https://mlfromscratch.com/activation-functions-explained/#vanishing-gradients-problem, URL; Karim, R., Illustrated: Self-attention (2022) Medium, , https://towardsdatascience.com/illustrated-self-attention-2d627e33b20a, Towards Data Science URL; Sokolova, M., Lapalme, G., A systematic analysis of performance measures for classification tasks (2009) Inf. Process. Manage., 45 (4), pp. 427-437</t>
  </si>
  <si>
    <t>2-s2.0-85148543370</t>
  </si>
  <si>
    <t>An attention-based multi-resolution deep learning model for automatic a-phase detection of cyclic alternating pattern in sleep using single-channel eeg</t>
  </si>
  <si>
    <t>Maria Antoniate Martin V., David K.</t>
  </si>
  <si>
    <t>56910036500;56034908900;</t>
  </si>
  <si>
    <t>Finding the best suited classification function to analyze the association of students debugging skills with trait emotional intelligence</t>
  </si>
  <si>
    <t>International Journal of Applied Engineering Research</t>
  </si>
  <si>
    <t>38863</t>
  </si>
  <si>
    <t>38872</t>
  </si>
  <si>
    <t>https://www.scopus.com/inward/record.uri?eid=2-s2.0-84944564920&amp;partnerID=40&amp;md5=d8d53894b366ea72f7ed072439b2d26e</t>
  </si>
  <si>
    <t>Department of Computer Science, Research and Development Centre, Bharathiar University, Coimbatore, Tamil Nadu  641046, India; Department of Computer Science, Government Arts College, Affiliated to Bharathiar University, Udumalpet, Tirupur, Tamil Nadu  642126, India</t>
  </si>
  <si>
    <t>Maria Antoniate Martin, V., Department of Computer Science, Research and Development Centre, Bharathiar University, Coimbatore, Tamil Nadu  641046, India; David, K., Department of Computer Science, Government Arts College, Affiliated to Bharathiar University, Udumalpet, Tirupur, Tamil Nadu  642126, India</t>
  </si>
  <si>
    <t>Data Mining is the extraction of knowledge, meaningful patterns, trends and relationships from huge information stored in repositories. This paper aims at finding the association between the students debugging skills and their Trait Emotional Intelligence skills (TEI). The study was conducted on students from post graduation. The TEI skills are broadly classified as wellbeing, self-control, emotionality, sociability and global trait EI. Also considering factors like place of stay, gender, academic performance and students debugging skills various classification techniques were applied. The dataset was classified using multilayer perceptron, logistics, radial basis function network and SMO. Various attributes were analyzed with respect to various classifiers and predictive error measures to find the best suited technique. © Research India Publications.</t>
  </si>
  <si>
    <t>Association rule mining; Data mining; Logistics; Multilayer perceptron; RBF network; SMO; TEI</t>
  </si>
  <si>
    <t>Abraham Paul, J., Saravanan, V., Ranjit Jeba Thangaiah, P., Data Mining Analytics to Minimize Logistics Cost (2011) International Journal of Advances in Science and Technology, 2 (3), p. 107; Cooper, A., Petrides, K.V., A Psychometric Analysis of the Trait Emotional Intelligence Questionnaire–Short Form (TEIQue–SF) Using Item Response Theory (2010) Journal of Personality Assessment, 92 (5), pp. 449-457; Arockiam, L., Charles, S., Carol, I., Bastin Thiyagaraj, P., Yosuva, S., Arulkumar, V., Deriving Association between Urban and Rural Students Programming Skills (2010) International Journal of Computer Science and Engineering, 2 (3), pp. 687-690; Bharadwaj, B.K., Pal, S., Data Mining: A prediction for performance improvement using classification (2011) International Journal of Computer Science and Information Security (IJCSIS), 9 (4), pp. 136-140; Chandra, E., Nandhini, K., Knowledge Mining from Student Data (2010) European Journal of Scientific Research, 47 (1), pp. 156-163; Deep, C., Sathiyakumari, E., Pream Sudha, V., Prediction of the Compressive Strength of High Performance Concrete Mix Using Tree Based Modeling (2010) International Journal of Computer Applications (0975 – 8887), 6 (5); Ruby, J., David, K., A study model on the impact of various indicators in the performance of students in higher education (2014) International Journal of Research in Engineering and Technology, 3 (5), pp. 750-755; Han, J., Kamber, M., (2006) Data Mining: Concepts and Techniques, , Morgan Kaufmann Publishers, San Francisco; Kannan, S., Bhaskaran, R., Association Rule Pruning based on Interestingness Measures with Clustering (2009) International Journal of Computer Science Issues, 6 (1); Maria Antoniate Martin, V., Evaluation of Object Oriented Programming Skills of Students with respect to Trait Emotional Intelligence based on Students Performance (2012) International Journal of Computer Applications (0975 – 888), 48 (10); Maria Antoniate Martin, V., Edison, M., Roy, G.G.R., An Association between Trait Emotional Intelligence and Personality Trait based on Students Performance (2012) Ciit International Journal of Software Engineering and Technology, , ISSN: 0974 – 9632; Maria Antoniate Martin, V., Lucia Agnes Beena, T., Prediction of Association among Numerical Aptitude, Programming Skills, Trait Emotional Intelligence on Students Performance (2012) International Journal on Computer Science and Engineering (0975–3397), 4 (9), pp. 1639-1646; Natalie, L.S., Jackson, M.J., Segrest, S.L., The effects of emotional intelligence, age, work experience, and academic performance (2010) Research in Higher Educational Journal; Folorunsho, O., Comparative Study of Different Data Mining Techniques Performance in knowledge Discovery from Medical Database (2013) International Journal of Advanced Research in Computer Science and Software Engineering, 3 (3). , ISSN: 2277 128X; Buchtala, O., Klimek, M., Sick, B., Evolutionary Optimization of Radial Basis Function Classifiers for Data Mining Applications (2005) IEEE Transactions on Systems, Man and Cybernetics – Part B: Cybernetics, 35 (5); Petrides, K.V., Fredericksonb, N., Furnhamb, A., The role of trait emotional intelligence in academic performance and deviant behavior at school (2004) Personality and Individual Differences, 36, pp. 277-293; Petrides, K.V., Sangareau, Y., Furnham, A., Frederickson, N., (2006) Trait Emotional Intelligence and Children‟s Peer Relations at School, pp. 537-547. , Blackwell Publishing Ltd; Romero, R., Ventra, S., Educational data mining: A survey from 1995 to 2005,” (2007) Expert Systems with Applications, 33, pp. 135-146. , Elsevier; Singh, S., Bansal, M., ”Improvement of Intrusion Detection System in Data Mining using Neural Network (2013) International Journal of Advanced Research in Computer Science and Software Engineering, 3 (9); Sánchez-Ruiz, M.J., Hernández-Torrano, D., Pérez-González, J.C., Batey, M., Petrides, K.V., (2011) The Relationship between Trait Emotional Intelligence and Creativity across Subject Domains, , Springer; Dominick, S., Abdul Razak, T., Improving the Cluster Efficiency on Sea Level Rise Dataset using Data Discretization (2014) International Journal of Computer Applications, 102, p. 13; Shawkat Ali, A.B.M., Performance Analysis of Statistical Classifier SMO with other Data Mining Classifiers (2003) Advances in Soft Computing, pp. 205-211. , Springer; Dominick, S., Abdul Razak, T., Analyzing the Student Performance using Classification Techniques to find the better Suited Classifier (2014) International Journal of Computer Applications, 104, p. 4; Maheshwari, S., Jain, P., The Research on Top Down Apriori Algorithm using Association Rule (2014) IJARCSSE, 4 (4); Stella, M., Petrides, K.V., Rieffe, C., Bakker, F., Trait emotional intelligence, psychological well-being and peer-rated social competence in adolescence (2007) British Journal of Developmental Psychology, 25, pp. 263-275; Stella Mavroveli, K.V., Petrides, Chloe Shove, and Amanda Whitehead,”Investigation of the construct of trait emotional intelligence in children (2008) Eur Child Adolesc Psychiatry, 17, pp. 516-526; Wan, Y., Liang, Y., Ding, L., Multilevel Association Rules from Primitive Frequent Itemsets (2009) Journal of Macau University of Science and Technology, 3 (1); Srimani, P.K., Kamath, A.S., Data Mining Techniques for the Performance Analysis of a Learning Model – A Case Study (2012) International Journal of Computer Applications, 53, pp. 36-42; Lee, G.C., Jackie, C.W., Debug It: A debugging practicing system (1999) Computers &amp; Education, 32, pp. 165-179. , Elsevier Science Ltd; Gokon, H., Post, J., Stein, E., Martinis, S., Twele, A., Muck, M., Geiss, C., Matsuoka, M., A Method for Detecting Buildings Destroyed by the 2011 Tohoku Earthquake and Tsunami Using Multitemporal TerraSAR-X Data Geoscience and Remote Sensing Letters, IEEE, 12, pp. 1277-1281; Sisodia, P.S., Tiwari, V., Kumar, A., A comparative analysis of remote sensing image classification techniques Advances in Computting, Communications and Informatics, pp. 1418-1421</t>
  </si>
  <si>
    <t>Research India Publications</t>
  </si>
  <si>
    <t>09734562</t>
  </si>
  <si>
    <t>Int. J. Appl. Eng. Res.</t>
  </si>
  <si>
    <t>2-s2.0-84944564920</t>
  </si>
  <si>
    <t>Kaushik M., Gupta S.H., Balyan V.</t>
  </si>
  <si>
    <t>56047772200;36061044600;35186006100;</t>
  </si>
  <si>
    <t>An approach to detect human body movement using different channel models and machine learning techniques</t>
  </si>
  <si>
    <t>Journal of Ambient Intelligence and Humanized Computing</t>
  </si>
  <si>
    <t>3973</t>
  </si>
  <si>
    <t>3987</t>
  </si>
  <si>
    <t>10.1007/s12652-021-03237-2</t>
  </si>
  <si>
    <t>https://www.scopus.com/inward/record.uri?eid=2-s2.0-85104809004&amp;doi=10.1007%2fs12652-021-03237-2&amp;partnerID=40&amp;md5=ea4181a719c5383164645d4b6f2e93c1</t>
  </si>
  <si>
    <t>Department of Electronics and Communication Engineering, ASET, Amity University Uttar Pradesh, Sector 125, Noida, India; Department of Electrical, Electronics and Computer Engineering, Cape Peninsula University of Technology, Cape Town, South Africa</t>
  </si>
  <si>
    <t>Kaushik, M., Department of Electronics and Communication Engineering, ASET, Amity University Uttar Pradesh, Sector 125, Noida, India; Gupta, S.H., Department of Electronics and Communication Engineering, ASET, Amity University Uttar Pradesh, Sector 125, Noida, India; Balyan, V., Department of Electrical, Electronics and Computer Engineering, Cape Peninsula University of Technology, Cape Town, South Africa</t>
  </si>
  <si>
    <t>Worldwide, 16.7 million people die each year due to cardiovascular disease. These statistics raise demand of devices like sensor-based pacemakers (PM) which are not just doing heart rate augmentation but also capable to transmit information via wireless link to on body sensor and support remote monitoring of such patients. As per the world health organization WHO reports there are more than 3 million functioning PMs and about 600,000 pacemakers are implanted each year in world. On an average, 70–80% of PMs are implanted in aged patients around 65 years or older. In addition to continuous monitoring of cardiovascular parameters, detection of physical movement of such patients may be helpful to assess their well-being. This paper has been formulated with an aim to highlight an approach which may be used to detect the physical movement of the patient using information signal received from implanted PM. The transmitted signal will experience a pathloss offered by wireless human body channel, which will affect the link quality parameters namely Signal to Noise Ratio (SNR) and Bit Error Rate (BER) and received signal strength indicator (RSSI). In the current work mathematical model has been formulated considering in body and on body channel propagation conditions and received power, received energy, pathloss, SNR, BER, bit rate, energy per bit and RSSI have been evaluated using IEEE802.15.6 channel models CM2 and CM3. Data set has been created and human body movement has been detected using Machine Learning (ML) techniques. Prediction accuracy of Multilayer Perceptron (MLP), k-Nearest Neighbours (kNN) and Random Forest have been compared. The analysis performed depicts that human body movement can be detected using different channel models and ML techniques such as MLP, kNN and Random Forest with an accuracy of 65.3%, 72.8% and 93.4% respectively. The critical comparison of the result indicates that the performance of Random Forest is better than MLP and kNN. This approach will be helpful in remote detection of human body movement of patients. © 2021, The Author(s), under exclusive licence to Springer-Verlag GmbH Germany, part of Springer Nature.</t>
  </si>
  <si>
    <t>Bit error rate (BER); Random Forest; Received signal strength indicator (RSSI); Signal to noise ratio (SNR); Wireless Body Area Network (WBAN)</t>
  </si>
  <si>
    <t>Bit error rate; Decision trees; Machine learning; Multilayer neural networks; Nearest neighbor search; Random forests; Remote patient monitoring; Cardio-vascular disease; Cardiovascular parameters; Continuous monitoring; K-nearest neighbours; Machine learning techniques; Multi layer perceptron; Received signal strength indicators; World Health Organization; Signal to noise ratio</t>
  </si>
  <si>
    <t>Abbasi, Q.H., Terahertz channel characterization inside the human skin for nano-scale body-centric networks (2016) IEEE Trans Terahertz Sci Technol, 6 (3), pp. 427-434; Ali, N., Neagu, D., Trundle, P., Evaluation of k-nearest neighbour classifier performance for heterogeneous data sets (2019) SN Appl Sci, 1 (12), p. 1559; Andreu-Perez, J., Leff, D.R., Ip, H.M., Yang, G.Z., From wearable sensors to smart implants—toward pervasive and personalized healthcare (2015) IEEE Trans Biomed Eng, 62 (12), pp. 2750-2762; Archasantisuk, S., Aoyagi, T., The human movement identification using the radio signal strength in WBAN (2015) 2015 9Th International Symposium on Medical Information and Communication Technology (ISMICT), pp. 59-63; Arora, N., Gupta, S.H., Kumar, B., An approach to investigate the best location for the central node placement for energy efficient WBAN (2020) J Ambient Intell Humaniz Comput; Ayodele, T.O., Introduction to machine learning (2010) New advances in machine learning, pp. 1-9. , IntechOpen; Betke, M., Gips, J., Fleming, P., The camera mouse: visual tracking of body features to provide computer access for people with severe disabilities (2002) IEEE Trans Neural Syst Rehabil Eng, 10 (1), pp. 1-10; Bilro, L., Oliveira, J.G., Pinto, J.L., Nogueira, R.N., A reliable low-cost wireless and wearable gait monitoring system based on a plastic optical fibre sensor (2011) Meas Sci Technol, 22 (4), p. 045801; Breiman, L., Random forests (2001) Mach Learn, 45 (1), pp. 5-32; Buke, A., Gaoli, F., Yongcai, W., Lei, S., Zhiqi, Y., Healthcare algorithms by wearable inertial sensors: a survey (2015) China Commu, 12 (4), pp. 1-12; Camurri, A., Mazzarino, B., Volpe, G., Morasso, P., Priano, F., Re, C., Application of multimedia techniques in the physical rehabilitation of Parkinson's patients (2003) J Vis Comput Anim, 14 (5), pp. 269-278; Casale, P., Human activity recognition from accelerometer data using a wearable device (2011) Iberian Conference on Pattern Recognition and Image Analysis, pp. 289-296; Cavallari, R., Martelli, F., Rosini, R., Buratti, C., Verdone, R., A survey on wireless body area networks: technologies and design challenges (2014) IEEE Commun Surv Tutor, 16 (3), pp. 1635-1657; Chen, B.R., Patel, S., Buckley, T., Rednic, R., McClure, D.J., Shih, L., Tarsy, D., Bonato, P., A web-based system for home monitoring of patients with Parkinson's disease using wearable sensors (2010) IEEE Trans Biomed Eng, 58 (3), pp. 831-836; Che, X., Abdelwahed, Y.S., Wang, X., Fang, Y., Wang, L., Pacemaker implantation in patients with major depression, should it be of concern? A case report and literature review (2020) BMC Cardiovasc Disord, 20 (1), pp. 1-5; Cuesta-Vargas, A.I., The use of inertial sensors system for human motion analysis (2010) Phys Ther Rev, 15 (6), pp. 462-473; Gallager, R., References (2008) Principles of digital communication, , Cambridge University Press, Cambridge; Gupta, S.H., Devarajan, N., Performance exploration of on-body WBAN using CM3A-IEEE 802.15. 6 channel model (2020) J Ambient Intell Humaniz Comput.; Gupta, S.H., Sharma, A., Mohta, M., Rajawat, A., Hand movement classification from measured scattering parameters using deep convolutional neural network (2020) Measurement, 151, p. 107258; Jagannath, J., Polosky, N., Jagannath, A., Restuccia, F., Melodia, T., Machine learning for wireless communications in the Internet of Things: a comprehensive survey (2019) Ad Hoc Netw, 93, p. 101913; Kaushik, M., Gupta, S.H., Balyan, V., Power optimization of invivo sensor node operating at terahertz band using PSO (2020) Optik, 202, p. 163530; Kwapisz, J.R., Weiss, G.M., Moore, S.A., Activity recognition using cell phone accelerometers (2011) ACM SIGKDD Explor Newsl, 12 (2), pp. 74-82; Lara, O.D., Labrador, M.A., A survey on human activity recognition using wearable sensors (2012) IEEE Commun Surv Tutor, 15 (3), pp. 1192-1209; Alinia, Impact of sensor misplacement on estimating metabolic equivalent of task with wearables (2015) 2015 IEEE 12Th International Conference on Wearable and Implantable Body Sensor Networks (BSN), pp. 1-6; Liaw, A., Wiener, M., Classification and regression by randomForest (2002) R news, 2 (3), pp. 18-22; Liu, T., Inoue, Y., Shibata, K., Zheng, R., Measurement of human lower limb orientations and ground reaction forces using wearable sensor systems (2007) 2007 IEEE/ASME International Conference on Advanced Intelligent Mechatronics, pp. 1-6; Malasinghe, L.P., Ramzan, N., Dahal, K., Remote patient monitoring: a comprehensive study (2019) J Ambient Intell Humaniz Comput, 10 (1), pp. 57-76; Mandala, S., Di, T.C., ECG parameters for malignant ventricular arrhythmias: a comprehensive review (2017) J Med Biol Eng, 37 (4), pp. 441-453; Martin, C.G., Turkelson, S.L., Nursing care of the patient undergoing coronary artery bypass grafting (2006) J Cardiovasc Nurs, 21 (2), pp. 109-117; Merli, F., Bolomey, L., Gorostidi, F., Barrandon, Y., Meurville, E., Skrivervik, A.K., In vitro and in vivo operation of a wireless body sensor node (2011) International Conference on Wireless Mobile Communication and Healthcare, pp. 103-110; Mishra, R., Determinants of cardiovascular disease and sequential decision-making for treatment among women: a Heckman’s approach (2019) SSM Popul Health, 7, p. 100365; Negra, R., Jemili, I., Zemmari, A., Mosbah, M., Belghith, A., WBAN path loss based approach for human activity recognition with machine learning techniques (2018) 2018 14Th International Wireless Communications and Mobile Computing Conference (IWCMC), pp. 470-475; Patel, S., Park, H., Bonato, P., Chan, L., Rodgers, M., A review of wearable sensors and systems with application in rehabilitation (2012) J Neuroeng Rehabil, 9 (1), p. 21; Peng, Y., Peng, L., A cooperative transmission strategy for body-area networks in healthcare systems (2016) IEEE Access, 4, pp. 9155-9162; Proakis, J.G., Salehi, M., (2014) Digital communications, , 5, McGraw Hill Education; Rappaport, T.S., (1996) Wireless communications: principles and practice, 2. , Prentice Hall, New Jersey; Rose, D.J., Christina, R.W., (1997) A multilevel approach to the study of motor control and learning, , Allyn and Bacon; Seiffert, M., Holstein, F., Schlosser, R., Schiller, J., Next generation cooperative wearables: generalized activity assessment computed fully distributed within a wireless body area network (2017) IEEE Access, 5, pp. 16793-16807; Shi, W.V., Zhou, M., Body sensors applied in pacemakers: a survey (2011) IEEE Sens J, 12 (6), pp. 1817-1827; Simeone, O., A very brief introduction to machine learning with applications to communication systems (2018) IEEE Trans Cogn Commun Netw, 4 (4), pp. 648-664; Snegalatha, D., Anand, J., Seetharaman, B., John, B., Knowledge and attitude regarding permanent pacemaker and the quality of life of patients after permanent pacemaker implantation (2019) Indian J Contin Nurs Educ, 20 (1), p. 33; Soliman, S.S., Exact analysis of dual-hop AF maximum end-to-end SNR relay selection (2012) IEEE Trans Commun, 60 (8), pp. 2135-2145; Solomatine, D.P., Applications of data-driven modelling and machine learning in control of water resources (2003) Computational intelligence in control, pp. 197-217. , IGI Global; Thakur, D., Biswas, S., Smartphone based human activity monitoring and recognition using ML and DL: a comprehensive survey (2020) J Ambient Intell Humaniz Comput, 11, pp. 1-12; Wahid, F., Ghazali, R., Fayaz, M., Shah, A.S., Statistical feature-based approach (sfba) for hourly energy consumption prediction using neural network (2017) Networks, 8, p. 9; Wu, J.M.T., Tsai, M.H., Xiao, S.H., Liaw, Y.P., A deep neural network electrocardiogram analysis framework for left ventricular hypertrophy prediction (2020) J Ambient Intell Humaniz Comput; Zhang, D., Xia, F., Yang, Z., Yao, L., Zhao, W., Localization technologies for indoor human tracking (2010) 2010 5Th International Conference on Future Information Technology, , https://doi.org/10.1109/FUTURETECH.2010.5482731</t>
  </si>
  <si>
    <t>18685137</t>
  </si>
  <si>
    <t>J. Ambient Intell. Humanized Comput.</t>
  </si>
  <si>
    <t>2-s2.0-85104809004</t>
  </si>
  <si>
    <t>Won J., Nielson K.A., Smith J.C.</t>
  </si>
  <si>
    <t>57208601253;7006476880;24367380900;</t>
  </si>
  <si>
    <t>Subjective Well-Being and Bilateral Anterior Insula Functional Connectivity After Exercise Intervention in Older Adults With Mild Cognitive Impairment</t>
  </si>
  <si>
    <t>Frontiers in Neuroscience</t>
  </si>
  <si>
    <t>834816</t>
  </si>
  <si>
    <t>10.3389/fnins.2022.834816</t>
  </si>
  <si>
    <t>https://www.scopus.com/inward/record.uri?eid=2-s2.0-85130736481&amp;doi=10.3389%2ffnins.2022.834816&amp;partnerID=40&amp;md5=a0cef994f6e916678a318398e5f1b120</t>
  </si>
  <si>
    <t>Department of Kinesiology, University of Maryland, College Park, MD, United States; Department of Psychology, Marquette University, Milwaukee, WI, United States; Department of Neurology, Medical College of Wisconsin, Milwaukee, WI, United States; Program in Neuroscience and Cognitive Science, University of Maryland, College Park, MD, United States</t>
  </si>
  <si>
    <t>Won, J., Department of Kinesiology, University of Maryland, College Park, MD, United States; Nielson, K.A., Department of Psychology, Marquette University, Milwaukee, WI, United States, Department of Neurology, Medical College of Wisconsin, Milwaukee, WI, United States; Smith, J.C., Department of Kinesiology, University of Maryland, College Park, MD, United States, Program in Neuroscience and Cognitive Science, University of Maryland, College Park, MD, United States</t>
  </si>
  <si>
    <t>While it is well known that exercise training is associated with improvement in subjective well-being among older adults, it is unclear if individuals with cognitive impairment experience the same effects elicited by exercise on subjective well-being. We further explored whether the bilateral anterior insula network may be an underlying neural mechanism for the exercise training-related improvements in subjective well-being. We investigated the effects of exercise training on subjective well-being in older adults (78.4 ± 7.1 years) with mild cognitive impairment (MCI; n = 14) and a cognitively normal (CN; n = 14) control group. We specifically assessed the relationship between changes in subjective well-being and changes in functional connectivity (FC) with the bilateral anterior insula from before to after exercise training. Cardiorespiratory fitness, subjective well-being, and resting-state fMRI were measured before and after a 12-week moderate-intensity walking intervention. A seed-based correlation analysis was conducted using the bilateral anterior insula as a priori seed regions of interest. The associations between bilateral anterior insula FC with other brain regions and subjective well-being were computed before and after exercise training, respectively, and the statistical difference between the correlations (before vs after exercise training) was evaluated. There was a significant Group (MCI vs CN) × Time (before vs after exercise training) interaction for subjective well-being, such that while those with MCI demonstrated significantly increased subjective well-being after exercise training, no changes in subjective well-being were observed in CN. Participants with MCI also showed an exercise training-related increase in the bilateral anterior insula FC. While there was no significant correlation between subjective well-being and bilateral anterior insula FC before exercise training, a positive association between subjective well-being and bilateral anterior insula FC was found in the MCI group after exercise training. Our findings indicate that 12 weeks of exercise training may enhance subjective well-being in older adults diagnosed with MCI and, further, suggest that increased bilateral anterior insula FC with other cortical regions may reflect neural network plasticity associated with exercise training-related improvements in subjective well-being. Copyright © 2022 Won, Nielson and Smith.</t>
  </si>
  <si>
    <t>anterior insula (AI); exercise; functional connectivity (FC); MCI (mild cognitive impairment); subjective well-being</t>
  </si>
  <si>
    <t>aged; anterior insula; Article; brain region; cardiorespiratory fitness; clinical article; controlled study; correlational study; emotional well-being; exercise; female; functional connectivity; functional magnetic resonance imaging; human; male; mental health; mild cognitive impairment; psychological well-being</t>
  </si>
  <si>
    <t>Albert, M.S., DeKosky, S.T., Dickson, D., Dubois, B., Feldman, H.H., Fox, N.C., The diagnosis of mild cognitive impairment due to Alzheimer’s disease: recommendations from the national institute on Aging-Alzheimer’s association workgroups on diagnostic guidelines for Alzheimer’s disease (2011) Alzheimer’s Dement, 7, pp. 270-279. , 21514249; Albert, S.M., Michaels, K., Padilla, M., Pelton, G., Bell, K., Marder, K., Functional significance of mild cognitive impairment in elderly patients without a dementia diagnosis (1999) Am. J. Geriatr. Psychiatry, 7, pp. 213-220. , 10438692; Alfini, A.J., Weiss, L.R., Nielson, K.A., Verber, M.D., Smith, J.C., Resting cerebral blood flow after exercise training in mild cognitive impairment (2019) J. Alzheimer’s Dis, 67, pp. 671-684. , 30636734; Apostolova, L.G., Cummings, J.L., Neuropsychiatric manifestations in mild cognitive impairment: a systematic review of the literature (2008) Dement. Geriatr. Cogn. Disord, 25, pp. 115-126. , 18087152; Barulli, D., Stern, Y., Efficiency, capacity, compensation, maintenance, plasticity: emerging concepts in cognitive reserve (2013) Trends Cogn. Sci, 17, pp. 502-509. , 24018144; Beall, E.B., Lowe, M.J., SimPACE: generating simulated motion corrupted BOLD data with synthetic-navigated acquisition for the development and evaluation of SLOMOCO: a new, highly effective slicewise motion correction (2014) Neuroimage, 101, pp. 21-34. , 24969568; Bettio, L., Thacker, J.S., Hutton, C., Christie, B.R., Modulation of synaptic plasticity by exercise (2019) Int. Rev. Neurobiol, 147, pp. 295-322; Bilotta, C., Bowling, A., Nicolini, P., Casè, A., Pina, G., Rossi, S.V., Older People’s Quality of Life (OPQOL) scores and adverse health outcomes at a one-year follow-up. a prospective cohort study on older outpatients living in the community in Italy (2011) Health Qual. Life Outcomes, 9, pp. 1-10. , 21892954; Borg, G., (1998) Borg’s Perceived Exertion and Pain Scales, , Champaign, IL, Human kinetics; Brawley, L.R., Rejeski, W.J., Lutes, L., A group-mediated cognitive-behavioral intervention for increasing adherence to physical activity in older adults 1 (2000) J. Appl. Biobehav. Res, 5, pp. 47-65. , 24850615; Broadhouse, K.M., Mowszowski, L., Duffy, S., Leung, I., Cross, N., Valenzuela, M.J., Memory performance correlates of hippocampal subfield volume in mild cognitive impairment subtype (2019) Front. Behav. Neurosci, 13, p. 259; Bruscoli, M., Lovestone, S., Is MCI really just early dementia? a systematic review of conversion studies (2004) Int. Psychogeriatr, 16, p. 129. , 15318760; Buckner, R.L., Andrews-Hanna, J.R., Schacter, D.L., The brain’s default network: anatomy, function, and relevance to disease (2008) Ann. N. Y. Acad. Sci, 1124, pp. 1-38. , 18400922; Callow, D.D., Won, J., Pena, G.S., Jordan, L.S., Arnold-Nedimala, N.A., Kommula, Y., Exercise training related changes in cortical gray matter diffusivity and cognitive function in mild cognitive impairment and healthy older adults (2021) Front. Aging Neurosci, 13, p. 645258; Camacho, T.C., Roberts, R.E., Lazarus, N.B., Kaplan, G.A., Cohen, R.D., Physical activity and depression: evidence from the alameda county study (1991) Am. J. Epidemiol, 134, pp. 220-231. , 1862805; Chirles, T.J., Reiter, K., Weiss, L.R., Alfini, A.J., Nielson, K.A., Smith, J.C., Exercise training and functional connectivity changes in mild cognitive impairment and healthy elders (2017) J. Alzheimer’s Dis, 57, pp. 845-856. , 28304298; Cosentino, S., Jefferson, A., Chute, D.L., Kaplan, E., Libon, D.J., Clock drawing errors in dementia: neuropsychological and neuroanatomical considerations (2004) Cogn. Behav. Neurol, 17, pp. 74-84. , 15453515; Cox, R.W., AFNI: software for analysis and visualization of functional magnetic resonance neuroimages (1996) Comp. Biomed. Res, 29, pp. 162-173; Craig, A.D., How do you feel? interoception: the sense of the physiological condition of the body (2002) Nat. Rev. Neurosci, 3, pp. 655-666; Damoiseaux, J.S., Rombouts, S., Barkhof, F., Scheltens, P., Stam, C.J., Smith, S.M., Consistent resting-state networks across healthy subjects (2006) Proc. Natl. Acad. Sci. U S A, 103, pp. 13848-13853. , 16945915; Dannhauser, T.M., Walker, Z., Stevens, T., Lee, L., Seal, M., Shergill, S.S., The functional anatomy of divided attention in amnestic mild cognitive impairment (2005) Brain, 128, pp. 1418-1427. , 15705612; De Moor, M.H., Boomsma, D.I., Stubbe, J.H., Willemsen, G., de Geus, E.J., Testing causality in the association between regular exercise and symptoms of anxiety and depression (2008) Arch. Gen. Psychiatry, 65, pp. 897-905. , 18678794; Delle Fave, A., Bassi, M., Boccaletti, E.S., Roncaglione, C., Bernardelli, G., Mari, D., Promoting well-being in old age: the psychological benefits of two training programs of adapted physical activity (2018) Front. Psychol, 9, p. 828; Depp, C.A., Jeste, D.V., Definitions and predictors of successful aging: a comprehensive review of larger quantitative studies (2006) Am. J. Geriatr. Psychiatry, 14, pp. 6-20. , 16407577; Destrieux, C., Fischl, B., Dale, A., Halgren, E., Automatic parcellation of human cortical gyri and sulci using standard anatomical nomenclature (2010) Neuroimage, 53, pp. 1-15. , 20547229; Diedenhofen, B., Musch, J., cocor: a comprehensive solution for the statistical comparison of correlations (2015) PLoS One, 10, p. e0121945; Diener, E., Subjective well-being: the science of happiness and a proposal for a national index (2000) Am. Psychol, 55, p. 34. , 11392863; Ding, X., Charnigo, R.J., Schmitt, F.A., Kryscio, R.J., Abner, E.L., Initiative, A.D.N., Evaluating trajectories of episodic memory in normal cognition and mild cognitive impairment: results from ADNI (2019) PLoS One, 14, p. e0212435; Dos Santos, S.B., Rocha, G.P., Fernandez, L.L., de Padua, A.C., Reppold, C.T., Association of lower spiritual well-being, social support, self-esteem, subjective well-being, optimism and hope scores with mild cognitive impairment and mild dementia (2018) Front. Psychol, 9, p. 371; Fischl, B., FreeSurfer (2012) Neuroimage, 62, pp. 774-781; Fisher, R.A., Frequency distribution of the values of the correlation coefficient in samples from an indefinitely large population (1915) Biometrika, 10, pp. 507-521; Fox, M.D., Snyder, A.Z., Vincent, J.L., Corbetta, M., Van Essen, D.C., Raichle, M.E., The human brain is intrinsically organized into dynamic, anticorrelated functional networks (2005) Proc. Natl. Acad. Sci. U S A, 102, pp. 9673-9678; Gates, N., Valenzuela, M., Sachdev, P.S., Singh, M.A.F., Psychological well-being in individuals with mild cognitive impairment (2014) Clin. Intervent. Aging, 9, p. 779. , 24855347; Gries, K.J., Raue, U., Perkins, R.K., Lavin, K.M., Overstreet, B.S., D’Acquisto, L.J., Cardiovascular and skeletal muscle health with lifelong exercise (2018) J. Appl. Physiol, 125, pp. 1636-1645. , 30161005; Jo, H.J., Gotts, S.J., Reynolds, R.C., Bandettini, P.A., Martin, A., Cox, R.W., Effective preprocessing procedures virtually eliminate distance-dependent motion artifacts in resting state FMRI (2013) J. Appl. Mathemat, 2013. , 10.1155/2013/935154, 24415902; Jurica, P.J., Leitten, C.L., Mattis, S., (2001) Dementia Rating Scale-2: DRS-2: Professional Manual, , Lutz, FL, Psychological Assessment Resources; Kayes, M.K., andHatfield, B.D., The influence of physical activity on brain aging and cognition: the role of cognitive reserve, thresholds for decline, genetic influence, and the investment hypothesis (2019) Lifestyle Medicine, pp. 1251-1269. , Rie J.M., (ed), 3rd Edn., Boca Raton, FL, CRC Press; Kimmerly, D.S., O’Leary, D.D., Menon, R.S., Gati, J.S., Shoemaker, J.K., Cortical regions associated with autonomic cardiovascular regulation during lower body negative pressure in humans (2005) J. Physiol, 569, pp. 331-345. , 16150800; Kong, F., Ding, K., Yang, Z., Dang, X., Hu, S., Song, Y., Examining gray matter structures associated with individual differences in global life satisfaction in a large sample of young adults (2015) Soc. Cogn. Affect. Neurosci, 10, pp. 952-960. , 25406366; Kong, F., Xue, S., Wang, X., Amplitude of low frequency fluctuations during resting state predicts social well-being (2016) Biol. Psychol, 118, pp. 161-168. , 27263835; Langa, K.M., Levine, D.A., The diagnosis and management of mild cognitive impairment: a clinical review (2014) JAMA, 312, pp. 2551-2561. , 25514304; Lawton, M.P., Brody, E.M., Assessment of older people: self-maintaining and instrumental activities of daily living (1969) Gerontologist, 9, pp. 179-186. , 5349366; Lewis, G.J., Kanai, R., Rees, G., Bates, T.C., Neural correlates of the ‘good life’: eudaimonic well-being is associated with insular cortex volume (2014) Soc. Cogn. Affect. Neurosci, 9, pp. 615-618. , 23512932; Li, R., Zhu, X., Zheng, Z., Wang, P., Li, J., Subjective well-being is associated with the functional connectivity network of the dorsal anterior insula (2020) Neuropsychologia, 141, p. 107393. , 32057936; Maquet, D., Lekeu, F., Warzee, E., Gillain, S., Wojtasik, V., Salmon, E., Gait analysis in elderly adult patients with mild cognitive impairment and patients with mild Alzheimer’s disease: simple versus dual task: a preliminary report (2010) Clin. Physiol. Funct. Imaging, 30, pp. 51-56. , 19799614; McMurdo, M.E., Burnett, L., Randomised controlled trial of exercise in the elderly (1992) Gerontology, 38, pp. 292-298. , 1427129; Menon, V., Large-scale brain networks in cognition: emerging principles (2010) Anal. Funct. Large-Scale Brain Networks, 14, pp. 43-54; Menon, V., Uddin, L.Q., Saliency, switching, attention and control: a network model of insula function (2010) Brain Struct. Funct, 214, pp. 655-667. , 20512370; Mihalko, S.L., McAuley, E., Strength training effects on subjective well-being and physical function in the elderly (1996) J. Aging Phys. Act, 4, pp. 56-68; Muangpaisan, W., Assantachai, P., Intalapaporn, S., Pisansalakij, D., Quality of life of the community-based patients with mild cognitive impairment (2008) Geriatrics Gerontol. Int, 8, pp. 80-85. , 18713159; Murrell, C.J., Cotter, J.D., Thomas, K.N., Lucas, S.J., Williams, M.J., Ainslie, P.N., Cerebral blood flow and cerebrovascular reactivity at rest and during sub-maximal exercise: effect of age and 12-week exercise training (2013) Age, 35, pp. 905-920. , 22669592; Netz, Y., Wu, M.-J., Becker, B.J., Tenenbaum, G., Physical activity and psychological well-being in advanced age: a meta-analysis of intervention studies (2005) Psychol. Aging, 20, p. 272. , 16029091; Ogawa, T., Irikawa, N., Yanagisawa, D., Shiino, A., Tooyama, I., Shimizu, T., Taste detection and recognition thresholds in Japanese patients with Alzheimer-type dementia (2017) Auris Nasus Larynx, 44, pp. 168-173. , 27427537; Oldfield, R.C., The assessment and analysis of handedness: the Edinburgh inventory (1971) Neuropsychologia, 9, pp. 97-113. , 5146491; Pavot, W., Diener, E., The satisfaction with life scale and the emerging construct of life satisfaction (2008) J. Positive Psychol, 3, pp. 137-152; Pavot, W., Diener, E., Review of the satisfaction with life scale (2009) Assessing Well-being, pp. 101-117. , Diener E., (ed), Berlin, Springer; Pavot, W., Diener, E.D., Colvin, C.R., Sandvik, E., Further validation of the satisfaction with life scale: evidence for the cross-method convergence of well-being measures (1991) J. Pers. Assess, 57, pp. 149-161. , 1920028; Petersen, R.C., Mild cognitive impairment: transition between aging and Alzheimer’s disease (2000) Neurologia (Barcelona, Spain), 15, pp. 93-101. , 10846869; Porto, F.H.G., Coutinho, A.M., de Souza Duran, F.L., de Sá Pinto, A.L., Gualano, B., Buchpiguel, C.A., Aerobic training modulates salience network and default mode network metabolism in subjects with mild cognitive impairment (2018) NeuroImage: Clin, 19, pp. 616-624. , 29984169; Rao, S.M., Bonner-Jackson, A., Nielson, K.A., Seidenberg, M., Smith, J.C., Woodard, J.L., Genetic risk for Alzheimer’s disease alters the five-year trajectory of semantic memory activation in cognitively intact elders (2015) Neuroimage, 111, pp. 136-146. , 25687593; Reed, J., Buck, S., The effect of regular aerobic exercise on positive-activated affect: a meta-analysis (2009) Psychol. Sport Exercise, 10, pp. 581-594; Reuter-Lorenz, P.A., Park, D.C., How does it STAC up? revisiting the scaffolding theory of aging and cognition (2014) Neuropsychol. Rev, 24, pp. 355-370. , 25143069; Rey, A., (1958) L’examen Clinique en Psychologie, , Paris, Presses Universitaries De France; Rippe, J.M., (2019) Lifestyle Medicine, , Boca Raton, FL, CRC Press; Rosenberg, P.B., Mielke, M.M., Appleby, B.S., Oh, E.S., Geda, Y.E., Lyketsos, C.G., The association of neuropsychiatric symptoms in MCI with incident dementia and Alzheimer disease (2013) Am. J. Geriatr. Psychiatry, 21, pp. 685-695. , 23567400; Ruff, R.M., Light, R.H., Parker, S.B., Levin, H.S., Benton controlled oral word association test: reliability and updated norms (1996) Arch. Clin. Neuropsychol, 11, pp. 329-338. , 14588937; Rutledge, R.B., Skandali, N., Dayan, P., Dolan, R.J., A computational and neural model of momentary subjective well-being (2014) Proc. Natl. Acad. Sci. U S A, 111, pp. 12252-12257; Sato, W., Kochiyama, T., Uono, S., Kubota, Y., Sawada, R., Yoshimura, S., The structural neural substrate of subjective happiness (2015) Sci. Rep, 5, p. 16891. , 26586449; Saunders, N.L., Summers, M.J., Attention and working memory deficits in mild cognitive impairment (2010) J. Clin. Exp. Neuropsychol, 32, pp. 350-357; Seeley, W.W., Menon, V., Schatzberg, A.F., Keller, J., Glover, G.H., Kenna, H., Dissociable intrinsic connectivity networks for salience processing and executive control (2007) J. Neurosci, 27, pp. 2349-2356. , 17329432; Singer, T., Critchley, H.D., Preuschoff, K., A common role of insula in feelings, empathy and uncertainty (2009) Trends Cogn. Sci, 13, pp. 334-340. , 19643659; Smith, J.C., Nielson, K.A., Antuono, P., Lyons, J.-A., Hanson, R.J., Butts, A.M., Semantic memory functional MRI and cognitive function after exercise intervention in mild cognitive impairment (2013) J. Alzheimer’s Dis, 37, pp. 197-215. , 23803298; Sridharan, D., Levitin, D.J., Menon, V., A critical role for the right fronto-insular cortex in switching between central-executive and default-mode networks (2008) Proc. Natl. Acad. Sci. U S A, 105, pp. 12569-12574. , 18723676; St. John, P.D., Montgomery, P.R., Cognitive impairment and life satisfaction in older adults (2010) Int. J. Geriatr. Psychiatry, 25, pp. 814-821. , 20623664; Steib, K., Schäffner, I., Jagasia, R., Ebert, B., Lie, D.C., Mitochondria modify exercise-induced development of stem cell-derived neurons in the adult brain (2014) J. Neurosci, 34, pp. 6624-6633. , 24806687; Suardi, A., Sotgiu, I., Costa, T., Cauda, F., Rusconi, M., The neural correlates of happiness: a review of PET and fMRI studies using autobiographical recall methods (2016) Cogn. Affect. Behav. Neurosci, 16, pp. 383-392. , 26912269; Tombaugh, T.N., Kozak, J., Rees, L., Normative data stratified by age and education for two measures of verbal fluency: FAS and animal naming (1999) Arch. Clin. Neuropsychol, 14, pp. 167-177. , 14590600; Türe, U., Yaşargil, M.G., Al-Mefty, O., Yaşargil, D.C., Arteries of the insula (2000) J. Neurosurg, 92, pp. 676-687. , 10761659; Uddin, L.Q., Salience processing and insular cortical function and dysfunction (2015) Nat. Rev. Neurosci, 16, pp. 55-61. , 25406711; Voss, M.W., Erickson, K.I., Prakash, R.S., Chaddock, L., Malkowski, E., Alves, H., Functional connectivity: a source of variance in the association between cardiorespiratory fitness and cognition? (2010) Neuropsychologia, 48, pp. 1394-1406. , 20079755; Voss, M.W., Sutterer, M., Weng, T.B., Burzynska, A.Z., Fanning, J., Salerno, E., Nutritional supplementation boosts aerobic exercise effects on functional brain systems (2019) J. Appl. Physiol, 126, pp. 77-87. , 30382806; Voss, M.W., Weng, T.B., Burzynska, A.Z., Wong, C.N., Cooke, G.E., Clark, R., Fitness, but not physical activity, is related to functional integrity of brain networks associated with aging (2016) Neuroimage, 131, pp. 113-125. , 26493108; Wechsler, D., (1997) Wechsler Memory Scale—III San Antonio, , Uttar Pradesh, Psychological Coorporation; Wiese, C.W., Kuykendall, L., Tay, L., Get active? a meta-analysis of leisure-time physical activity and subjective well-being (2018) J. Positive Psychol, 13, pp. 57-66; Won, J., Alfini, A.J., Weiss, L.R., Hagberg, J.M., Smith, J.C., Greater semantic memory activation after exercise training cessation in older endurance-trained athletes (2020) J. Aging Phys. Act, 1, pp. 1-9. , 33049700; Won, J., Alfini, A.J., Weiss, L.R., Michelson, C.S., Callow, D.D., Ranadive, S.M., Semantic memory activation after acute exercise in healthy older adults (2019) J. Int. Neuropsychol. Soc, 25, pp. 557-568. , 31018875; Won, J., Callow, D.D., Pena, G.S., Jordan, L.S., Arnold-Nedimala, N.A., Nielson, K.A., Hippocampal functional connectivity and memory performance after exercise intervention in older adults with mild cognitive impairment (2021) J. Alzheimer’s Dis, 82, pp. 1015-1031. , a, 34151792; Won, J., Callow, D.D., Pena, G.S., Gogniat, M.A., Kommula, Y., Arnold-Nedimala, N.A., Evidence for exercise-related plasticity in functional and structural neural network connectivity (2021) Neurosci. Biobehav. Rev, 131, pp. 923-940. , b, 34655658; Won, J., Faroqi-Shah, Y., Callow, D.D., Williams, A., Awoyemi, A., Nielson, K.A., Association between greater cerebellar network connectivity and improved phonemic fluency performance after exercise training in older adults (2021) Cerebellum, 20, pp. 542-555. , c, 33507462; Yesavage, J.A., Geriatric depression scale (1988) Psychopharmacol. Bull, 24, pp. 709-711; Zhang, Z., Chen, W., A systematic review of the relationship between physical activity and happiness (2019) J. Happiness Stud, 20, pp. 1305-1322</t>
  </si>
  <si>
    <t>16624548</t>
  </si>
  <si>
    <t>Front. Neurosci.</t>
  </si>
  <si>
    <t>2-s2.0-85130736481</t>
  </si>
  <si>
    <t>Subjective well-being and bilateral anterior insula functional connectivity after exercise intervention in older adults with mild cognitive impairment</t>
  </si>
  <si>
    <t>Khan A.A., Akbar M.A., Fahmideh M., Liang P., Waseem M., Ahmad A., Niazi M., Abrahamsson P.</t>
  </si>
  <si>
    <t>26434399300;57200183503;43061009500;57754964300;57189504629;36760479100;14045585000;57982392800;</t>
  </si>
  <si>
    <t>AI Ethics: An Empirical Study on the Views of Practitioners and Lawmakers</t>
  </si>
  <si>
    <t>IEEE Transactions on Computational Social Systems</t>
  </si>
  <si>
    <t>10.1109/TCSS.2023.3251729</t>
  </si>
  <si>
    <t>https://www.scopus.com/inward/record.uri?eid=2-s2.0-85149866419&amp;doi=10.1109%2fTCSS.2023.3251729&amp;partnerID=40&amp;md5=38cf09134048ffea3ffc4c07e337cf4c</t>
  </si>
  <si>
    <t>M3S. Empirical Software Engineering Research Unit, University of Oulu, Oulu, Finland; Software Engineering Department, Lappeenranta-Lahti University of Technology, Lappeenranta, Finland; School of Business, University of Southern Queensland, Toowoomba, QLD, Australia; School of Computer Science, Wuhan University, Wuhan, China; Faculty of Information Technology, University of Jyv&amp;#x00E4;skyl&amp;#x00E4;, Jyv&amp;#x00E4;skyl&amp;#x00E4;, Finland; School of Computing and Communications, Lancaster University Leipzig, Leipzig, Germany; Department of Information and Computer Science, King Fahd University of Petroleum and Minerals, Dhahran, Saudi Arabia; Faculty of Information Technology and Communication Sciences, Tampere University, Tampere, Finland</t>
  </si>
  <si>
    <t>Khan, A.A., M3S. Empirical Software Engineering Research Unit, University of Oulu, Oulu, Finland; Akbar, M.A., Software Engineering Department, Lappeenranta-Lahti University of Technology, Lappeenranta, Finland; Fahmideh, M., School of Business, University of Southern Queensland, Toowoomba, QLD, Australia; Liang, P., School of Computer Science, Wuhan University, Wuhan, China; Waseem, M., Faculty of Information Technology, University of Jyv&amp;#x00E4;skyl&amp;#x00E4;, Jyv&amp;#x00E4;skyl&amp;#x00E4;, Finland; Ahmad, A., School of Computing and Communications, Lancaster University Leipzig, Leipzig, Germany; Niazi, M., Department of Information and Computer Science, King Fahd University of Petroleum and Minerals, Dhahran, Saudi Arabia; Abrahamsson, P., Faculty of Information Technology and Communication Sciences, Tampere University, Tampere, Finland</t>
  </si>
  <si>
    <t>Artificial intelligence (AI) solutions and technologies are being increasingly adopted in smart systems contexts; however, such technologies are concerned with ethical uncertainties. Various guidelines, principles, and regulatory frameworks are designed to ensure that AI technologies adhere to ethical well-being. However, the implications of AI ethics principles and guidelines are still being debated. To further explore the significance of AI ethics principles and relevant challenges, we conducted a survey of 99 randomly selected representative AI practitioners and lawmakers (e.g., AI engineers and lawyers) from 20 countries across five continents. To the best of our knowledge, this is the first empirical study that unveils the perceptions of two different types of population (AI practitioners and lawmakers) and the study findings confirm that transparency, accountability, and privacy are the most critical AI ethics principles. On the other hand, lack of ethical knowledge, no legal frameworks, and lacking monitoring bodies are found to be the most common AI ethics challenges. The impact analysis of the challenges across principles reveals that conflict in practice is a highly severe challenge. Moreover, the perceptions of practitioners and lawmakers are statistically correlated with significant differences for particular principles (e.g. fairness and freedom) and challenges (e.g. lacking monitoring bodies and machine distortion). Our findings stimulate further research, particularly empowering existing capability maturity models to support ethics-aware AI systems&amp;#x2019; development and quality assessment. Author</t>
  </si>
  <si>
    <t>Accountable artificial intelligence; AI ethics; AI ethics principles; Artificial intelligence (AI); challenges; machine ethics</t>
  </si>
  <si>
    <t>Ethical technology; Accountable artificial intelligence; Artificial intelligence; Artificial intelligence ethic; Artificial intelligence ethic principle; Challenge; Empirical studies; Machine ethic; Regulatory frameworks; Smart System; Uncertainty; Artificial intelligence</t>
  </si>
  <si>
    <t>2329924X</t>
  </si>
  <si>
    <t>IEEE Trans. Computat. Soc. Syst.</t>
  </si>
  <si>
    <t>2-s2.0-85149866419</t>
  </si>
  <si>
    <t>Ai ethics: an empirical study on the views of practitioners and lawmakers</t>
  </si>
  <si>
    <t>Olsson M., Currow D.C., Ekström M.P.</t>
  </si>
  <si>
    <t>57226403206;26643618900;35324433300;</t>
  </si>
  <si>
    <t>Exploring the most important factors related to self-perceived health among older men in Sweden: A cross-sectional study using machine learning</t>
  </si>
  <si>
    <t>BMJ Open</t>
  </si>
  <si>
    <t>e061242</t>
  </si>
  <si>
    <t>10.1136/bmjopen-2022-061242</t>
  </si>
  <si>
    <t>https://www.scopus.com/inward/record.uri?eid=2-s2.0-85132257579&amp;doi=10.1136%2fbmjopen-2022-061242&amp;partnerID=40&amp;md5=a5b87dbcfbd4a4de4097c576712f8ee1</t>
  </si>
  <si>
    <t>Department of Clinical Sciences Lund, Respiratory Medicine and Allergology, Lunds University Faculty of Medicine, Lund, Sweden; Faculty of Science, Medicine and Health, University of Wollongong, Wollongong, NSW, Australia</t>
  </si>
  <si>
    <t>Olsson, M., Department of Clinical Sciences Lund, Respiratory Medicine and Allergology, Lunds University Faculty of Medicine, Lund, Sweden; Currow, D.C., Faculty of Science, Medicine and Health, University of Wollongong, Wollongong, NSW, Australia; Ekström, M.P., Department of Clinical Sciences Lund, Respiratory Medicine and Allergology, Lunds University Faculty of Medicine, Lund, Sweden</t>
  </si>
  <si>
    <t>Objective To evaluate which factors are the most strongly related to self-perceived health among older men and describe the shape of the association between the related factors and self-perceived health using machine learning. Design and setting This is a cross-sectional study within the population-based VAScular and Chronic Obstructive Lung disease study (VASCOL) conducted in southern Sweden in 2019. Participants A total of 475 older men aged 73 years from the VASCOL dataset. Measures Self-perceived health was measured using the first item of the Short Form 12. An extreme gradient-boosting model was trained to classify self-perceived health as better (rated: excellent or very good) or worse (rated: fair or poor) using self-reported data on 19 prevalent physician-diagnosed health conditions, intensity of 9 symptoms and 9 demographic and lifestyle factors. Importance of factors was measured in SHapley Additive exPlanations absolute mean and higher scores correspond to greater importance. Results The most important factors for classifying self-perceived health were: pain (0.629), sleep quality (0.595), breathlessness (0.549), fatigue (0.542) and depression (0.526). Health conditions ranked well below symptoms and lifestyle variables. Low levels of symptoms, good sleep quality, regular exercise, alcohol consumption and a body mass index between 22 and 28 were associated with better self-perceived health. Conclusions Symptoms are more strongly related to self-perceived health than health conditions, which suggests that the impacts of health conditions are mediated through symptoms, which could be important targets to improve self-perceived health. Machine learning offers a new way to assess composite constructs such as well-being or quality of life. © 2022 BMJ Publishing Group. All rights reserved.</t>
  </si>
  <si>
    <t>geriatric medicine; health informatics; public health</t>
  </si>
  <si>
    <t>aged; alcohol consumption; anxiety; appetite; Article; attitude to health; body mass; cross-sectional study; depression; drowsiness; dyspnea; exercise; fatigue; human; lifestyle; major clinical study; male; nausea; pain; physician; quality of life; Short Form 12; sleep quality; supervised machine learning; Sweden; symptom; wellbeing; epidemiology; health status; machine learning; quality of life; Aged; Cross-Sectional Studies; Depression; Health Status; Humans; Machine Learning; Male; Quality of Life; Sweden</t>
  </si>
  <si>
    <t>World Health Organization. Basic documents. 48th edn. World Health Organization, 2014; Brazier, J.E., Harper, R., Jones, N.M., Validating the SF-36 health survey questionnaire: New outcome measure for primary care (1992) BMJ, 305, pp. 160-164; Burström, K., Sun, S., Gerdtham, U.-G., Swedish experience-based value sets for EQ-5D health states (2014) Qual Life Res, 23, pp. 431-442; Jylhä, M., What is self-rated health and why does it predict mortality? towards a unified conceptual model' (2009) Soc Sci Med, 69, pp. 307-316; Ryou, I., Cho, Y., Yoon, H.-J., Gender differences in the effect of self-rated health (SRH) on all-cause mortality and specific causes of mortality among individuals aged 50 years and older (2019) PLoS One, 14; Franks, P., Gold, M.R., Fiscella, K., Sociodemographics, self-rated health, and mortality in the US (2003) Soc Sci Med, 56, pp. 2505-2514; Benjamins, M.R., Hummer, R.A., Eberstein, I.W., Self-reported health and adult mortality risk: An analysis of cause-specific mortality (2004) Soc Sci Med, 59, pp. 1297-1306; World Health Organization. World report on ageing and health. World Health Organization, 2015; Barnett, K., Mercer, S.W., Norbury, M., Epidemiology of multimorbidity and implications for health care, research, and medical education: A cross-sectional study (2012) Lancet, 380, pp. 37-43; Lisko, I., Törmäkangas, T., Jylhä, M., Structure of self-rated health among the oldest old: analyses in the total population and those living with dementia (2020) SSM Popul Health, 11, p. 100567; Zhao, J., Chhetri, J.K., Ji, S., Poor self-perceived health is associated with frailty and prefrailty in urban living older adults: A cross-sectional analysis (2020) Geriatr Nurs, 41, pp. 754-760; MacHon, M., Vergara, I., Dorronsoro, M., Self-perceived health in functionally independent older people: associated factors (2016) BMC Geriatr, 16, p. 66; Fernandez-Martinez, B., Prieto-Flores, M.-E., Forjaz, M.J., Self-perceived health status in older adults: Regional and sociodemographic inequalities in Spain (2012) Rev Saude Publica, 46, pp. 310-319; Clark, C.R., Ommerborn, M.J., Moran, K., Predicting self-rated health across the life course: Health equity insights from machine learning models (2021) J Gen Intern Med, 36, pp. 1181-1188; Maniscalco, L., Miceli, S., Bono, F., Self-Perceived health, objective health, and quality of life among people aged 50 and over: Interrelationship among health indicators in Italy, Spain, and Greece (2020) Int J Environ Res Public Health, 17. , [Epub ahead of print: 02 04 2020]; Lazarevic, P., Brandt, M., Diverging ideas of health? comparing the basis of health ratings across gender, age, and country (2020) Soc Sci Med, 267, p. 112913; Lundberg, S.M., Erion, G., Chen, H., From local explanations to global understanding with Explainable AI for trees (2020) Nat Mach Intell, 2, pp. 56-67; Liu, Y., P-Hc, C., Krause, J., How to read articles that use machine learning: Users' guides to the medical literature (2019) JAMA, 322, pp. 1806-1816; Gumà, J., What influences individual perception of health? using machine learning to disentangle self-perceived health (2021) SSM Popul Health, 16, p. 100996; Olsson, M., Engström, G., Currow, D.C., Vascular and chronic obstructive lung disease (VASCOL): A longitudinal study on morbidity, symptoms and quality of life among older men in Blekinge County, Sweden (2021) BMJ Open, 11, p. e046473; Von Elm, E., Altman, D.G., Egger, M., The strengthening the reporting of observational studies in epidemiology (STROBE) statement: Guidelines for reporting observational studies (2007) Lancet, 370, pp. 1453-1457; Lundh Hagelin, C., Klarare, A., Fürst, C.J., The applicability of the translated Edmonton Symptom Assessment System: Revised [ESAS-r] in Swedish palliative care (2018) Acta Oncol, 57, pp. 560-562; Berkelmans, G.F.N., Read, S.H., Gudbjörnsdottir, S., Population median imputation was noninferior to complex approaches for imputing missing values in cardiovascular prediction models in clinical practice (2022) J Clin Epidemiol, 145, pp. 70-80; Chen, T., Guestrin, C., (2016) XGBoost: A scalable tree boosting system, , https://ui.adsabs.harvard.edu/abs/2016arXiv160302754C, [Accessed 01 Mar 2016]; Sebastião, E., Henert, S., Siqueira, V.A.A.A., Physical activity and physical function in older adults living in a retirement community: A cross-sectional analysis focusing on self-rated health (2021) Am J Lifestyle Med, 15, pp. 279-285; https://www.who.int/news-room/factsheets/detail/physical-activity, World Health Organization. Physical activity: World Health organization, 2020; Fanning, J., Walkup, M.P., Ambrosius, W.T., Change in health-related quality of life and social cognitive outcomes in obese, older adults in a randomized controlled weight loss trial: Does physical activity behavior matter? (2018) J Behav Med, 41, pp. 299-308; Parshall, M.B., Schwartzstein, R.M., Adams, L., An official American thoracic Society statement: Update on the mechanisms, assessment, and management of dyspnea (2012) Am J Respir Crit Care Med, 185, pp. 435-452; Currow, D.C., Dal Grande, E., Ferreira, D., Chronic breathlessness associated with poorer physical and mental health-related quality of life (SF-12) across all adult age groups (2017) Thorax, 72, pp. 1151-1153; De Wit, L.M., Van Straten, A., Van Herten, M., Depression and body mass index, a U-shaped association (2009) BMC Public Health, 9, p. 14; Bhaskaran, K., Dos-Santos-Silva, I., Leon, D.A., Association of BMI with overall and cause-specific mortality: A population-based cohort study of 3•6 million adults in the UK (2018) Lancet Diabetes Endocrinol, 6, pp. 944-953; Sattar, N., Preiss, D., Reverse causality in cardiovascular epidemiological research: More common than imagined? (2017) Circulation, 135, pp. 2369-2372; Saravanakumar, P., Garrett, N.K.G., Van Wissen, K., Social connectedness and self-perceived health of older adults in New Zealand (2022) Health Soc Care Community, 30, pp. e647-e656; Clark, A.J., Dong, N., Roth, T., Factors associated with asthma diagnosis within five years of a bronchiolitis hospitalization: A retrospective cohort study in a high asthma prevalence population (2019) Hosp Pediatr, 9, pp. 794-800; Smith, D., Wilkie, R., Uthman, O., Chronic pain and mortality: A systematic review (2014) PLoS One, 9; Garfield, V., Joshi, R., Garcia-Hernandez, J., The relationship between sleep quality and all-cause, CVD and cancer mortality: The Southall and Brent revisited study (SABRE) (2019) Sleep Med, 60, pp. 230-235; Nishimura, K., Izumi, T., Tsukino, M., Dyspnea is a better predictor of 5-year survival than airway obstruction in patients with COPD (2002) Chest, 121, pp. 1434-1440; Moll, M., Qiao, D., Regan, E.A., Machine learning and prediction of all-cause mortality in COPD (2020) Chest, 158, pp. 952-964; Basu, N., Yang, X., Luben, R.N., Fatigue is associated with excess mortality in the general population: Results from the EPIC-Norfolk study (2016) BMC Med, 14, p. 122</t>
  </si>
  <si>
    <t>20446055</t>
  </si>
  <si>
    <t>2-s2.0-85132257579</t>
  </si>
  <si>
    <t>Exploring the most important factors related to self-perceived health among older men in sweden: a cross-sectional study using machine learning</t>
  </si>
  <si>
    <t>Bello R.-W., Mohamed A.S.A., Talib A.Z., Sani S., Ab Wahab M.N.</t>
  </si>
  <si>
    <t>57209469141;57190968285;35570816900;57522765300;57223397087;</t>
  </si>
  <si>
    <t>Behavior Recognition of Group-ranched Cattle from Video Sequences using Deep Learning</t>
  </si>
  <si>
    <t>Indian Journal of Animal Research</t>
  </si>
  <si>
    <t>505</t>
  </si>
  <si>
    <t>512</t>
  </si>
  <si>
    <t>10.18805/IJAR.B-1369</t>
  </si>
  <si>
    <t>https://www.scopus.com/inward/record.uri?eid=2-s2.0-85131322545&amp;doi=10.18805%2fIJAR.B-1369&amp;partnerID=40&amp;md5=a306a5730fdf64bae72ce6f0511cede4</t>
  </si>
  <si>
    <t>School of Computer Sciences, Universiti Sains Malaysia, Pulau Pinang11800, Malaysia; Department of Mathematics/Computer Sciences, University of Africa, Toru-Orua, Bayelsa State, Nigeria; Department of Information Technology, Federal University, Jigawa State, Dutse, Nigeria</t>
  </si>
  <si>
    <t>Bello, R.-W., School of Computer Sciences, Universiti Sains Malaysia, Pulau Pinang11800, Malaysia, Department of Mathematics/Computer Sciences, University of Africa, Toru-Orua, Bayelsa State, Nigeria; Mohamed, A.S.A., School of Computer Sciences, Universiti Sains Malaysia, Pulau Pinang11800, Malaysia; Talib, A.Z., School of Computer Sciences, Universiti Sains Malaysia, Pulau Pinang11800, Malaysia; Sani, S., School of Computer Sciences, Universiti Sains Malaysia, Pulau Pinang11800, Malaysia, Department of Information Technology, Federal University, Jigawa State, Dutse, Nigeria; Ab Wahab, M.N., School of Computer Sciences, Universiti Sains Malaysia, Pulau Pinang11800, Malaysia</t>
  </si>
  <si>
    <t>Background: One important indicator for the wellbeing status of livestock is their daily behavior. More often than not, daily behavior recognition involves detecting the heads or body gestures of the livestock using conventional methods or tools. To prevail over such limitations, an effective approach using deep learning is proposed in this study for cattle behavior recognition. Methods: The approach for detecting the behavior of individual cows was designed in terms of their eating, drinking, active, and inactive behaviors captured from video sequences and based on the investigation of the attributes and practicality of the state-of-the-art deep learning methods. Result: Among the four models employed, Mask R-CNN achieved average recognition accuracies of 93.34%, 88.03%, 93.51% and 93.38% for eating, drinking, active and inactive behaviors. This implied that Mask R-CNN achieved higher cow detection accuracy and speed than the remaining models with 20 fps, making the proposed approach competes favorably well with other approaches and suitable for behavior recognition of group-ranched cattle in real-time. © 2022 Agricultural Research Communication Centre. All rights reserved.</t>
  </si>
  <si>
    <t>Behavior recognition; Deep learning; Group-ranched cattle; Mask R-CNN</t>
  </si>
  <si>
    <t>accuracy; Article; augmentation index; behavior; behavior recognition; cow; deep learning; differential threshold; drinking; drinking behavior; eating; eating habit; learning; mathematical model; nonhuman; training; velocity; videorecording</t>
  </si>
  <si>
    <t>Bello, R., Talıb, A., Mohamed, A., Deep learning-based architectures for recognition of cow using cow nose image pattern (2020) Gazi University Journal of Science, 33, pp. 831-844. , https://doi.org/10.35378/gujs.605631; Bello, R.W., Olubummo, D.A., Seiyaboh, Z., Enuma, O.C., Talib, A.Z., Mohamed, A.S.A., Cattle Identification: the History of Nose Prints Approach in Brief (2020) IOP Conference Series: Earth and Environmental Science, 594, pp. 1-9; Bello, R.W., Talib, A.Z., Mohamed, A.S.A., Contour extraction of individual cattle from an image using enhanced Mask R-CNN instance segmentation method (2021) IEEE Access, 9, pp. 56984-57000; Bello, R.W., Talib, A.Z.H., Mohamed, A.S.A.B., Deep belief network approach for recognition of cow using cow nose image pattern (2021) Walailak Journal of Science and Technology, 18, pp. 1-14. , https://doi.org/10.48048/wjst.2021.8984; Bochkovskiy, A., Wang, C.Y., Liao, H.Y.M., (2020) YOLOv4: Optimal speed and accuracy of object detection, pp. 1-17. , arXiv preprint arXiv:2004.10934; Chauhan, J.H., Hadiya, K.K., Dhami, A.J., Sarvaiya, N.P., Ovarian dynamics, plasma endocrine profile and fertility response following synchronization protocols in crossbred cows with cystic ovaries (2021) Indian Journal of Animal Research, 55, pp. 127-133; Chouhan, D., Aich, R., Jain, R.K., Chhabra, D., Acute phase protein as biomarker for diagnosis of sub-clinical mastitis in cross-bred cows (2021) Indian Journal of Animal Research, 55, pp. 193-198; Dohare, A.K., Bangar, Y.C., Sharma, V.B., Verma, M.R., Modelling the effect of mastitis on milk yield in dairy cows using covariance structures fitted to repeated measures (2021) Indian Journal of Animal Research, 55, pp. 11-14; Fuentes, A., Yoon, S., Park, J., Park, D.S., Deep learning-based hierarchical cattle behavior recognition with spatiotemporal information (2020) Computers and Electronics in Agriculture, 177, pp. 1-11. , https://doi.org/10.1016/j.compag.2020.105627; He, K., Gkioxari, G., Dollár, P., Girshick, R., Mask R-CNN (2020) IEEE Transactions on Pattern Analysis and Machine Intelligence, 42, pp. 386-397; He, K., Gkioxari, G., Dollár, P., Girshick, R., Mask R-CNN (2017) Proceedings of the IEEE International Conference on Computer Vision, pp. 2961-2969; Jiang, B., Wu, Q., Yin, X., Wu, D., Song, H., He, D., FLYOLOv3 deep learning for key parts of dairy cow body detection (2019) Computers and Electronics in Agriculture, 166, pp. 1-8. , https://doi.org/10.1016/j.compag.2019.104982; Jiang, M., Rao, Y., Zhang, J., Shen, Y., Automatic behavior recognition of group housed goats using deep learning (2020) Computers and Electronics in Agriculture, 177, pp. 1-13. , https://doi.org/10.1016/j.compag.2020.105706; Jingqiu, G., Zhihai, W., Ronghua, G., Huarui, W., Cow behavior recognition based on image analysis and activities (2017) International Journal of Agricultural and Biological Engineering, 10, pp. 165-174; Kashiha, M.A., Bahr, C., Ott, S., Moons, C.P.H., Niewold, T.A., Tuyttens, F., Berckmans, D., Automatic monitoring of pig locomotion using image analysis (2014) Livestock Science, 159, pp. 141-148. , https://doi.org/10.1016/j.livsci.2013.11.007; Kim, J., Chung, Y., Choi, Y., Sa, J., Kim, H., Chung, Y., Park, D., Kim, H., Depth based detection of standing-pigs in moving noise environments (2017) Sensors, 17, pp. 1-19. , https://doi.org/10.3390/s17122757; Lao, F., Brown-Brandl, T., Stinn, J.P., Liu, K., Teng, G., Xin, H., Automatic recognition of lactating sow behaviors through depth image processing (2016) Computers and Electronics in Agriculture, 125, pp. 56-62. , https://doi.org/10.1016/j.compag.2016.04.026; Nasirahmadi, A., Hensel, O., Edwards, S.A., Sturm, B., A new approach for categorizing pig lying behaviour based on a Delaunay triangulation method (2017) Animal, 11, pp. 131-139; Pedersen, L.J., Overview of commercial pig production systems and their main welfare challenges (2018) Advances in Pig Welfare, pp. 1-23. , https://doi.org/10.1016/B978-0-08-1010129.00001-0; Redmon, J., Farhadi, A., (2018) YOLOv3: An incremental improvement, pp. 1-6. , arXiv Prepr. arXiv 1804.02767; Ren, S., He, K., Girshick, R., Sun, J., Faster R-CNN: Towards real-time object detection with region proposal networks (2017) IEEE Transactions on Pattern Analysis and Machine Intelligence, 39, pp. 1137-1149; Russell, B.C., Torralba, A., Murphy, K.P., Freeman, W.T., LabelMe: A database and web-based tool for image annotation (2008) International Journal of Computer Vision, 77, pp. 157-173. , https://doi.org/10.1007/s11263-007-0090-8; Saberioon, M.M., Cisar, P., Automated multiple fish tracking in three-dimension using a structured light sensor (2016) Computers and Electronics in Agriculture, 121, pp. 215-221. , https://doi.org/10.1016/j.compag.2015.12.014; Shen, W., Cheng, F., Zhang, Y., Wei, X., Fu, Q., Zhang, Y., Automatic recognition of ingestive-related behaviors of dairy cows based on triaxial acceleration (2020) Information Processing in Agriculture, 7, pp. 427-443. , https://doi.org/10.1016/j.inpa.2019.10.004; Simonyan, K., Zisserman, A., (2015) Very deep convolutional networks for large-scale image recognition, , arXiv Prepr. arXiv 1409.1556. 1-14; Stavrakakis, S., Li, W., Guy, J.H., Morgan, G., Ushaw, G., Johnson, G.R., Edwards, S.A., Validity of the Microsoft Kinect sensor for assessment of normal walking patterns in pigs (2015) Computers and Electronics in Agriculture, 117, pp. 1-7. , https://doi.org/10.1016/j.compag.2015.07.003; Thorat, A.B., Borikar, S.T., Siddiqui, M.F.M.F., Rajurkar, S.R., Moregaonkar, S.D., Ghorpade, P.B., Khawale, T.S., A study on occurrence and haemato-biochemical alterations in SARA in cattle treated with different therapeutic regimens (2021) Indian Journal of Animal Research, 55, pp. 90-95; Velarde, A., Fàbrega, E., Blanco-Penedo, I., Dalmau, A., Animal welfare towards sustainability in pork meat production (2015) Meat Science, 109, pp. 13-17. , https://doi.org/10.1016/j.meatsci.2015.05.010; Yang, A., Huang, H., Zheng, B., Li, S., Gan, H., Chen, C., Yang, X., Xue, Y., An automatic recognition framework for sow daily behaviours based on motion and image analyses (2020) Biosystems Engineering, 192, pp. 56-71. , https://doi.org/10.1016/j.biosystemseng.2020.01.016; Yang, Q., Xiao, D., Lin, S., Feeding behavior recognition for group-housed pigs with the Faster R-CNN (2018) Computers and Electronics in Agriculture, 155, pp. 453-460. , https://doi.org/10.1016/j.compag.2018.11.002; Zaborski, D., Grzesiak, W., Utilization of boosted classification trees for the detection of cows with conception difficulties (2021) Indian Journal of Animal Research, 55, pp. 359-363; Zheng, C., Zhu, X., Yang, X., Wang, L., Tu, S., Xue, Y., Automatic recognition of lactating sow postures from depth images by deep learning detector (2018) Computers and Electronics in Agriculture, 147, pp. 51-63. , https://doi.org/10.1016/j.compag.2018.01.023; Zhu, W., Guo, Y., Jiao, P., Ma, C., Chen, C., Recognition and drinking behaviour analysis of individual pigs based on machine vision (2017) Livestock Science, 205, pp. 129-136. , https://doi.org/10.1016/j.livsci.2017.09.003</t>
  </si>
  <si>
    <t>Agricultural Research Communication Centre</t>
  </si>
  <si>
    <t>03676722</t>
  </si>
  <si>
    <t>Ind. J. Ani. Res</t>
  </si>
  <si>
    <t>2-s2.0-85131322545</t>
  </si>
  <si>
    <t>Behavior recognition of group-ranched cattle from video sequences using deep learning</t>
  </si>
  <si>
    <t>Balamurugan R., Pushpa S.</t>
  </si>
  <si>
    <t>57210867800;57882480900;</t>
  </si>
  <si>
    <t>Twitter sentimental and emotional variations of public reactions about the public personalities in social media using deep learning</t>
  </si>
  <si>
    <t>International Journal of Advanced Science and Technology</t>
  </si>
  <si>
    <t>597</t>
  </si>
  <si>
    <t>615</t>
  </si>
  <si>
    <t>https://www.scopus.com/inward/record.uri?eid=2-s2.0-85082022673&amp;partnerID=40&amp;md5=f83031c5352c364191adece81433e0f1</t>
  </si>
  <si>
    <t>Department of Computer Science and Engineering, St. Peter’s Institute of Higher Education and Research, Chennai, TamilNadu, India</t>
  </si>
  <si>
    <t>Balamurugan, R., Department of Computer Science and Engineering, St. Peter’s Institute of Higher Education and Research, Chennai, TamilNadu, India; Pushpa, S., Department of Computer Science and Engineering, St. Peter’s Institute of Higher Education and Research, Chennai, TamilNadu, India</t>
  </si>
  <si>
    <t>It is difficult to predict the personality of people with high accuracy but it is possible nowadays by using the information which are shared by them in the social media. In order to find the personality with high accuracy, we examine Twitter account of six categories of the Public. Based on position in the society, we categorized the people into six major categories such as Political Personalities, Sports Stars, Business Bodies, Hollywood Figures, General Public and Indian Geneticist. Their twitter profile data are collected, stored (using MySQL), Pre-processed and Analysed analysis is done in accordance with the features of profile images such as colour, image composition, their Post and their online engagement. For explicable, our analysis targeted aesthetic and physiognomy to explore personality characteristics. Based on the profile picture chosen our results predict the behaviour of the twitter users. For example, studious and agreeable users having positive emotions while others use aesthetic photos. After analysing these data, the accuracy rate was predicted by using various algorithms such as Support Vector Machines (SVM), Naïve Bayes and Maximum Entropy etc. These algorithms gave the accuracy rate of about 60-70%. For accuracy prediction we used D-CNN technique, which achieved 98.457% of accuracy measurement and also concluded that personality prediction is difficult for robust accuracy. © 2019 SERSC.</t>
  </si>
  <si>
    <t>Personality analysis using social networks; Prediction through twitter profiles; Twitter users of public personalities</t>
  </si>
  <si>
    <t>Rao, D., Yarowsky, D., Shreevats, A., Gupta, M.A., Classifying Latent User Attributes in Twitter (2010) 2Nd International Workshop on Search and Mining User-Generated Contents, SMUC, pp. 37-44; Burger, D.J., Henderson, J., Kim, G., Zarrella, G., Discriminating Gender on Twitter (2011) EMNLP Conference on Empirical Methods in Natural Language Processing, pp. 1301-1309; Lampos, V., Aletras, N., D. Preot¸iuc-Pietro and T. a. Cohn, "Predicting and Characterizing User Impact on twitter," 14th Conference of the European Chapter of the Association for Computational Linguistics (2014) EACL, pp. 405-413; Park, G., Schwartz, H.A., Eichstaedt, J.C., Kern, M.L., Kosinski, M., Stillwell, D.J., Ungar, L.H., Seligman, M.E.A., Automatic Personality Assessment through Social Media Language (2014) Journal of Personality and Social Psychology, 108 (6), pp. 934-952; A, P., Pennacchiotti, M., A machine learning approach to twitter user classification (2011) 5Th International AAAI Conference on Weblogs and Social Media, pp. 281-288. , ICWSM; Cheng, Z., Caverlee, J., Lee, K., You are where you Tweet: A Content-Based approach to Geo-Locating Twitter Users (2010) 19Th ACM Conference on Information and Knowledge Management, CIKM, pp. 759-768; Rout, D., Preo¸ituc-Pietro, D., Kalina, B., Cohn, T., "Rout, Dominic, KWhere's@ Wally? A Classification Approach to Geolocating Users based on their Social Ties (2013) 24Th ACM Conference on Hypertext and Social Media, pp. 11-20; Naumann, L.P., Vazire, S., Rentfrow, P.J., Gosling, S.D., Personality Judgments based on Physical Appearance (2009) Personality and Social Psychology Bulletin, 35 (21), pp. 1661-1671; P, W.S., Lynam, D.R., The five-factor model and impulsivity: Using a structural model of personality to understand impulsivity (2001) Personality and Individual Differences, 30 (4), pp. 669-689; Courneya, K.S., Hellsten, L.-A.M., Personality correlates of exercise behavior, motives, barriers and preferences: An application of the five-factor model (1998) Personality and Individual Differences, 24 (5), pp. 625-633; Celli, F., Bruni, E., Lepri, B., Automatic personality and interaction style recognition from Facebook profile pictures (2014) 22Nd ACM International Conference on Multimedia, pp. 1101-1104; Haxby, J.V., Hoffman, E.A., Gobbini, M.I., The Distributed Human Neural System for Face Perception (2000) Trends in Cognitive Sciences, 4 (6), pp. 223-233; Penton-Voak, I.S., Pound, N., Little, A.C., Perrett, D.I., Personality Judgments from Natural and Composite Facial Images: More Evidence for a “Kernel of Truth," Social Perception (2006) Social Cognition, 24 (5), pp. 607-640; Kamenskaya, E., Kukharev, G., Recognition of Psychological Characteristics from Face (2008) Metody Informatyki Stosowanej, 1 (1), pp. 59-73; Subramanian, R., Yan, Y., Staiano, J., Lanz, O., Sebe, N., (2013) On the Relationship between Head Pose, Social Attention and Personality Prediction for Unstructured and Dynamic Group Interactions, pp. 3-10. , 15th ACM on International conference on multimodal interaction; Alam, F., Riccardi, G., Predicting Personality Traits using Multimodal Information (2014) 2Nd ACM International Conference on Multimedia Workshop on Computational Personality Recognition, WCPR, pp. 15-18; Schwartz, H.A., Eichstaedt, J.C., Kern, M.L., Dziurzynski, L., Ramones, S.M., Agrawal, M., Shah, M.K.A., Seligman, M.E., Personality, gender, and age in the language of social media: The open vocabulary approach (2013) Personality, Gender, and Age in the Language of Social Media Plos ONE the Open Vocabulary Approach, 8 (9), p. e73791; Back, M.D., Stopfer, J.M., Vazire, S., Gaddis, S., Schmukle, S.C., Egloff, B., Gosling, S.D., Facebook Profiles Reflect Actual Personality, not Self-Idealization (2010) Psychological Science, 21, pp. 372-374; Nawaz, M.S., Bilal, M., Lali, M.I., Mustafa, R.U., Aslam, W., Jajja, S., Effectiveness of Social Media Data in Healthcare Communication (2017) J. Med. Imaging Health Inf, 7 (6), pp. 1365-1371; Lali, M.I.U., Ul-Mustafa, R., Saleem, K., Nawaz, M.S., Zia, T., Shahzad, B., Finding Healthcare Issues with Search Engine Queries and Social Network Data (2017) Int. J. Semantic Web Inf. Syst, 13 (1), pp. 48-62; Maja, P., Machine analysis of facial behavior: Naturalistic and dynamic behavior (2009) Philosophical Transactions of the Royal Society B: Biological Sciences, 364 (1535), pp. 3505-3513; Kim, Y., Lee, H., Provost, E.M., Deep Learning for Robust Feature Generation in Audiovisual Emotion Recognition (2013) IEEE International Conference on Acoustics, Speech and Signal Processing, ICASSP, P, pp. 3687-3691; Borth, D., Ji, R., Chen, T., Breuel, T., Chang, S.-F., Large-scale visual sentiment ontology and detectors using adjective noun pairs (2013) 21St ACM International Conference on Multimedia, pp. 223-232; You, Q., Luo, J., Jin, H., Yang, J., Robust Image Sentiment Analysis Using Progressively Trained and Domain Transferred Deep Networks (2015) AAAI, pp. 381-388; Bruni, F.C.E., Lepri, B., Automatic personality and interaction style recognition from Facebook profile pictures (2014) 22Nd ACM International Conference on Multimedia, pp. 1101-1104; Noura, A.M., Vazquez-Alvarez, Y.M., Vinciarelli, A.A., Face-based automatic personality perception (2014) 22Nd ACM International Conference on Multimedia, pp. 1153-1156; Hum, N.J., Chamberlin, P.E., Hambright, B.L., Portwood, A.C., Schat, A.C., Bevan, J.L., A picture is worth a thousand words: A content analysis of Facebook profile photographs (2011) Computers in Human Behavior, 27 (5), pp. 1828-1833; Noura, A.M., Vazquez-Alvarez, Y., McKay, A., Vinciarelli, A., Face-based automatic personality perception (2014) 22Nd ACM International Conference on Multimedia, pp. 1153-1156; Hum, N.J., Chamberlin, P.E., Hambright, B.L., Portwood, A.C., Schat, A.C., Bevan, J.L., A picture is worth a thousand words: A content analysis of Facebook profile photographs (2011) Computers in Human Behavior, 27 (5), pp. 1828-1833; Preot¸iuc-Pietro, D., Volkova, S., Lampos, V., Bachrach, Y., Aletras, N., Studying User Income through Language, Behavior and Affect in Social Media (2015) Plos ONE, 10 (9); Preo¸ituc-Pietro, D., Lampos, V., Aletras, N., An Analysis of the User Occupational Class through Twitter Content (2015) 53Rd Annual Meeting of the Association for Computational Linguistics and the 7Th International Joint Conference on N Natural Language Processing, pp. 1754-1764; Choudhury, M.D., Counts, S., Horvitz, E., Social media as a measurement tool of depression in populations (2013) 5Th Annual ACM Web Science Conference, pp. 47-56. , WebScience; Ulagapriya, K., Pushpa, D.S., A survey on Fraud Analytics using Predictive model in Insurance Claims (2017) International Journal of Pure and Applied Mathematics, 116, pp. 629-640; Kumar Raja, D.R., Pushpa, S., A Survey on Privacy Preserving Data Mining Techniques” International Journal of Applied Engineering Research, 10, pp. 0973-4562; Selvi, U., Pushpa, S., A Review of Big Data and Anonymization Algorithms International Journal of Applied Engineering Research, 10, pp. 0973-4562; Pushpa, S., Dr., Kumar, K.S.E., Exploring the Influence of Time-Sensitive and Unsupervised Learning of Topic-Specific Information in Citation Analysis European Journal of Scientific Research, 67, pp. 474-485; Towards a Time-based Approach for Author Co-citation Analysis Journal of Information &amp; Computational Science, 8, pp. 262-279; Pushpa, S., Elias, S., Ks Easwarakumar, Z.M., Indexing scholarly publications using telescopic vector trees to discover authors with multiple expertise (2010) International Journal of Information Studies, 2, pp. 166-173; Sivapriya, M., Pushpa, S., An Effective Methodology For Minutiae Based Fingerprint Matching Using Singularities Indexing International Journal of Advanced Research in Computer Engineering.; Balamurugan, R., Pushpa, S., An Improved Deep Learning Algorithm Using Sensation Neural Network Technique for Opinion Mining in Sentiment Analysis Using Twitter Dataset (2019) Journal of Advance Research in Dynamical &amp; Control Systems, 11; Balamurugan, R., Pushpa, S., The Public Sentiment and Emotional Variations in Social Media using Twitter Dataset” (2019) International Journal of Innovative Technology and Exploring Engineering (IJITEE), 8 (12), pp. 2327-2333</t>
  </si>
  <si>
    <t>Science and Engineering Research Support Society</t>
  </si>
  <si>
    <t>20054238</t>
  </si>
  <si>
    <t>Int. J. Adv. Sci. Technol.</t>
  </si>
  <si>
    <t>2-s2.0-85082022673</t>
  </si>
  <si>
    <t>Hang L., Zhang T., Wang N.</t>
  </si>
  <si>
    <t>57221594983;57578189800;57578189900;</t>
  </si>
  <si>
    <t>Emotion Analysis and Happiness Evaluation for Graduates During Employment</t>
  </si>
  <si>
    <t>861294</t>
  </si>
  <si>
    <t>10.3389/fpsyg.2022.861294</t>
  </si>
  <si>
    <t>https://www.scopus.com/inward/record.uri?eid=2-s2.0-85128312619&amp;doi=10.3389%2ffpsyg.2022.861294&amp;partnerID=40&amp;md5=9a3f0644c364c24bcb01814233ade1e3</t>
  </si>
  <si>
    <t>School of Law and Public Affairs, Nanjing Tech University, Nanjing, China; Sports College, Nanjing Tech University, Nanjing, China; School of Economics and Management, Nanjing Tech University, Nanjing, China</t>
  </si>
  <si>
    <t>Hang, L., School of Law and Public Affairs, Nanjing Tech University, Nanjing, China; Zhang, T., Sports College, Nanjing Tech University, Nanjing, China; Wang, N., School of Economics and Management, Nanjing Tech University, Nanjing, China</t>
  </si>
  <si>
    <t>Happiness can be regarded as an evaluation of life satisfaction. A high level of wellbeing can promote self-fulfillment and build a rational, peaceful, self-esteem, self-confidence, and positive social mentality. Therefore, the analysis of the factors of happiness is of great significance for the continuous improvement of the individual’s sense of security and gain and the realization of the maximization of self-worth. Emotion is not only an important internal factor that affects happiness, but it can also accurately reflect the individual’s happiness. However, most of current happiness evaluation methods based on the emotional analysis belong to shallow learning paradigm, making the deep learning method unexploited for automatically happiness decoding. In this article, we analyzed the emotions of graduates during their employment and studied its influence on personal happiness at work. We proposed deep restricted Boltzmann machine (DRBM) for graduates’ happiness evaluation during employment. Furthermore, to mitigate the information loss when passing through many network layers, we introduced the skip connections to DRBM and proposed a deep residual RBM (DRRBM) for enhancing the valuable information. We further introduced an attention mechanism to DRRBM to focus on the important factors. To verify the effectiveness of the proposed method on the happiness evaluation tasks, we conducted extensive experiments on the statistical data of the China Comprehensive Social Survey (CGSS). Compared with the state-of-the-art methods, our method shows better performance, which proves the practicability and feasibility of our method for happiness evaluation. Copyright © 2022 Hang, Zhang and Wang.</t>
  </si>
  <si>
    <t>deep learning; emotion analysis; happiness evaluation; restricted Boltzmann machine (RBM); skip connection</t>
  </si>
  <si>
    <t>Anderson, C., Kraus, M.W., Galinsky, A.D., Keltner, D., The local–ladder effect: social status and subjective well-being (2012) Psychol. Sci, 23, pp. 764-771. , 22653798; Ba, J.L., Kiros, J.R., Hinton, G.E., Layer normalization (2016) arXiv, , [preprint]., 2016; Burr, A., Santo, J.B., Pushkar, D., Affective well-being in retirement: the influence of values, money, and health across three years (2011) J. Happiness Stud, 12, pp. 17-40; Chengwen, D., (2011) The Study on Relationship between College Students’ Social Well-being and Self-esteem, , MA thesis. Shantou, Shantou University, 6; Cheung, F., Lucas, R.E., When does money matter most? Examining the association between income and life satisfaction over the life course (2015) Psychol. Aging, 30, pp. 120-135. , 25621741; Deb, S., Banu, P.R., Thomas, S., Vardhan, R.V., Rao, P.T., Khawaja, N., Depression among Indian university students and its association with perceived university academic environment, living arrangements and personal issues (2016) Asian J. Psychiatry, 23, pp. 108-117. , 27969066; Deguang, X., Xueqin, S., The relationship between college students’ career decision-making and subjective well-being (2019) J. Weifang Eng. Vocat. Coll, 61, pp. 44-47; Diener, E., Lucas, R.E., Explaining differences in societal levels of happiness: relative standards, need fulfillment, culture, and evaluation theory (2000) J. Happiness Stud, 1, pp. 41-78; Durlak, J.A., Weissberg, R.P., Dymnicki, A.B., Taylor, R.D., Schellinger, K.B., The impact of enhancing students’ social and emotional learning: a meta-analysis of school-based universal interventions (2011) Child Dev, 82, pp. 405-432. , 21291449; Gamble, A., Gärling, T., The relationships between life satisfaction, happiness, and current mood (2012) J. Happiness Stud, 13, pp. 31-45; Haobin, C., Yuanjiang, M., The Relationship among Subjective Well-being, Psychological Well-being and Social Well-being (2012) Psychol. Res, 5, pp. 46-52; Hinton, G.E., Boltzmann machine (2007) Scholarpedia, 2 (1668); Hongyang, L., (2017) Research on the Structure Model and Classification Model of Depression and Anxiety of College Students, , MA thesis. Dalian, Dalian Maritime University, 3; Hu, J., Shen, L., Sun, G., Squeeze-and-excitation networks (2018) Proceedings of the IEEE Conference on Computer Vision and Pattern Recognition, pp. 7132-7141. , Piscataway, IEEE; Isen, A.M., A role for neuropsychology in understanding the facilitating influence of positive affect on social behavior and cognitive processes (2009) Oxford Handbook of Positive Psychology, pp. 503-518. , Lopez S.J., Snyder C.R., (eds), Oxfordshire, Oxford University Press; Jingting, L., Yilian, H., Analysis of mental health status and influencing factors of fresh graduates under the new coronavirus pneumonia epidemic (2021) Modern Hosp, 21, pp. 464-469; Kahneman, D., Objective happiness (1999) Well Being, 3, pp. 1-23; Kramer, O., (2013) K-Nearest Neighbors. Dimensionality Reduction with Unsupervised Nearest Neighbors, pp. 13-23. , Heidelberg, Springer; Li, S., Chen, T., Wang, L., Ming, C., Effective tourist volume forecasting supported by PCA and improved BPNN using Baidu index (2018) Tour. Manag, 68, pp. 116-126; Lin, Q., Measuring Affective Well-being (2011) J. S. CHIN. Norm. Univ, 5, pp. 137-142; Lin-ling, X., San-Qiang, W., Study on emotional analysis and social support of entrepreneurial students-take the Universities in Fujian Province as an example (2018) CHIN. Univ. Students Career Guide, 10, pp. 55-59; Lyu, J., Zhang, J., BP neural network prediction model for suicide attempt among Chinese rural residents (2019) J. Affect. Dis, 246, pp. 465-473. , 30599370; Noble, W.S., What is a support vector machine? (2006) Nat. Biotechnol, 24, pp. 1565-1567; Schimmack, E., Diener, E., Oishi, S., Life Satisfaction is a Momentary Judgment and a Stable Personality Character-istic: The Use of Chronically Accessible and Stable Sources (2002) J. Pers, 70, pp. 345-385. , 12049164; Senya, W.A., (2018) Study on the Relationship between Positive Emotion and Comprehensive Well-Being of College Graduates: The Mediating Role of the Sense of Life Meaning, p. 3. , MA thesis, Changchun, Jilin University; Tang, Y., Deep learning using linear support vector machines (2013) arXiv, arXiv. , [preprint]; Tian, Z., Investigation and Analysis of College Students’ Bad Emotions and Adjustment Methods (2009) J. Higher Educ, 3, pp. 55-62; Tingting, H., Liqian, L., Dahua, W., Wenhai, Z., Socioeconomic status and sociometric status: age differences on the effects of social comparison on subjective well-Being (2016) Acta Psychol. Sinica, 48, pp. 1163-1174; Zhang, Y., Cai, J., Fuzzy clustering based on automated feature pattern-driven similarity matrix reduction (2020) IEEE Trans. Comput. Soc. Syst, 8, pp. 1203-1212; Zhang, Y., Wang, G., Chung, F.L., Wang, S., Support vector machines with the known feature-evolution priors (2021) Knowl. Based Syst, 223. , 107048; Zhao, Z.X., Wu, Y.M., Wang, X.Y., Analysis on Employment Anxiety of College Graduates and Its Influencing Factors (2016) Cult. Educ. Materials, 14, pp. 139-140. , 32244124; Zheng, Q., Zhu, F., Heng, P.A., Robust support matrix machine for single trial EEG classification (2018) IEEE Trans. Neural Syst. Rehabilit. Eng, 26, pp. 551-562. , 29522399</t>
  </si>
  <si>
    <t>2-s2.0-85128312619</t>
  </si>
  <si>
    <t>Emotion analysis and happiness evaluation for graduates during employment</t>
  </si>
  <si>
    <t>Shankar N., Nallakaruppan M.K., Ravindranath V., Senthilkumar M., Bhagavath B.P.</t>
  </si>
  <si>
    <t>57489712100;55808557100;58045722300;57198791439;57979437300;</t>
  </si>
  <si>
    <t>Smart IoMT Framework for Supporting UAV Systems with AI</t>
  </si>
  <si>
    <t>86</t>
  </si>
  <si>
    <t>10.3390/electronics12010086</t>
  </si>
  <si>
    <t>https://www.scopus.com/inward/record.uri?eid=2-s2.0-85145820540&amp;doi=10.3390%2felectronics12010086&amp;partnerID=40&amp;md5=a16f7adbd4455b3a1cecd37e40d1e954</t>
  </si>
  <si>
    <t>School of Electrical and Electronics Engineering, Vellore Institute of Technology, Vellore, 632014, India; School of Information Technology and Engineering, Vellore Institute of Technology, Vellore, 632014, India; Avinashilingam Institute for Home Science &amp; Higher Education for Women, Coimbatore, 641043, India</t>
  </si>
  <si>
    <t>Shankar, N., School of Electrical and Electronics Engineering, Vellore Institute of Technology, Vellore, 632014, India; Nallakaruppan, M.K., School of Information Technology and Engineering, Vellore Institute of Technology, Vellore, 632014, India; Ravindranath, V., Avinashilingam Institute for Home Science &amp; Higher Education for Women, Coimbatore, 641043, India; Senthilkumar, M., School of Information Technology and Engineering, Vellore Institute of Technology, Vellore, 632014, India; Bhagavath, B.P., School of Electrical and Electronics Engineering, Vellore Institute of Technology, Vellore, 632014, India</t>
  </si>
  <si>
    <t>The health monitoring system is one of the most innovative technologies that has gained traction in the Internet of Medical Things (IoMT). It allows the connection of multiple sensors and actuators that can capture and monitor the data through the web page or mobile application. IoMT technology not only provides communications but also will provide monitoring, recording, storage, and display. IoMT in healthcare is used for measuring the vital signs of the human body, which allows medical professionals to assess the well-being of a patient. The doctor may recommend lifestyle modifications, prescribe more tests, or diagnose a disorder according to the results. This paper illustrates the remote-control health monitoring system (HMS) with the integration of a UAV, which allows the doctor to access the data and analyze the patient data remotely. Thus, the proposed HMS-UAV system aims to measure the temperature, humidity, blood pressure, heart rate, and SpO2 and stores the data on the UAV. Several sensors were thus used namely DHT11, MAX30102, Myoware and K24C16, and the Raspberry Pi camera. Reduced hospital stays and avoidance of readmissions are benefits of remote patient monitoring with IoMT-based UAVs. Contrary to its advantages, IoMT has flaws in information processing since a huge volume of data are needed to be handled in a single environment. One major novel inclusion in this work is to measure multiple parameters and provide a comparative analysis for all of them. Furthermore, the functionality of video recorded and stored is included where the doctor can surveil the patient. © 2022 by the authors.</t>
  </si>
  <si>
    <t>healthcare; IoMT; machine learning; service oriented architecture; UAV (unmanned aerial vehicle)</t>
  </si>
  <si>
    <t>Chen, X., Ma, M., Liu, A., Dynamic power management and adaptive packet size selection for IoT in e-Healthcare (2018) Comput. Electr. Eng, 65, pp. 357-375; http://businessresearcher.sagepub.com/sbr-1863-102197-2772812/20170306/more-than-28-billion-devices-connect-via-internet-of-things, Available online; Sujithra, M., Padmavathi, G., Internet of Things—An Overview (2016) World Sci. News, 41, pp. 208-213; Internet of Things (IoT) in Healthcare Market Size, Share | 2022–27 | Industry Trends, , https://www.mordorintelligence.com/industry-reports/internet-of-things-in-healthcare-market, Available online; Cao, H.-R., Zhan, C., A Novel Emergency Healthcare System for Elderly Community in Outdoor Environment (2018) Wirel. Commun. Mob. Comput, 2018, p. 7841026; Chola, C., Heyat, M.B., Akhtar, F., Al Shorman, O., Muaad, A.Y., Masadeh, M., Alkahatni, F., IOT based intelligent computer-aided diagnosis and decision-making system for Health Care Proceedings of the 2021 International Conference on Information Technology (ICIT), , Amman, Jordan, 14–15 July 2021; Chu, L., Li, X., Xu, J., Neiat, A.G., Liu, X., A Holistic Service Provision Strategy for Drone-as-a-Service in MEC-based UAV Delivery Proceedings of the 2021 IEEE International Conference on Web Services (ICWS), pp. 669-674. , Chicago, IL, USA, 5–10 September 2021; Subramaniyaswamy, V., Manogaran, G., Logesh, R., Vijayakumar, V., Chilamkurti, N., Malathi, D., Senthilselvan, N., An ontology-driven personalized food recommendation in IoT-based healthcare system (2019) J. Supercomput, 75, pp. 3184-3216; Verma, P., Sood, S.K., Kalra, S., Cloud-centric IoT based student healthcare monitoring framework (2018) J. Ambient. Intell. Humaniz. Comput, 9, pp. 1293-1309; Su, W., Delima, A.J.P., Machica, I.K.D., Arroyo, J.C.T., Pan, X., An AED-UAV Healthcare Information Robot Integration System Based on Edge Computing Airport Station (2022) Proceedings of the 2022 the 5th International Conference on Robot Systems and Applications (ICRSA) (ICRSA 2022), pp. 29-36. , Shenzhen, China, 23–25 April 2022, Association for Computing Machinery, New York, NY, USA; Yang, Y., Liu, X., Deng, R.H., Lightweight break-glass access control system for healthcare Internet-of-Things (2018) IEEE Trans. Ind. Inform, 14, pp. 3610-3617; Gupta, V., Singh Gill, H., Singh, P., Kaur, R., An energy efficient fog-cloud based architecture for healthcare (2018) J. Stat. Manag. Syst, 21, pp. 529-537; Sethuraman, T.V., Rathore, K.S., Amritha, G., Kanimozhi, G., IoT based system for Heart Rate Monitoring and Heart Attack Detection (2019) Int. J. Eng. Adv. Technol. (IJEAT), 8, pp. 1459-1464; Li, C., Hu, X., Zhang, L., The IoT-based heart disease monitoring system for pervasive healthcare service Proceedings of the International Conference on Knowledge Based and Intelligent Information and Engineering Systems, KES2017, , Marseille, France, 6–8 September 2017; Aggarwal, S., Kumar, N., Alhussein, M., Muhammad, G., Blockchain-Based UAV Path Planning for Healthcare 4.0: Current Challenges and the Way Ahead (2021) IEEE Netw, 35, pp. 20-29; Haleem, A., Javaid, M., Singh, R.P., Suman, R., Rab, S., Blockchain technology applications in healthcare: An overview (2021) Int. J. Intell. Netw, 2, pp. 130-139; Galán-Jiménez, J., Vegas, A.G., Berrocal, J., Energy-efficient deployment of IoT applications in remote rural areas using UAV networks Proceedings of the 2022 14th IFIP Wireless and Mobile Networking Conference (WMNC), pp. 70-74. , Sousse, Tunisia, 17–19 October 2022; Mukhopadhyay, A., Ganguly, D., FANET based Emergency Healthcare Data Dissemination Proceedings of the 2020 Second International Conference on Inventive Research in Computing Applications (ICIRCA), pp. 170-175. , Coimbatore, India, 15–17 July 2020; Vangimalla, S.R., El-Sharkawy, M., Interoperability Enhancement in Health Care at Remote Locations using Thread Protocol in UAVs Proceedings of the IECON 2018—44th Annual Conference of the IEEE Industrial Electronics Society, pp. 2821-2826. , Washington, DC, USA, 21–23 October 2018; Ganesan, G.S., Mokayef, M., Multi-Purpose Medical Drone for the Use in Pandemic Situation Proceedings of the 2021 IEEE Microwave Theory and Techniques in Wireless Communications (MTTW), pp. 188-192. , Riga, Latvia, 7–8 October 2021; Tazrin, T., Ayaz, Z., Fouda, M.M., Fadlullah, Z.M., On Energy-Efficient UAV Route Scheduling to Offload Health Data from Under-Served Rural Communities Proceedings of the 2021 IEEE International Conference on Internet of Things and Intelligence Systems (IoTaIS), pp. 86-91. , Bandung, Indonesia, 23–24 November 2021; Gregoski, M.J., Mueller, M., Vertegel, A., Shaporev, A., Jackson, B.B., Frenzel, R.M., Sprehn, S.M., Treiber, F.A., Development and validation of a smartphone heart rate acquisition application for health promotion and wellness telehealth applications (2012) Int. J. Telemed. Appl, 2012, p. 696324. , 22272197; Desai, M.R., Toravi, S., A smart sensor interface for smart homes and heart beat monitoring using WSN in IoT environment Proceedings of the 2017 International Conference on Current Trends in Computer, Electrical, Electronics and Communication (CTCEEC), pp. 74-77. , Mysore, India, 8–9 September 2017; Jaiswal, S., Katake, R., Kute, B., Ranjane, S., Mehetre, P.D., Survey of Health Monitoring Management Using Internet of Things (IOT) (2017) Int. J. Sci. Res, 5, pp. 2243-2246; Pantelopoulos, A., Bourbakis, N.G., A survey on wearable sensor-based systems for health monitoring and prognosis (2010) IEEE Trans. Syst. Man Cybern. Part C (Appl. Rev.), 40, pp. 1-2; Malokar, S.N., Mali, S.D., A IoT Based Health Care Monitoring System (2017) Int. J. Adv. Res. Electr. Electron. Instrum. Eng, 6, pp. 4661-4667; Gupta, N., Saeed, H., Jha, S., Chahande, M., Pandey, S., IOT based health monitoring systems Proceedings of the International Conference on Innovations in Information, Embedded and Communication Systems (ICIIECS), Amity Institute of Telecommunication Engineering and Management. Amity University Uttar Pradesh, , Noida, India, 17–18 March 2017; Kajaree, D., Behera, R., A Survey on Healthcare Monitoring System Using Body Sensor Network (2017) Int. J. Innov. Res. Comput. Commun. Eng, 5, pp. 1302-1309; Naren, N., Chamola, V., Baitragunta, S., Chintanpalli, A., Mishra, P., Yenuganti, S., Guizani, M., IoMT and DNN-Enabled Drone-Assisted Covid-19 Screening and Detection Framework for Rural Areas (2021) IEEE Internet Things Mag, 4, pp. 4-9; Mohammed, A., Erbad, A., Nahom, H., Albaseer, A., Abdallah, M., Guizani, M., FDRL Approach for Association and Resource Allocation in Multi-UAV Air-To-Ground IoMT Network (2022) TechRxiv; Jia, F., Song, Y., UAV Automation Control System Based on an Intelligent Sensor Network (2022) J. Sens, 2022, p. 7143194; Razdan, S., Sharma, S., Internet of Medical Things (IoMT): Overview, Emerging Technologies, and Case Studies (2022) IETE Tech. Rev, 39, pp. 775-788; Khan, A.A., Laghari, A.A., Gadekallu, T.R., Shaikh, Z.A., Javed, A.R., Rashid, M., Estrela, V.V., Mikhaylov, A., A drone-based data management and optimization using metaheuristic algorithms and blockchain smart contracts in a secure fog environment (2022) Comput. Electr. Eng, 102, p. 108234</t>
  </si>
  <si>
    <t>2-s2.0-85145820540</t>
  </si>
  <si>
    <t>Smart iomt framework for supporting uav systems with ai</t>
  </si>
  <si>
    <t>Wiśniewski J., Biecek P.</t>
  </si>
  <si>
    <t>57221866023;23003457600;</t>
  </si>
  <si>
    <t>fairmodels: a Flexible Tool for Bias Detection, Visualization, and Mitigation in Binary Classification Models</t>
  </si>
  <si>
    <t>R Journal</t>
  </si>
  <si>
    <t>10.32614/RJ-2022-019</t>
  </si>
  <si>
    <t>https://www.scopus.com/inward/record.uri?eid=2-s2.0-85137620716&amp;doi=10.32614%2fRJ-2022-019&amp;partnerID=40&amp;md5=b49253366aee16e545c083cc2b797bf3</t>
  </si>
  <si>
    <t>Warsaw University of Technology, Faculty of Mathematics and Information Science, Poland; University of Warsaw, Faculty of Mathematics, Informatics, and Mechanics, Poland</t>
  </si>
  <si>
    <t>Wiśniewski, J., Warsaw University of Technology, Faculty of Mathematics and Information Science, Poland; Biecek, P., Warsaw University of Technology, Faculty of Mathematics and Information Science, Poland, University of Warsaw, Faculty of Mathematics, Informatics, and Mechanics, Poland</t>
  </si>
  <si>
    <t>Machine learning decision systems are becoming omnipresent in our lives. From dating apps to rating loan seekers, algorithms affect both our well-being and future. Typically, however, these systems are not infallible. Moreover, complex predictive models are eager to learn social biases present in historical data that may increase discrimination. If we want to create models responsibly, we need tools for in-depth validation of models also from potential discrimination. This article introduces an R package fairmodels that helps to validate fairness and eliminate bias in binary classification models quickly and flexibly. The fairmodels package offers a model-agnostic approach to bias detection, visualization, and mitigation. The implemented functions and fairness metrics enable model fairness validation from different perspectives. In addition, the package includes a series of methods for bias mitigation that aim to diminish the discrimination in the model. The package is designed to examine a single model and facilitate comparisons between multiple models © 2022, R Journal.All Rights Reserved.</t>
  </si>
  <si>
    <t>Agrawal, A., Pfisterer, F., Bischl, B., Chen, J., Sood, S., Shah, S., Buet-Golfouse, F., Vollmer, S., Debiasing classifiers: Is reality at variance with expectation? (2020) Electronic, , [p240]; Angwin, J., Larson, J., Mattu, S., Kirchner, L., Machine bias: There's software used across the country to predict future criminals. And it's biased against blacks (2016) ProPublica, , https://www.propublica.org/article/machine-bias-risk-assessments-in-criminal-sentencing, [p227]; Barocas, S., Hardt, M., Narayanan, A., (2019) Fairness and Machine Learning, , http://www.fairmlbook.org, fairmlbook.org, [p227, 228, 229, 230]; Bellamy, R. K. E., Dey, K., Hind, M., Hoffman, S. C., Houde, S., Kannan, K., Lohia, P., Zhang, Y., (2018) AI Fairness 360: An extensible toolkit for detecting, understanding, and mitigating unwanted algorithmic bias, , https://arxiv.org/abs/1810.01943, Oct. [p228, 237]; Berk, R., Heidari, H., Jabbari, S., Kearns, M., Roth, A., Fairness in criminal justice risk assessments: The state of the art (2017) Sociological Methods &amp; Research, , https://doi.org/10.1177/0049124118782533, 03 [p229, 236]; Biecek, P, DALEX: Explainers for Complex Predictive Models in R (2018) Journal of Machine Learning Research, 19 (84), pp. 1-5. , http://jmlr.org/papers/v19/18-416.html, [p231, 234]; Biecek, P, Burzykowski, T., (2021) Explanatory Model Analysis, , https://pbiecek.github.io/ema/, Chapman and Hall/CRC, New York, ISBN 9780367135591. [p228]; Binns, R., On the apparent conflict between individual and group fairness (2020) Proceedings of the 2020 Conference on Fairness, Accountability, and Transparency, FAT* '20, pp. 514-524. , https://doi.org/10.1145/3351095.3372864, page New York, NY, USA, Association for Computing Machinery. ISBN 9781450369367. [p228]; Bird, S., Dudík, M., Edgar, R., Horn, B., Lutz, R., Milan, V., Sameki, M., Walker, K., (2020) Fairlearn: A toolkit for assessing and improving fairness in AI, , https://www.microsoft.com/en-us/research/publication/fairlearn-a-toolkit-for-assessing-and-improving-fairness-in-ai/, Technical Report MSR-TR-2020-32, Microsoft, [p228]; Buolamwini, J., Gebru, T., Gender shades: Intersectional accuracy disparities in commercial gender classification (2018) Proceedings of the 1st Conference on Fairness, Accountability and Transparency, volume 81 of Proceedings of Machine Learning Research, pp. 77-91. , http://proceedings.mlr.press/v81/buolamwini18a.html, S. A. Friedler and C. Wilson, editors, pages New York, NY, USA, 23-24 Feb [p227]; Chouldechova, A., Fair prediction with disparate impact: A study of bias in recidivism prediction instruments (2016) Big Data, 5, p. 10. , https://doi.org/10.1089/big.2016.0047, [p229, 236]; Cirillo, D., Catuara-Solarz, S., Morey, C., Guney, E., Subirats, L., Mellino, S., Gigante, A., Mavridis, N., Sex and gender differences and biases in artificial intelligence for biomedicine and healthcare (2020) npj Digital Medicine, 3 (1), p. 81. , https://doi.org/10.1038/s41746-020-0288-5, ISSN 2398-6352. [p228]; (1978) Section 4d, uniform guidelines on employee selection procedures, , https://www.govinfo.gov/content/pkg/CFR-2014-title29-vol4/xml/CFR-2014-title29-vol4-part1607.xml, 1978. [p230]; Corbett-Davies, S., Pierson, E., Feller, A., Goel, S., Huq, A., Algorithmic decision making and the cost of fairness (2017) Proceedings of the 23rd ACM SIGKDD International Conference on Knowledge Discovery and Data Mining, KDD ’17, pp. 797-806. , https://doi.org/10.1145/3097983.3098095, page New York, NY, USA, Association for Computing Machinery. [p229, 236]; Guidelines on facial recognition, , https://www.coe.int/en/web/portal/-/facial-recognition-strict-regulation-is-needed-to-prevent-human-rights-violations-.[p228, 28 Jan 2021]; Dua, D., Graff, C., (2017) UCI machine learning repository, , https://archive.ics.uci.edu/ml/datasets/statlog+(german+credit+data, [p231]; Dwork, C., Hardt, M., Pitassi, T., Reingold, O., Zemel, R., Fairness through awareness (2012) Proceedings of the 3rd Innovations in Theoretical Computer Science Conference, ITCS ’12, pp. 214-226. , https://doi.org/10.1145/2090236.2090255, page New York, NY, USA, Association for Computing Machinery. [p228, 229, 236]; (2018) Handbook on european non-discrimination law, , [p230]; (2018) Handbook on European non-discrimination law, , https://fra.europa.eu/en/publication/2018/handbook-european-non-discrimination-law-2018-edition, Luxembourg: Publications Office of the European Union, [p227]; Feldman, M., Friedler, S. A., Moeller, J., Scheidegger, C., Venkatasubramanian, S., Certifying and removing disparate impact (2015) Proceedings of the 21th ACM SIGKDD International Conference on Knowledge Discovery and Data Mining, KDD '15, pp. 259-268. , https://doi.org/10.1145/2783258.2783311, page New York, NY, USA, Association for Computing Machinery. [p237]; (2017) H2O AutoML, , http://docs.h2o.ai/h2o/latest-stable/h2o-docs/automl.html, H2O.ai. June H2O version 3.30.0.1. [p228]; Hardt, M., Price, E., Price, E., Srebro, N., Equality of opportunity in supervised learning (2016) Advances in Neural Information Processing Systems, 29, pp. 3315-3323. , http://papers.nips.cc/paper/6374-equality-of-opportunity-in-supervised-learning.pdf, D. D. Lee, M. Sugiyama, U. Luxburg, I. Guyon, and R. Garnett, editors, pages Curran Associates, Inc., [p229, 230, 236, 237]; Kamiran, F., Calders, T., Data pre-processing techniques for classification without discrimination (2011) Knowledge and Information Systems, 33, p. 10. , https://doi.org/10.1007/s10115-011-0463-8, [p227,237, 239]; Kamiran, F., Karim, A., Zhang, X., Decision theory for discrimination-aware classification (2012) 2012 IEEE 12th International Conference on Data Mining, pp. 924-929. , https://doi.org/10.1109/ICDM.2012.45, [p239]; Kozodoi, N., Varga, T. V., (2021) fairness: Algorithmic Fairness Metrics, , https://CRAN.R-project.org/package=fairness, R package version 1.2.1. [p228]; Kozodoi, N., Jacob, J., Lessmann, S., Fairness in credit scoring: Assessment, implementation and profit implications (2021) European Journal of Operational Research, , ISSN 0377-2217. https://doi.org https://doi.org/10.1016/j.ejor.2021.06.023. [p230]; Lahoti, P, Gummadi, K. P, Weikum, G., ifair: Learning individually fair data representations for algorithmic decision making (2019) 2019 IEEE 35th International Conference on Data Engineering (ICDE), pp. 1334-1345. , https://doi.org/10.1109/ICDE.2019.00121, [p227]; Mehrabi, N., Morstatter, F., Saxena, N., Lerman, K., Galstyan, A., (2019) A survey on bias and fairness in machine learning, , https://arxiv.org/abs/1908.09635, [p227]; Plecko, D., Meinshausen, N., (2019) Fair data adaptation with quantile preservation, , https://arxiv.org/abs/1911.06685.[p228; Saleiro, P, Kuester, B., Stevens, A., Anisfeld, A., Hinkson, L., London, J., Ghani, R., (2018) Aequitas: A bias and fairness audit toolkit, , https://arxiv.org/abs/1811.05577, [p228]; Steinberg, D. C., Reid, A., O’Callaghan, S. T., (2020) Fairness measures for regression via probabilistic classification, , ArXiv, abs/2001.06089, [p241]; Wick, M., Panda, S., Tristan, J.-B., Unlocking fairness: a trade-off revisited (2019) Advances in Neural Information Processing Systems, 32, pp. 8783-8792. , https://proceedings.neurips.cc/paper/2019/file/373e4c5d8edfa8b74fd4b6791d0cf6dc-Paper.pdf, H. Wallach, H. Larochelle, A. Beygelzimer, F. d'Alché-Buc, E. Fox, and R. Garnett, editors, pages Curran Associates, Inc., [p227]; Wright, M. N., Ziegler, A., ranger: A fast implementation of random forests for high dimensional data in C++ and R (2017) Journal of Statistical Software, 77 (1), pp. 1-17. , [p233]</t>
  </si>
  <si>
    <t>Technische Universitaet Wien</t>
  </si>
  <si>
    <t>20734859</t>
  </si>
  <si>
    <t>R J.</t>
  </si>
  <si>
    <t>2-s2.0-85137620716</t>
  </si>
  <si>
    <t>Fairmodels: a flexible tool for bias detection, visualization, and mitigation in binary classification models</t>
  </si>
  <si>
    <t>Lavi G., Rosenblatt J., Gilead M.</t>
  </si>
  <si>
    <t>57773248800;55568509451;55093654400;</t>
  </si>
  <si>
    <t>A prediction-focused approach to personality modeling</t>
  </si>
  <si>
    <t>12650</t>
  </si>
  <si>
    <t>10.1038/s41598-022-16108-3</t>
  </si>
  <si>
    <t>https://www.scopus.com/inward/record.uri?eid=2-s2.0-85134726551&amp;doi=10.1038%2fs41598-022-16108-3&amp;partnerID=40&amp;md5=f5e5b1b9d29ff6aab091bb7cfb1609b1</t>
  </si>
  <si>
    <t>Department of Industrial Engineering and Management, Ben-Gurion University of the Negev, Beersheba, Israel; Pagaya Technologies, Tel Aviv, Israel; School of Psychological Sciences and Sagol School of Neuroscience, Tel Aviv University, Tel Aviv, Israel</t>
  </si>
  <si>
    <t>Lavi, G., Department of Industrial Engineering and Management, Ben-Gurion University of the Negev, Beersheba, Israel; Rosenblatt, J., Pagaya Technologies, Tel Aviv, Israel; Gilead, M., School of Psychological Sciences and Sagol School of Neuroscience, Tel Aviv University, Tel Aviv, Israel</t>
  </si>
  <si>
    <t>In the current study, we set out to examine the viability of a novel approach to modeling human personality. Research in psychology suggests that people’s personalities can be effectively described using five broad dimensions (the Five-Factor Model; FFM); however, the FFM potentially leaves room for improved predictive accuracy. We propose a novel approach to modeling human personality that is based on the maximization of the model’s predictive accuracy. Unlike the FFM, which performs unsupervised dimensionality reduction, we utilized a supervised machine learning technique for dimensionality reduction of questionnaire data, using numerous psychologically meaningful outcomes as data labels (e.g., intelligence, well-being, sociability). The results showed that our five-dimensional personality summary, which we term the “Predictive Five” (PF), provides predictive performance that is better than the FFM on two independent validation datasets, and on a new set of outcome variables selected by an independent group of psychologists. The approach described herein has the promise of eventually providing an interpretable, low-dimensional personality representation, which is also highly predictive of behavior. © 2022, The Author(s).</t>
  </si>
  <si>
    <t>article; controlled study; dimensionality reduction; human; human experiment; intelligence; outcome assessment; outcome variable; personality; plant leaf; prediction; psychologist; psychology; questionnaire; supervised machine learning; wellbeing; personality disorder; personality test; Humans; Intelligence; Personality; Personality Disorders; Personality Inventory; Surveys and Questionnaires</t>
  </si>
  <si>
    <t>Newcomb, T., Heider, F., The psychology of interpersonal relations (1958) Am. Sociol. Rev., 23, p. 742; Dweck, C.S., (2013) Self-Theories: Their Role in Motivation, Personality, and Development, , Psychology press, London; Swann, W.B., Jr., Quest for accuracy in person perception: A matter of pragmatics (1984) Psychol. Rev., 91, pp. 457-477; Ægisdóttir, S., The meta-analysis of clinical judgment project: Fifty-six years of accumulated research on clinical versus statistical prediction (2006) Couns. Psychol., 34, pp. 341-382; Allport, G.W., Odbert, H.S., Trait-names: A psycho-lexical study (1936) Psychol. Monogr., 47, pp. i; Costa, P.T., Jr., McCrae, R.R., Personality: Another ‘hidden factor’ is stress research (1990) Psychol. Inq., 1, pp. 22-24; Allik, I., Allik, I.U., (2002) The Five-Factor Model of Personality Across Cultures, , Springer, Berlin; Benet-Martínez, V., John, O.P., Los Cinco Grandes across cultures and ethnic groups: Multitrait-multimethod analyses of the Big Five in Spanish and English (1998) J. Pers. Soc. Psychol., 75, pp. 729-750; Laajaj, R., Challenges to capture the big five personality traits in non-WEIRD populations (2019) Sci. Adv., 5, p. eaaw5226; John, O.P., The ‘Big Five’ factor taxonomy: Dimensions of personality in the natural language and in questionnaires (1990) Handbook of Personality: Theory and Research; McCrae, R.R., Costa, P.T., Clinical assessment can benefit from recent advances in personality psychology (1986) Am. Psychol., 41, pp. 1001-1003; John, O.P., Srivastava, S., The Big Five trait taxonomy: History, measurement, and theoretical perspectives (1999) Handbook of Personality: Theory And; Gilead, M., Trope, Y., Liberman, N., Above and beyond the concrete: The diverse representational substrates of the predictive brain (2019) Behav. Brain Sci., 43; Chen, L., Curse of dimensionality (2018) Encycl. Database Syst.; Kosinski, M., Stillwell, D., Graepel, T., Private traits and attributes are predictable from digital records of human behavior (2013) Proc. Natl. Acad. Sci. USA, 110, pp. 5802-5805. , COI: 1:CAS:528:DC%2BC3sXnsFKksLw%3D; Confessore, N., Cambridge Analytica and Facebook: The Scandal and the Fallout So Far (2018) The New York Times; Harari, Y.N., (2016) Homo Deus: A Brief History of Tomorrow, , Random House, London; Hough, L.M., The ‘Big Five’ personality variables-construct confusion: Description versus prediction (1992) Hum. Perform., 5, pp. 139-155; Sibley, C.G., Osborne, D., Duckitt, J., Personality and political orientation: Meta-analysis and test of a threat-constraint model (2012) J. Res. Pers., 46, pp. 664-677; Morgeson, F.P., Are we getting fooled again? Coming to terms with limitations in the use of personality tests for personnel selection (2007) Pers. Psychol., 60, pp. 1029-1049; Gibney, E., The scant science behind Cambridge Analytica’s controversial marketing techniques (2018) Nature; Matz, S.C., Kosinski, M., Nave, G., Stillwell, D.J., Psychological targeting as an effective approach to digital mass persuasion (2017) Proc. Natl. Acad. Sci. USA, 114, pp. 12714-12719. , COI: 1:CAS:528:DC%2BC2sXhvVSisbjN; Roberts, B.W., Kuncel, N.R., Shiner, R., Caspi, A., Goldberg, L.R., The power of personality: The comparative validity of personality traits, socioeconomic status, and cognitive ability for predicting important life outcomes (2007) Perspect. Psychol. Sci., 2, pp. 313-345; Kosinski, M., Matz, S.C., Gosling, S.D., Popov, V., Stillwell, D., Facebook as a research tool for the social sciences: Opportunities, challenges, ethical considerations, and practical guidelines (2015) Am. Psychol., 70, pp. 543-556; Stillwell &amp; Kosinski. MyPersonality project: Example of successful utilization of online social networks for large-scale social research Am. Psychol; Goldberg, L.R., The development of markers for the Big-Five factor structure (1992) Psychol. Assess., 4, pp. 26-42; Stillwell, D.J., (2015), Kosinski, M. myPersonality Project website; Diener, E.D., Emmons, R.A., Larsen, R.J., Griffin, S., The satisfaction with life scale (1985) J. Pers. Assess., 49, pp. 71-75. , COI: 1:STN:280:DC%2BD2MnotFamuw%3D%3D; Schwartz, S.H., Universals in the content and structure of values: Theoretical advances and empirical tests in 20 countries (1992) Advances in Experimental Social Psychology, 25, pp. 1-65. , Zanna MP, (ed), Academic Press, New York; Baron-Cohen, S., Wheelwright, S., The empathy quotient: an investigation of adults with Asperger syndrome or high functioning autism, and normal sex differences (2004) J. Autism Dev. Disord., 34, pp. 163-175; Radloff, L.S., The CES-D Scale: A self-report depression scale for research in the general population (1977) Appl. Psychol. Meas., 1, pp. 385-401; Cucina, J.M., Goldenberg, R., Vasilopoulos, N.L., Confirmatory factor analysis of the NEO-PI-R equivalent IPIP inventory (2005) PsycEXTRA Dataset; Chen, L., Sparse Reduced-Rank Regression for Simultaneous Dimension Reduction and Variable Selection in Multivariate Regression; Henseler, J., Ringle, C.M., Sarstedt, M., A new criterion for assessing discriminant validity in variance-based structural equation modeling (2015) J. Acad. Mark. Sci., 43, pp. 115-135; Campbell, D.T., Fiske, D.W., Convergent and discriminant validation by the multitrait-multimethod matrix (1959) Psychol. Bull., 56, pp. 81-105. , COI: 1:STN:280:DyaG1M%2FmtlyqsA%3D%3D; Winnicott, D.W., (1969) The Child, the Family, and the Outside World: By DW Winnicott, , Penguin Books, London; Bowlby, J., (2005) A Secure Base: Clinical Applications of Attachment Theory, , Taylor &amp; Francis, New York; Smith, A.D., Food fussiness and food neophobia share a common etiology in early childhood (2017) J. Child Psychol. Psychiatry, 58, pp. 189-196; Verhulst, B., Neale, M.C., Kendler, K.S., The heritability of alcohol use disorders: A meta-analysis of twin and adoption studies (2015) Psychol. Med., 45, pp. 1061-1072. , COI: 1:STN:280:DC%2BC2M%2Fmt1Olsg%3D%3D; Chen, J., Yu, J., Zhang, J., Li, X., McGue, M., Investigating genetic and environmental contributions to adolescent externalizing behavior in a collectivistic culture: A multi-informant twin study (2015) Psychol. Med., 45, pp. 1989-1997. , COI: 1:STN:280:DC%2BC2MvltFWhsg%3D%3D; Arrindell, W.A., The development of a short form of the EMBU: Its appraisal with students in Greece, Guatemala, Hungary and Italy (1999) Pers. Individ. Dif., 27, pp. 613-628; Schönbrodt, F.D., Perugini, M., At what sample size do correlations stabilize? (2013) J. Res. Pers., 47, pp. 609-612; Murray, H.A., (1938) Explorations in Personality: A Clinical and Experimental Study of Fifty Men of College Age, 761; Jackson, D.N., (1965) Personality research form, , Research psychologists Press; Pratto, F., Sidanius, J., Stallworth, L.M., Malle, B.F., Social dominance orientation: A personality variable predicting social and political attitudes (1994) J. Pers. Soc. Psychol., 67, pp. 741-763; Higgins, E.T., Kruglanski, A.W., Pierro, A., Regulatory mode: Locomotion and assessment as distinct orientations (2003) Advances in Experimental Social Psychology, 35, pp. 293-344. , Zanna MP, (ed), New York, Elsevier Academic Press; Leung, K., Koch, P.T., Lu, L., A dualistic model of harmony and its implications for conflict management in Asia (2002) Asia Pac. J. Manag., 19, pp. 201-220; Saucier, G., Srivastava, S., What makes a good structural model of personality? Evaluating the Big Five and alternatives (2015) APA Handbook Person. Soc. Psychol., 4, pp. 283-305; Salgado, J.F., The big five personality dimensions and counterproductive behaviors (2002) Int. J. Select. Assess., 10, pp. 117-125; Stewart, R.D., Mõttus, R., Seeboth, A., Soto, C.J., Johnson, W., The finer details? The predictability of life outcomes from Big Five domains, facets, and nuances (2022) J. Pers., 90, pp. 167-182</t>
  </si>
  <si>
    <t>2-s2.0-85134726551</t>
  </si>
  <si>
    <t>Çakmak F.</t>
  </si>
  <si>
    <t>55980255200;</t>
  </si>
  <si>
    <t>Chatbot-Human Interaction and Its Effects on EFL Students’ L2 Speaking Performance and Anxiety [Chatbot-İnsan Etkileşimi ve İngilizceyi Yabancı Dil Olarak Öğrenen Öğrencilerin İkinci Dil Konuşma Performansı ve Kaygısı Üzerine Etkisi]</t>
  </si>
  <si>
    <t>Novitas-ROYAL</t>
  </si>
  <si>
    <t>113</t>
  </si>
  <si>
    <t>131</t>
  </si>
  <si>
    <t>https://www.scopus.com/inward/record.uri?eid=2-s2.0-85142923396&amp;partnerID=40&amp;md5=a7f9ac30131ac58e0543ac4c6251ee0d</t>
  </si>
  <si>
    <t>Alanya Alaaddin Keykubat University, Antalya, Turkey</t>
  </si>
  <si>
    <t>Çakmak, F., Alanya Alaaddin Keykubat University, Antalya, Turkey</t>
  </si>
  <si>
    <t>Recently, chatbot interactions have been used for oral communication practice in the field of foreign language education. Some existing studies have highlighted the use of chatbots in relation to specific L2 skills, yet unfortunately, the user experience component of chatbot interaction has not been empirically researched. This study investigates the effect of chatbot-human interaction with the chatbot Replika on L2 speaking performance and speaking anxiety. The participants in the current study were 90 EFL students from a state university in Turkey. They used the application Replika for twelve weeks practicing targeted subjects outside the class. Each student was assessed with the L2 speaking anxiety scale both before and after the intervention. Also, an open-ended questionnaire was administered to collect their perceptions of using chatbots for L2 speaking practice. The interactions with the chatbot were screen taped for a randomly chosen speaking task: Well-being. The findings reveal that there were negative perceptions and attitudes toward the chatbot interaction. Students reported facing difficulties in being understood precisely, which might have contributed to higher anxiety in L2 speaking. Notably, student performance with Replika was significantly better than their face-to-face peer interactions. Overall, the results show that although chatbot interaction is a novel way to provide speaking practice for students, the actual interaction with a chatbot might not be a reliable way to lessen their anxiety with L2 speaking. © 2022 Children Research Center. All Rights Reserved.</t>
  </si>
  <si>
    <t>Chatbot; intelligent agents; L2 speaking anxiety; oral communication skills; Replika</t>
  </si>
  <si>
    <t>Adamopoulou, E., Moussiades, L., An overview of chatbot technology (2020) IFIP Advances in ınformation and communication technology, 584, pp. 373-383. , https://doi.org/10.1007/978-3-030-49186-4_31, I. Maglogiannis, L. Iliadis &amp; E. Pimenidis (Eds), –). Springer; Alemi, M., Meghdari, A., Ghazisaedy, M., The impact of social robotics on L2 learners’ anxiety and attitude in English vocabulary acquisition (2015) International Journal of Social Robotics, 7 (4), pp. 523-535. , https://doi.org/10.1007/s12369-015-0286-y; Allan, D., (2004) Oxford placement test, , Oxford: Oxford University Press; Ataş, M., The reduction of speaking anxiety in EFL learners through drama techniques (2015) Procedia- Social and Behavioral Sciences, 176, pp. 961-969. , https://doi.org/10.1016/j.sbspro.2015.01.565; Bao, M., Can home use of speech-enabled artificial intelligence mitigate foreign language anxiety: Investigation of a concept (2019) Arab World English Journal, 5, pp. 28-40. , https://dx.doi.org/10.24093/awej/call5.3; Bashori, M., van Hout, R., Strik, H., Cucchiarini, C., Effects of ASR-based websites on EFL learners’ vocabulary, speaking anxiety, and language enjoyment (2021) System, 99. , https://doi.org/10.1016/j.system.2021.102496; Bibauw, S., François, T., Desmet, P., Dialogue systems for language learning: Chatbots and beyond (2022) The Routledge handbook of second language acquisition and technology, pp. 121-134. , https://doi.org/10.4324/9781351117586-12, N. Ziegler &amp; M. González-Lloret (Eds), –). Abingdon, Oxon: Routledge; Braun, V., Clarke, V., Using thematic analysis in psychology (2006) Qualitative Research in Psychology, 3 (2), pp. 77-101. , https://doi.org/10.1191/1478088706qp063oa; Burgoon, J. K., The unwillingness-to communicate scale: Development and validation (1976) Communication Monographs, 43, pp. 60-69. , https://doi.org/10.1080/03637757609375916; Burns, A., Concepts for teaching speaking in the English language classroom (2019) Learn Journal: Language Education and Acquisition Research Network, 2 (1), pp. 1-11. , https://files.eric.ed.gov/fulltext/EJ1225673.pdf, Retrieved from; Ciechanowski, L., Przegalinska, A., Magnuski, M., Gloor, P., In the shades of the uncanny valley: An experimental study of human–chatbot interaction (2019) Future Generation Computer Systems, 92, pp. 539-548. , https://doi.org/10.1016/j.future.2018.01.055; Costa, P., Conversing with personal digital assistants: On gender and artificial intelligence (2018) Journal of Science and Technology of the Arts, 10 (3), pp. 59-72. , https://doi.org/10.7559/citarj.v10i3.563; (2018) Qualitative aspects of spoken language use - Table 3 (CEFR 3.3): Common reference levels, , https://www.coe.int/en/web/commoneuropean-framework-reference-languages/table-3-cefr-3.3-common-referencelevels-qualitative-aspects-of-spoken-language-use, Retrieved from; Chen, X., Zou, D., Xie, H., Cheng, G., Twenty years of personalized language learning: Topic modeling and knowledge mapping (2021) Educational Technology &amp; Society, 24 (1), pp. 205-222. , https://www.jstor.org/stable/26977868; Creswell, J. W., Plano Clark, V. L., (2018) Designing and conducting mixed methods research, , (3rd ed). Thousand Oaks, CA: SAGE; Çağatay, S., Examining EFL students’ foreign language speaking anxiety: The case at a Turkish state university (2015) Procedia - Social and Behavioral Sciences, 199, pp. 648-656. , https://doi.org/10.1016/j.sbspro.2015.07.594; Dizon, G., Evaluating intelligent personal assistants for L2 listening and speaking development (2020) Language Learning &amp; Technology, 24 (1), pp. 16-26. , https://www.lltjournal.org/item/10125-44705/, Retrieved from; El Shazly, R., Effects of artificial intelligence on English speaking anxiety and speaking performance: A case study (2021) Expert Systems, 38 (3), pp. 1-15. , https://doi.org/10.1111/exsy.12667; Ely, C. M., An analysis of discomfort, risk-taking, sociability, and motivation in the L2 classroom (1986) Language Learning, 36, pp. 1-25. , https://doi.org/10.1111/j.14671770.1986.tb00366.x; Fryer, L., Carpenter, R., Bots as language learning tools (2006) Language Learning &amp; Technology, 10 (3), pp. 8-14. , https://www.learntechlib.org/p/74498/, Retrieved from; Fryer, L. K., Ainley, M., Thompson, A., Gibson, A., Sherlock, Z., Stimulating and sustaining interest in a language course: An experimental comparison of chatbot and human task partners (2017) Computers in Human Behavior, 75, pp. 461-468. , https://doi.org/10.1016/j.chb.2017.05.045; Fryer, L. K., Nakao, K., Thompson, A., Chatbot learning partners: Connecting learning experiences, interest and competence (2019) Computers in Human Behavior, 93, pp. 279-289. , https://doi.org/10.1016/j.chb.2018.12.023; Fryer, L. K., Coniam, D., Carpenter, R., Lăpușneanu, D., Bots for language learning now: Current and future directions (2020) Language Learning &amp; Technology, 24 (2), pp. 8-22. , https://www.lltjournal.org/item/10125-44719/, Retrieved from; Galante, A., Drama for L2 speaking and language anxiety: Evidence from Brazilian EFL Learners (2018) RELC Journal, 49 (3), pp. 273-289. , https://doi.org/10.1177/0033688217746205; Goh, C. C. M., Burns, A., (2012) Teaching speaking: A holistic approach, , New York: Cambridge University Press; Gallacher, A., Thompson, A., Howarth, M., My robot is an idiot!” – Students’ perceptions of AI in the L2 classroom (2018) Future-proof CALL: Language learning as exploration and encounters – short papers from EUROCALL 2018, pp. 70-76. , https://doi.org/10.14705/rpnet.2018.26.815, P. Taalas, J. Jalkanen, L. Bradley &amp; S. Thouësny (Eds), –); Gürsoy, E., Korkmaz, H., Speaking anxiety of freshmen and senior prospective ELT teachers (2018) Eğitimde Kuram ve Uygulama, 14 (1), pp. 48-60. , https://doi.org/10.17244/eku.346886; Hamzaoğlu, H., Koçoğlu, Z., The application of podcasting as an instructional tool to improve Turkish EFL learners’ speaking anxiety (2016) Educational Media International, 53, pp. 313-326. , https://doi.org/10.1080/09523987.2016.1254889; He, D., What makes learners anxious while speaking English?: A comparative study of the perceptions held by university students and teachers in China (2013) Educational Studies, 39 (3), pp. 338-350. , https://doi.org/10.1080/03055698.2013.764819; Horwitz, E. K., Horwitz, M. B., Cope, J. A., Foreign language classroom anxiety (1986) The Modern Language Journal, 70 (2), pp. 125-132. , http://dx.doi.org/10.2307/327317; Huang, W., Hew, K. F., Fryer, L. K., Chatbots for language learning—Are they really useful? A systematic review of chatbot-supported language learning (2022) Journal of Computer Assisted Learning, 38 (1), pp. 237-257. , https://doi.org/10.1111/jcal.12610; Jiang, M. Y., Jong, M. S., Wu, N., Shen, B., Chai, C. S., Lau, W. W., Huang, B., Integrating automatic speech recognition technology into vocabulary learning in a flipped English class for Chinese college students (2022) Frontiers in Psychology, 13, p. 902429. , https://doi.org/10.3389/fpsyg.2022.902429; Johnson, W. L., Wang, N., The role of politeness in interactive educational software for language tutoring (2010) Human-computer etiquette: Cultural expectations and the design implications they place on computers and technology, pp. 91-113. , https://doi.org/10.1201/b10420, C. C. Hayes &amp; C. A. Miller (Eds), –). New York: Auerbach Publications; Kılıçkaya, F., Using a chatbot, Replika, to practice writing through conversations in L2 English: A case study (2020) New technological applications for foreign and second language learning and teaching, pp. 221-238. , M. Kruk &amp; M. Peterson (Eds), –). New York: IGI Global; Kim, N. Y., Cha, Y., Kim, H.- S., Future English learning: Chatbots and artificial intelligence (2019) Multimedia Assisted Language Learning, 22 (3), pp. 32-53. , https://doi.org/10.15702/mall.2019.22.3.32; Kim, H.-S., Cha, Y., Kim, N. Y., Effects of AI chatbots on EFL students’ communication skills (2021) Korean Journal of English Language and Linguistics, 21, pp. 712-734. , https://doi.org/10.15738/kjell.21..202108.712; Liu, M., Jackson, J., An exploration of Chinese EFL learners’ unwillingness to communicate and foreign language anxiety (2008) The Modern Language Journal, 92 (1), pp. 72-86. , https://doi.org/10.1111/j.1540-4781.2008.00687.x; Lucas, G. M., Gratch, J., King, A., Morency, L.-P., It’s only a computer: Virtual humans increase willingness to disclose (2014) Computers in Human Behavior, 37, pp. 94-100. , https://doi.org/10.1016/j.chb.2014.04.043; Moussalli, S., Cardoso, W., Are commercial ‘personal robots’ ready for Language learning? Focus on second language speech (2016) CALL communities and culture – short papers from EuroCALL 2016, pp. 325-329. , https://doi.org/10.14705/rpnet.2016.eurocall2016.583, S. Papadima-Sophocleous, L. Bradley &amp; S. Thouësny (Eds), –); Moussalli, S., Cardoso, W., Intelligent personal assistants: Can they understand and be understood by accented L2 learners? (2020) Computer Assisted Language Learning, 33 (8), pp. 865-890. , https://doi.org/10.1080/09588221.2019.1595664; Nordberg, O. E., Wake, J. D., Nordby, E. S., Flobak, E., Nordgreen, T., Mukhiya, S. K., Guribye, F., Designing chatbots for guiding online peer support conversations for adults with ADHD (2019) Chatbot research and design– Third International Workshop, CONVERSATIONS 2019, pp. 113-126. , Cham, Switzerland: Springer; Ortega, L., (2014) Understanding second language acquisition, , New York, NY: Routledge; Oxford, R. L., Powerfully positive: Searching for a model of language learner well-being (2016) Positive psychology perspectives on foreign language learning and teaching, pp. 21-37. , https://doi.org/10.1007/978-3-319-32954-3, D. Gabrys Barker &amp; D. Gałajda (Eds), –); Öztürk, G., Gürbüz, N., Speaking anxiety among Turkish EFL learners: The case at a state university (2014) Journal of Language and Linguistic Studies, 10 (1), pp. 1-17. , https://dergipark.org.tr/en/pub/jlls/issue/9938/122913, Retrieved from; Qinghua, Y., Satar, M., English as a foreign language learner interaction with chatbots: Negotiation for meaning (2020) International Online Journal of Education and Teaching (IOJET), 7 (2), pp. 390-410. , http://iojet.org/index.php/IOJET/article/view/707, Retrieved from; Tai, T. Y., Chen, H. H. J., The impact of Google Assistant on adolescent EFL learners’ willingness to communicate (2020) Interactive Learning Environments, pp. 1-18. , https://doi.org/10.1080/10494820.2020.1841801; Tercan, G., Dikilitaş, K., EFL students’ speaking anxiety: a case from tertiary level students (2015) ELT Research Journal, 4 (1), pp. 16-27. , https://dergipark.org.tr/en/download/article-file/63653, Retrieved from; Thomas, N., Teaching L2 speaking: Recommending a holistic approach (2019) rEFLections: A Journal of Language Education, 26 (1), pp. 134-145. , https://files.eric.ed.gov/fulltext/EJ1271172.pdf; Toyama, M., Yamazaki, Y., Classroom interventions and foreign language anxiety: A systematic review with narrative approach (2021) Frontiers in Psychology, 12, p. 614184. , https://doi.org/10.3389/fpsyg.2021.614184; Underwood, J., Exploring AI language assistants with primary EFL students (2017) Short papers from EUROCALL 2017, pp. 317-321. , K. Borthwick, L. Bradley, &amp; S. Thouësny (Eds), –). Southampton, United Kingdom: Research-Publishing.net; Wang, N., Johnson, W. L., Mayer, R. E., Rizzo, P., Shaw, E., Collins, H., The politeness effect: Pedagogical agents and learning outcomes (2008) International Journal of Human Computer Studies, 66, pp. 96-112. , https://doi.org/10.1016/j.ijhcs.2007.09.003; Weber, J., Helpless machines and true loving care givers: A feminist critique of recent trends in human-robot interaction (2005) Journal of Information, Communication and Ethics in Society, 3, pp. 309-218. , https://doi.org/10.1108/14779960580000274; Weizenbaum, J., ELIZA-A computer program for the study of natural language communication between man and machine (1966) Communications of the ACM, 9 (1), pp. 36-45. , https://doi.org/10.1145/365153.365168; Xiangming, L., Liu, M., Zhang, C., Technological impact on language anxiety dynamic (2020) Computer &amp; Education, 150, pp. 1-12. , https://doi.org/10.1016/j.compedu.2020.103839; Yang, H., Kim, H., Lee, J., Shin, D., Implementation of an AI chatbot as an English conversation partner in EFL speaking classes (2022) ReCALL FirstView, pp. 1-17. , https://doi.org/10.1017/S0958344022000039; Zarei, A. A., Rezadoust, H., The effects of scaffolded and unscaffolded feedback on speaking anxiety and self-efficacy (2020) Journal of Modern Research in English Language Studies, 7 (4), pp. 111-132. , https://doi.org/10.30479/JMRELS.2020.13464.1655; Zhao, Y., Recent developments in technology and language learning: A literature review and meta-analysis (2003) CALICO Journal, 21 (1), pp. 7-27. , http://www.jstor.org/stable/24149478, Retrieved from</t>
  </si>
  <si>
    <t>Children Research Center</t>
  </si>
  <si>
    <t>13074733</t>
  </si>
  <si>
    <t>Novitas. R.</t>
  </si>
  <si>
    <t>2-s2.0-85142923396</t>
  </si>
  <si>
    <t>Chatbot-human interaction and its effects on efl students’ l2 speaking performance and anxiety [chatbot-i̇nsan etkileşimi ve i̇ngilizceyi yabancı dil olarak öğrenen öğrencilerin i̇kinci dil konuşma performansı ve kaygısı üzerine etkisi]</t>
  </si>
  <si>
    <t>Smile R., Ramalingeswara Rao N.M.</t>
  </si>
  <si>
    <t>57211390840;57205743029;</t>
  </si>
  <si>
    <t>Efficient low power intelligent health care monitoring system using IOT</t>
  </si>
  <si>
    <t>International Journal of Innovative Technology and Exploring Engineering</t>
  </si>
  <si>
    <t>1707</t>
  </si>
  <si>
    <t>1711</t>
  </si>
  <si>
    <t>10.35940/ijitee.L3180.1081219</t>
  </si>
  <si>
    <t>https://www.scopus.com/inward/record.uri?eid=2-s2.0-85073731781&amp;doi=10.35940%2fijitee.L3180.1081219&amp;partnerID=40&amp;md5=a49a567a4276363682f580ea8334d154</t>
  </si>
  <si>
    <t>Electronics and Communication Engineering, Godavari inst. Of Engineering and Technology, Rajahmundry, India</t>
  </si>
  <si>
    <t>Smile, R., Electronics and Communication Engineering, Godavari inst. Of Engineering and Technology, Rajahmundry, India; Ramalingeswara Rao, N.M., Electronics and Communication Engineering, Godavari inst. Of Engineering and Technology, Rajahmundry, India</t>
  </si>
  <si>
    <t>The present paper presents wellbeing checking framework for patients. In every one of the cases existences of individual behind the patient in current days are hard to screen, even in the medicinal services focus it might have the shot of possibility to happen uneven things in basic conditions. Keeping in mind the end goal to evade this issue this frame work will fare the well and effectively exchange data of patient to relatives, as well even the patient was not in the premises of healing facility. Data of the patient can be sent to relatives and alarms them by sending message. By utilizing this framework we can get GPS information of the patient, thereof we can rapidly get involves in basic circumstances. We can locate the patient fall discovery by the status of patient and can have an eye without being there with persistent. The major factor that play important role in wearables is power consumption, the least power drowning model has been developed in this system. And the controller runs Real Time Operating System (RTOS) to execute tasks almost at the same time. The cloud service used here is the amazon IoT, and there is a chance to analyze the data with machine learning models to predict the future abnormal situations. © BEIESP.</t>
  </si>
  <si>
    <t>Accelerometer; ECG signal acquisition; Fall detection; GPS; GSM-GPRS; IoT; Machine learning; Power modes; RTOS</t>
  </si>
  <si>
    <t>Zhang, Y., Ansari, N., Tsunoda, H., Wireless Telemedicine Services over Integrated IEEE 802.11/WLAN and IEEE 802.16/WiMAX Networks (2010) IEEE Wireless Communications, 17 (1), pp. 30-36. , Feb; Depari, A., Flammini, A., Sisinni, E., Vezzoli, A., A wearable smartphone-based system for electrocardiogram acquisition (2014) Proc. IEEE Int. Symp. Medical Measurements and Applications (Memea), pp. 1-6. , Jun; Sergio, G.V., Chen, M., Leung, C.M., Mobility Support for Health Monitoring at Home Using Wearable Sensors (2011) IEEE Trans. Inf. Technol. Biomed., 15 (4), pp. 539-549. , Jul; Araujo, L.V., Letti, B.C., Cantagalli, F.T., Silva, G.S., A Health Mobile Application and Architecture to Support and Automate In-home Consultation (2015) Proc. IEEE 28Th Int. Symp. Computer-Based Medical Systems (CMBS), pp. 151-156. , Jun; Lin, B.S., Lin, B.S., Chou, N.K., Chong, F.C., Chen, S.J., RTWPMS: A real-time wireless physiological monitoring system (2006) IEEE Trans. Inf. Technol. Biomed., 10 (4), pp. 647-656. , Oct; Wang, C.H., Horng, M.F., Lee, J.W., Liu, Y.C., Tsai, R.S., Wang, W.T., Chang, L., Ssu, K.F., Development of Intelligent Home Health-Care Box Connecting Medical Equipment and Its Service Platform (2007) Proc. the 9Th Int. Conference on Advanced Communication Technology, pp. 311-315. , Feb; Kang, J., Shin, I.H., Koo, Y., Jung, M.Y., Suh, G.J., Kim, H.C., HSDPA (3.5G)-Based Ubiquitous Integrated Biotelemetry System for Emergency Care (2007) Proc. 2007 29Th Annual Int. Conference of the IEEE Engineering in Medicine and Biology Society, pp. 3665-3668. , Aug; Cheon, G., Shin, I.H., Jung, M.Y., Kim, H.C., Implementation of a Real-time Multi-Channel Gateway Server in Ubiquitous Integrated Biotelemetry System for Emergency Care (UIBSEC) Proc. 2009 Int</t>
  </si>
  <si>
    <t>Blue Eyes Intelligence Engineering and Sciences Publication</t>
  </si>
  <si>
    <t>22783075</t>
  </si>
  <si>
    <t>Int. J. Innov. Technol. Explor. Eng.</t>
  </si>
  <si>
    <t>2-s2.0-85073731781</t>
  </si>
  <si>
    <t>Efficient low power intelligent health care monitoring system using iot</t>
  </si>
  <si>
    <t>Rybinski K.</t>
  </si>
  <si>
    <t>6604062990;</t>
  </si>
  <si>
    <t>Exploring the influence of student emotions and professor behaviour on course ratings: a quantitative analysis</t>
  </si>
  <si>
    <t>Quality Assurance in Education</t>
  </si>
  <si>
    <t>10.1108/QAE-09-2022-0171</t>
  </si>
  <si>
    <t>https://www.scopus.com/inward/record.uri?eid=2-s2.0-85152073748&amp;doi=10.1108%2fQAE-09-2022-0171&amp;partnerID=40&amp;md5=9a4868715ad13b6e12b2b4e39b734d82</t>
  </si>
  <si>
    <t>Department of Business and International Relations, Vistula University, Warsaw, Poland; European Humanities University, Vilnius, Lithuania</t>
  </si>
  <si>
    <t>Rybinski, K., Department of Business and International Relations, Vistula University, Warsaw, Poland, European Humanities University, Vilnius, Lithuania</t>
  </si>
  <si>
    <t>Purpose: This paper aims to investigate the relationship between student emotions, professors' performance and course ratings and difficulty. Design/methodology/approach: 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 Negative emotions and bad performance by professors are detected more often for low-rated courses and courses perceived as more difficult by students. Positive emotions are seen for highly rated and less challenging courses. Practical implications: 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 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 © 2023, Emerald Publishing Limited.</t>
  </si>
  <si>
    <t>Course ratings; Natural language processing; Student emotions; Student evaluation of teaching; Teacher bad behaviour; Zero-shot learning</t>
  </si>
  <si>
    <t>Abbas, A., Haruna, H., Arrona-Palacios, A., Camacho-Zuñiga, C., Núñez-Daruich, S., Enríquez de la, O.J.F., Castaño-Gonzalez, R., Hosseini, S., Students' evaluations of teachers and recommendation based on course structure or teaching approaches: an empirical study based on the institutional dataset of student opinion survey (2022) Education and Information Technologies; Acheampong, F., Nunoo-Mensah, H., Chen, W., Transformer models for text-based emotion detection: a review of BERT-based approaches (2021) Artificial Intelligence Review, 54 (8), pp. 5789-5829; Ackerman, D., Chung, C., Is RateMyProfessors.com unbiased? A look at the impact of social modelling on student online reviews of marketing classes (2017) Journal of Marketing Education, 40 (3), pp. 188-195; Adams, S., Bekker, S., Fan, Y., Gordon, T., Shepherd, L., Slavich, E., Waters, D., Gender bias in student evaluations of teaching: 'Punish[ing] those who fail To do their gender right (2021) Higher Education, 83 (4), pp. 787-807; Araujo, M., Dormal, M., Schady, N., Childcare quality and child development (2018) Journal of Human Resources, 54 (3), pp. 656-682; Azab, M., Mihalcea, R., Abernethy, J., Analysing RateMyProfessors evaluations Across institutions, disciplines, and cultures: the Tell-Tale signs of a good professor (2016) Social Informatics, pp. 438-453. , Spiro, E. and Ahn, Y-Y., and,(Eds)., Lecture NotesComputer Science, Springer International Publishing, Cham; Boehmer, D., Wood, W., Student vs. faculty perspectives on quality instruction: Gender bias, 'hotness', and 'easiness' in evaluating teaching (2017) Journal of Education For Business, 92 (4), pp. 173-178; Boswell, S., Sohr-Preston, S., I checked the prof on ratemyprofessors: effect of anonymous, online student evaluations of professors on students' self-efficacy and expectations (2020) Social Psychology of Education, 23 (4), pp. 943-961; Chiang, K., Students' perspectives on RateMyProfessors.com: an empirical investigation of perception and attitude (2017) International Journal of Social Media And Interactive Learning Environments, 5 (1), pp. 21-31; Chou, S., Luo, J., Ramser, C., High-quality vs low-quality teaching (2020) Journal of International Education In Business, 14 (1), pp. 93-108; Chung Sea Law, D., Quality assurance in post‐secondary education: the student experience (2010) Quality Assurance in Education, 18 (4), pp. 250-270; Crumbley, L., Henry, B.K., Kratchman, S.H., Students' perceptions of the evaluation of college teaching (2001) Quality Assurance in Education, 9 (4), pp. 197-207; Cunningham-Nelson, S., Baktashmotlagh, M., Boles, W., Visualizing student opinion Through text analysis (2019) IEEE Transactions on Education, 62 (4), pp. 305-311; Cunningham-Nelson, S., Laundon, M., Cathcart, A., Beyond satisfaction scores: visualising student comments for whole-of-course evaluation (2021) Assessment and Evaluation in Higher Education, 46 (5), pp. 685-700; Darwin, S., From the local fringe to market Centre: analysing the transforming social function of student ratings in higher education (2020) Studies in Higher Education, 46 (9), pp. 1978-1990; de Boer, T., Van Rijnsoever, F., In search of valid non-cognitive student selection criteria (2022) Assessment and Evaluation in Higher Education, 47 (5), pp. 783-800; Devlin, J., Chang, M.-W., Lee, K., Toutanova, K., (2019) BERT: Pre-Training of deep bidirectional transformers for language understanding, , doi:, ArXiv; Dillon, E., Smith, J., The consequences of academic match between students and colleges (2019) Journal of Human Resources, 55 (3), pp. 767-808; Emery, C.R., Kramer, T.R., Tian, R.G., Return to academic standards: a critique of student evaluations of teaching effectiveness (2003) Quality Assurance in Education, 11 (1), pp. 37-46; Feld, J., Salamanca, N., Zolitz, U., Are professors worth it? The Value-Added and costs of tutorial instructors (2020) Journal of Human Resources, 55 (3), pp. 836-863; Felton, J., Koper, P., Mitchell, J., Stinson, M., Attractiveness, easiness and other issues: student evaluations of professors on ratemyprofessors.com (2008) Assessment and Evaluation in Higher Education, 33 (1), pp. 45-61; Flegl, M., Rosas, L.A.A., Do professor's age and gender matter or do students give higher value to professors' experience? (2019) Quality Assurance in Education, 27 (4), pp. 511-532; Goetz, T., Lüdtke, O., Nett, U., Keller, M., Lipnevich, A., Characteristics of teaching and students' emotions in the classroom: Investigating differences across domains (2013) Contemporary Educational Psychology, 38 (4), pp. 383-394; Hanushek, E., Piopiunik, M., Wiederhold, S., The value of smarter teachers. International evidence on teacher cognitive skills and student performance (2019) Journal of Human Resources, 54 (4), pp. 857-899; Heffernan, T., Sexism, racism, prejudice, and bias: a literature review and synthesis of research surrounding student evaluations of courses and teaching (2021) Assessment and Evaluation in Higher Education, 47 (1), pp. 144-154; Kreitzer, R., Sweet-Cushman, J., Evaluating student evaluations of teaching: a review of measurement and equity bias in SETs and recommendations for ethical reform (2021) Journal of Academic Ethics, 20 (1), pp. 73-84; Linse, A., Interpreting and using student ratings data: Guidance for faculty serving as administrators and on evaluation committees (2017) Studies in Educational Evaluation, 54, pp. 94-106; Liu, J., Loeb, S., Engaging teachers: Measuring the impact of teachers on student attendance in secondary school (2021) Journal of Human Resources, 56 (2), pp. 343-379; Mainhard, T., Oudman, S., Hornstra, L., Bosker, R., Goetz, T., Student emotions in class: the relative importance of teachers and their interpersonal relations with students (2018) Learning and Instruction, 53, pp. 109-119; Murray, D., Boothby, C., Zhao, H., Minik, V., Bérubé, N., Larivière, V., Sugimoto, C., Exploring the personal and professional factors associated with student evaluations of tenure-track faculty (2020) Plos One, 15 (6), p. e0233515; Okoye, K., Arrona-Palacios, A., Camacho-Zuñiga, C., Achem, J.A.G., Escamilla, J., Hosseini, S., Towards teaching analytics: a contextual model for analysis of students' evaluation of teaching through text mining and machine learning classification (2022) Education and Information Technologies, 27, pp. 3891-3933; Onan, A., Mining opinions from instructor evaluation reviews: a deep learning approach (2019) Computer Applications in Engineering Education, 28 (1), pp. 117-138; Park, M., What's important: an exploratory analysis of student evaluations About physics professors on RateMyProfessors.com (2019) Journal of College Science Teaching, 48 (4), pp. 36-44. , www.nsta.org/whats-important-exploratory-analysis-student-evaluations-about-physics-professors; Pounder, J., Quality teaching through transformational classroom leadership (2014) Quality Assurance in Education, 22 (3), pp. 273-285; Ran, F.X., Xu, D., Does contractual form matter? The impact of different types of non-tenure track faculty on college students’ academic outcomes (2019) Journal of Human Resources, 54 (4), pp. 1081-1120; Reber, J.S., Ridge, R.D., Downs, S.D., Perceptual and behavioral effects of expectations formed by exposure to positive or negative ratemyprofessors.com evaluations (2017) Cogent Psychology, 44 (1), p. 1338324; Reid, L.D., The role of perceived race and gender in the evaluation of college teaching on RateMyProfessors.com (2010) Journal of Diversity in Higher Education, 3 (3), pp. 137-152; Rocconi, L.M., Liu, X., Pike, G.R., The impact of Person-Environment fit on grades, perceived gains, and satisfaction: an application of holland's theory (2020) Higher Education, 80 (5), pp. 857-874; Rosen, A., Correlations, trends and potential biases among publicly accessible web-based student evaluations of teaching: a large-scale study of RateMyProfessors.com data (2018) Assessment and Evaluation In Higher Education, 43 (1), pp. 31-44; Rybinski, K., Kopciuszewska, E., Will artificial intelligence revolutionise the student evaluation of teaching? A big data study of 1.6 million student reviews (2021) Assessment and Evaluation in Higher Education, 46 (7), pp. 1127-1139; Sanh, V., Debut, L., Chaumond, J., Wolf, T., (2020) DistilBERT, a distilled version of BERT: Smaller, faster, cheaper and lighter, , doi:, ArXiv; Shah, M., Cheng, M., Fitzgerald, R., Closing the loop on student feedback: the case of Australian and Scottish universities (2017) Higher Education, 74 (1), pp. 115-129; Spooren, P., Brockx, B., Mortelmans, D., On the validity of student evaluation of teaching (2013) Review of Educational Research, 83 (4), pp. 598-642; Stonebraker, R., Stone, G., Too old to teach? The effect of age on college and university professors (2015) Research in Higher Education, 56 (8), pp. 793-812; Subtirelu, N., She does have an accent but…’: Race and language ideology in students' evaluations of mathematics instructors on RateMyProfessors.com (2015) Language In Society, 44 (1), pp. 35-62; Subtirelu, N.C., Exploring the intersection of gender and race in evaluations of mathematics instructors on ratemyprofessors.Com (2017) Studies in Corpus-Based Sociolinguistics, , www.taylorfrancis.com/chapters/edit/10.4324/9781315527819-9/exploring-intersection-gender-race-evaluations-mathematics-instructors-ratemyprofessors-com-nicholas-close-subtirelu, Friginal, E. (Ed.), Routledge, New York; Toth, Z., Bedzsula, B.P., What constitutes quality to students in higher education? An empirical investigation of course-level student expectations (2021) Quality Assurance in Education, 29 (2-3), pp. 116-134; Wang, A., Pruksachatkun, Y., Nangia, N., Singh, A., Michael, J., Hill, F., Levy, O., Bowman, S.R., SuperGLUE: a stickier benchmark for General-Purpose language understanding systems (2019) arXiv, , doi:, 1905.00537; Zhu, Y., Kiros, R., Zemel, R., Salakhutdinov, R., Urtasun, R., Torralba, A., Fidler, S., (2015) Aligning books and movies: towards story-like visual explanations by watching movies and reading books, , doi:, arXiv</t>
  </si>
  <si>
    <t>09684883</t>
  </si>
  <si>
    <t>Qual. Assur. Educ.</t>
  </si>
  <si>
    <t>2-s2.0-85152073748</t>
  </si>
  <si>
    <t>Du X., Deng X., Qin H., Shu Y., Liu F., Zhao G., Lai Y., Ma C., Liu Y., Wang H.</t>
  </si>
  <si>
    <t>57209345981;55541153200;57419361500;57204979314;57209334746;36026171100;14035747100;8592755300;35933567100;57202272600;</t>
  </si>
  <si>
    <t>MMPosE: Movie-induced Multi-label Positive Emotion Classification Through EEG Signals</t>
  </si>
  <si>
    <t>10.1109/TAFFC.2022.3221554</t>
  </si>
  <si>
    <t>https://www.scopus.com/inward/record.uri?eid=2-s2.0-85141578229&amp;doi=10.1109%2fTAFFC.2022.3221554&amp;partnerID=40&amp;md5=c03822033a3b809583cf2bb1a1f6e31d</t>
  </si>
  <si>
    <t>Beijing Key Laboratory of Human Computer Interactions, Institute of Software, Chinese Academy of Sciences, Beijing, China; BNRist, MOE-Key Laboratory of Pervasive Computing, the Department of Computer Science and Technology, Tsinghua University, Beijing, China; CAS Key Laboratory of Behavioral Science, Institute of Psychology, Beijing, China; School of Computer Science and Informatics, Cardiff University, Cardiff, Wales, U.K; State Key Laboratory of Computer Science, Institute of Software, Chinese Academy of Sciences, Beijing, China</t>
  </si>
  <si>
    <t>Du, X., Beijing Key Laboratory of Human Computer Interactions, Institute of Software, Chinese Academy of Sciences, Beijing, China; Deng, X., Beijing Key Laboratory of Human Computer Interactions, Institute of Software, Chinese Academy of Sciences, Beijing, China; Qin, H., Beijing Key Laboratory of Human Computer Interactions, Institute of Software, Chinese Academy of Sciences, Beijing, China; Shu, Y., BNRist, MOE-Key Laboratory of Pervasive Computing, the Department of Computer Science and Technology, Tsinghua University, Beijing, China; Liu, F., BNRist, MOE-Key Laboratory of Pervasive Computing, the Department of Computer Science and Technology, Tsinghua University, Beijing, China; Zhao, G., CAS Key Laboratory of Behavioral Science, Institute of Psychology, Beijing, China; Lai, Y., School of Computer Science and Informatics, Cardiff University, Cardiff, Wales, U.K; Ma, C., State Key Laboratory of Computer Science, Institute of Software, Chinese Academy of Sciences, Beijing, China; Liu, Y., BNRist, MOE-Key Laboratory of Pervasive Computing, the Department of Computer Science and Technology, Tsinghua University, Beijing, China; Wang, H., State Key Laboratory of Computer Science, Institute of Software, Chinese Academy of Sciences, Beijing, China</t>
  </si>
  <si>
    <t>Emotional information plays an important role in various multimedia applications. Movies, as a widely available form of multimedia content, can induce multiple positive emotions and stimulate people&amp;#x0027;s pursuit of a better life. Different from negative emotions, positive emotions are highly correlated and difficult to distinguish in the emotional space. Since different positive emotions are often induced simultaneously by movies, traditional single-target or multi-class methods are not suitable for the classification of movie-induced positive emotions. In this paper, we propose TransEEG, a model for multi-label positive emotion classification from a viewer&amp;#x0027;s brain activities when watching emotional movies. The key features of TransEEG include (1) explicitly modeling the spatial correlation and temporal dependencies of multi-channel EEG signals using the Transformer structure based model, which effectively addresses long-distance dependencies, (2) exploiting the label-label correlations to guide the discriminative EEG representation learning, for that we design an Inter-Emotion Mask for guiding the Multi-Head Attention to learn the inter-emotion correlations, and (3) constructing an attention score vector from the representation-label correlation matrix to refine emotion-relevant EEG features. To evaluate the ability of our model for multi-label positive emotion classification, we demonstrate our model on a state-of-the-art positive emotion database CPED. Extensive experimental results show that our proposed method achieves superior performance over the competitive approaches. IEEE</t>
  </si>
  <si>
    <t>affective computing; Brain modeling; Computational modeling; Correlation; Electroencephalography; Emotion recognition; Motion pictures; Multi-channel EEG; multi-label classification; positive emotions; Transformer encoder; Transformers</t>
  </si>
  <si>
    <t>Biomedical signal processing; Brain; Brain mapping; Classification (of information); Electrophysiology; Emotion Recognition; Motion estimation; Motion pictures; Signal encoding; Speech communication; Affective Computing; Brain modeling; Computational modelling; Correlation; Emotion recognition; Multi channel; Multi-channel EEG; Multi-label classifications; Positive emotions; Transformer; Transformer encoder; Electroencephalography</t>
  </si>
  <si>
    <t>2-s2.0-85141578229</t>
  </si>
  <si>
    <t>Mmpose: movie-induced multi-label positive emotion classification through eeg signals</t>
  </si>
  <si>
    <t>Bilquise G., Ibrahim S., Shaalan K.</t>
  </si>
  <si>
    <t>57211990676;57872145900;6507669702;</t>
  </si>
  <si>
    <t>Emotionally Intelligent Chatbots: A Systematic Literature Review</t>
  </si>
  <si>
    <t>Human Behavior and Emerging Technologies</t>
  </si>
  <si>
    <t>9601630</t>
  </si>
  <si>
    <t>10.1155/2022/9601630</t>
  </si>
  <si>
    <t>https://www.scopus.com/inward/record.uri?eid=2-s2.0-85139566949&amp;doi=10.1155%2f2022%2f9601630&amp;partnerID=40&amp;md5=728d932823b5d798c20f30b997999a3f</t>
  </si>
  <si>
    <t>Computer and Information Science Department, Higher Colleges of Technology, P.O. Box 15825, Dubai, United Arab Emirates; School of Arts and Sciences, American University in Dubai, United Arab Emirates; Informatics Department, The British University, Dubai, United Arab Emirates</t>
  </si>
  <si>
    <t>Bilquise, G., Computer and Information Science Department, Higher Colleges of Technology, P.O. Box 15825, Dubai, United Arab Emirates; Ibrahim, S., School of Arts and Sciences, American University in Dubai, United Arab Emirates; Shaalan, K., Informatics Department, The British University, Dubai, United Arab Emirates</t>
  </si>
  <si>
    <t>Conversational technologies are transforming the landscape of human-machine interaction. Chatbots are increasingly being used in several domains to substitute human agents in performing tasks, answering questions, giving advice, and providing social and emotional support. Therefore, improving user satisfaction with these technologies is imperative for their successful integration. Researchers are leveraging Artificial Intelligence (AI) and Natural Language Processing (NLP) techniques to impart emotional intelligence capabilities in chatbots. This study provides a systematic review of research on developing emotionally intelligent chatbots. We employ a systematic approach to gather and analyze 42 articles published in the last decade. The review is aimed at providing a comprehensive analysis of past research to discover the problems addressed, the techniques used, and the evaluation measures employed by studies in embedding emotion in chatbot conversations. The study's findings reveal that most studies are based on an open-domain generative chatbot architecture. Researchers mainly address the issue of accurately detecting the user's emotion and generating emotionally relevant responses. Nearly 57% of the studies use an enhanced Seq2Seq encoding and decoding of the input of the conversational model. Almost all the studies use both the automatic and manual evaluation measures to evaluate the chatbots, with the BLEU measure being the most popular method for objective evaluation. © 2022 Ghazala Bilquise et al.</t>
  </si>
  <si>
    <t>Allouch, M., Azaria, A., Azoulay, R., Conversational agents: Goals, technologies, vision and challenges (2021) Sensors, 21 (24), p. 8448. , 34960538; Adam, M., Wessel, M., Benlian, A., AI-based chatbots in customer service and their effects on user compliance (2021) Electronic Markets, 31 (2), pp. 427-445; Milne-Ives, M., De, C.C., Lim, E., Shehadeh, M.H., De, P.N., Bch, B.M., Mole, G., Normando, E., The effectiveness of artificial intelligence conversational agents in health care: Systematic review (2020) Journal of Medical Internet Research, 22 (10). , article e20346, 33090118; Moran, M., (2022) 25+ Top Chatbot Statistics for 2022: Usage, Demographics, Trends, , https://startupbonsai.com/chatbot-statistics/, Startup Bonsai September 2022; Rapp, A., Curti, L., Boldi, A., The human side of human-chatbot interaction: A systematic literature review of ten years of research on text-based chatbots (2021) International Journal of Human Computer Studies, 151. , article 102630; Chen, J.S., Le, T.T.Y., Florence, D., Usability and responsiveness of artificial intelligence chatbot on online customer experience in e-retailing (2021) International Journal of Retail and Distribution Management, 49 (11), pp. 1512-1531; Sun, X., Chen, X., Pei, Z., Ren, F., Emotional human machine conversation generation based on SeqGAN (2018) 2018 First Asian Conference on Affective Computing and Intelligent Interaction (ACII Asia), , May, Beijing, China 2-s2.0-85055523684; Hu, T., Xu, A., Liu, Z., You, Q., Guo, Y., Sinha, V., Luo, J., Akkiraju, R., Touch your heart: A tone-aware chatbot for customer care on social media (2018) Proceedings of the 2018 CHI Conference on Human Factors in Computing Systems, pp. 1-12. , Montréal, Canada 2-s2.0-85046976830; Adamopoulou, E., Moussiades, L., Maglogiannis, I., Iliadis, L., Pimenidis, E., An overview of chatbot technology (2020) BT - Artificial Intelligence Applications and Innovations, p. 373. , Springer International Publishing; Tan, S.-M., Liew, T.W., Multi-chatbot or single-chatbot? the effects of m-commerce chatbot interface on source credibility, social presence, trust, and purchase intention (2022) Human Behavior and Emerging Technologies, 2022, p. 14. , article 2501538; Adamopoulou, E., Moussiades, L., Maglogiannis, I., Iliadis, L., Pimenidis, E., An Overview of Chatbot Technology (2020) Artificial Intelligence Applications and Innovations. AIAI 2020. IFIP Advances in Information and Communication Technology, 584, p. 373. , Cham Springer; Salovey, P., Mayer, J.D., Emotional intelligence (1990) Imagination, Cognition and Personality, 9 (3), pp. 185-211; Wang, X., Nakatsu, R., Anacleto, J.C., Clua, E.W.G., Da C. S, S.F., Fels, S., Yang, H.S., How do people talk with a virtual philosopher: Log analysis of a real-world application (2013) Entertainment Computing - ICEC 2013. ICEC 2013, 8215, pp. 132-137. , Berlin, Heidelberg Springer Lecture Notes in Computer Science 2-s2.0-84893918777; Ghandeharioun, A., McDuff, D., Czerwinski, M., Rowan, K., Towards understanding emotional intelligence for behavior change chatbots (2019) 2019 8th International Conference on Affective Computing and Intelligent Interaction (ACII), pp. 8-14. , September, Cambridge, UK; Paul, S.C., Bartmann, N., Clark, J.L., Customizability in conversational agents and their impact on health engagement (2021) Human Behavior and Emerging Technologies, 3 (5), pp. 1141-1152; Giger, J.C., Piçarra, N., Alves-Oliveira, P., Oliveira, R., Arriaga, P., Humanization of robots: Is it really such a good idea? (2019) Human Behavior and Emerging Technologies, 1 (2), pp. 111-123; Rashkin, H., Smith, E.M., Li, M., Boureau, Y.L., Towards empathetic open-domain conversation models: A new benchmark and dataset (2020) Proceedings of the 57th Annual Meeting of the Association for Computational Linguistics, pp. 5370-5381. , Florence, Italy; Pacheco-Lorenzo, M.R., Valladares-Rodríguez, S.M., Anido-Rifón, L.E., Fernández-Iglesias, M.J., Smart conversational agents for the detection of neuropsychiatric disorders: A systematic review (2021) Journal of Biomedical Informatics, 113. , article 103632, 33276112; Okonkwo, C.W., Ade-Ibijola, A., Chatbots applications in education: A systematic review (2021) Computers and Education: Artificial Intelligence, 2. , article 100033; Miklosik, A., Evans, N., Mahmood, A., Qureshi, A., The use of chatbots in digital business transformation: A systematic literature review (2021) IEEE Access, 9, pp. 106530-106539; De Barcelos Silva, A., Gomes, M.M., Da Costa, C.A., Da Rosa Righi, R., Barbosa, J.L.V., Pessin, G., De Doncker, G., Federizzi, G., Intelligent personal assistants: A systematic literature review (2020) Expert Systems with Applications, 147. , article 113193; Mohamad Suhaili, S., Salim, N., Jambli, M.N., Service chatbots: A systematic review (2021) Expert Systems with Applications, 184, p. 115461; Wardhana, A.K., Ferdiana, R., Hidayah, I., Empathetic chatbot enhancement and development: A literature review (2021) 2021 International Conference on Artificial Intelligence and Mechatronics Systems (AIMS), , April, Bandung, Indonesia; Pamungkas, E.W., (2019) Emotionally-aware Chatbots: A Survey, , http://ezproxy.hct.ac.ae/login?url=https://www.proquest.com/working-papers/emotionally-aware-chatbots-survey/docview/2246534988/se-2, Cornell University Library; Ma, Y., Nguyen, K.L., Xing, F.Z., Cambria, E., A survey on empathetic dialogue systems (2020) Information Fusion, 64, pp. 50-70; Grudin, J., Jacques, R., Chatbots, humbots, and the quest for artificial general intelligence (2019) Proceedings of the 2019 CHI Conference on Human Factors in Computing Systems, pp. 1-11. , May, Glasgow, UK 2-s2.0-85067627210; Jovanovic, M., Baez, M., Casati, F., Chatbots as conversational healthcare services (2021) IEEE Internet Computing, 25 (3), pp. 44-51; Shum, H.Y., He, X.D., Li, D., From Eliza to XiaoIce: Challenges and opportunities with social chatbots (2018) Frontiers of Information Technology and Electronic Engineering, 19 (1), pp. 10-26. , 2-s2.0-85044226431; Hussain, S., Ameri Sianaki, O., Ababneh, N., A survey on conversational agents/chatbots classification and design techniques (2019) Advances in Intelligent Systems and Computing, 927. , Springer International Publishing 2-s2.0-85064877925; Safi, Z., Abd-Alrazaq, A., Khalifa, M., Househ, M., Technical aspects of developing chatbots for medical applications: Scoping review (2020) Journal of Medical Internet Research, 22 (12). , article e19127; Xiao, Z., Zhou, M.X., Chen, W., Yang, H., Chi, C., If i hear you correctly: Building and evaluating interview chatbots with active listening skills (2020) Proceedings of the 2020 CHI Conference on Human Factors in Computing Systems, 1-14. , April, Hawai'i, USA; Wallace, R.S., The anatomy of ALICE (2009) Parsing the Turing Test, pp. 181-210. , Springer 2-s2.0-84892046415; Xu, A., Liu, Z., Guo, Y., Sinha, V., Akkiraju, R., A new chatbot for customer service on social media (2017) Proceedings of the 2017 CHI Conference on Human Factors in Computing Systems, pp. 3506-3510. , May, Denver, Colarado 2-s2.0-85044454411; Svikhnushina, E., Pu, P., (2020) Social and Emotional Etiquette of Chatbots: A Qualitative Approach to Understanding User Needs and Expectations, , https://arxiv.org/abs/2006.13883; Hutapea, A., (2017) Chatbot: Architecture, Design, &amp; Development, , University of Pennsylvania School of Engineering and Applied Science Department of Computer and Information Science; Liu, M., Bao, X., Liu, J., Zhao, P., Shen, Y., Generating emotional response by conditional variational auto-encoder in open- domain dialogue system (2021) Neurocomputing, 460, pp. 106-116; Aleedy, M., Shaiba, H., Bezbradica, M., Generating and analyzing chatbot responses using natural language processing (2019) International Journal of Advanced Computer Science and Applications, 10 (9), pp. 60-68; Warriner, A.B., Kuperman, V., Brysbaert, M., Norms of valence, arousal, and dominance for 13,915 English lemmas (2013) Behavior Research Methods, 45 (4), pp. 1191-1207. , 2-s2.0-84887059362 23404613; Asghar, N., Poupart, P., Hoey, J., Jiang, X., Mou, L., Pasi, G., Piwowarski, B., Hanbury, A., Affective neural response generation (2018) Advances in Information Retrieval. ECIR 2018, pp. 154-166. , 10772, Cham Springer Lecture Notes in Computer Science 2-s2.0-85044476750; Kitchenham, B., Charters, S., (2007) Guidelines for Performing Systematic Literature Reviews in Software Engineering; Tranfield, D., Denyer, D., Smart, P., Towards a methodology for developing evidence informed management knowledge by means of systematic review (2003) British Journal of Management, 14 (3), pp. 207-222; Petticrew, M., Roberts, H., (2008) Systematic Reviews in the Social Sciences: A Practical Guide, , John Wiley &amp; Sons; Yang, L., Zhang, H., Shen, H., Huang, X., Zhou, X., Rong, G., Shao, D., Quality assessment in systematic literature reviews: A software engineering perspective (2021) Information and Software Technology, 130. , article 106397; Van Eck, N.J., Waltman, L., (2013) VOSviewer Manual, 1 (1). , Leiden Univeristeit Leiden; Moher, D., Liberati, A., Tetzlaff, J., Altman, D.G., Preferred reporting items for systematic reviews and meta-analyses: The PRISMA statement (2010) International Journal of Surgery, 8 (5), pp. 336-341. , 2-s2.0-77955171857; Sutskever, I., Vinyals, O., Le, Q.V., Sequence to sequence learning with neural networks (2014) Advances in Neural Information Processing Systems, 4, pp. 3104-3112; Chang, Y.-C., Hsing, Y.-C., Emotion-infused deep neural network for emotionally resonant conversation (2021) Applied Soft Computing, 113, p. 107861; Zhou, L., Gao, J., Li, D., Shum, H.-Y., The design and implementation of XiaoIce, an empathetic social chatbot (2020) Computational Linguistics, 46 (1), pp. 53-93; Huo, P., Yang, Y., Zhou, J., Chen, C., He, L., TERG: Topic-aware emotional response generation for chatbot (2020) 2020 International Joint Conference on Neural Networks (IJCNN), , July, Glasgow, UK; Li, S., Feng, S., Wang, D., Song, K., Zhang, Y., Wang, W., EmoElicitor: An open domain response generation model with user emotional reaction awareness (2020) Proceedings of the Twenty-Ninth International Joint Conference on Artificial Intelligence, pp. 3637-3643. , July, Yokohama, Japan; Peng, D., Zhou, M., Liu, C., Ai, J., Human-machine dialogue modelling with the fusion of word- and sentence-level emotions (2020) Knowledge-Based Systems, 192. , article 105319; Yao, K., Zhang, L., Luo, T., Du, D., Wu, Y., Non-deterministic and emotional chatting machine: Learning emotional conversation generation using conditional variational autoencoders (2021) Neural Computing and Applications, 33 (11), pp. 5581-5589; Zhang, R., Guo, J., Fan, Y., Lan, Y., Cheng, X., Dual-factor generation model for conversation (2020) ACM Transactions on Information Systems, 38 (3), pp. 1-31; Srinivasan, V., Santhanam, S., Shaikh, S., Using reinforcement learning with external rewards for open-domain natural language generation (2021) Journal of Intelligent Information Systems, 56 (1), pp. 189-206; Sun, X., Li, J., Wei, X., Li, C., Tao, J., Emotional editing constraint conversation content generation based on reinforcement learning (2020) Information Fusion, 56, pp. 70-80; Li, J., Sun, X., A syntactically constrained bidirectional-asynchronous approach for emotional conversation generation (2020) Proceedings of the 2018 Conference on Empirical Methods in Natural Language Processing, pp. 678-683. , Brussels, Belgium; Peng, Y., Fang, Y., Xie, Z., Zhou, G., Topic-enhanced emotional conversation generation with attention mechanism (2019) Knowledge-Based Systems, 163, pp. 429-437. , 2-s2.0-85053828339; Wei, W., Liu, J., Mao, X., Guo, G., Zhu, F., Zhou, P., Hu, Y., Feng, S., Target-guided emotion-aware chat machine (2021) ACM Transactions on Information Systems, 39 (4), pp. 1-24; Wei, W., Liu, J., Mao, X., Guo, G., Zhu, F., Zhou, P., Hu, Y., Emotion-aware chat machine: Automatic emotional response generation for human-like emotional interaction (2019) Proceedings of the 28th ACM International Conference on Information and Knowledge Management, pp. 1401-1410. , November, Beijing, China; Casas, J., Spring, T., Daher, K., Mugellini, E., Khaled, O.A., Cudré-Mauroux, P., Enhancing conversational agents with empathic abilities (2021) Proceedings of the 21st ACM International Conference on Intelligent Virtual Agents, pp. 41-47. , Japan; Zhou, H., Huang, M., Zhang, T., Zhu, X., Liu, B., Emotional chatting machine: Emotional conversation generation with internal and external memory (2018) Proceedings of the AAAI Conference on Artificial Intelligence, 32 (1), pp. 730-738; Lubis, N., Sakti, S., Yoshino, K., Nakamura, S., Eliciting positive emotion through affect-sensitive dialogue response generation: A neural network approach (2018) 32nd AAAI Conference on Artificial Intelligence, pp. 5293-5300. , AAAI 2018, Louisiana, USA; Lubis, N., Sakti, S., Yoshino, K., Nakamura, S., Positive emotion elicitation in chat-based dialogue systems (2019) IEEE/ACM Transactions on Audio Speech and Language Processing, 27 (4), pp. 866-877. , 2-s2.0-85063067338; Colombo, P., Witon, W., Modi, A., Kennedy, J., Kapadia, M., Affect-driven dialog generation (2019) NAACL HLT 2019 - 2019 Conference of the North American Chapter of the Association for Computational Linguistics: Human Language Technologies - Proceedings of the Conference, 1, pp. 3734-3743. , Minneapolis, Minnesota; Zhong, P., Wang, D., Miao, C., An affect-rich neural conversational model with biased attention and weighted cross-entropy loss (2019) Proceedings of the AAAI Conference on Artificial Intelligence, 33 (1), pp. 7492-7500; Li, Q., Chen, H., Ren, Z., Ren, P., Tu, Z., Chen, Z., EmpDG: Multi-resolution interactive empathetic dialogue generation (2021) Proceedings of the 28th International Conference on Computational Linguistics, pp. 4454-4466. , Barcelona, Spain; Li, Y., Li, K., Ning, H., Xia, X., Guo, Y., Wei, C., Cui, J., Wang, B., Towards an online empathetic chatbot with emotion causes (2021) 44th International ACM SIGIR Conference on Research and Development in Information Retrieval, pp. 2041-2045. , Association for Computing Machinery; Lin, Z., Madotto, A., Shin, J., Xu, P., Fung, P., MOEL: Mixture of empathetic listeners (2020) Proceedings of the 2019 Conference on Empirical Methods in Natural Language Processing and the 9th International Joint Conference on Natural Language Processing (EMNLP-IJCNLP), pp. 121-132. , Hong Kong, China; Hasegawa, T., Kaji, N., Yoshinaga, N., Toyoda, M., Predicting and eliciting addressee's emotion in online dialogue (2013) Proceedings of the 51st Annual Meeting of the Association for Computational Linguistics, 29 (1), pp. 90-99; Qiu, L., Shiu, Y., Lin, P., Song, R., Liu, Y., Zhao, D., Yan, R., What if bots feel moods? (2020) Proceedings of the 43rd International ACM SIGIR Conference on Research and Development in Information Retrieval, pp. 1161-1170. , July, China; Huang, C., Zaïane, O.R., Trabelsi, A., Dziri, N., Automatic dialogue generation with expressed emotions (2018) Proceedings of the 2018 Conference of the North American Chapter of the Association for Computational Linguistics: Human Language Technologies, Volume 2 (Short Papers), pp. 49-54. , New Orleans, Louisiana; Niu, T., Bansal, M., Polite dialogue generation without parallel data (2018) Transactions of the Association for Computational Linguistics, 6, pp. 373-389; Zhang, R., Wang, Z., Mai, D., Huang, X., Jiang, J., Zhao, D., Feng, Y., Hong, Y., Building emotional conversation systems using multi-task Seq2Seq learning (2018) Natural Language Processing and Chinese Computing. NLPCC 2017, 10619, pp. 612-621. , Cham Springer Lecture Notes in Computer Science 2-s2.0-85041231210; Zhou, G., Fang, Y., Peng, Y., Lu, J., Neural conversation generation with auxiliary emotional supervised models (2019) ACM Transactions on Asian and Low-Resource Language Information Processing, 19 (2), pp. 1-17; Zhou, X., Wang, W.Y., MojiTalk: Generating emotional responses at scale (2018) Proceedings of the 56th Annual Meeting of the Association for Computational Linguistics (Volume 1: Long Papers), pp. 1-2. , Melbourne, Australia; Song, Z., Zheng, X., Liu, L., Xu, M., Huang, X., Generating responses with a specific emotion in dialog (2020) Proceedings of the 57th Annual Meeting of the Association for Computational Linguistics, pp. 3685-3695. , Florence, Italy; Ghosh, S., Chollet, M., Laksana, E., Morency, L.P., Scherer, S., Affect-LM: A neural language model for customizable affective text generation (2017) Proceedings of the 55th Annual Meeting of the Association for Computational Linguistics (Volume 1: Long Papers), pp. 634-642. , Vancouver, Canada 2-s2.0-85040912133; Adikari, A., De Silva, D., Moraliyage, H., Alahakoon, D., Wong, J., Gancarz, M., Chackochan, S., Leung, Y., Empathic conversational agents for real-time monitoring and co-facilitation of patient-centered healthcare (2022) Future Generation Computer Systems, 126, pp. 318-329; Wang, J., Sun, X., Wang, M., Emotional conversation generation with bilingual interactive decoding (2021) IEEE Transactions on Computational Social Systems, 9 (3), pp. 818-829; Wang, L., Wang, D., Tian, F., Peng, Z., Fan, X., Zhang, Z., Ma, S., Wang, H., CASS: Towards building a social-support chatbot for online health community (2021) Proceedings of the ACM on Human-Computer Interaction, 5. , CSCW1; Griol, D., Sanchis, A., Molina, J.M., Callejas, Z., Developing enhanced conversational agents for social virtual worlds (2019) Neurocomputing, 354, pp. 27-40. , 2-s2.0-85064902503; Hu, J., Huang, Y., Hu, X., Xu, Y., Enhancing the perceived emotional intelligence of conversational agents through acoustic cues (2021) Extended Abstracts of the 2021 CHI Conference on Human Factors in Computing Systems, , May; Wu, J., Ghosh, S., Chollet, M., Ly, S., Mozgai, S., Scherer, S., NADiA - Towards neural network driven virtual human conversation agents (2018) Proceedings of the 18th International Conference on Intelligent Virtual Agents, pp. 2262-2264. , November, Sydney, Australia 2-s2.0-85058451011; Yan, R., What if bots feel moods? (2020) Proceedings of the 43rd International ACM SIGIR Conference on Research and Development in Information, pp. 1161-1170. , Retrieval July, China</t>
  </si>
  <si>
    <t>Wiley-Hindawi</t>
  </si>
  <si>
    <t>25781863</t>
  </si>
  <si>
    <t>Hum. Behav. Emerg. Technol.</t>
  </si>
  <si>
    <t>2-s2.0-85139566949</t>
  </si>
  <si>
    <t>Emotionally intelligent chatbots: a systematic literature review</t>
  </si>
  <si>
    <t>Nti I.K., Nyarko-Boateng O., Aning J., Fosu G.K., Pokuaa H.A., Kyeremeh F.</t>
  </si>
  <si>
    <t>57210637914;57214669252;57444860300;57445947200;58066328200;57203249311;</t>
  </si>
  <si>
    <t>Early Detection of Stroke for Ensuring Health and Well-Being Based on Categorical Gradient Boosting Machine</t>
  </si>
  <si>
    <t>Journal of ICT Research and Applications</t>
  </si>
  <si>
    <t>313</t>
  </si>
  <si>
    <t>332</t>
  </si>
  <si>
    <t>10.5614/itbj.ict.res.appl.2022.16.3.8</t>
  </si>
  <si>
    <t>https://www.scopus.com/inward/record.uri?eid=2-s2.0-85146347057&amp;doi=10.5614%2fitbj.ict.res.appl.2022.16.3.8&amp;partnerID=40&amp;md5=fe79730c90d43c97fdd41b0b617fcd59</t>
  </si>
  <si>
    <t>Department of Computer Science and Informatics, University of Energy and Natural Resources, Post Office Box 214, Sunyani, Ghana; School of Information Technology, University of Cincinnati, 2610 University Circle, Cincinnati, OH  45221, United States; Department of Computer Science, Sunyani Technical University, Syi-Ksi Highway, Sunyani, Ghana; Department of Electrical and Electronic Engineering, Sunyani Technical University, Syi-Ksi Highway, Sunyani, Ghana</t>
  </si>
  <si>
    <t>Nti, I.K., Department of Computer Science and Informatics, University of Energy and Natural Resources, Post Office Box 214, Sunyani, Ghana, School of Information Technology, University of Cincinnati, 2610 University Circle, Cincinnati, OH  45221, United States; Nyarko-Boateng, O., Department of Computer Science and Informatics, University of Energy and Natural Resources, Post Office Box 214, Sunyani, Ghana; Aning, J., Department of Computer Science, Sunyani Technical University, Syi-Ksi Highway, Sunyani, Ghana; Fosu, G.K., Department of Computer Science, Sunyani Technical University, Syi-Ksi Highway, Sunyani, Ghana; Pokuaa, H.A., Department of Computer Science, Sunyani Technical University, Syi-Ksi Highway, Sunyani, Ghana; Kyeremeh, F., Department of Electrical and Electronic Engineering, Sunyani Technical University, Syi-Ksi Highway, Sunyani, Ghana</t>
  </si>
  <si>
    <t>Stroke is believed to be among the leading causes of adult disability worldwide. It is wreaking havoc on African people, families, and governments, with ramifications for the continent’s socio-economic development. On the other hand, stroke research output is insufficient, resulting in a dearth of evidence-based and context-driven guidelines and strategies to combat the region’s expanding stroke burden. Indeed, for African and other developing economies to meet the UN Sustainable Development Goals (SDGs), particularly SDG 3, which aims to guarantee healthy lifestyles and promote well-being for people of all ages, the issue of stroke must be addressed to reduce early death from non-communicable illnesses. This study sought to create a robust predictive model for early stroke diagnosis using an understandable machine learning (ML) technique. We implemented a categorical gradient boosting machine model for early stroke prediction to protect patients’ health and well-being. We compared the effectiveness of our proposed model to existing state-of-the-art machine learning models and previous studies by empirically testing it on a real-world public stroke dataset. The proposed model outperformed the others when compared to the other methods using the research data, achieving the maximum accuracy (96.56%), the area under the curve (AUC) (99.73%), F1-measure (96.68%), recall (99.24%), and precision (93.57%). Functional outcome prediction models based on machine learning for stroke were verified and shown to be adaptable and helpful. © 2022, Institute for Research and Community Services, Institut Teknologi Bandung. All rights reserved.</t>
  </si>
  <si>
    <t>CatBoost; gradient boosting machine; health; stroke; stroke prediction; well-being</t>
  </si>
  <si>
    <t>Hilbert, A., Ramos, L.A., van Os, H.J.A., Olabarriaga, S.D., Tolhuisen, M.L., Wermer, M.J.H., Barros, R.S., Marquering, H.A., Data-Efficient Deep Learning of Radiological Image Data for Outcome Prediction after Endovascular Treatment of Patients with Acute Ischemic Stroke (2019) Comput. Biol. Med, 115, p. 103516; Sirsat, M.S., Fermé, E., Câmara, J., Machine Learning for Brain Stroke: A Review (2020) J. Stroke Cerebrovasc. Dis, 29 (10), p. 105162; Qiu, W., Kuang, H., Teleg, E., Ospel, J.M., Il Sohn, S., Almekhlafi, M., Goyal, M., Menon, B.K., Machine Learning for Detecting Early Infarction in Acute Stroke with Non–Contrast-enhanced CT (2020) Radiology, 294, pp. 638-644; Donkor, E.S., Owolabi, M.O., Bampoh, P., Aspelund, T., Gudnason, V., Community Awareness of Stroke in Accra, Ghana (2014) BMC Public Health, 14, p. 196; Kashi, S., Polak, R.F., Lerner, B., Rokach, L., Levy-Tzedek, S., A Machine-Learning Model for Automatic Detection of Movement Compensations in Stroke Patients (2021) IEEE Trans. Emerg. Top. Comput, 9 (3), pp. 1234-1247; Chang, C.Y., Cheng, M.J., Ma, M.H.M., Application of Machine Learning for Facial Stroke Detection (2019) Int. Conf. Digit. Signal Process. DSP, IEEE, pp. 1-5; Guberina, N., Dietrich, U., Radbruch, A., Goebel, J., Deuschl, C., Ringelstein, A., Köhrmann, M., Mönninghoff, C., r fvc of Early Infarction Signs with Machine Learning-Based Diagnosis by Means of the Alberta Stroke Program Early CT Score (ASPECTS) in the Clinical Routine (2018) Neuroradiology, 60, pp. 889-901; Feigin, V.L., Forouzanfar, M.H., Krishnamurthi, R., Mensah, G.A., Connor, M., Bennett, D.A., Moran, A.E., Murray, C., Global and Regional Burden of Stroke during 1990-2010: Findings from the Global Burden of Disease Study 2010 (2014) Lancet, 383, pp. 245-255; Akinyemi, R.O., Brainin, M., The African Stroke Organization-A New Dawn for Stroke in Africa (2021) Nat. Rev. Neurol, 17, pp. 127-128; Ezejimofor, M.C., Uthman, O.A., Maduka, O., Ezeabasili, A.C., Onwuchekwa, A.C., Ezejimofor, B.C., Asuquo, E., Kandala, N.-B., Stroke Survivors in Nigeria: A Door-To-Door Prevalence Survey from the Niger Delta Region (2017) J. Neurol. Sci, 372, pp. 262-269; Owolabi, M., Akarolo-Anthony, S., Akinyemi, R., Arnett, D., Gebregziabher, M., Jenkins, C., Tiwari, H., Ovbiagele, B., The Burden of Stroke in Africa: A Glance at the Present and a Glimpse Into The Future: Review Article (2015) Cardiovasc. J. Afr, 26, pp. S27-S38; Sampane-Donkor, E., (2014) A Study of Stroke in Southern Ghana: Epidemiology, Quality of Life and Community Perceptions, , Doctoral Dissertation, Reykjavík: University of Iceland, School of Health Sciences; Akinyemi, R.O., Owolabi, M.O., Ihara, M., Damasceno, A., Ogunniyi, A., Dotchin, C., Paddick, S.-M., Kalaria, R.N., Stroke, Cerebrovascular Diseases and Vascular Cognitive Impairment in Africa (2019) Brain Res. Bull, 145, pp. 97-108; Sarfo, F.S., Akpa, O., Ovbiagele, B., Akpalu, A., Wahab, K., Komolafe, M., Obiako, R., Owolabi, M.O., Influence of Age on Links Between Major Modifiable Risk Factors and Stroke Occurrence in West Africa (2021) J. Neurol. Sci, 428, p. 117573; Sarfo, F.S., Ovbiagele, B., Prevalence and Predictors of Statin Utilization among Patient Populations at High Vascular Risk in Ghana (2020) J. Neurol. Sci, 414, p. 116838; Sailasya, G., Kumari, G.L.A., Analyzing the Performance of Stroke Prediction using ML Classification Algorithms (2021) Int. J. Adv. Comput. Sci. Appl, 12, pp. 539-545; Emon, M.U., Keya, M.S., Meghla, T.I., Rahman, M.M., Al Mamun, M.S., Kaiser, M.S., Performance Analysis of Machine Learning Approaches in Stroke Prediction (2020) 2020 4th Int. Conf. Electron. Commun. Aerosp. Technol, pp. 1464-1469. , IEEE; Akyeramfo-Sam, S., Addo Philip, A., Yeboah, D., Nartey, N.C., Kofi Nti, I., A Web-Based Skin Disease Diagnosis Using Convolutional Neural Networks (2019) Int. J. Inf. Technol. Comput. Sci, 11, pp. 54-60; Nti, I.K., Nyarko-Boateng, O., Aning, J., Performance of Machine Learning Algorithms with Different K Values in K-fold CrossValidation (2021) Int. J. Inf. Technol. Comput. Sci, 13, pp. 61-71; Menchón-Lara, R.M., Sancho-Gómez, J.L., Fully Automatic Segmentation of Ultrasound Common Carotid Artery Images Based on Machine Learning (2015) Neurocomputing, 151, pp. 161-167; Lau, H., Tong, K., Zhu, H., Support Vector Machine for Classification of Walking Conditions of Persons after Stroke with Dropped Foot (2009) Hum. Mov. Sci, 28, pp. 504-514; Khosla, A., Cao, Y., Lin, C.C.Y., Chiu, H.K., Hu, J., Lee, H., An Integrated Machine Learning Approach to Stroke Prediction (2010) Proc. ACM SIGKDD Int. Conf. Knowl. Discov. Data Min, pp. 183-191; Singh, M.S., Choudhary, P., Thongam, K., A Comparative Analysis for Various Stroke Prediction Techniques (2019) Int. Conf. Comput. Vis. Image Process, pp. 98-106. , Springer, Singapore; Bandi, V., Bhattacharyya, D., Midhunchakkravarthy, D., Prediction of Brain Stroke Severity Using Machine Learning (2020) Rev. d’Intelligence Artif, 34, pp. 753-761; Nwosu, C.S., Dev, S., Bhardwaj, P., Veeravalli, B., John, D., Predicting Stroke from Electronic Health Records (2019) Proc. Annu. Int. Conf. IEEE Eng. Med. Biol. Soc. EMBS, pp. 5704-5707; Nti, I.K., Adekoya, A.F., Weyori, B.A., A Novel Multi-Source Information-Fusion Predictive Framework Based on Deep Neural Networks for Accuracy Enhancement in Stock Market Prediction (2021) J. Big Data, 8 (17); Nti, I.K., Adekoya, A.F., Weyori, B.A., A Systematic Review of Fundamental and Technical Analysis of Stock Market Predictions (2019) Artif. Intell. Rev, 53, pp. 3007-3057; Almadani, O., Alshammari, R., Prediction of Stroke using Data Mining Classification Techniques (2018) Int. J. Adv. Comput. Sci. Appl, 9 (1), pp. 453-460; Kansadub, T., Thammaboosadee, S., Kiattisin, S., Jalayondeja, C., Stroke Risk Prediction Model Based on Demographic Data (2015) 8th Biomedical Engineering International Conference (BMEiCON); Jamthikar, A., Gupta, D., Saba, L., Khanna, N.N., Araki, T., Viskovic, K., Mavrogeni, S., Suri, J.S., Cardiovascular/Stroke Risk Predictive Calculators: A Comparison between Statistical and Machine Learning Models (2020) Cardiovasc. Diagn. Ther, 10 (4), pp. 919-938; Shanthi, D., Sahoo, G., Saravanan, N., Designing an Artificial Neural Network Model for the Prediction of Thromboembolic Stroke (2009) Int. J. Biometrics Bioinforma, 3 (1), pp. 10-18; Kim, S.H., Jeon, E.T., Yu, S., Oh, K., Kim, C.K., Song, T.J., Kim, Y.J., Jung, J.M., Interpretable Machine Learning for Early Neurological Deterioration Prediction in Atrial Fibrillation-Related Stroke (2021) Sci. Rep, 11, pp. 1-9; Park, D., Jeong, E., Kim, H., Pyun, H.W., Kim, H., Choi, Y.-J., Kim, Y., Kim, M.C., Machine Learning-Based Three-Month Outcome Prediction in Acute Ischemic Stroke: A Single Cerebrovascular-Specialty Hospital Study in South Korea (1909) Diagnostics, 11 (10), p. 2021; Dorogush, A.V., Ershov, V., Gulin, A., (2018) Catboost: Gradient Boosting with Categorical Features Support, pp. 1-7. , ArXiv, abs/1810.11363; Huang, G., Wu, L., Ma, X., Zhang, W., Fan, J., Yu, X., Zeng, W., Zhou, H., Evaluation of Catboost Method for Prediction of Reference Evapotranspiration in Humid Regions (2019) J. Hydrol, 574, pp. 1029-1041; Hancock, J., Khoshgoftaar, T.M., Medicare Fraud Detection using CatBoost (2020) Proc.-2020 IEEE 21st Int. Conf. Inf. Reuse Integr. Data Sci. IRI 2020, pp. 97-103; Prokhorenkova, L., Gusev, G., Vorobev, A., Dorogush, A.V., Gulin, A., Catboost: Unbiased Boosting with Categorical Features (2018) Adv. Neural Inf. Process. Syst. 2018-Decem, pp. 6638-6648; Kang, P., Lin, Z., Teng, S., Zhang, G., Guo, L., Zhang, W., Catboost-Based Framework with Additional User Information for Social Media Popularity Prediction (2019) MM 2019-Proc. 27th ACM Int. Conf. Multimed, pp. 2677-2681; Breiman, L., Random Forest (2001) Mach. Learn, 45, pp. 5-32; Vapnik, V.N., An Overview of Statistical Learning Theory (1999) IEEE Trans. Neural Networks, 10, pp. 988-999; Horak, J., Vrbka, J., Suler, P., Support Vector Machine Methods and Artificial Neural Networks Used for the Development of Bankruptcy Prediction Models and their Comparison (2020) J. Risk Financ. Manag, 13, p. 60; Nti, I.K., Nyarko-Boateng, O., Adekoya, F.A., Weyori, B.A., An Empirical Assessment of Different Kernel Functions on the Performance of Support Vector Machines (2021) Bull. Electr. Eng. Informatics, 10 (6), pp. 3403-3411; Sarfo, F.S., Agyei, M., Ogyefo, I., Opare-Addo, P.A., Ovbiagele, B., Factors Linked to Chronic Kidney Disease Among Stroke Survivors in Ghana (2021) J. Stroke Cerebrovasc. Dis, 30, pp. 1-7</t>
  </si>
  <si>
    <t>Institute for Research and Community Services, Institut Teknologi Bandung</t>
  </si>
  <si>
    <t>23375787</t>
  </si>
  <si>
    <t>J. ICT Res. Appl.</t>
  </si>
  <si>
    <t>2-s2.0-85146347057</t>
  </si>
  <si>
    <t>Early detection of stroke for ensuring health and well-being based on categorical gradient boosting machine</t>
  </si>
  <si>
    <t>Shah N., Jameel F.</t>
  </si>
  <si>
    <t>57224908010;57200420741;</t>
  </si>
  <si>
    <t>Emotional Intelligence Assessment Tool for Children with Autism Spectrum Disorder</t>
  </si>
  <si>
    <t>219</t>
  </si>
  <si>
    <t>10.18178/IJLT.5.3.213-219</t>
  </si>
  <si>
    <t>https://www.scopus.com/inward/record.uri?eid=2-s2.0-85108525267&amp;doi=10.18178%2fIJLT.5.3.213-219&amp;partnerID=40&amp;md5=e0ceff59bc5273aa23ff0c29e4c6b720</t>
  </si>
  <si>
    <t>SZABIST, Department of Computer Science, Karachi, Pakistan</t>
  </si>
  <si>
    <t>Shah, N., SZABIST, Department of Computer Science, Karachi, Pakistan; Jameel, F., SZABIST, Department of Computer Science, Karachi, Pakistan</t>
  </si>
  <si>
    <t>Researchers are working immensely in different areas of Artificial Intelligence, by developing human like intelligent machines that can understand human emotions and can also improve an individual's emotional quotient. As fostering EI has the potential of making civilized society and eradicating negativity for the betterment of society and the world. We cannot disregard people with disabilities from this improvement; unfortunately, difficulty in recognizing emotions and intense negative emotions are one of the characteristic of people with Autism Spectrum Disorder ASD. However, research has proved that majority of people with ASD have above-average skills of problem solving, logic building and mathematics. This research focuses on designing a prototype tool which can assess the emotional intelligence and social cognition of children with ASD, the tool makes use of visual cues to introduce emotion invoking scenarios to them and evaluates the result. Children with ASD can be presented with social stories based on their results, so that their social and emotional cognitive abilities can be improved and help them replace their negative, selfdestructive emotions with positive emotions. Hence making them successful, optimist and an active part of our society. © 2019 International Journal of Learning and Teaching. All Rights Reserved.</t>
  </si>
  <si>
    <t>autism spectrum disorder; emotional intelligence; emotional q uotient assessment; social cognition; social stories; visual-cue based learning</t>
  </si>
  <si>
    <t>Lutz, C., White, G. M., The anthropology of emotions (1986) Ann. Rev. Anthropol, 15, pp. 405-436. , [1]; Mayer, J. D., Salovey, P., Caruso, D. R., (2004) Emotional Intelligence: Theory, Findings, and Implications, 15 (3). , https://www.jstor.org/stable/pdf/20447229.pdf, [2] Lawrence Erlbaum Associates, Inc. [Online]. Available; Dawe, M., (2006) How Young Adults with Cognitive Disabilities and Their Families Adopt Assistive Technologies, , [3] ACM; Jameel, F., An assessment companion tool for emotional intelligence for the people having down syndrome (2017) Proc. Conference, Proceedings of the World Congress on Engineering, 2. , [4] in London, UK; Saad, M. A. E., The effectiveness of social stories among children and adolescents with autism spectrum disorders: Meta-analysis (2016) International Journal of Psycho-Educational Sciences, 5 (2). , [5] September; Karal, M. A., Wolfe, P. S., Social story effectiveness on social interaction for students with autism: A review of the literature, education and training in autism and developmental disabilities (2018) Education and Training in Autism and Developmental Disabilities, 53 (1), pp. 44-58. , [6]; Sani-Bozkurt, S., Vuran, S., Akbulut, Y., Design and use of interactive social stories for children with Autism Spectrum Disorder (ASD) (2017) Contemporary Educational Technology, 8 (1), pp. 1-25. , [7]; Simpson, K., Keen, D., Teaching young children with autism graphic symbols embedded within an interactive song (2010) Journal of Developmental and Physical Disabilities, , [8]; Sedeyn, C. M., (2017) Visual attention to photograph and cartoon images in social StoriesTM: A comparison of typically developing children and children with ASD, , [9] University of Vermont thesis Paper; Magrini, M., Curzio, O., (2016) ISTI-CNR, , [10] An interactive multimedia system for treating autism spectrum disorder, Pisa, Italy; Syahputra, M. F., Arisandi, D., Lumbanbatu, A. F., Kemit, L. F., Nababan, E. B., Sheta, O., Augmented reality social story for autism spectrum disorder (2017) Proc. 2nd International Conference on Computing and Applied Informatics, , [11] in; Artoni, S., Bastiani, L., Buzzi, M. C., Buzzi, M., Curzio, O., Pelagatti, S., Senette, C., (2017) Technology-enhanced ABA Intervention in Children with Autism: A Pilot Study, , [12] Springer-Verlag Berlin Heidelberg; Loukusa, S., Makinen, L., Kuusikko-Gauffin, S., Ebeling, H., Leinonen, E., Assessing social-pragmatic inferencing skills in children with autism spectrum disorder (2018) Journal of Communication Disorders, 73, pp. 91-105. , [13]; Corrales-Astorgano, M., Escudero-Mancebo, D., Gonzalez-Ferreras, C., Gutierrez-Gonzalez, Y., Flores-Lucas, V., Cardenoso-Payo, V., Aguilar-Cuevas, L., The magic stone: A video game to improve communication skills of people with intellectual disabilities (2016) INTERSPEECH 2016: Show &amp; Tell Contribution, , [14] September; Chang, M. C., Parham, L. D., Blanche, E. I., Schell, A., Chou, C. P., Dawson, M., Clark, F., Autonomic and behavioral responses of children with autism to auditory stimuli (2012) American Journal of Occupational Therapy, 66, pp. 567-576. , [15]; Mavroveli, S., Petrides, K. V., Rieffe, C., Bakker, F., Trait emotional intelligence, psychological well-being and peer related social competence in adolescence (2007) British Journal of Developmental Psychology, 25, pp. 263-275. , [16]; Ortony, A., Clore, G. L., Collins, A., (1988) The Cognitive Structure of Emotions, , [17] Cambridge: Cambridge University Press; Sutcliffe, A. G., Designing user interfaces in emotionally-sensitive applications (2017) Conference Paper, , [18]; Reeves, B., Nass, C., (1996) The Media Equation: How People Treat Computers, Television and New Media Like Real People and Places, , [19] Stanford CA/Cambridge: CLSI/Cambridge University Press</t>
  </si>
  <si>
    <t>2-s2.0-85108525267</t>
  </si>
  <si>
    <t>Emotional intelligence assessment tool for children with autism spectrum disorder</t>
  </si>
  <si>
    <t>Rolfes V., Bittner U., Gerhards H., Krüssel J.-S., Fehm T., Ranisch R., Fangerau H.</t>
  </si>
  <si>
    <t>57148532100;35076922200;57219663772;7003786090;35458773400;55329635200;6603401978;</t>
  </si>
  <si>
    <t>Artificial Intelligence in Reproductive Medicine - An Ethical Perspective [Künstliche Intelligenz in der Reproduktionsmedizin - eine ethische Betrachtung]</t>
  </si>
  <si>
    <t>Geburtshilfe und Frauenheilkunde</t>
  </si>
  <si>
    <t>106</t>
  </si>
  <si>
    <t>115</t>
  </si>
  <si>
    <t>10.1055/a-1866-2792</t>
  </si>
  <si>
    <t>https://www.scopus.com/inward/record.uri?eid=2-s2.0-85146273994&amp;doi=10.1055%2fa-1866-2792&amp;partnerID=40&amp;md5=885fbb6c7066380a196f91fe76bb35fa</t>
  </si>
  <si>
    <t>Institut für Geschichte, Theorie und Ethik der Medizin, Medizinische Fakultät, Heinrich-Heine-Universität Düsseldorf, Düsseldorf, Germany; Institut für Sozialforschung und Technikfolgenabschätzung, Ostbayerische Technische Hochschule Regensburg, Regensburg, Germany; Klinik für Frauenheilkunde und Geburtshilfe, Universitäres Interdisziplinäres Kinderwunschzentrum Düsseldorf, Medizinische Fakultät, Heinrich-Heine-Universität Düsseldorf, Universitätsklinikum Düsseldorf, Düsseldorf, Germany; Klinik für Frauenheilkunde und Geburtshilfe, Universitätsklinikum Düsseldorf, Medizinische Fakultät, Heinrich-Heine-Universität Düsseldorf, Düsseldorf, Germany; Juniorprofessur für Medizinische Ethik Mit Schwerpunkt Auf Digitalisierung, Universität Potsdam, Fakultät für Gesundheitswissenschaften Brandenburg, Potsdam, Germany; Forschungsstelle Ethik der Genom-Editierung, Institut für Ethik und Geschichte der Medizin, Eberhard-Karls-Universität Tübingen, Medizinische Fakultät, Tübingen, Germany</t>
  </si>
  <si>
    <t>Rolfes, V., Institut für Geschichte, Theorie und Ethik der Medizin, Medizinische Fakultät, Heinrich-Heine-Universität Düsseldorf, Düsseldorf, Germany; Bittner, U., Institut für Geschichte, Theorie und Ethik der Medizin, Medizinische Fakultät, Heinrich-Heine-Universität Düsseldorf, Düsseldorf, Germany, Institut für Sozialforschung und Technikfolgenabschätzung, Ostbayerische Technische Hochschule Regensburg, Regensburg, Germany; Gerhards, H., Institut für Sozialforschung und Technikfolgenabschätzung, Ostbayerische Technische Hochschule Regensburg, Regensburg, Germany; Krüssel, J.-S., Klinik für Frauenheilkunde und Geburtshilfe, Universitäres Interdisziplinäres Kinderwunschzentrum Düsseldorf, Medizinische Fakultät, Heinrich-Heine-Universität Düsseldorf, Universitätsklinikum Düsseldorf, Düsseldorf, Germany; Fehm, T., Klinik für Frauenheilkunde und Geburtshilfe, Universitätsklinikum Düsseldorf, Medizinische Fakultät, Heinrich-Heine-Universität Düsseldorf, Düsseldorf, Germany; Ranisch, R., Juniorprofessur für Medizinische Ethik Mit Schwerpunkt Auf Digitalisierung, Universität Potsdam, Fakultät für Gesundheitswissenschaften Brandenburg, Potsdam, Germany, Forschungsstelle Ethik der Genom-Editierung, Institut für Ethik und Geschichte der Medizin, Eberhard-Karls-Universität Tübingen, Medizinische Fakultät, Tübingen, Germany; Fangerau, H., Institut für Geschichte, Theorie und Ethik der Medizin, Medizinische Fakultät, Heinrich-Heine-Universität Düsseldorf, Düsseldorf, Germany</t>
  </si>
  <si>
    <t>Artificial intelligence is steadily being integrated into all areas of medicine. In reproductive medicine, artificial intelligence methods can be utilized to improve the selection and prediction of sperm cells, oocytes, and embryos and to generate better predictive models for in vitro fertilization. The use of artificial intelligence in this field is justified by the suffering of persons or couples who wish to have children but are unable to conceive. However, research into the use of artificial intelligence in reproductive medicine is still in the early experimental stage and furthermore raises complex normative questions. There are ethical research challenges because evidence of the efficacy of certain pertinent systems is often lacking and because of the increased difficulty of ensuring informed consent on the part of the affected persons. Other ethically relevant issues include the potential risks for offspring and the difficulty of providing sufficient information. The opportunity to fulfill the desire to have children affects the welfare of patients and their reproductive autonomy. Ultimately, ensuring more accurate predictions and allowing physicians to devote more time to their patients will have a positive effect. Nevertheless, clinicians must be able to process patient data conscientiously. When using artificial intelligence, numerous actors are involved in making the diagnosis and deciding on the appropriate therapy, raising questions about who is ultimately responsible when mistakes occur. Questions of fairness arise with regard to resource allocation and cost reimbursement. Thus, before implementing artificial intelligence in clinical practice, it is necessary to critically examine the quantity and quality of the data used and to address issues of transparency. In the medium and long term, it would be necessary to confront the undesirable impact and social dynamics that may accompany the use of artificial intelligence in reproductive medicine. © 2023 Georg Thieme Verlag. All rights reserved.</t>
  </si>
  <si>
    <t>artificial intelligence; infertility; medical ethics; reproductive medicine; research ethics</t>
  </si>
  <si>
    <t>Article; artificial intelligence; clinical practice; doctor patient relationship; human; oocyte; patient autonomy; predictive model; reimbursement; reproduction; resource allocation; sperm; wellbeing</t>
  </si>
  <si>
    <t>Gomez-Gonzalez, E., Gomez, E., Rivas-Marquez, J., Artificial intelligence in medicine and healthcare: A review and classification of current and near-future applications and their ethical and social impact (2020) ArXiv; Davenport, T., Kalakota, R., The potential for artificial intelligence in healthcare (2019) Future Healthc J, 6, pp. 94-98; Jannes, M., Friele, M., Jannes, C., Woopen, C., (2018) Algorithmen in der Digitalen Gesundheitsversorgung. Eine Interdisziplinäre Analyse, , Gütersloh Bertelsmann Stiftung; Topol, E.J., High-performance medicine: The convergence of human and artificial intelligence (2019) Nat Med, 25, pp. 44-56; Kaul, V., Enslin, S., Gross, S.A., History of artificial intelligence in medicine (2020) Gastrointest Endosc, 92, pp. 807-812; Sexty, R., Griesinger, G., Kayser, J., Fertilitätsbezogene Lebensqualität bei Patientinnen in deutschen Kinderwunschzentren (2016) Geburtshilfe Frauenheilkd, 76, p. V14; Westermann, A.M., Alkatout, I., Ist unerfüllter Kinderwunsch ein Leiden? - Der Leidensbegriff im Kontext der Kinderwunschtherapie (2020) Ethik Med, 32, pp. 125-139; Steptoe, P.C., Edwards, R.G., Birth after the reimplantation of a human embryo (1978) Lancet, 312, p. 366; Inhorn, M.C., Patrizio, P., Infertility around the globe: New thinking on gender, reproductive technologies and global movements in the 21st century (2015) Hum Reprod Update, 21, pp. 411-426; Niederberger, C., Pellicer, A., Cohen, J., Forty years of IVF (2018) Fertil Steril, 110, pp. 185-324; Bartnitzky, S., Blumenauer, V., Czeromin, U., D·I·R Annual 2020 - The German IVF-Registry (2021) J Reproduktionsmed Endokrinol, 18, pp. 203-247; Zaninovic, N., Rosenwaks, Z., Artificial intelligence in human in vitro fertilization and embryology (2020) Fertil Steril, 114, pp. 914-920; Grüber, K., Gruisbourne, B.D., Pömsl, J., (2016) Präimplantationsdiagnostik in Deutschland. Handreichung, , https://www.imew.de/fileadmin/Dokumente/dokumente_2016/HandreichungZurPID_2016030, Berlin IMEW; Wang, R., Pan, W., Jin, L., Artificial intelligence in reproductive medicine (2019) Reproduction, 158, pp. R139-R154; Raef, B., Ferdousi, R., A Review of Machine Learning Approaches in Assisted Reproductive Technologies (2019) Acta Inform Med, 27, pp. 205-211; Dengler, K., Fangerau, H., (2013) Zuteilungskriterien im Gesundheitswesen: Grenzen und Alternativen, , Bielefeld Transcript; Bernard, A., Woopen, C., Das Diktat der Fruchtbarkeit (2016) Fortpflanzungsmedizin in Deutschland: Entwicklungen, Fragen, Kontroversen, pp. 11-19. , Bonn Bundeszentrale für politische Bildung; De Geyter, C., Calhaz-Jorge, C., Kupka, M.S., ART in Europe, 2015: Results generated from European registries by ESHRE (2020) Hum Reprod Open, 2020, p. hoz038; Gleicher, N., Kushnir, V.A., Albertini, D.F., Improvements in IVF in women of advanced age (2016) J Endocrinol, 230, pp. F1-F6; Stoop, D., Ermini, B., Polyzos, N.P., Reproductive potential of a metaphase II oocyte retrieved after ovarian stimulation: An analysis of 23 354 ICSI cycles (2012) Hum Reprod, 27, pp. 2030-2035; Noorbakhsh-Sabet, N., Zand, R., Zhang, Y., Artificial Intelligence Transforms the Future of Health Care (2019) Am J Med, 132, pp. 795-801; Siristatidis, C., Vogiatzi, P., Pouliakis, A., Predicting IVF outcome: A proposed web-based system using artificial intelligence (2016) In Vivo, 30, pp. 507-512. , 27381616; Mortimer, S.T., Van Der Horst, G., Mortimer, D., The future of computer-aided sperm analysis (2015) Asian J Androl, 17, pp. 545-553; Gudeloglu, A., Brahmbhatt, J.V., Parekattil, S.J., Medical management of male infertility in the absence of a specific etiology (2014) Semin Reprod Med, 32, pp. 313-318; Goodson, S.G., White, S., Stevans, A.M., CASAnova: A multiclass support vector machine model for the classification of human sperm motility patterns (2017) Biol Reprod, 97, pp. 698-708; Girela, J.L., Gil, D., Johnsson, M., Semen parameters can be predicted from environmental factors and lifestyle using artificial intelligence methods (2013) Biol Reprod, 88, p. 99; Yanez, L., Han, J., Behr, B., Human oocyte developmental potential is predicted by mechanical properties within hours after fertilization (2016) Nat Commun, 7, p. 10809; Cavalera, F., Zanoni, M., Merico, V., A neural network-based identification of developmentally competent or incompetent mouse fully-grown oocytes (2018) J Vis Exp, 133, p. 56668; Saeedi, P., Yee, D., Au, J., Automatic Identification of Human Blastocyst Components via Texture (2017) IEEE Trans Biomed Eng, 64, pp. 2968-2978; Khosravi, P., Kazemi, E., Zhan, Q., Deep learning enables robust assessment and selection of human blastocysts after in vitro fertilization (2019) NPJ Digit Med, 2, p. 21; Kaufmann, S.J., Eastaugh, J.L., Snowden, S., The application of neural networks in predicting the outcome of in vitro fertilization (1997) Hum Reprod, 12, pp. 1454-1457; Durairaj, M., Thamilselvan, P., Applications of Artificial Neural Network for IVF Data Analysis and Prediction (2013) JEC&amp;AS, 2, pp. 11-15; Song, Z., Li, W., O'Leary, S., Can the use of diagnostic and prognostic categorisation tailor the need for assisted reproductive technology in infertile couples? (2021) Aust N Z J Obstet Gynaecol, 61, pp. 297-303; Topol, E.J., Welcoming New Guidelines for AI clinical research (2020) Nat Med, 26, pp. 1318-1320; Nagendran, M., Chen, Y., Lovejoy, C.A., Artificial intelligence versus clinicians: Systematic review of design, reporting standards, and claims of deep learning studies (2020) BMJ, 368, p. m689; Genin, K., Grote, T., Randomized Controlled Trials in Medical AI (2021) Philosophy of Medicine, 2; Harper, J., Magli, M.C., Lundin, K., When and how should new technology be introduced into the IVF laboratory? (2012) Hum Reprod, 27, pp. 303-313; Kreuzer, V.K., Kimmel, M., Schiffner, J., Possible Reasons for Discontinuation of Therapy: An Analysis of 571071 Treatment Cycles from the German IVF Registry (2018) Geburtshilfe Frauenheilkd, 78, pp. 984-990; Gameiro, S., Boivin, J., Peronace, L., Why do patients discontinue fertility treatment? A systematic review of reasons and predictors of discontinuation in fertility treatment (2012) Hum Reprod Update, 18, pp. 652-669; Ergin, R.N., Polat, A., Kars, B., Social stigma and familial attitudes related to infertility (2018) Turk J Obstet Gynecol, 15, pp. 46-49; Husain, W., Imran, M., Infertility as seen by the infertile couples from a collectivistic culture (2021) J Community Psychol, 49, pp. 354-360; (1948) Allgemeine Erklärung der Menschenrechte, , http://www.un.org/en/universal-declaration-human-ri, Paris Vereinte Nationen 10 12; Disparities in access to effective treatment for infertility in the United States: An Ethics Committee opinion (2015) Fertil Steril, 104, pp. 1104-1110; Robertson, J.A., (1994) Children of Choice. Freedom and the New Reproductive Technologies, , Princeton Princeton University Press; Callahan, S., Morrison, E.E., The Ethical Challenges of the New Reproductive Technologies (2009) Health Care Ethics: Critical Issues for the 21st Century, pp. 71-86. , 2 Sudbury, MA Jones and Bartlett Publishers; Coiera, E., On algorithms, machines, and medicine (2019) Lancet Oncol, 20, pp. 166-167; Rockliff, H.E., Lightman, S.L., Rhidian, E., A systematic review of psychosocial factors associated with emotional adjustment in in vitro fertilization patients (2014) Hum Reprod Update, 20, pp. 594-613; Jahrbuch 2019 (2020) J Reproduktionsmed Endokrinol, 5, pp. 199-239. , https://www.deutsches-ivf-register.de/perch/resources/dir-jahrbuch-2019-d; Ahuja, A.S., The Impact of Artificial Intelligence in Medicine on the Future Role of the Physician (2019) PeerJ, 7, p. e7702; De Miguel, I., Sanz, B., Lazcoz, G., Machine learning in the EU health care context: Exploring the ethical, legal and social issues (2020) ICS, 23, pp. 1139-1153; Cohen, I.G., Amarasingham, R., Shah, A., The legal and ethical concerns that arise from using complex predictive analytics in health care (2014) Health Aff (Millwood), 33, pp. 1139-1147; Ranisch, R., Consultation with Doctor Twitter: Consent Fatigue, and the Role of Developers in Digital Medical Ethics (2021) Am J Bioeth, 21, pp. 24-25; Kohli, M., Prevedello, L.M., Filice, R.W., Implementing machine learning in radiology practice and research (2017) AJR Am J Roentgenol, 208, pp. 754-760; Price, W.N., Big Data and Black-Box Medical Algorithms (2018) Sci Transl Med, 10; Rudin, C., Stop Explaining Black Box Machine Learning Models for High Stakes Decisions and Use Interpretable Models Instead (2019) Nat Mach Intell, 1, pp. 206-215; Gaube, S., Suresh, H., Raue, M., Do as AI say: Susceptibility in deployment of clinical decision-aids (2021) NPJ Digit Med, 4, p. 31; Calhaz-Jorge, C., De Geyter, C.H., Kupka, M.S., Survey on ART and IUI: Legislation, regulation, funding and registries in European countries: The European IVF-monitoring Consortium (EIM) for the European Society of Human Reproduction and Embryology (ESHRE) (2020) Hum Reprod Open, 2020, p. hoz044; Passet-Wittig, J., Bujard, M., Schneider, N.F., Kreyenfeld, M., Medically assisted Reproduction in developed Countries: Overview and societal Challenges (2021) Research Handbook on the Sociology of the Family, pp. 417-438. , Cheltenham Edward Elgar Publishing; Rauprich, O., Berns, E., Vollmann, J., Who should pay for assisted reproductive techniques? Answers from patients, professionals and the general public in Germany (2010) Hum Reprod, 25, pp. 1225-1233; Maddox, T.M., Rumsfeld, J.S., Payne, P.R.O., Questions for Artificial Intelligence in Health Care (2019) JAMA, 321, pp. 31-32; Ross, L., (2017) Reproductive Justice: An Introduction, , Oakland University of California Press; Mau, S., (2017) Das Metrische Wir. Über Die Quantifizierung des Sozialen, , Frankfurt a.M. Suhrkamp; Obermeyer, Z., Powers, B., Vogeli, C., Dissecting racial bias in an algorithm used to manage the health of populations (2019) Science, 366, pp. 447-453; Barocas, S., Selbst, A.D., Big data's disparate impact (2016) Calif Law Rev, 104, p. 671; Castelvecchi, D., Can we open the black box of AI? (2016) Nature, 538, pp. 20-23; Cohen, I.G., Informed Consent and Medical Artificial Intelligence: What to Tell the Patient? (2020) Georgetown Law J, 108, pp. 1425-1469; Wöhlke, S., Schicktanz, S., 'Special Issue: Why Ethically Reflect on Empirical Studies in Empirical Ethics? Case Studies and Commentaries (2019) J Empir Res Hum Res Ethics, 14, pp. 424-427; Turley, P., Meyer, M.N., Wang, N., Problems with Using Polygenic Scores to Select Embryos (2021) N Engl J Med, 385, pp. 78-86; Heintz, B., Numerische Differenz. Überlegungen zu einer Soziologie des (quantitativen) Vergleichs (2010) Z Soziol, 39, pp. 162-181; Boyd, P.A., Devigan, C., Khoshnood, B., Survey of prenatal screening policies in Europe for structural malformations and chromosome anomalies, and their impact on detection and termination rates for neural tube defects and Down's syndrome (2008) BJOG, 115, pp. 689-696; Ranisch, R., (2021) Liberale Eugenik? Kritik der Selektiven Reproduktion, , Berlin Metzler; Gomez-Gonzalez, E., Gomez, E., Rivas-Marquez, J., Artificial intelligence in medicine and healthcare: A review and classification of current and near-future applications and their ethical and social impact (2020) ArXiv; Davenport, T., Kalakota, R., The potential for artificial intelligence in healthcare (2019) Future Healthc J, 6, pp. 94-98; Jannes, M., Friele, M., Jannes, C., Woopen, C., (2018) Algorithmen in der Digitalen Gesundheitsversorgung. Eine Interdisziplinäre Analyse, , Gütersloh Bertelsmann Stiftung; Topol, E.J., High-performance medicine: The convergence of human and artificial intelligence (2019) Nat Med, 25, pp. 44-56; Kaul, V., Enslin, S., Gross, S.A., History of artificial intelligence in medicine (2020) Gastrointest Endosc, 92, pp. 807-812; Sexty, R., Griesinger, G., Kayser, J., Fertilitätsbezogene Lebensqualität bei Patientinnen in deutschen Kinderwunschzentren (2016) Geburtshilfe Frauenheilkd, 76, p. V14; Westermann, A.M., Alkatout, I., Ist unerfüllter Kinderwunsch ein Leiden? - Der Leidensbegriff im Kontext der Kinderwunschtherapie (2020) Ethik Med, 32, pp. 125-139; Steptoe, P.C., Edwards, R.G., Birth after the reimplantation of a human embryo (1978) Lancet, 312, p. 366; Inhorn, M.C., Patrizio, P., Infertility around the globe: New thinking on gender, reproductive technologies and global movements in the 21st century (2015) Hum Reprod Update, 21, pp. 411-426; Niederberger, C., Pellicer, A., Cohen, J., Forty years of IVF (2018) Fertil Steril, 110, pp. 185-324; Bartnitzky, S., Blumenauer, V., Czeromin, U., D·I·R Annual 2020 - The German IVF-Registry (2021) J Reproduktionsmed Endokrinol, 18, pp. 203-247; Zaninovic, N., Rosenwaks, Z., Artificial intelligence in human in vitro fertilization and embryology (2020) Fertil Steril, 114, pp. 914-920; Grüber, K., Gruisbourne, B.D., Pömsl, J., (2016) Präimplantationsdiagnostik in Deutschland. Handreichung, , https://www.imew.de/fileadmin/Dokumente/dokumente_2016/HandreichungZurPID_2016030, Berlin IMEW; Wang, R., Pan, W., Jin, L., Artificial intelligence in reproductive medicine (2019) Reproduction, 158, pp. R139-R154; Raef, B., Ferdousi, R., A Review of Machine Learning Approaches in Assisted Reproductive Technologies (2019) Acta Inform Med, 27, pp. 205-211; Dengler, K., Fangerau, H., (2013) Zuteilungskriterien im Gesundheitswesen: Grenzen und Alternativen, , Bielefeld Transcript; Bernard, A., Woopen, C., Das Diktat der Fruchtbarkeit (2016) Fortpflanzungsmedizin in Deutschland: Entwicklungen, Fragen, Kontroversen, pp. 11-19. , Bonn Bundeszentrale für politische Bildung; De Geyter, C., Calhaz-Jorge, C., Kupka, M.S., ART in Europe, 2015: Results generated from European registries by ESHRE (2020) Hum Reprod Open, 2020, p. hoz038; Gleicher, N., Kushnir, V.A., Albertini, D.F., Improvements in IVF in women of advanced age (2016) J Endocrinol, 230, pp. F1-F6; Stoop, D., Ermini, B., Polyzos, N.P., Reproductive potential of a metaphase II oocyte retrieved after ovarian stimulation: An analysis of 23 354 ICSI cycles (2012) Hum Reprod, 27, pp. 2030-2035; Noorbakhsh-Sabet, N., Zand, R., Zhang, Y., Artificial Intelligence Transforms the Future of Health Care (2019) Am J Med, 132, pp. 795-801; Siristatidis, C., Vogiatzi, P., Pouliakis, A., Predicting IVF outcome: A proposed web-based system using artificial intelligence (2016) In Vivo, 30, pp. 507-512. , 27381616; Mortimer, S.T., Van Der Horst, G., Mortimer, D., The future of computer-aided sperm analysis (2015) Asian J Androl, 17, pp. 545-553; Gudeloglu, A., Brahmbhatt, J.V., Parekattil, S.J., Medical management of male infertility in the absence of a specific etiology (2014) Semin Reprod Med, 32, pp. 313-318; Goodson, S.G., White, S., Stevans, A.M., CASAnova: A multiclass support vector machine model for the classification of human sperm motility patterns (2017) Biol Reprod, 97, pp. 698-708; Girela, J.L., Gil, D., Johnsson, M., Semen parameters can be predicted from environmental factors and lifestyle using artificial intelligence methods (2013) Biol Reprod, 88, p. 99; Yanez, L., Han, J., Behr, B., Human oocyte developmental potential is predicted by mechanical properties within hours after fertilization (2016) Nat Commun, 7, p. 10809; Cavalera, F., Zanoni, M., Merico, V., A neural network-based identification of developmentally competent or incompetent mouse fully-grown oocytes (2018) J Vis Exp, 133, p. 56668; Saeedi, P., Yee, D., Au, J., Automatic Identification of Human Blastocyst Components via Texture (2017) IEEE Trans Biomed Eng, 64, pp. 2968-2978; Khosravi, P., Kazemi, E., Zhan, Q., Deep learning enables robust assessment and selection of human blastocysts after in vitro fertilization (2019) NPJ Digit Med, 2, p. 21; Kaufmann, S.J., Eastaugh, J.L., Snowden, S., The application of neural networks in predicting the outcome of in vitro fertilization (1997) Hum Reprod, 12, pp. 1454-1457; Durairaj, M., Thamilselvan, P., Applications of Artificial Neural Network for IVF Data Analysis and Prediction (2013) JEC&amp;AS, 2, pp. 11-15; Song, Z., Li, W., O'Leary, S., Can the use of diagnostic and prognostic categorisation tailor the need for assisted reproductive technology in infertile couples? (2021) Aust N Z J Obstet Gynaecol, 61, pp. 297-303; Topol, E.J., Welcoming New Guidelines for AI clinical research (2020) Nat Med, 26, pp. 1318-1320; Nagendran, M., Chen, Y., Lovejoy, C.A., Artificial intelligence versus clinicians: Systematic review of design, reporting standards, and claims of deep learning studies (2020) BMJ, 368, p. m689; Genin, K., Grote, T., Randomized Controlled Trials in Medical AI (2021) Philosophy of Medicine, 2; Harper, J., Magli, M.C., Lundin, K., When and how should new technology be introduced into the IVF laboratory? (2012) Hum Reprod, 27, pp. 303-313; Kreuzer, V.K., Kimmel, M., Schiffner, J., Possible Reasons for Discontinuation of Therapy: An Analysis of 571071 Treatment Cycles from the German IVF Registry (2018) Geburtshilfe Frauenheilkd, 78, pp. 984-990; Gameiro, S., Boivin, J., Peronace, L., Why do patients discontinue fertility treatment? A systematic review of reasons and predictors of discontinuation in fertility treatment (2012) Hum Reprod Update, 18, pp. 652-669; Ergin, R.N., Polat, A., Kars, B., Social stigma and familial attitudes related to infertility (2018) Turk J Obstet Gynecol, 15, pp. 46-49; Husain, W., Imran, M., Infertility as seen by the infertile couples from a collectivistic culture (2021) J Community Psychol, 49, pp. 354-360; (1948) Allgemeine Erklärung der Menschenrechte, , http://www.un.org/en/universal-declaration-human-ri, Paris Vereinte Nationen 10 12; Disparities in access to effective treatment for infertility in the United States: An Ethics Committee opinion (2015) Fertil Steril, 104, pp. 1104-1110; Robertson, J.A., (1994) Children of Choice. Freedom and the New Reproductive Technologies, , Princeton Princeton University Press; Callahan, S., Morrison, E.E., The Ethical Challenges of the New Reproductive Technologies (2009) Health Care Ethics: Critical Issues for the 21st Century, pp. 71-86. , 2 Sudbury, MA Jones and Bartlett Publishers; Coiera, E., On algorithms, machines, and medicine (2019) Lancet Oncol, 20, pp. 166-167; Rockliff, H.E., Lightman, S.L., Rhidian, E., A systematic review of psychosocial factors associated with emotional adjustment in in vitro fertilization patients (2014) Hum Reprod Update, 20, pp. 594-613; Jahrbuch 2019 (2020) J Reproduktionsmed Endokrinol, 5, pp. 199-239. , https://www.deutsches-ivf-register.de/perch/resources/dir-jahrbuch-2019-d; Ahuja, A.S., The Impact of Artificial Intelligence in Medicine on the Future Role of the Physician (2019) PeerJ, 7, p. e7702; De Miguel, I., Sanz, B., Lazcoz, G., Machine learning in the EU health care context: Exploring the ethical, legal and social issues (2020) ICS, 23, pp. 1139-1153; Cohen, I.G., Amarasingham, R., Shah, A., The legal and ethical concerns that arise from using complex predictive analytics in health care (2014) Health Aff (Millwood), 33, pp. 1139-1147; Ranisch, R., Consultation with Doctor Twitter: Consent Fatigue, and the Role of Developers in Digital Medical Ethics (2021) Am J Bioeth, 21, pp. 24-25; Kohli, M., Prevedello, L.M., Filice, R.W., Implementing machine learning in radiology practice and research (2017) AJR Am J Roentgenol, 208, pp. 754-760; Price, W.N., Big Data and Black-Box Medical Algorithms (2018) Sci Transl Med, 10; Rudin, C., Stop Explaining Black Box Machine Learning Models for High Stakes Decisions and Use Interpretable Models Instead (2019) Nat Mach Intell, 1, pp. 206-215; Gaube, S., Suresh, H., Raue, M., Do as AI say: Susceptibility in deployment of clinical decision-aids (2021) NPJ Digit Med, 4, p. 31; Calhaz-Jorge, C., De Geyter, C.H., Kupka, M.S., Survey on ART and IUI: Legislation, regulation, funding and registries in European countries: The European IVF-monitoring Consortium (EIM) for the European Society of Human Reproduction and Embryology (ESHRE) (2020) Hum Reprod Open, 2020, p. hoz044; Passet-Wittig, J., Bujard, M., Schneider, N.F., Kreyenfeld, M., Medically assisted Reproduction in developed Countries: Overview and societal Challenges (2021) Research Handbook on the Sociology of the Family, pp. 417-438. , Cheltenham Edward Elgar Publishing; Rauprich, O., Berns, E., Vollmann, J., Who should pay for assisted reproductive techniques? Answers from patients, professionals and the general public in Germany (2010) Hum Reprod, 25, pp. 1225-1233; Maddox, T.M., Rumsfeld, J.S., Payne, P.R.O., Questions for Artificial Intelligence in Health Care (2019) JAMA, 321, pp. 31-32; Ross, L., (2017) Reproductive Justice: An Introduction, , Oakland University of California Press; Mau, S., (2017) Das Metrische Wir. Über Die Quantifizierung des Sozialen, , Frankfurt a.M. Suhrkamp; Obermeyer, Z., Powers, B., Vogeli, C., Dissecting racial bias in an algorithm used to manage the health of populations (2019) Science, 366, pp. 447-453; Barocas, S., Selbst, A.D., Big data's disparate impact (2016) Calif Law Rev, 104, p. 671; Castelvecchi, D., Can we open the black box of AI? (2016) Nature, 538, pp. 20-23; Cohen, I.G., Informed Consent and Medical Artificial Intelligence: What to Tell the Patient? (2020) Georgetown Law J, 108, pp. 1425-1469; Wöhlke, S., Schicktanz, S., 'Special Issue: Why Ethically Reflect on Empirical Studies in Empirical Ethics? Case Studies and Commentaries (2019) J Empir Res Hum Res Ethics, 14, pp. 424-427; Turley, P., Meyer, M.N., Wang, N., Problems with Using Polygenic Scores to Select Embryos (2021) N Engl J Med, 385, pp. 78-86; Heintz, B., Numerische Differenz. Überlegungen zu einer Soziologie des (quantitativen) Vergleichs (2010) Z Soziol, 39, pp. 162-181; Boyd, P.A., Devigan, C., Khoshnood, B., Survey of prenatal screening policies in Europe for structural malformations and chromosome anomalies, and their impact on detection and termination rates for neural tube defects and Down's syndrome (2008) BJOG, 115, pp. 689-696; Ranisch, R., (2021) Liberale Eugenik? Kritik der Selektiven Reproduktion, , Berlin Metzler</t>
  </si>
  <si>
    <t>00165751</t>
  </si>
  <si>
    <t>GEFRA</t>
  </si>
  <si>
    <t>Geburtshilfe Frauenheilkd.</t>
  </si>
  <si>
    <t>2-s2.0-85146273994</t>
  </si>
  <si>
    <t>Artificial intelligence in reproductive medicine - an ethical perspective [künstliche intelligenz in der reproduktionsmedizin - eine ethische betrachtung]</t>
  </si>
  <si>
    <t>Hobbs W.R., Ong A.D.</t>
  </si>
  <si>
    <t>57192917744;7102970501;</t>
  </si>
  <si>
    <t>For living well, behaviors and circumstances matter just as much as psychological traits</t>
  </si>
  <si>
    <t>e2212867120</t>
  </si>
  <si>
    <t>10.1073/pnas.2212867120</t>
  </si>
  <si>
    <t>https://www.scopus.com/inward/record.uri?eid=2-s2.0-85150096352&amp;doi=10.1073%2fpnas.2212867120&amp;partnerID=40&amp;md5=86cdbec249b5763da35ebb42f5918038</t>
  </si>
  <si>
    <t>Department of Psychology, Cornell University, Ithaca, NY  14853, United States; Department of Government, Cornell University, Ithaca, NY  14853, United States</t>
  </si>
  <si>
    <t>Hobbs, W.R., Department of Psychology, Cornell University, Ithaca, NY  14853, United States, Department of Government, Cornell University, Ithaca, NY  14853, United States; Ong, A.D., Department of Psychology, Cornell University, Ithaca, NY  14853, United States</t>
  </si>
  <si>
    <t>In 2004 through 2016, three studies in the national Midlife in the United States (MIDUS) project asked participants the open-ended question "What do you do to make life go well?". We use verbatim responses to this question to evaluate the relative importance of psychological traits and circumstances for predicting self-reported, subjective well-being. The use of an open-ended question allows us to test the hypothesis that psychological traits are more strongly associated with self-reported well-being than objective circumstances because psychological traits and well-being are similarly selfrated- meaning that they both ask respondents to decide how to place themselves on provided and unfamiliar survey scales. For this, we use automated zero-shot classification to score statements about well-being without training on existing survey measures, and we evaluate this scoring through subsequent hand-labeling. We then assess associations of this measure and closed-ended measures for health behaviors, socioeconomic circumstances, biomarkers for inflammation and glycemic control, and mortality risk over follow-up. Although the closed-ended measures were far more strongly associated with other multiple-choice self-ratings, including Big 5 personality traits, the closed- and open-ended measures were similarly associated with relatively objective indicators of health, wealth, and social connectedness. The findings suggest that psychological traits, when collected through self-ratings, predict subjective reports of well-being so strongly because of a measurement advantage-and that circumstance matters just as much when assessed using a fairer comparison. © 2023 the Author(s).</t>
  </si>
  <si>
    <t>health; machine learning; personality; survey design; well-being</t>
  </si>
  <si>
    <t>biological marker; health behavior; human; inflammation; questionnaire; self report; United States; Biomarkers; Health Behavior; Humans; Inflammation; Self Report; Surveys and Questionnaires; United States</t>
  </si>
  <si>
    <t>Ludwig, J., Neighborhood effects on the long-term well-being of low-income adults (2012) Science, 337, pp. 1505-1510; VanderWeele, T. J., On the promotion of human flourishing (2017) Proc. Natl. Acad. Sci. U.S.A, 114, pp. 8148-8156; Helliwell, J. F., Aknin, L. B., Expanding the social science of happiness (2018) Nat. Hum. Behav, 2, pp. 248-252; Steptoe, A., Happiness and health (2019) Ann. Rev. Public Health, 40, pp. 339-359; Buettner, D., Nelson, T., Veenhoven, R., Ways to greater happiness: A delphi study (2020) J. Happiness Stud, 21, pp. 2789-2806; Eichstaedt, J. C., The emotional and mental health impact of the murder of George Floyd on the US population (2021) Proc. Natl. Acad. Sci. U.S.A, 118, p. e2109139118; Diener, E., Subjective well-being (1984) Psychol. Bull, 95, pp. 542-575; Ryff, C. D., Beyond Ponce de Leon and life satisfaction: New directions in quest of successful ageing (1989) Int. J. Behav. Dev, 12, pp. 35-55; Howell, R. T., Kern, M. L., Lyubomirsky, S., Health benefits: Meta-analytically determining the impact of well-being on objective health outcomes (2007) Health Psychol. Rev, 1, pp. 83-136; Hill, P. L., Turiano, N. A., Purpose in life as a predictor of mortality across adulthood (2014) Psychol. Sci, 25, pp. 1482-1486; Steptoe, A., Deaton, A., Stone, A. A., Subjective wellbeing, health, and ageing (2015) Lancet, 385, pp. 640-648; Martín-María, N., The impact of subjective well-being on mortality: A meta-analysis of longitudinal studies in the general population (2017) Psychos. Med, 79, pp. 565-575; Puterman, E., Predicting mortality from 57 economic, behavioral, social, and psychological factors (2020) Proc. Natl. Acad. Sci. U.S.A, 117, pp. 16273-16282; Kashdan, T. B., Biswas-Diener, R., King, L. A., Reconsidering happiness: The costs of distinguishing between hedonics and eudaimonia (2008) J. Positive Psychol, 3, pp. 219-233; Disabato, D. J., Goodman, F. R., Kashdan, T. B., Short, J. L., Jarden, A., Different types of well-being?. A cross-cultural examination of hedonic and eudaimonic well-being (2016) Psychol. Assess, 28, pp. 471-482; Margolis, S., Schwitzgebel, E., Ozer, D. J., Lyubomirsky, S., (2021) Empirical Relationships Among Five Types of Well-Being, pp. 377-407. , (Oxford University Press); Ryff, C. D., Well-being with soul: Science in pursuit of human potential (2018) Perspect. Psychol. Sci, 13, pp. 242-248; Smith, T. W., Davern, M., Freese, J., Morgan, S. L., (2019) General Social Surveys, 1972-2018: Cumulative Codebook, , (NORC, Chicago); Anglim, J., Horwood, S., Smillie, L. D., Marrero, R. J., Wood, J. K., Predicting psychological and subjective well-being from personality: A meta-analysis (2020) Psychol. Bull, 146, pp. 279-323; Margolis, S., Elder, J., Hughes, B., Lyubomirsky, S., What Are the Most Important Predictors of Subjective Well-Being? (2021) Insights From Machine Learning and Linear Regression Approaches on the MIDUS Datasets, (PsyArXiv), , Preprint; Stieger, M., Changing personality traits with the help of a digital personality change intervention (2021) Proc. Natl. Acad. Sci. U.S.A, 118, p. e2017548118; Bainbridge, T. F., Ludeke, S. G., Smillie, L. D., Evaluating the Big Five as an organizing framework for commonly used psychological trait scales (2022) J. Pers. Soc. Psychol, 122, pp. 749-777; Roberts, B. W., Kuncel, N. R., Shiner, R., Caspi, A., Goldberg, L. R., The power of personality: The comparative validity of personality traits, socioeconomic status, and cognitive ability for predicting important life outcomes (2007) Perspect. Psychol. Sci, 2, pp. 313-345; Diener, E., Sandvik, E., Pavot, W., Gallagher, D., Response artifacts in the measurement of subjective well-being (1991) Soc. Indic. Res, 24, pp. 35-56; Friedman, H. S., Kern, M. L., Personality, well-being, and health (2014) Ann. Rev. Psychol, 65, pp. 719-742; Diener, E., Lucas, R., (2009) Personality and Subjective Well-Being in The Science of Well-Being, Social Indicators Research Series, 37. , E. Diener, A. C. Michalos, Eds. (Springer Netherlands, Dordrecht); Lucas, R. E., Fujita, F., Factors influencing the relation between extraversion and pleasant affect (2000) J. Pers. Soc. Psychol, 79, pp. 1039-1056; Diener, E., Lucas, R. E., Oishi, S., Advances and open questions in the science of subjective well-being (2018) Collabra: Psychol, 4, p. 15; Podsakoff, P. M., MacKenzie, S. B., Lee, J. Y., Podsakoff, N. P., Common method biases in behavioral research: A critical review of the literature and recommended remedies (2003) J. Appl. Psychol, 88, pp. 879-903; Boehm, J. K., Kubzansky, L. D., The heart's content: The association between positive psychological well-being and cardiovascular health (2012) Psychol. Bull, 138, pp. 655-691; Steptoe, A., Deaton, A., Stone, A. A., Subjective wellbeing, health, and ageing (2015) Lancet, 385, pp. 640-648; Gerstorf, D., Terminal decline in well-being: The role of social orientation (2016) Psychol. Aging, 31, pp. 149-165; Kahneman, D., Deaton, A., High income improves evaluation of life but not emotional well-being (2010) Proc. Natl. Acad. Sci. U.S.A, 107, pp. 16489-16493; Stevenson, B., Wolfers, J., Subjective well-being and income: Is there any evidence of satiation? (2013) Am. Econ. Rev, 103, pp. 598-604; Killingsworth, M. A., Experienced well-being rises with income, even above $75, 000 per year (2021) Proc. Natl. Acad. Sci. U.S.A, 118, p. e2016976118; Headey, B., Wooden, M., The effects of wealth and income on subjective well-being and ill-being* (2004) Econ. Rec, 80, pp. S24-S33; Oreopoulos, P., Salvanes, K. G., Priceless: The nonpecuniary benefits of schooling (2011) J. Econ. Perspect, 25, pp. 159-184; Cuñado, J., de Gracia, F. P., Does education affect happiness? (2012) Evidence SpainSoc. Indic. Res, 108, pp. 185-196; Powdthavee, N., Lekfuangfu, W. N., Wooden, M., What's the good of education on our overall quality of life?. A simultaneous equation model of education and life satisfaction for Australia (2015) J. Behav. Exp. Econ, 54, pp. 10-21; Kim, H. K., McKenry, P. C., The relationship between marriage and psychological well-being: A longitudinal analysis (2002) J. Family Issues, 23, pp. 885-911; Stutzer, A., Frey, B. S., Does marriage make people happy, or do happy people get married? (2006) J. Soc.-Econ, 35, pp. 326-347; Luhmann, M., Lucas, R. E., Eid, M., Diener, E., The prospective effect of life satisfaction on life events (2013) Soc. Psychol. Pers. Sci, 4, pp. 39-45; Nelson, S. K., Kushlev, K., English, T., Dunn, E. W., Lyubomirsky, S., In defense of parenthood: Children are associated with More Joy Than Misery (2013) Psychol. Sci, 24, pp. 3-10; Nelson, S. K., Kushlev, K., Lyubomirsky, S., The pains and pleasures of parenting: When, why, and how is parenthood associated with more or less well-being? (2014) Psychol. Bull, 140, pp. 846-895; Ryan, R., Booth, S., Spathis, A., Mollart, S., Clow, A., Use of salivary diurnal cortisol as an outcome measure in randomised controlled trials: A systematic review (2016) Ann. Behav. Med, 50, pp. 210-236; Yin, W., Hay, J., Roth, D., Benchmarking Zero-shot Text classification: Datasets evaluation and entailment approach (2019) EMNLP; Maiya, A. S., Ktrain: A low-code library for augmented machine learning (2022) J. Mach. Learn. Res, 23, pp. 1-6; Boyd, R. L., Ashokkumar, A., Seraj, S., Pennebaker, J. W., (2022) The Development and Psychometric Properties of LIWC-22, , (University of Texas at Austin, Austin, TX); Lee, M. T., Kubzansky, L. D., VanderWeele, T. J., (2021) Measuring Well-Being: Interdisciplinary Perspectives from the Social Sciences and the Humanities, , (Oxford University Press); Kahneman, D., Krueger, A. B., Developments in the measurement of subjective well-being (2006) J. Econ. Perspect, 20, pp. 3-24; Eichstaedt, J. C., Closed and open vocabulary approaches to text analysis: A review, quantitative comparison, and recommendations (2021) Psychol. Methods, 26, pp. 398-427; Ziegler, J., A text-as-data approach for using open-ended responses as manipulation checks (2022) Political Anal, 30, pp. 289-297; Zou, H., Hastie, T., Regularization and variable selection via the elastic net (2005) J. R. Stat. Soc.: Ser. B (Stat. Methodol.), 67, pp. 301-320; Park, G., Automatic personality assessment through social media language (2015) J. Pers. Soc. Psychol, 108, pp. 934-952; Smith, T. B., McCullough, M. E., Poll, J., Religiousness and depression: Evidence for a main effect and the moderating influence of stressful life events (2003) Psychol. Bull, 129, pp. 614-636; Wood, A. M., Froh, J. J., Geraghty, A. W., Gratitude and well-being: A review and theoretical integration (2010) Clin. Psychol. Rev, 30, pp. 890-905; DeNeve, K. M., Copper, H., The happy personality: A meta-analysis of 137 personality traits and subjective well-being (1998) Psychol. Bull, 124, pp. 197-229; Oishi, S., Westgate, E. C., A psychologically rich life: Beyond happiness and meaning (2021) Psychol. Revi, 129, pp. 790-811; Mischel, W., Shoda, Y., A cognitive-affective system theory of personality: Reconceptualizing situations, dispositions, dynamics, and invariance in personality structure (1995) Psychol. Rev, 102, pp. 246-268; Mischel, W., Shoda, Y., Reconciling processing dynamics and personality dispositions (1998) Ann. Rev. Psychol, 49, pp. 229-258; Bergman, P., (2019) Creating moves to opportunity: Experimental evidence on barriers to neighborhood choice, , (Tech. rep., National Bureau of Economic Research); Hudson, N. W., Fraley, R. C., Volitional personality trait change: Can people choose to change their personality traits? (2015) J. Pers. Soc. Psychol, 109, pp. 490-507; Burger, J., A clinical PREMISE for personalized models: Toward a formal integration of case formulations and statistical networks (2022) J. Psychopathol. Clin. Sci, 131, p. 906; Oswald, A. J., Wu, S., Objective confirmation of subjective measures of human well-being: Evidence from the U.S.A (2010) Science, 327, pp. 576-579; Luhmann, M., Hofmann, W., Eid, M., Lucas, R. E., Subjective well-being and adaptation to life events: A meta-analysis (2012) J. Pers. Soc. Psychol, 102, pp. 592-615; Jaidka, K., Estimating geographic subjective well-being from Twitter: A comparison of dictionary and data-driven language methods (2020) Proc. Natl. Acad. Sci. U.S.A, 117, pp. 10165-10171; Cutler, A., Condon, D. M., (2022) Deep Lexical Hypothesis: Identifying personality structure in natural language, , https://arxiv.org/abs/2203.02092, (PsyArXiv, Preprint). Accessed 1 April 2022; Ryff, C. D., Midlife in the United States (MIDUS 2), 2004-2006, , Inter-university Consortium for Political and Social Research [distributor], 2021-09-15. Accessed 22 June 2021; Ryff, C. D., Midlife in the United States (MIDUS 2): Milwaukee African American Sample, 2005-2006, , Inter-university Consortium for Political and Social Research [distributor], 2022-10-12. Accessed 27 June 2022; Ryff, C. D., Midlife in the United States (MIDUS Refresher 1), 2011-2014, , Inter-university Consortium for Political and Social Research [distributor], 2017-11-20. Accessed 10 February 2022; Dienberg Love, G., Seeman, T. E., Weinstein, M., Ryff, C. D., Bioindicators in the MIDUS national study: Protocol, measures, sample, and comparative context (2010) J. Aging Health, 22, pp. 1059-1080; Ryff, C. D., Seeman, T., Weinstein, M., Midlife in the United States (MIDUS 2): Biomarker project, 2004-2009 (2022) Inter-university Consortium for Political and Social Research, , https://doi.org/10.3886/ICPSR29282.v10, (National Archive of Computerized Data on Aging); Weinstein, M., Ryff, C. D., Seeman, T. E., Midlife in the United States (MIDUS Refresher 1): Biomarker project, 2012-2016 (2019) Inter-university Consortium for Political and Social Research, , https://doi.org/10.3886/ICPSR36901.v6, (National Archive of Computerized Data on Aging); Ryff, C. D., Almeida, D. M., Midlife in the United States (MIDUS 2): Daily stress project, 2004-2009 (2017) Inter-university Consortium for Political and Social Research, , https://doi.org/10.3886/ICPSR26841.v2, (National Archive of Computerized Data on Aging); Ryff, C. D., Almeida, D. M., Midlife in the United States (MIDUS Refresher 1): Daily diary project, 2012-2014 (2020) Inter-university Consortium for Political and Social Research, , https://doi.org/10.3886/ICPSR37083.v2, (National Archive of Computerized Data on Aging); Bestvater, S. E., Monroe, B. L., Sentiment is not stance: Target-aware opinion classification for political text analysis (2022) Political Anal, pp. 1-22; Lewis, M., BART: Denoising sequence-to-sequence pre-training for natural language generation, translation, and comprehension (2020) Proceedings of the 58th Annual Meeting of the Association for Computational Linguistics, pp. 7871-7880. , (Association for Computational Linguistics); Williams, A., Nangia, N., Bowman, S., A broad-coverage challenge corpus for sentence understanding through inference (2018) Proceedings of the 2018 Conference of the North American Chapter of the Association for Computational Linguistics: Human Language Technologies, Volume 1 (Long Papers), pp. 1112-1122. , (Association for Computational Linguistics, New Orleans, Louisiana); Cantril, H., (1965) The Pattern of Human Concerns, , (Rutgers University Press, New Brunswick, NJ); Ong, A. D., Steptoe, A., Association of positive affect instability with all-cause mortality in older adults in England (2020) JAMA Netw. Open, 3, p. e207725; Devlin, J., Chang, M. W., Lee, K., Toutanova, K., BERT: Pre-training of deep bidirectional transformers for language understanding (2018) Proceedings of NAACL-HLT, pp. 4171-4186; Friedman, J. H., Hastie, T., Tibshirani, R., Regularization paths for generalized linear models via coordinate descent (2010) J. Stat. Softw, 33, pp. 1-22; Hastie, T., Tibshirani, R., Friedman, J. J. H., (2001) The Elements of Statistical Learning, , (Springer, New York); Blei, D. M., Ng, A. Y., Jordan, M. I., Latent Dirichlet allocation (2003) J. Mach. Learn. Res, 3, pp. 993-1022; Roberts, M., Stewart, B., Tingley, D., Structural topic models for open-ended survey responses (2014) Am. J. Polit. Sci, 58, pp. 1064-1082</t>
  </si>
  <si>
    <t>2-s2.0-85150096352</t>
  </si>
  <si>
    <t>González-Martín C., Carrasco M., Oviedo G.</t>
  </si>
  <si>
    <t>57572769000;8977359800;57572962100;</t>
  </si>
  <si>
    <t>Analysis of the Use of Color and Its Emotional Relationship in Visual Creations Based on Experiences during the Context of the COVID-19 Pandemic</t>
  </si>
  <si>
    <t>12989</t>
  </si>
  <si>
    <t>10.3390/su142012989</t>
  </si>
  <si>
    <t>https://www.scopus.com/inward/record.uri?eid=2-s2.0-85140931482&amp;doi=10.3390%2fsu142012989&amp;partnerID=40&amp;md5=ee7b499c1cff8e13c0ce3f1166342065</t>
  </si>
  <si>
    <t>Facultad de Ciencias de la Educación, University of Cordoba, San Alberto Magno, Cordoba, 14071, Spain; Facultad de Ingeniería y Ciencias, Universidad Adolfo Ibáñez, Av. Diagonal Las Torres 2700, Santiago, 7941169, Chile</t>
  </si>
  <si>
    <t>González-Martín, C., Facultad de Ciencias de la Educación, University of Cordoba, San Alberto Magno, Cordoba, 14071, Spain; Carrasco, M., Facultad de Ingeniería y Ciencias, Universidad Adolfo Ibáñez, Av. Diagonal Las Torres 2700, Santiago, 7941169, Chile; Oviedo, G., Facultad de Ingeniería y Ciencias, Universidad Adolfo Ibáñez, Av. Diagonal Las Torres 2700, Santiago, 7941169, Chile</t>
  </si>
  <si>
    <t>Color is a complex communicative element. At the level of artistic creation, this component influences both formal aspects and symbolic weight, directly affecting the construction of the message, and its associated emotion. During the COVID-19 pandemic, people generated countless images transmitting the subjective experiences of this event, and the social network Instagram was used to share this visual material. Using the repository of images created in the Instagram account CAM (The COVID Art Museum), we propose a methodology to understand the use of color and its emotional relationship in this context. The proposed methodology consists of creating a model that learns to recognize emotions via a convolutional neural network using the ArtEmis database. This model will subsequently be applied to recognize emotions in the CAM dataset, also extracting color attributes and their harmonies. Once both processes are completed, we combine the results, generating an expanded discussion on the usage of color and emotion. The results indicate that warm colors and analog compositions prevail in the sample. The relationship between emotions and composition shows a trend in positive emotions, reinforced by the results of the emotional relationship analysis of color attributes (hue, saturation, and lighting). © 2022 by the authors.</t>
  </si>
  <si>
    <t>color; COVID-19; deep learning; emotion; Instagram; pandemic</t>
  </si>
  <si>
    <t>color; COVID-19; machine learning; social network</t>
  </si>
  <si>
    <t>Berg, S.H., O’Hara, J.K., Shortt, M.T., Thune, H., Bronnick, K.K., Lungu, D.A., Roislien, J., Wiig, S., Health authorities’ health risk communication with the public during pandemics: A rapid scoping review (2021) BMC Public Health, 21. , 34266403; Papademetriou, C., Anastasiadou, S., Konteos, G., Papalexandris, S., COVID-19 Pandemic: The Impact of the Social Media Technology on Higher Education (2022) Educ. Sci, 12; Bond, B.J., Social and parasocial relationships during COVID-19 social distancing (2021) J. Soc. Pers. Relationships, 38, pp. 2308-2329; Mohamad, S.M., Creative Production of ‘COVID-19 Social Distancing’ Narratives on Social Media (2020) Tijdschr. Voor Econ. En Soc. Geogr, 111, pp. 347-359; Steinert, S., Corona and value change. The role of social media and emotional contagion (2021) Ethics Inf. Technol, 23, pp. 59-68. , 32837288; Sheldon, P., Rauschnabel, P.A., Antony, M.G., Car, S., A cross-cultural comparison of Croatian and American social network sites: Exploring cultural differences in motives for Instagram use (2017) Comput. Hum. Behav, 75, pp. 643-651; Sheldon, P., Bryant, K., Instagram: Motives for its use and relationship to narcissism and contextual age (2016) Comput. Hum. Behav, 58, pp. 89-97; Muñoz, M.C., El arte como postraducción de la pandemia por la covid-19: El caso de The Covid Art Museum. Section: Nuevos retos y perspectivas de la investigación en Literatura, Lingüística y Traducción. Chapter 113 (2021) Nuevos Retos y Perspectivas de la Investigación en Literatura, Lingüística y Traducción, pp. 2189-2210. , Dykinson, Madrid, Spain; Wang, S., Han, K., Jin, J., Review of image low-level feature extraction methods for content-based image retrieval (2019) Sens. Rev, 39, pp. 783-809; Machajdik, J., Hanbury, A., Affective image classification using features inspired by psychology and art theory (2010) Proceedings of the International Conference on Multimedia-MM ’10, p. 83. , ACM Press, Firenze, Italy; Schloss, K.B., Witzel, C., Lai, L.Y., Blue hues don’t bring the blues: Questioning conventional notions of color–emotion associations (2020) J. Opt. Soc. Am. A, 37, p. 813; Kauppinen-Räisänen, H., Luomala, H.T., Exploring consumers’ product-specific colour meanings (2010) Qual. Mark. Res. Int. J, 13, pp. 287-308; Wei-ning, W., Ying-lin, Y., Sheng-ming, J., Image Retrieval by Emotional Semantics: A Study of Emotional Space and Feature Extraction Proceedings of the 2006 IEEE International Conference on Systems, Man and Cybernetics, pp. 3534-3539. , Taipei, Taiwan, 8–11 October 2006; Eiseman, L., (2017) The Complete Color Harmony, Pantone Edition, , Rockport Publishers, Beverly, MA, USA; White, A.R., Martinez, L.M., Martinez, L.F., Rando, B., Color in web banner advertising: The influence of analogous and complementary colors on attitude and purchase intention (2021) Electron. Commer. Res. Appl, 50, p. 101100; Pridmore, R.W., Complementary colors: A literature review (2021) Color Res. Appl, 46, pp. 482-488; Gorn, G.J., Chattopadhyay, A., Yi, T., Dahl, D.W., Effects of Color as an Executional Cue in Advertising: They’re in the Shade (1997) Manag. Sci, 43, pp. 1387-1400; Baptista, I., Valentin, D., Saldaña, E., Behrens, J., Effects of packaging color on expected flavor, texture, and liking of chocolate in Brazil and France (2021) Int. J. Gastron. Food Sci, 24, p. 100340; Hsieh, Y.C., Chiu, H.C., Tang, Y.C., Lee, M., Do Colors Change Realities in Online Shopping? (2018) J. Interact. Mark, 41, pp. 14-27; Reece, A.G., Danforth, C.M., Instagram photos reveal predictive markers of depression (2017) EPJ Data Sci, 6, p. 15; Yu, J., Egger, R., Color and engagement in touristic Instagram pictures: A machine learning approach (2021) Ann. Tour. Res, 89, p. 103204; O’Connor, Z., Color Psychology (2015) Encyclopedia of Color Science and Technology, pp. 1-10. , Luo R., (ed), Springer, Berlin/Heidelberg, Germany; Caivano, J.L., Color and semiotics: A two-way street (1998) Color Res. Appl, 23, pp. 390-401; Kauppinen-Räisänen, H., Jauffret, M.N., Using colour semiotics to explore colour meanings (2018) Qual. Mark. Res. Int. J, 21, pp. 101-117; Retter, T.L., Gao, Y., Jiang, F., Rossion, B., Webster, M.A., Early, color-specific neural responses to object color knowledge (2021) Neuroscience, pp. preprint; Elliot, A.J., Maier, M.A., Color and Psychological Functioning (2007) Curr. Dir. Psychol. Sci, 16, pp. 250-254; Manav, B., Color-emotion associations and color preferences: A case study for residences (2007) Color Res. Appl, 32, pp. 144-150; Schloss, K.B., Palmer, S.E., An ecological framework for temporal and individual differences in color preferences (2017) Vis. Res, 141, pp. 95-108; Palmer, S.E., Schloss, K.B., An ecological valence theory of human color preference (2010) Proc. Natl. Acad. Sci. USA, 107, pp. 8877-8882. , 20421475; Taylor, C., Franklin, A., The relationship between color–object associations and color preference: Further investigation of ecological valence theory (2012) Psychon. Bull. Rev, 19, pp. 190-197; Schloss, K.B., Color Preferences Differ with Variations in Color Perception (2015) Trends Cogn. Sci, 19, pp. 554-555; Schloss, K.B., Hawthorne-Madell, D., Palmer, S.E., Ecological influences on individual differences in color preference (2015) Atten. Percept. Psychophys, 77, pp. 2803-2816; Kim, J.H., Kim, Y., Instagram user characteristics and the color of their photos: Colorfulness, color diversity, and color harmony (2019) Inf. Process. Manag, 56, pp. 1494-1505; Wilms, L., Oberfeld, D., Color and emotion: Effects of hue, saturation, and brightness (2018) Psychol. Res, 82, pp. 896-914; Ou, L.C., Luo, M.R., Woodcock, A., Wright, A., A study of colour emotion and colour preference. Part II: Colour emotions for two-colour combinations (2004) Color Res. Appl, 29, pp. 292-298; Valdez, P., Mehrabian, A., (1994) Effects of Color on Emotions, 123, pp. 394-409. , American Psychological Association, Washington, DC, USA; Gilbert, A.N., Fridlund, A.J., Lucchina, L.A., The color of emotion: A metric for implicit color associations (2016) Food Qual. Prefer, 52, pp. 203-210; Ou, L.C., Luo, M.R., Sun, P.L., Hu, N.C., Chen, H.S., Age effects on colour emotion, preference, and harmony (2012) Color Res. Appl, 37, pp. 92-105; Ou, L.C., Luo, M.R., Woodcock, A., Wright, A., A study of colour emotion and colour preference. Part I: Colour emotions for single colours (2004) Color Res. Appl, 29, pp. 232-240; Xin, J.H., Cheng, K.M., Taylor, G., Sato, T., Hansuebsai, A., Cross-regional comparison of colour emotions Part I: Quantitative analysis (2004) Color Res. Appl, 29, pp. 451-457; Xin, J.H., Cheng, K.M., Taylor, G., Sato, T., Hansuebsai, A., Cross-regional comparison of colour emotions Part II: Qualitative analysis (2004) Color Res. Appl, 29, pp. 458-466; Taylor, C., Clifford, A., Franklin, A., Color preferences are not universal (2013) J. Exp. Psychol. Gen, 142, pp. 1015-1027; Gao, X.P., Xin, J.H., Investigation of human’s emotional responses on colors (2006) Color Res. Appl, 31, pp. 411-417; Jonauskaite, D., Wicker, J., Mohr, C., Dael, N., Havelka, J., Papadatou-Pastou, M., Zhang, M., Oberfeld, D., A machine learning approach to quantify the specificity of colour–emotion associations and their cultural differences (2019) R. Soc. Open Sci, 6, p. 190741; Suk, H.J., Irtel, H., Emotional response to color across media (2010) Color Res. Appl, 35, pp. 64-77; Gong, R., Wang, Q., Hai, Y., Shao, X., Investigation on factors to influence color emotion and color preference responses (2017) Optik, 136, pp. 71-78; Hanjalic, A., Extracting moods from pictures and sounds: Towards truly personalized TV (2006) IEEE Signal Process. Mag, 23, pp. 90-100; Yang, J., She, D., Sun, M., Joint Image Emotion Classification and Distribution Learning via Deep Convolutional Neural Network (2017) Proceedings of the Twenty-Sixth International Joint Conference on Artificial Intelligence, pp. 3266-3272. , International Joint Conferences on Artificial Intelligence Organization, Melbourne, Australia; Mikels, J.A., Fredrickson, B.L., Larkin, G.R., Lindberg, C.M., Maglio, S.J., Reuter-Lorenz, P.A., Emotional category data on images from the international affective picture system (2005) Behav. Res. Methods, 37, pp. 626-630. , 16629294; Krizhevsky, A., Sutskever, I., Hinton, G.E., ImageNet classification with deep convolutional neural networks (2017) Commun. ACM, 60, pp. 84-90; Liu, H., Sun, H., Li, M., Iida, M., Application of Color Featuring and Deep Learning in Maize Plant Detection (2020) Remote Sens, 12; Poterek, Q., Herrault, P.A., Skupinski, G., Sheeren, D., Deep Learning for Automatic Colorization of Legacy Grayscale Aerial Photographs (2020) IEEE J. Sel. Top. Appl. Earth Obs. Remote Sens, 13, pp. 2899-2915; Zhuang, F., Qi, Z., Duan, K., Xi, D., Zhu, Y., Zhu, H., Xiong, H., He, Q., A Comprehensive Survey on Transfer Learning (2020) arXiv, , 1911.02685; Kim, Y., Lee, H., Provost, E.M., Deep learning for robust feature generation in audiovisual emotion recognition Proceedings of the 2013 IEEE International Conference on Acoustics, Speech and Signal Processing, pp. 3687-3691. , Vancouver, BC, Canada, 26–31 May 2013; Razavian, A.S., Azizpour, H., Sullivan, J., Carlsson, S., CNN Features Off-the-Shelf: An Astounding Baseline for Recognition Proceedings of the 2014 IEEE Conference on Computer Vision and Pattern Recognition Workshops, pp. 512-519. , Columbus, OH, USA, 23–28 June 2014; Kim, H.R., Kim, Y.S., Kim, S.J., Lee, I.K., Building Emotional Machines: Recognizing Image Emotions through Deep Neural Networks (2017) arXiv, , 1705.07543; Priya, D.T., Udayan, J.D., Affective emotion classification using feature vector of image based on visual concepts (2020) Int. J. Electr. Eng. Educ, 60; Rao, T., Xu, M., Xu, D., Learning Multi-level Deep Representations for Image Emotion Classification (2018) arXiv, , 1611.07145; Elliot, A.J., Color and psychological functioning: A review of theoretical and empirical work (2015) Front. Psychol, 6, p. 368; He, L., Qi, H., Zaretzki, R., Image color transfer to evoke different emotions based on color combinations (2015) Signal Image Video Process, 9, pp. 1965-1973; Liu, D., Jiang, Y., Pei, M., Liu, S., Emotional image color transfer via deep learning (2018) Pattern Recognit. Lett, 110, pp. 16-22; Liu, S., Pei, M., Texture-Aware Emotional Color Transfer Between Images (2018) IEEE Access, 6, pp. 31375-31386; Ram, V., Schaposnik, L.P., Konstantinou, N., Volkan, E., Papadatou-Pastou, M., Manav, B., Jonauskaite, D., Mohr, C., Extrapolating continuous color emotions through deep learning (2020) Phys. Rev. Res, 2, p. 033350; Takada, A., Wang, X., Yamasaki, T., Color-Grayscale-Pair Image Sentiment Dataset and Its Application to Sentiment-Driven Image Color Conversion (2021) Proceedings of the 2021 International Joint Workshop on Multimedia Artworks Analysis and Attractiveness Computing in Multimedia 2021, pp. 2-7. , ACM, Taipei Taiwan; Picard, R.W., (1995) Affective Computing, , Technical Report No. 321, Media Laboratory Perceptual Computing Section, MIT 20 Ames St., Cambridge, MA, USA; Zhao, S., Wang, S., Soleymani, M., Joshi, D., Ji, Q., Affective Computing for Large-Scale Heterogeneous Multimedia Data: A Survey (2020) ACM Trans. Multimed. Comput. Commun. Appl, 15, pp. 1-32; Zhao, S., Yao, X., Yang, J., Jia, G., Ding, G., Chua, T.S., Schuller, B.W., Keutzer, K., Affective Image Content Analysis: Two Decades Review and New Perspectives (2021) arXiv, , 2106.16125; Bradley, M.M., Lang, P.J., Emotion and Motivation (2007) Handbook of Psychophysiology, pp. 581-607. , Cacioo J.T., Tassinary L.G., Berntson G., (eds), 3rd ed., Cambridge University Press, Cambridge, UK; Alameda-Pineda, X., Ricci, E., Yan, Y., Sebe, N., Recognizing Emotions from Abstract Paintings Using Non-Linear Matrix Completion Proceedings of the 2016 IEEE Conference on Computer Vision and Pattern Recognition (CVPR), pp. 5240-5248. , Las Vegas, NV, USA, 27–30 June 2016; Saleh, B., Elgammal, A., Large-scale Classification of Fine-Art Paintings: Learning The Right Metric on The Right Feature (2015) arXiv, , 1505.00855; Achlioptas, P., Ovsjanikov, M., Haydarov, K., Elhoseiny, M., Guibas, L., ArtEmis: Affective Language for Visual Art (2021) arXiv, , 2101.07396; Hassan, N.A., Hijazi, R., (2018) Open Source Intelligence Methods and Tools: A Practical Guide to Online Intelligence, , 1st ed., Apress, Berkeley, CA, USA; Rhyne, T.M., (2017) Applying Color Theory to Digital Media and Visualization, , CRC Press, Taylor &amp; Francis Group, Boca Raton, FL, USA; Shevlyakov, G.L., Oja, H., (2016) Robust Correlation: Theory and Applications, , Wiley Publisher, Hoboken, NJ, USA; Cano-Martínez, M.J., Carrasco, M., Sandoval, J., González-Martín, C., Quantitative Analysis of Visual Representation of Sign Elements in COVID-19 Context (2022) Empir. Stud. Arts, 1, p. 21; Israelashvili, J., More Positive Emotions During the COVID-19 Pandemic Are Associated With Better Resilience, Especially for Those Experiencing More Negative Emotions (2021) Front. Psychol, 12, p. 648112</t>
  </si>
  <si>
    <t>2-s2.0-85140931482</t>
  </si>
  <si>
    <t>Analysis of the use of color and its emotional relationship in visual creations based on experiences during the context of the covid-19 pandemic</t>
  </si>
  <si>
    <t>Chen Z., Sun P.</t>
  </si>
  <si>
    <t>57769096900;57222981911;</t>
  </si>
  <si>
    <t>Psychological Mechanism and Exercise Intervention of College Students' Problematic Internet Use Based on IoT Technology</t>
  </si>
  <si>
    <t>3615217</t>
  </si>
  <si>
    <t>10.1155/2022/3615217</t>
  </si>
  <si>
    <t>https://www.scopus.com/inward/record.uri?eid=2-s2.0-85133099902&amp;doi=10.1155%2f2022%2f3615217&amp;partnerID=40&amp;md5=7efdc2eca9f6f3e02c68d0163347b27c</t>
  </si>
  <si>
    <t>College of Physical Education and Sports, Beijing Normal University, Beijing, 100875, China; Department of Physical Education, Xinjiang University, Xinjiang, Urumqi, 830046, China</t>
  </si>
  <si>
    <t>Chen, Z., College of Physical Education and Sports, Beijing Normal University, Beijing, 100875, China, Department of Physical Education, Xinjiang University, Xinjiang, Urumqi, 830046, China; Sun, P., College of Physical Education and Sports, Beijing Normal University, Beijing, 100875, China</t>
  </si>
  <si>
    <t>Dangerous Internet use alludes to unreasonable utilization of the Internet that unfavorably influences individual emotional well-being, relational correspondence, social transformation, social turn of events, learning, and work. This paper aims to study how to analyze and study the psychological mechanism and exercise intervention of problematic Internet use based on the Internet of Things technology, and describe it. It addresses the question of problematic web usage, and this question is based on IoT technology. This paper then elaborates on the concept of data mining and related algorithms. It designs and analyzes the psychological mechanism and exercise intervention of college students' problematic Internet use. The experimental results showed that in the incidence of Internet addiction, gender, grade, family economic environment, and single-parent family will be affected. Moderate-intensity (50%-80% VO2 max) aerobic and anaerobic exercise for more than 30 minutes per year has a positive effect on college students' Internet addiction. © 2022 Zhiqiang Chen and Pu Sun.</t>
  </si>
  <si>
    <t>Data mining; Internet of things; Vanadium dioxide; College students; Data mining algorithm; Internet addiction; Internet of things technologies; Internet use; Problematic Internet use; Related algorithms; Social transformation; Web usage; Well being; Students</t>
  </si>
  <si>
    <t>Gómez, P., Harris, S.K., Barreiro, C., Isorna, M., Rial, A., Profiles of Internet use and parental involvement, and rates of online risks and problematic Internet use among Spanish adolescents (2017) Computers in Human Behavior, 75, pp. 826-833. , 2-s2.0-85021275264; Ilesanmi, O.S., Akosile, P.O., Afolabi, A.A., Ukwenya, V.O., Handling distrust on risk communication in Nigeria: A strategy to strengthening the COVID-19 outbreak response (2021) Disaster Medicine and Public Health Preparedness, 27 (1), pp. 1-22; Rosenkranz, T., Müller, K.W., Dreier, M., Beutel, M.E., Wölfling, K., Addictive potential of internet applications and differential correlates of problematic use in internet Gamers versus generalized internet users in a representative sample of adolescents (2017) European Addiction Research, 23 (3), pp. 148-156. , 2-s2.0-85021172927; Rooij, A., Ferguson, C.J., Mheen, D., Schoenmakers, T.M., Time to abandon Internet Addiction? Predicting problematic internet, game, and social media use from psychosocial well-being and application use (2017) Clinical Neuropsychiatry, 14 (1), pp. 113-121; Canan, F., Karaca, S., Düzgün, M., Erdem, A.M., Karaçayli, E., Topan, N.B., Lee, S.-K., Potenza, M.N., The relationship between second-to-fourth digit (2D:4D) ratios and problematic and pathological Internet use among Turkish university students (2017) Journal of Behavioral Addictions, 6 (1), pp. 30-41. , 2-s2.0-85018460912; Laconi, S., Kaliszewska-Czeremska, K., Gnisci, A., Sergi, I., Barke, A., Jeromin, F., Groth, J., Kuss, D.J., Cross-cultural study of problematic internet use in nine European countries (2018) Computers in Human Behavior, 84, pp. 430-440. , 2-s2.0-85046014603; Li, J.-B., Lau, J.T.F., Mo, P.K.H., Su, X.F., Tang, J., Qin, Z.G., Gross, D.L., Insomnia partially mediated the association between problematic Internet use and depression among secondary school students in China (2017) Journal of Behavioral Addictions, 6 (4), pp. 554-563. , 2-s2.0-85039795568; Peker, A., Cengiz, S., Nebioǧlu Yildiz, M., The mediation relationship between life satisfaction and subjective vitality fear of COVID-19 and problematic internet use (tur) (2021) Journal of Clinical Psychiatry, 24 (2), pp. 199-206; Reiner, I., Tibubos, A.N., Hardt, J., Müller, K., Wölfling, K., Beutel, M.E., Peer attachment, specific patterns of internet use and problematic internet use in male and female adolescents (2017) European Child &amp; Adolescent Psychiatry, 26 (10), pp. 1257-1268. , 2-s2.0-85017123549; Marci, T., Marino, C., Sacchi, C., Lan, X., Spada, M.M., Problematic Internet Use in early adolescence: The role of attachment and negative beliefs about worry (2021) Journal of Behavioral Addictions, 10 (1), pp. 194-200; Khalil, S.A., Kamal, H., Elkholy, H., The prevalence of problematic internet use among a sample of Egyptian adolescents and its psychiatric comorbidities (2022) International Journal of Social Psychiatry, 68 (2), pp. 294-300; Boniel-Nissim, M., Sasson, H., Bullying victimization and poor relationships with parents as risk factors of problematic internet use in adolescence (2018) Computers in Human Behavior, 88, pp. 176-183. , 2-s2.0-85053076824; Alheneidi, H., Alsumait, L., Alsumait, D., Smith, A.P., Loneliness and problematic internet use during COVID-19 lock-down[J] (2021) Behavioral Science, 11 (5), pp. 1-11; Buzzai, C., Filippello, P., Costa, S., Amato, V., Sorrenti, L., Problematic internet use and academic achievement: A focus on interpersonal behaviours and academic engagement (2021) Social Psychology of Education, 24 (1), pp. 95-118; Feijóo, S., Foody, M., O'Higgins Norman, J., Pichel, R., Rial, A., Cyberbullies, the cyberbullied, and problematic internet use: Some reasonable similarities (2021) Psicothema, 33 (2), pp. 198-205; Morioka, H., Itani, O., Osaki, Y., Higuchi, S., Jike, M., Kaneita, Y., Kanda, H., Ohida, T., The association between alcohol use and problematic internet use: A large-scale nationwide cross-sectional study of adolescents in Japan (2017) Journal of Epidemiology, 27 (3), pp. 107-111. , 2-s2.0-85017043611; Park, S., Lee, Y., Associations of body weight perception and weight control behaviors with problematic internet use among Korean adolescents (2017) Psychiatry Research, 251, pp. 275-280. , 2-s2.0-85013196870; Laconi, S., Vigouroux, M., Lafuente, C., Chabrol, H., Problematic internet use, psychopathology, personality, defense and coping (2017) Computers in Human Behavior, 73 (AUG), pp. 47-54. , 2-s2.0-85015702579; Natanael, Y., Analisis rasch model Indonesia problematic internet use scale (IPIUS) (2021) Persona:Jurnal Psikologi Indonesia, 10 (1), pp. 167-186; Koronczai, B., Kökönyei, G., Urbán, R., Király, O., Nagygyörgy, K., Felvinczi, K., Griffiths, M.D., Demetrovics, Z., Confirmation of the Chinese version of the problematic internet use questionnaire short form (PIUQ-SF) (2017) International Journal of Mental Health and Addiction, 15 (1), pp. 191-197. , 2-s2.0-84968547021</t>
  </si>
  <si>
    <t>2-s2.0-85133099902</t>
  </si>
  <si>
    <t>Psychological mechanism and exercise intervention of college students' problematic internet use based on iot technology</t>
  </si>
  <si>
    <t>Karmakar S.</t>
  </si>
  <si>
    <t>57338556700;</t>
  </si>
  <si>
    <t>Artificial Intelligence: the future of medicine, or an overhyped and dangerous idea?</t>
  </si>
  <si>
    <t>Irish Journal of Medical Science</t>
  </si>
  <si>
    <t>1991</t>
  </si>
  <si>
    <t>1994</t>
  </si>
  <si>
    <t>10.1007/s11845-021-02853-3</t>
  </si>
  <si>
    <t>https://www.scopus.com/inward/record.uri?eid=2-s2.0-85119078009&amp;doi=10.1007%2fs11845-021-02853-3&amp;partnerID=40&amp;md5=a26b2066dd38fbf4f9f28d6ade9e1b52</t>
  </si>
  <si>
    <t>School of Medicine, Trinity College Dublin, Dublin 2, College Green, Ireland</t>
  </si>
  <si>
    <t>Karmakar, S., School of Medicine, Trinity College Dublin, Dublin 2, College Green, Ireland</t>
  </si>
  <si>
    <t>Introduction: Contemporary discourse on Artificial Intelligence (AI) in medicine is oft-sensationalised to the point of bearing no resemblance to its everyday impact and potential — either to proselytise it as a saviour or to condemn its perilous, amoral and sprawling reach.This report aims to unravel the paucity of understanding underpinning this hyperbolic duality, whilst addressing the potential clearly defining its ethical use poses to the semi-public healthcare models in Ireland and Europe. Discussion: The report contrasts the challenge of regulating the breakneck development of AI, with healthcare’s necessity for stringent quality control in ethical technological development to ensure patients’ well-being.Physical, practical and philosophical approaches to Artificial Intelligence in medicine are explored through Beauchamp and Childress’ principles of delivering care with beneficence, non maleficence, justice and autonomy. AI is scrutinised under Kantian deontological, Benthamite utilitarian and Rawlsian perspectives on health justice. Actor Network theory is used to explain sociotechnical interactions governing human stakeholders developing ethical AI.These analyses operate firstly to define AI concisely, then ground it in its contemporary and future functions in healthcare. They highlight the importance of aligning medical AI with accepted ethical standards as a necessity of its integrated use across healthcare. Conclusion: This report concludes that balanced assessment of AI’s role in healthcare requires improvement in three areas: improving clarity in definition of AI and its extant remit in medicine; aligning contemporary discourse on AI use with contemporary objective ethical, legal and system frameworks; and clearly identifying for dismissal a number of logical fallacies deliberately sensationalising AI’s potential. © 2021, The Author(s), under exclusive licence to Royal Academy of Medicine in Ireland.</t>
  </si>
  <si>
    <t>Information technology; Philosophical ethics; Public health ethics; Social control of science/technology; Technology/risk assessment</t>
  </si>
  <si>
    <t>adult; article; artificial intelligence; beneficence; human; information technology; Ireland; justice; nonmaleficence; public health; quality control; risk assessment; social control; theoretical study; wellbeing; Europe; health care delivery; Artificial Intelligence; Delivery of Health Care; Europe; Humans; Ireland</t>
  </si>
  <si>
    <t>Turing, A.I., (1950) Computing Machinery and Intelligence. Mind LIX, (236), pp. 433-460; Burke, L., Ryan, A., The complex relationship between cost and quality in US health care (2014) Virtual Mentor, 16 (2), pp. 124-130; Kritikos, M., Artificial Intelligence ante portas: Legal &amp; ethical reflections. [Internet]. Europarl europa eu [cited 22 Jan 2021] (2019) Available From, , https://www.europarl.europa.eu/at-your-service/files/be-heard/religious-and-non-confessional-dialogue/events/en-20190319-artificial-intelligence-ante-portas.pdf; (2019) Artificial intelligence (AI) in healthcare and research [Internet], , https://nuffieldbioethics.org/wp-content/uploads/Artificial-Intelligence-AI-in-healthcare-and-research.pdf, Nuffieldbioethics org [cited 22 Jan 2021]. Available from; McCarthy, J., Minsky, M., Rochester, N., Shannon, C., (1955) A proposal for the dartmouth summer research project on artificial intelligence [Internet], , http://www-formal.stanford.edu/jmc/history/dartmouth/dartmouth.html, Www-formal Stanford Edu [cited 22 Jan 2021]. Available from; Wortmann, F., Flüchter, K., Internet of Things (2015) Bus Inf Syst Eng, 57 (3), pp. 221-224; O’Leary, D., Artificial Intelligence and Big Data (2013) IEEE Intell Syst, 28 (2), pp. 96-99; Towers Clark, C., Big Data, IoT and AI, Part One: Three sides of the same coin. Forbes [Internet]. [cited 22 Jan 2021] (2019) Available From, , https://www.forbes.com/sites/charlestowersclark/2019/02/15/big-data-iot-and-ai-part-one-three-sides-of-the-same-coin/#5f9cb40a69da; Halevy, A., Norvig, P., Pereira, F., The unreasonable effectiveness of data (2009) IEEE Intell Syst, 24 (2), pp. 8-12; Konys, A., Ontology-based approaches to big data analytics. Hard and Soft Computing for Artificial Intelligence (2016) Multi Sec, pp. 355-365; Li, M., Another self-driving car accident, another AI development lesson (2019) Towards Data Science [Internet], , https://towardsdatascience.com/another-self-driving-car-accident-another-ai-development-lesson-b2ce3dbb4444, [cited 22 Jan 2021] Available from; Page, K., The four principles: can they be measured and do they predict ethical decision making? (2012) BMC Med Ethics, 13 (1); Bentham, J., (2012) Introduction to the Principles of Morals and Legislation, , Dover Public; Mill, J., (1875) A System of logic, ratiocinative and inductive, , Longmans, Green, Reader and Dyer, London; Williams, J., Carter, S., An empirical study of the ‘underscreened’ in organised cervical screening: Experts focus on increasing opportunity as a way of reducing differences in screening rates (2016) BMC Medic Ethic, 17 (1); Alexander, L., Moore, M., The Stanford Encyclopedia of Philosophy (2020) Deontological Ethics, , Winter: Metaphys Res Lab Stanford Univer; Carswell, S., CervicalCheck scandal: What is it all about? (2018) The Irish Times [Internet], , https://www.irishtimes.com/news/health/cervicalcheck-scandal-what-is-it-all-about-1.3480699, [cited 22 Jan 2021] Available from; Rawls, J., (2005) A Theory of Justice, , Cambridge (Mass., Belknap Press Harvard University Press; Ray, T., Why is AI reporting so bad? (2019) Zdnet [Internet], , https://www.zdnet.com/article/why-is-a-i-reporting-so-bad, cited 22 Jan 2021] Available from; Purcell, B., Is the singularity coming? (2018) Arc Digital Media [Internet] [Cited 22 Jan 2021] Available From, , https://arcdigital.media/is-the-singularity-coming-ef8580d4ce97; Cresswell, K., Worth, A., Sheikh, A., Actor-Network Theory and its role in understanding the implementation of information technology developments in healthcare (2010) BMC Med Info Decis Making, 10 (1); Karmakar, S., Building global footprint by keeping it real (2019) Business Post [Internet] [Cited 22 Jan 2021] Available From, , https://www.businesspost.ie/commercial-reports/building-global-footprint-by-keeping-it-real-86cb0969; Woods, K., Whyte, B., Cancer charity meets with health office over GMI data controversy (2019) Busin Post [Internet], , https://www.businesspost.ie/health/cancer-charity-meets-with-health-office-over-gmi-data-controversy-9864231e, cited 22 Jan 2021, Available from; AI approach outperformed human experts in identifying cervical precancer (2019) [Internet] Available From, , https://www.cancer.gov/news-events/press-releases/2019/deep-learning-cervical-cancer-screening; Hu, L., Bell, D., Antani, S., An observational study of deep learning and automated evaluation of cervical images for cancer screening (2019) Obstet Gynecol Surv, 74 (6), pp. 343-344</t>
  </si>
  <si>
    <t>00211265</t>
  </si>
  <si>
    <t>IJMSA</t>
  </si>
  <si>
    <t>Ir. J. Med. Sci.</t>
  </si>
  <si>
    <t>2-s2.0-85119078009</t>
  </si>
  <si>
    <t>Artificial intelligence: the future of medicine, or an overhyped and dangerous idea?</t>
  </si>
  <si>
    <t>Jayanthi M A., Shanthi I E.</t>
  </si>
  <si>
    <t>57200175578;58151829200;</t>
  </si>
  <si>
    <t>Quest_SA: Preprocessing Method for Closed-Ended Questionnaires Using Sentiment Analysis through Polarity</t>
  </si>
  <si>
    <t>4733550</t>
  </si>
  <si>
    <t>10.1155/2022/4733550</t>
  </si>
  <si>
    <t>https://www.scopus.com/inward/record.uri?eid=2-s2.0-85139446203&amp;doi=10.1155%2f2022%2f4733550&amp;partnerID=40&amp;md5=46419422b9f003dc429658990da547b5</t>
  </si>
  <si>
    <t>Department of Computer Applications, Kumaraguru College of Technology, Tamil Nadu, Coimbatore, India; Department of Computer Science, Avinashilingam Institution for Home Science and Higher Education for Women, Avinashilingam University, Tamil Nadu, Coimbatore, India</t>
  </si>
  <si>
    <t>Jayanthi M, A., Department of Computer Applications, Kumaraguru College of Technology, Tamil Nadu, Coimbatore, India; Shanthi I, E., Department of Computer Science, Avinashilingam Institution for Home Science and Higher Education for Women, Avinashilingam University, Tamil Nadu, Coimbatore, India</t>
  </si>
  <si>
    <t>Sentiment analysis is a prominent research topic in natural language processing, with applications in politics, news, education, product review, and other sectors. Especially in the education sector, sentiment analysis can assist educators in finding students' feelings about a course on time, altering the teaching plan appropriately and timely to improve the quality of education and teaching. For students, the sentiment analysis can identify emotions, academic performance, behaviour, and so on; the primary purpose of this research paper is to analyze students' emotions, self-esteem, and efficacy based on closed-ended questionnaires. This paper proposes Quest_SA, which uses the sentiment analysis technique to identify students' emotions based on the answer provided by a closed-ended questionnaire. The polarity value is assigned for each questionnaire scale. The students' responses are then gathered using a closed-ended questionnaire, and the student's emotions are classified using a polarity-based method of sentiment analysis. Finally, sentiment scores and emotion variance were used to evaluate the outcomes. According to the sentiment ratings, students have favourable sentiments and emotions such as unhappy, somewhat happy, and happy. The real-world closed-ended questionnaires such as emotional intelligence, Eysenck, personality, self-determination scale, self-efficacy, Rosenberg's self-esteem, positive and negative affect schedule, and Oxford happiness questionnaires were used to examine the academic performance with the proposed sentiment analysis. This study inferred that the proposed sentiment analysis preprocessing method with polarity scores is as accurate as the standard value calculation. © 2022 Amala Jayanthi M and Elizabeth Shanthi I.</t>
  </si>
  <si>
    <t>Quality control; Students; Surveys; Academic performance; Language processing; Natural languages; Pre-processing method; Product reviews; Research topics; Self efficacy; Self esteem; Sentiment analysis; Student emotions; Sentiment analysis</t>
  </si>
  <si>
    <t>Cambria, E., Schuller, B., Xia, Y., Havasi, C., New avenues in opinion mining and sentiment analysis (2013) IEEE Intelligent Systems, 28 (2), pp. 15-21. , 2-s2.0-84880219830; Kastrati, Z., Dalipi, F., Imran, A.S., Pireva Nuci, K., Wani, M.A., Sentiment analysis of students' feedback with NLP and deep learning: A systematic mapping study (2021) Applied Sciences, 11 (9), p. 3986; Yang, L., Li, Y., Wang, J., Sherratt, R.S., Sentiment analysis for E-commerce product reviews in Chinese based on sentiment lexicon and deep learning (2020) IEEE Access, 8. , 23522; Carosia, A.E.O., Coelho, G.P., Silva, A.E.A., Analyzing the Brazilian financial market through Portuguese sentiment analysis in social media (2020) Applied Artificial Intelligence, 34 (1), pp. 1-19; Capuano, N., Greco, L., Ritrovato, P., Vento, M., Sentiment analysis for customer relationship management: An incremental learning approach (2020) Applied Intelligence, 51 (6), pp. 3339-3352; Sharma, S.K., Daga, M., Gemini, B., Twitter sentiment analysis for brand reputation of smart phone companies in India (2020) Proceedings of ICETIT 2019, pp. 841-852. , Heidelberg, Germany Springer; Imran, A.S., Daudpota, S.M., Kastrati, Z., Batra, R., Cross-cultural polarity and emotion detection using sentiment analysis and deep learning on COVID-19 related tweets (2020) IEEE Access, 8. , 181074; Chauhan, P., Sharma, N., Sikka, G., The emergence of social media data and sentiment analysis in election prediction (2020) Journal of Ambient Intelligence and Humanized Computing, 11, pp. 1-27; Zhou, J., Ye, J.M., Sentiment analysis in education research: A review of journal publications (2020) Interactive Learning Environments, pp. 1-13; Yang, D., Kraut, R., Rosé, C.P., Exploring the effect of student confusion in massive open online courses (2016) Journal of Educational Data Mining, 8 (1), pp. 52-83; Sindhu, I., Daudpota, S.M., Badar, K., Bakhtyar, M., Baber, J., Nurunnabi, M., Aspect-based opinion mining on student's feedback for faculty teaching performance evaluation (2019) IEEE Access, 7. , 108729 2-s2.0-85071270931; Mäntylä, M.V., Graziotin, D., Kuutila, M., The evolution of sentiment analysis-A review of research topics, venues, and top cited papers (2018) Computer Science Review, 27, pp. 16-32. , 2-s2.0-85042294482; Cambria, E., Affective computing and sentiment analysis (2016) IEEE Intelligent Systems, 31 (2), pp. 102-107. , 2-s2.0-84963783209; Sun, S., Luo, C., Chen, J., A review of natural language processing techniques for opinion mining systems (2017) Information Fusion, 36, pp. 10-25. , 2-s2.0-84994607116; Yang, Q., Rao, Y., Xie, H., Wang, J., Wang, F.L., Chan, W.H., Segment-level joint topic-sentiment model for online review analysis (2019) IEEE Intelligent Systems, 34 (1), pp. 43-50. , 2-s2.0-85063052604; Zhang, S., Wei, Z., Wang, Y., Liao, T., Sentiment analysis of Chinese micro-blog text based on extended sentiment dictionary (2018) Future Generation Computer Systems, 81, pp. 395-403. , 2-s2.0-85032917768; Mukhtar, N., Khan, M.A., Chiragh, N., Lexicon-based approach outperforms supervised machine learning approach for Urdu sentiment analysis in multiple domains (2018) Telematics and Informatics, 35 (8), pp. 2173-2183. , 2-s2.0-85051545621; Wan, C., Peng, Y., Xiao, K., Liu, X., Jiang, T., Liu, D., An association-constrained LDA model for joint extraction of product aspects and opinions (2020) Information Sciences, 519, pp. 243-259; Fan, Z.-P., Che, Y.-J., Chen, Z.-Y., Product sales forecasting using online reviews and historical sales data: A method combining the bass model and sentiment analysis (2017) Journal of Business Research, 74, pp. 90-100. , 2-s2.0-85013414490; Ruz, G.A., Henríquez, P.A., Mascareño, A., Sentiment analysis of Twitter data during critical events through Bayesian networks classifiers (2020) Future Generation Computer Systems, 106, pp. 92-104; Majumder, N., Poria, S., Peng, H., Chhaya, N., Cambria, E., Gelbukh, A., Sentiment and sarcasm classification with multitask learning (2019) IEEE Intelligent Systems, 34 (3), pp. 38-43. , 2-s2.0-85069786993; Atzeni, M., Dridi, A., Reforgiato Recupero, D., Using frame-based resources for sentiment analysis within the financial domain (2018) Progress in Artificial Intelligence, 7 (4), pp. 273-294. , 2-s2.0-85054730116; Kaewyong, P., Sukprasert, A., Salim, N., Phang, F.A., The possibility of students' comments automatic interpret using lexicon based sentiment analysis to teacher evaluation (2015) Proceedings of the 3rd International Conference on Artificial Intelligence and Computer Science 2015 (AICS2015), pp. 179-189. , September, Penang, Malaysia; Rajput, Q., Haider, S., Ghani, S., Lexicon-based sentiment analysis of teachers' evaluation (2016) Applied Computational Intelligence and Soft Computing, 2016, p. 12. , 2385429; Nasim, Z., Rajput, Q., Haider, S., Sentiment analysis of student feedback using machine learning and lexicon based approaches (2017) Proceedings of the 2017 International Conference on Research and Innovation in Information Systems (ICRIIS), pp. 1-6. , July, Langkawi, Malaysia 2-s2.0-85029913876; Aung, K.Z., Myo, N.N., Sentiment Analysis of Students Comment Using Lexicon Based Approach (2017) Proceedings of the 2017 IEEE/ACIS 16th International Conference on Computer and Information Science (ICIS), pp. 149-154. , May, Wuhan, China 2-s2.0-85030636051; Asghar, M.Z., Subhan, F., Ahmad, H., Khan, W.Z., Hakak, S., Gadekallu, T.R., Alazab, M., Senti-eSystem: A sentiment-based eSystem -using hybridized fuzzy and deep neural network for measuring customer satisfaction (2021) Software: Practice and Experience, 51 (3), pp. 571-594; Gadekallu, T., Soni, A., Sarkar, D., Kuruva, L., Application of sentiment analysis in movie reviews (2019) Advances in Business Information Systems and Analytics-Sentiment Analysis and Knowledge Discovery in Contemporary Business, pp. 77-90; Ramasamy, L.K., Kadry, S., Lim, S., Selection of optimal hyper-parameter values of support vector machine for sentiment analysis tasks using nature-inspired optimization methods (2021) Bulletin of Electrical Engineering and Informatics, 10 (1), pp. 290-298; Khan, F., Kumar, R.L., Kadry, S., Hybrid reality-based education expansion system for non-traditional learning (2021) Jurnal Ilmiah Teknik Elektro Komputer Dan Informatika, 7 (1), pp. 185-192; Jayanthi, M.A., Kumar, R.L., Swathi, S., Investigation on association of self-esteem and students' performance in academics (2018) International Journal of Grid and Utility Computing, 9 (3), pp. 211-219. , 2-s2.0-85051383282; Jayanthi, M.A., Kumar, R.L., Surendran, A., Prathap, K., Research contemplate on educational data mining (2016) Proceedings of the 2016 IEEE International Conference on Advances in Computer Applications (ICACA), pp. 110-114. , October, Coimbatore, India 2-s2.0-85018261101; Hills, P., Argyle, M., The Oxford Happiness Questionnaire: A compact scale for the measurement of psychological well-being (2002) Personality and Individual Differences, 33 (7), pp. 1073-1082. , 2-s2.0-0036837191; Goleman, D., (1998) Working with Emotional Intelligence, , New York Bantam; Eysenck, S.B.G., Eysenck, H.J., Barrett, P., A revised version of the psychoticism scale (1985) Personality and Individual Differences, 6 (1), pp. 21-29. , 2-s2.0-33646827727; Abdul Aziz, A., Starkey, A., Predicting supervise machine learning performances for sentiment analysis using contextual-based approaches (2020) IEEE Access, 8. , 17722; Poria, S., Majumder, N., Mihalcea, R., Hovy, E., Emotion recognition in conversation: Research challenges, datasets, and recent advances (2019) IEEE Access, 7. , 100943</t>
  </si>
  <si>
    <t>2-s2.0-85139446203</t>
  </si>
  <si>
    <t>Quest_sa: preprocessing method for closed-ended questionnaires using sentiment analysis through polarity</t>
  </si>
  <si>
    <t>Bursky M., Egglefield D.A., Schiff S.G., Premnath P., Sneed J.R.</t>
  </si>
  <si>
    <t>57329372400;57221854442;57221844351;57222741558;7003294053;</t>
  </si>
  <si>
    <t>Mindfulness-Enhanced Computerized Cognitive Training for Depression: An Integrative Review and Proposed Model Targeting the Cognitive Control and Default-Mode Networks</t>
  </si>
  <si>
    <t>Brain Sciences</t>
  </si>
  <si>
    <t>663</t>
  </si>
  <si>
    <t>10.3390/brainsci12050663</t>
  </si>
  <si>
    <t>https://www.scopus.com/inward/record.uri?eid=2-s2.0-85130978092&amp;doi=10.3390%2fbrainsci12050663&amp;partnerID=40&amp;md5=bf09b0609cef852d0b1eebcc989e5401</t>
  </si>
  <si>
    <t>Psychology Department, The Graduate Center, City University of New York, New York, NY  10016, United States; Psychology Department, Queens College, City University of New York, Queens, New York, NY  11367, United States</t>
  </si>
  <si>
    <t>Bursky, M., Psychology Department, The Graduate Center, City University of New York, New York, NY  10016, United States, Psychology Department, Queens College, City University of New York, Queens, New York, NY  11367, United States; Egglefield, D.A., Psychology Department, The Graduate Center, City University of New York, New York, NY  10016, United States, Psychology Department, Queens College, City University of New York, Queens, New York, NY  11367, United States; Schiff, S.G., Psychology Department, The Graduate Center, City University of New York, New York, NY  10016, United States, Psychology Department, Queens College, City University of New York, Queens, New York, NY  11367, United States; Premnath, P., Psychology Department, The Graduate Center, City University of New York, New York, NY  10016, United States, Psychology Department, Queens College, City University of New York, Queens, New York, NY  11367, United States; Sneed, J.R., Psychology Department, The Graduate Center, City University of New York, New York, NY  10016, United States, Psychology Department, Queens College, City University of New York, Queens, New York, NY  11367, United States</t>
  </si>
  <si>
    <t>Depression is often associated with co-occurring neurocognitive deficits in executive function (EF), processing speed (PS) and emotion regulation (ER), which impact treatment response. Cognitive training targeting these capacities results in improved cognitive function and mood, demonstrating the relationship between cognition and affect, and shedding light on novel targets for cognitive-focused interventions. Computerized cognitive training (CCT) is one such new intervention, with evidence suggesting it may be effective as an adjunct treatment for depression. Parallel research suggests that mindfulness training improves depression via enhanced ER and augmentation of self-referential processes. CCT and mindfulness training both act on anti-correlated neural networks involved in EF and ER that are often dysregulated in depression—the cognitive control network (CCN) and default-mode network (DMN). After practicing CCT or mindfulness, downregulation of DMN activity and upregulation of CCN activity have been observed, associated with improvements in depression and cognition. As CCT is posited to improve depression via enhanced cognitive function and mindfulness via enhanced ER ability, the combination of both forms of training into mindfulness-enhanced CCT (MCCT) may act to improve depression more rapidly. MCCT is a biologically plausible adjunct intervention and theoretical model with the potential to further elucidate and target the causal mechanisms implicated in depressive symptomatology. As the combination of CCT and mindfulness has not yet been fully explored, this is an intriguing new frontier. The aims of this integrative review article are four-fold: (1) to briefly review the current evidence supporting the efficacy of CCT and mindfulness in improving depression; (2) to discuss the interrelated neural networks involved in depression, CCT and mindfulness; (3) to present a theoretical model demonstrating how MCCT may act to target these neural mechanisms; (4) to propose and discuss future directions for MCCT research for depression. © 2022 by the authors. Licensee MDPI, Basel, Switzerland.</t>
  </si>
  <si>
    <t>cognitive control network; computerized cognitive training; default-mode network; depression; mindfulness</t>
  </si>
  <si>
    <t>serotonin uptake inhibitor; abiotic stress; amygdala; artificial intelligence; artificial neural network; brain depth stimulation; cell viability; cognitive control network; daily life activity; default mode network; dorsolateral prefrontal cortex; electroencephalography; episodic memory; executive function; functional magnetic resonance imaging; meditation; mindfulness; Mini Mental State Examination; nerve cell network; nerve cell plasticity; neuroanatomy; neurofeedback; Positive and Negative Affect Schedule; prefrontal cortex; processing speed; quality of life; Review; symptomatology; transcranial direct current stimulation; upregulation; working memory</t>
  </si>
  <si>
    <t>Breslau, J., Lane, M., Sampson, N., Kessler, R.C., Mental disorders and subsequent educational attainment in a US national sample (2008) J. Psychiatr. Res, 42, pp. 708-716. , [CrossRef] [PubMed]; Bruffaerts, R., Kessler, R.C., Demyttenaere, K., Bonnewyn, A., Nock, M.K., Examination of the population attributable risk of different risk factor domains for suicidal thoughts and behaviors (2015) J. Affect. Disord, 187, pp. 66-72. , [CrossRef] [PubMed]; Hayley, A.C., Williams, L.J., Venugopal, K., Kennedy, G.A., Berk, M., Pasco, J.A., The relationships between insomnia, sleep apnoea and depression: Findings from the American National Health and Nutrition Examination Survey, 2005–2008 (2015) Aust. N. Z. J. Psychiatry, 49, pp. 156-170. , [CrossRef] [PubMed]; Global, regional, and national incidence, prevalence, and years lived with disability for 354 diseases and injuries for 195 countries and territories, 1990–2017: A systematic analysis for the Global Burden of Disease Study 2017 (2018) Lancet, 392, pp. 1789-1858. , [CrossRef]; Lerner, D., Henke, R.M., What does research tell us about depression, job performance, and work productivity? (2008) J. Occup. Environ. Med, 50, pp. 401-410. , [CrossRef]; (2013) Diagnostic and Statistical Manual of Mental Disorders, , 5th ed.; American Psychiatric Publish-ing, Inc.: Washington, DC, USA; Musil, R., Seemüller, F., Meyer, S., Spellmann, I., Adli, M., Bauer, M., Kronmüller, K.T., Bender, W., Subtypes of depression and their overlap in a naturalistic inpatient sample of major depressive disorder (2018) Int. J. Methods Psychiatr. Res, 27, p. e1569. , [CrossRef]; Sneed, J.R., Culang-Reinlieb, M.E., The vascular depression hypothesis: An update (2011) Am. J. Geriatr. Psychiatry, 19, pp. 99-103. , [CrossRef]; Lipson, S.K., Lattie, E.G., Eisenberg, D., Increased Rates of Mental Health Service Utilization by U.S. College Students: 10-Year Population-Level Trends (2007–2017) (2019) Psychiatr. Serv, 70, pp. 60-63. , [CrossRef]; (2018) Major Depression: The Impact on Overall Health, , https://www.bcbs.com/the-health-of-america/reports/major-depression-the-impact-overall-health, 10 May (accessed on 23 February 2021); Morin, C.M., Bjorvatn, B., Chung, F., Holzinger, B., Partinen, M., Penzel, T., Espie, C.A., Insomnia, anxiety, and depression during the COVID-19 pandemic: An international collaborative study (2021) Sleep Med, 87, pp. 38-45. , [CrossRef]; Ettman, C.K., Abdalla, S.M., Cohen, G.H., Sampson, L., Vivier, P.M., Galea, S., Prevalence of depression symptoms in US adults before and during the COVID-19 pandemic (2020) JAMA Netw. Open, 3, p. e2019686. , [CrossRef]; Bose, J., Hedden, S.L., Lipari, R.N., Park-Lee, E., (2018) Substance Abuse and Mental Health Services Administration. Key Substance Use and Mental Health Indicators in the United States: Results from the 2017 National Survey on Drug Use and Health, , Substance Abuse and Mental Health Services Administration: Rockville, MD, USA; Pilon, D., Szukis, H., Joshi, K., Singer, D., Sheehan, J.J., Wu, J.W., Greenberg, P., US integrated delivery networks perspective on economic burden of patients with treatment-resistant depression: A retrospective matched-cohort study (2020) Pharm. Open, 4, pp. 119-131. , [CrossRef]; Davidson, R.J., Pizzagalli, D., Nitschke, J.B., Putnam, K., Depression: Perspectives from affective neuroscience (2002) Annu. Rev. Psychol, 53, pp. 545-574. , [CrossRef]; Douglas, K.M., Porter, R.J., Longitudinal assessment of neuropsychological function in major depression (2009) Aust. N. Z. J. Psychiatry, 43, pp. 1105-1117. , [CrossRef]; Goodall, J., Fisher, C., Hetrick, S., Phillips, L., Parrish, E.M., Allott, K., Neurocognitive functioning in depressed young people: A systematic review and meta-analysis (2018) Neuropsychol. Rev, 28, pp. 216-231. , [CrossRef]; Grahek, I., Shenhav, A., Musslick, S., Krebs, R.M., Koster, E.H., Motivation and cognitive control in depression (2019) Neurosci. Biobehav. Rev, 102, pp. 371-381. , [CrossRef]; Kertzman, S., Reznik, I., Hornik-Lurie, T., Weizman, A., Kotler, M., Amital, D., Stroop performance in major depression: Selective attention impairment or psychomotor slowness? (2010) J. Affect. Disord, 122, pp. 167-173. , [CrossRef]; Nuño, L., Gómez-Benito, J., Carmona, V.R., Pino, O., A Systematic Review of Executive Function and Information Processing Speed in Major Depression Disorder (2021) Brain Sci, 11, p. 147. , [CrossRef]; Gelenberg, A.J., Freeman, M.P., Markowitz, J.C., Rosenbaum, J.F., Thase, M.E., Trivedi, M.H., Van Rhoads, R.S., American Psychiatric Association practice guidelines for the treatment of patients with major depressive disorder (2010) Am. J. Psychiatry, 167, pp. 9-118; Carvalho, A.F., Sharma, M.S., Brunoni, A.R., Vieta, E., Fava, G.A., The safety, tolerability and risks associated with the use of newer generation antidepressant drugs: A critical review of the literature (2016) Psychother. Psychosom, 85, pp. 270-288. , [CrossRef]; Penn, E., Tracy, D.K., The drugs don’t work? Antidepressants and the current and future pharmacological management of depression (2012) Ther. Adv. Psychopharmacol, 2, pp. 179-188. , [CrossRef]; Cuijpers, P., Van Straten, A., Warmerdam, L., Behavioral activation treatments of depression: A meta-analysis (2007) Clin. Psychol. Rev, 27, pp. 318-326. , [CrossRef]; Cuijpers, P., Van Straten, A., Andersson, G., Van Oppen, P., Psychotherapy for depression in adults: A meta-analysis of comparative outcome studies (2008) J. Consult. Clin. Psychol, 76, p. 909. , [CrossRef]; Chisholm, D., Sweeny, K., Sheehan, P., Rasmussen, B., Smit, F., Cuijpers, P., Saxena, S., Scaling-up treatment of depression and anxiety: A global return on investment analysis (2016) Lancet Psychiatry, 3, pp. 415-424. , [CrossRef]; McPherson, S., Wicks, C., Tercelli, I., Patient experiences of psychological therapy for depression: A qualitative metasynthesis (2020) BMC Psychiatry, 20, pp. 1-18. , [CrossRef]; Teasdale, J.D., Psychological treatments for depression: How do they work? (1985) Behav. Res. Ther, 23, pp. 157-165. , [CrossRef]; Arnow, B.A., Blasey, C., Williams, L.M., Palmer, D.M., Rekshan, W., Schatzberg, A.F., Rush, A.J., Depression subtypes in predicting antidepressant response: A report from the iSPOT-D trial (2015) Am. J. Psychiatry, 172, pp. 743-750. , [CrossRef]; Cuijpers, P., van Straten, A., Bohlmeijer, E., Hollon, S.D., Andersson, G., The effects of psychotherapy for adult depression are overestimated: A meta-analysis of study quality and effect size (2010) Psychol. Med, 40, pp. 211-223. , [CrossRef]; Cuijpers, P., Dekker, J., Hollon, S.D., Andersson, G., Adding psychotherapy to pharmacotherapy in the treatment of depressive disorders in adults: A meta-analysis (2009) J. Clin. Psychiatry, 70, pp. 1219-1229. , [CrossRef]; Thase, M.E., When are psychotherapy and pharmacotherapy combinations the treatment of choice for major depressive disorder? (1999) Psychiatr. Q, 70, pp. 333-346. , [CrossRef]; Hirschfeld, R., Montgomery, S., Aguglia, E., Amore, M., Delgado, P., Gastpar, M., Hawley, C., Massana, J., Partial response and nonresponse to antidepressant therapy: Current approaches and treatment options (2002) J. Clin. Psychiatry, 63, pp. 826-837. , [CrossRef]; Gaynes, B.N., Warden, D., Trivedi, M.H., Wisniewski, S.R., Fava, M., Rush, A.J., What did STAR* D teach us? Results from a large-scale, practical, clinical trial for patients with depression (2009) Psychiatr. Serv, 60, pp. 1439-1445. , [CrossRef] [PubMed]; Saleh, C., Fontaine, D., Deep brain stimulation for psychiatric diseases: What are the risks? (2015) Curr. Psychiatry Rep, 17, p. 33. , [CrossRef] [PubMed]; Dunkin, J.J., Leuchter, A.F., Cook, I.A., Kasl-Godley, J.E., Abrams, M., Rosenberg-Thompson, S., Executive dysfunction predicts nonresponse to fluoxetine in major depression (2000) J. Affect. Disord, 60, pp. 13-23. , [CrossRef]; Lee, R.S., Hermens, D.F., Porter, M.A., Redoblado-Hodge, M.A., A meta-analysis of cognitive deficits in first-episode major depressive disorder (2012) J. Affect. Disord, 140, pp. 113-124. , [CrossRef] [PubMed]; Majer, M., Ising, M., Künzel, H., Binder, E.B., Holsboer, F., Modell, S., Zihl, J., Impaired divided attention predicts delayed response and risk to relapse in subjects with depressive disorders (2004) Psychol. Med, 34, p. 1453. , [CrossRef] [PubMed]; Pimontel, M.A., Culang-Reinlieb, M.E., Morimoto, S.S., Sneed, J.R., Executive dysfunction and treatment response in late-life depression (2012) Int. J. Geriatr. Psychiatry, 27, pp. 893-899. , [CrossRef]; Blumberger, D.M., Vila-Rodriguez, F., Thorpe, K.E., Feffer, K., Noda, Y., Giacobbe, P., Knyahnytska, Y., Daskalakis, Z.J., Effectiveness of theta burst versus high-frequency repetitive transcranial magnetic stimulation in patients with depression (THREE-D): A randomised non-inferiority trial (2018) Lancet, 391, pp. 1683-1692. , [CrossRef]; Hermida, A.P., Glass, O.M., Shafi, H., McDonald, W.M., Electroconvulsive therapy in depression: Current practice and future direction (2018) Psychiatr. Clin, 41, pp. 341-353; Kisely, S., Li, A., Warren, N., Siskind, D., A systematic review and meta-analysis of deep brain stimulation for depression (2018) Depress. Anxiety, 35, pp. 468-480. , [CrossRef]; Motter, J.N., Grinberg, A., Lieberman, D.H., Iqnaibi, W.B., Sneed, J.R., Computerized cognitive training in young adults with depressive symptoms: Effects on mood, cognition, and everyday functioning (2019) J. Affect. Disord, 245, pp. 28-37. , [CrossRef]; Harvey, P.D., McGurk, S.R., Mahncke, H., Wykes, T., Controversies in computerized cognitive training (2018) Biol. Psychiatry Cogn. Neurosci. Neuroimaging, 3, pp. 907-915. , [CrossRef]; Mahncke, H.W., Connor, B.B., Appelman, J., Ahsanuddin, O.N., Hardy, J.L., Wood, R.A., Joyce, N.M., Merzenich, M.M., Memory enhancement in healthy older adults using a brain plasticity-based training program: A randomized, controlled study (2006) Proc. Natl. Acad. Sci. USA, 103, pp. 12523-12528. , [CrossRef]; Allaire, J.C., Bäckman, L., Balota, D.A., Bavelier, D., Bjork, R.A., Bower, G.H., Zelinski, E., (2014) A Consensus on the Brain Training Industry from the Scientific Community, , Max Planck Institute for Human Development: Berlin, Germany; Stanford Center on Longevity: Stanford, CA, USA; Motter, J.N., Pimontel, M.A., Rindskopf, D., Devanand, D.P., Doraiswamy, P.M., Sneed, J.R., Computerized cognitive training and functional recovery in major depressive disorder: A meta-analysis (2016) J. Affect. Disord, 189, pp. 184-191. , [CrossRef]; Tang, Y.Y., Posner, M.I., Training brain networks and states (2014) Trends Cogn. Sci, 18, pp. 345-350. , [CrossRef]; Wolinsky, F.D., Vander Weg, M.W., Martin, R., Unverzagt, F.W., Ball, K.K., Jones, R.N., Tennstedt, S.L., The effect of speed-of-processing training on depressive symptoms in ACTIVE (2009) J. Gerontol. Ser. A Biomed. Sci. Med. Sci, 64, pp. 468-472. , [CrossRef]; Morimoto, S.S., Wexler, B.E., Alexopoulos, G.S., Neuroplasticity-based computerized cognitive remediation for geriatric depression (2012) Int. J. Geriatr. Psychiatry, 27, pp. 1239-1247. , [CrossRef]; Morimoto, S.S., Altizer, R.A., Gunning, F.M., Hu, W., Liu, J., Cote, S.E., Nitis, J., Alexopoulos, G.S., Targeting cognitive control deficits with neuroplasticity-based computerized cognitive remediation in patients with geriatric major depression: A randomized, double-blind, controlled trial (2020) Am. J. Geriatr. Psychiatry, 28, pp. 971-980. , [CrossRef]; Siegle, G.J., Price, R.B., Jones, N.P., Ghinassi, F., Painter, T., Thase, M.E., You gotta work at it: Pupillary indices of task focus are prognostic for response to a neurocognitive intervention for rumination in depression (2014) Clin. Psychol. Sci, 2, pp. 455-471. , [CrossRef]; Moshier, S.J., Otto, M.W., Behavioral activation treatment for major depression: A randomized trial of the efficacy of augmentation with cognitive control training (2017) J. Affect. Disord, 210, pp. 265-268. , [CrossRef]; Lui, J.H.L., Marcus, D.K., Barry, C.T., Evidence-based apps? A review of mental health mobile applications in a psychotherapy context (2017) Prof. Psychol. Res. Pract, 48, pp. 199-210. , [CrossRef]; Goldberg, S.B., Tucker, R.P., Greene, P.A., Davidson, R.J., Wampold, B.E., Kearney, D.J., Simpson, T.L., Mindfulness-based interventions for psychiatric disorders: A systematic review and meta-analysis (2018) Clin. Psychol. Rev, 59, pp. 52-60. , [CrossRef]; Wang, Y.Y., Li, X.H., Zheng, W., Xu, Z.Y., Ng, C.H., Ungvari, G.S., Yuan, Z., Xiang, Y.T., Mindfulness-based interventions for major depressive disorder: A comprehensive meta-analysis of randomized controlled trials (2018) J. Affect. Disord, 229, pp. 429-436. , [CrossRef]; Zeidan, F., Johnson, S.K., Diamond, B.J., David, Z., Goolkasian, P., Mindfulness meditation improves cognition: Evidence of brief mental training (2010) Conscious. Cogn, 19, pp. 597-605. , [CrossRef]; Bishop, S.R., Lau, M., Shapiro, S., Carlson, L., Anderson, N.D., Carmody, J., Segal, Z.V., Velting, D., Mindfulness: A proposed operational definition (2004) Clin. Psychol. Sci. Pract, 11, pp. 230-241. , [CrossRef]; Davidson, R.J., Kaszniak, A.W., Conceptual and methodological issues in research on mindfulness and meditation (2015) Am. Psychol, 70, p. 581. , [CrossRef]; Garrison, K.A., Zeffiro, T.A., Scheinost, D., Constable, R.T., Brewer, J.A., Meditation leads to reduced default mode network activity beyond an active task (2015) Cogn. Affect. Behav. Neurosci, 15, pp. 712-720. , [CrossRef]; Davidson, R.J., Kabat-Zinn, J., Schumacher, J., Rosenkranz, M., Muller, D., Santorelli, S.F., Urbanowski, F., Sheridan, J.F., Alterations in brain and immune function produced by mindfulness meditation (2003) Psychosom. Med, 65, pp. 564-570. , [CrossRef]; Firth, J., Torous, J., Nicholas, J., Carney, R., Pratap, A., Rosenbaum, S., Sarris, J., The efficacy of smartphone-based mental health interventions for depressive symptoms: A meta-analysis of randomized controlled trials (2017) World Psychiatry, 16, pp. 287-298. , [CrossRef]; Segal, Z., Williams, M., Teasdale, J., (2018) Mindfulness-Based Cognitive Therapy for Depression, , Guilford Publications: New York, NY, USA; Kuyken, W., Byford, S., Taylor, R.S., Watkins, E., Holden, E., White, K., Barrett, B., Mullan, E., Mindfulness-based cognitive therapy to prevent relapse in recurrent depression (2008) J. Consult. Clin. Psychol, 76, pp. 966-978. , [CrossRef]; Piet, J., Hougaard, E., The effect of mindfulness-based cognitive therapy for prevention of relapse in recurrent major depressive disorder: A systematic review and meta-analysis (2011) Clin. Psychol. Rev, 31, pp. 1032-1040. , [CrossRef]; Dowd, H., Hogan, M.J., McGuire, B.E., Davis, M.C., Sarma, K.M., Fish, R.A., Zautra, A.J., Comparison of an online mindfulness-based cognitive therapy intervention with online pain management psychoeducation (2015) Clin. J. Pain, 31, pp. 517-527. , [CrossRef] [PubMed]; Motter, J.N., Devanand, D.P., Doraiswamy, P.M., Sneed, J.R., Computerized cognitive training for major depressive disorder: What’s next? (2015) Front. Psychiatry, 6, p. 137. , [CrossRef] [PubMed]; Alexopoulos, G.S., Hoptman, M.J., Kanellopoulos, D., Murphy, C.F., Lim, K.O., Gunning, F.M., Functional connectivity in the cognitive control network and the default mode network in late-life depression (2012) J. Affect. Disord, 139, pp. 56-65. , [CrossRef] [PubMed]; Berkovich-Ohana, A., Harel, M., Hahamy, A., Arieli, A., Malach, R., Alterations in task-induced activity and resting-state fluctuations in visual and DMN areas revealed in long-term meditators (2016) NeuroImage, 135, pp. 125-134. , [CrossRef]; Josipovic, Z., Dinstein, I., Weber, J., Heeger, D.J., Influence of meditation on anti-correlated networks in the brain (2012) Front. Hum. Neurosci, 5, p. 183. , [CrossRef]; Whitfield-Gabrieli, S., Ford, J.M., Default mode network activity and connectivity in psychopathology (2012) Annu. Rev. Clin. Psychol, 8, pp. 49-76. , [CrossRef]; Buckner, R.L., Andrews-Hanna, J.R., Schacter, D.L., The brain’s default network: Anatomy, function, and relevance to disease (2008) Annals of the New York Academy of Sciences, 1124, pp. 1-38. , Kingstone, A., Miller, M.B., Eds.; Blackwell Publishing: Hoboken, NJ, USA; Greicius, M.D., Krasnow, B., Reiss, A.L., Menon, V., Functional connectivity in the resting brain: A network analysis of the default mode hypothesis (2003) Proc. Natl. Acad. Sci. USA, 100, pp. 253-258. , [CrossRef]; Li, C.T., Lin, C.P., Chou, K.H., Chen, I.Y., Hsieh, J.C., Wu, C.L., Lin, W.C., Su, T.P., Structural and cognitive deficits in remitting and non-remitting recurrent depression: A voxel-based morphometric study (2010) Neuroimage, 50, pp. 347-356. , [CrossRef]; Anticevic, A., Cole, M.W., Murray, J.D., Corlett, P.R., Wang, X.J., Krystal, J.H., The role of default network deactivation in cognition and disease (2012) Trends Cogn. Sci, 16, pp. 584-592. , [CrossRef]; Hybels, C.F., Blazer, D.G., Pieper, C.F., Toward a threshold for subthreshold depression: An analysis of correlates of depression by severity of symptoms using data from an elderly community sample (2001) Gerontologist, 41, pp. 357-365. , [CrossRef]; Rodríguez, M.R., Nuevo, R., Chatterji, S., Ayuso-Mateos, J.L., Definitions and factors associated with subthreshold depressive conditions: A systematic review (2012) BMC Psychiatry, 12, p. 181. , [CrossRef]; Miyake, A., Friedman, N.P., Emerson, M.J., Witzki, A.H., Howerter, A., The unity and diversity of executive functions and their contributions to complex “frontal lobe” tasks: A latent variable analysis (2000) Cogn. Psychol, 41, pp. 49-100. , [CrossRef]; Engle, R.W., Working memory capacity as executive attention (2002) Curr. Dir. Psychol. Sci, 11, pp. 19-23. , [CrossRef]; Dux, P.E., Tombu, M.N., Harrison, S., Rogers, B.P., Tong, F., Marois, R., Training improves multitasking performance by increasing the speed of information processing in human prefrontal cortex (2009) Neuron, 63, pp. 127-138. , [CrossRef]; Kail, R., Salthouse, T.A., Processing speed as a mental capacity (1994) Acta Psychol, 86, pp. 199-225. , [CrossRef]; Rushia, S.N., Schiff, S., Egglefield, D.A., Motter, J.N., Grinberg, A., Saldana, D.G., Shehab, A.A.S., Sneed, J.R., Testing the Mechanism of Action of Computerized Cognitive Training in Young Adults with Depression: Protocol for a Blinded, Randomized, Controlled Treatment Trial (2020) J. Psychiatry Brain Sci, 5, p. e200014; Ahern, E., Semkovska, M., Cognitive functioning in the first-episode of major depressive disorder: A systematic review and meta-analysis (2017) Neuropsychology, 31, p. 52. , [CrossRef]; Herrera-Guzmán, I., Gudayol-Ferré, E., Herrera-Abarca, J.E., Herrera-Guzmán, D., Montelongo-Pedraza, P., Blázquez, F.P., Peró-Cebollero, M., Guàrdia-Olmos, J., Major depressive disorder in recovery and neuropsychological functioning: Effects of selective serotonin reuptake inhibitor and dual inhibitor depression treatments on residual cognitive deficits in patients with major depressive disorder in recovery (2010) J. Affect. Disord, 123, pp. 341-350. , [CrossRef]; Snyder, H.R., Major depressive disorder is associated with broad impairments on neuropsychological measures of executive function: A meta-analysis and review (2013) Psychol. Bull, 139, p. 81. , [CrossRef]; Alexopoulos, G.S., Kiosses, D.N., Klimstra, S., Kalayam, B., Bruce, M.L., Clinical presentation of the “depression-executive dysfunction syndrome” of late life (2002) Am. J. Geriatr. Psychiatry, 10, pp. 98-106; Von Hippel, W., Vasey, M.W., Gonda, T., Stern, T., Executive function deficits, rumination and late-onset depressive symptoms in older adults (2008) Cogn. Ther. Res, 32, pp. 474-487. , [CrossRef]; Morimoto, S.S., Gunning, F.M., Murphy, C.F., Kanellopoulos, D., Kelly, R.E., Alexopoulos, G.S., Executive function and short-term remission of geriatric depression: The role of semantic strategy (2011) Am. J. Geriatr. Psychiatry, 19, pp. 115-122. , [CrossRef]; Gunning, F.M., Anguera, J.A., Victoria, L.W., Areán, P.A., A digital intervention targeting cognitive control network dysfunction in middle age and older adults with major depression (2021) Transl. Psychiatry, 11, pp. 1-9. , [CrossRef]; Saltiel, P.F., Silvershein, D.I., Major depressive disorder: Mechanism-based prescribing for personalized medicine (2015) Neuropsychiatr. Dis. Treat, 11, p. 875; Morimoto, S.S., Wexler, B.E., Liu, J., Hu, W., Seirup, J., Alexopoulos, G.S., Neuroplasticity-based computerized cognitive remediation for treatment-resistant geriatric depression (2014) Nat. Commun, 5, p. 4579. , [CrossRef]; Willis, S.L., Tennstedt, S.L., Marsiske, M., Ball, K., Elias, J., Koepke, K.M., Long-term effects of cognitive training on everyday functional outcomes in older adults: The ACTIVE Study (2006) JAMA, 296, pp. 2805-2814. , [CrossRef]; Lenze, E.J., Stevens, A., Waring, J.D., Pham, V.T., Haddad, R., Shimony, J., Miller, J.P., Bowie, C.R., Augmenting computerized cognitive training with vortioxetine for age-related cognitive decline: A randomized controlled trial (2020) Am. J. Psychiatry, 177, pp. 548-555. , [CrossRef]; Goyal, M., Singh, S., Sibinga, E.M., Gould, N.F., Rowland-Seymour, A., Sharma, R., Berger, Z., Shihab, H.M., Meditation programs for psychological stress and well-being: A systematic review and meta-analysis (2014) JAMA Intern. Med, 174, pp. 357-368. , [CrossRef]; Kabat-Zinn, J., Mindfulness-based interventions in context: Past, present, and future (2003) Clin. Psychol. Sci. Pract, 10, pp. 144-156. , [CrossRef]; Dahl, C.J., Lutz, A., Davidson, R.J., Reconstructing and deconstructing the self: Cognitive mechanisms in meditation practice (2015) Trends Cogn. Sci, 19, pp. 515-523. , [CrossRef] [PubMed]; Laukkonen, R.E., Slagter, H.A., From many to (n) one: Meditation and the plasticity of the predictive mind (2021) Neurosci. Biobehav. Rev, 128, pp. 199-217. , [CrossRef] [PubMed]; Lutz, A., Slagter, H.A., Dunne, J.D., Davidson, R.J., Attention regulation and monitoring in meditation (2008) Trends Cogn. Sci, 12, pp. 163-169. , [CrossRef] [PubMed]; Wallace, B.A., (2006) The Attention Revolution: Unlocking the Power of the Focused Mind, , Simon and Schuster: New York, NY, USA; Birtwell, K., Williams, K., Van Marwijk, H., Armitage, C.J., Sheffield, D., An exploration of formal and informal mindfulness practice and associations with wellbeing (2019) Mindfulness, 10, pp. 89-99. , [CrossRef]; Schooler, J.W., Smallwood, J., Christoff, K., Handy, T.C., Reichle, E.D., Sayette, M.A., Meta-awareness, perceptual decoupling and the wandering mind (2011) Trends Cogn. Sci, 15, pp. 319-326. , [CrossRef]; Hasenkamp, W., Wilson-Mendenhall, C.D., Duncan, E., Barsalou, L.W., Mind wandering and attention during focused meditation: A fine-grained temporal analysis of fluctuating cognitive states (2012) Neuroimage, 59, pp. 750-760. , [CrossRef]; Brake, C.A., Sauer-Zavala, S., Boswell, J.F., Gallagher, M.W., Farchione, T.J., Barlow, D.H., Mindfulness-based exposure strategies as a transdiagnostic mechanism of change: An exploratory alternating treatment design (2016) Behav. Ther, 47, pp. 225-238. , [CrossRef]; Uusberg, H., Uusberg, A., Talpsep, T., Paaver, M., Mechanisms of mindfulness: The dynamics of affective adaptation during open monitoring (2016) Biol. Psychol, 118, pp. 94-106. , [CrossRef]; Josipovic, Z., Duality and nonduality in meditation research (2010) Conscious. Cogn, 19, pp. 1119-1121. , [CrossRef]; Fingelkurts, A.A., Kallio-Tamminen, T., Selfhood triumvirate: From phenomenology to brain activity and back again (2020) Conscious. Cogn, 86, p. 103031. , [CrossRef]; Newberg, A.B., Wintering, N., Khalsa, D.S., Roggenkamp, H., Waldman, M.R., Meditation effects on cognitive function and cerebral blood flow in subjects with memory loss: A preliminary study (2010) J. Alzheimer’s Dis, 20, pp. 517-526. , [CrossRef]; Posner, M.I., Tang, Y.Y., Lynch, G., Mechanisms of white matter change induced by meditation training (2014) Front. Psychol, 5, p. 1220. , [CrossRef]; Sheline, Y.I., Pieper, C.F., Barch, D.M., Welsh-Boehmer, K., McKinstry, R.C., MacFall, J.R., D’Angelo, G., Doraiswamy, P.M., Support for the vascular depression hypothesis in late-life depression: Results of a 2-site, prospective, antidepressant treatment trial (2010) Arch. Gen. Psychiatry, 67, pp. 277-285. , [CrossRef]; Alpass, F.M., Neville, S., Loneliness, health and depression in older males (2003) Aging Ment. Health, 7, pp. 212-216. , [CrossRef]; Fiske, A., Wetherell, J.L., Gatz, M., Depression in older adults (2009) Annu. Rev. Clin. Psychol, 5, pp. 363-389. , [CrossRef]; Creswell, J.D., Irwin, M.R., Burklund, L.J., Lieberman, M.D., Arevalo, J.M., Ma, J., Breen, E.C., Cole, S.W., Mindfulness-based stress reduction training reduces loneliness and pro-inflammatory gene expression in older adults: A small randomized controlled trial (2012) Brain Behav. Immun, 26, pp. 1095-1101. , [CrossRef]; Deyo, M., Wilson, K.A., Ong, J., Koopman, C., Mindfulness and rumination: Does mindfulness training lead to reductions in the ruminative thinking associated with depression? (2009) Explore, 5, pp. 265-271. , [CrossRef]; Goldberg, S.B., Imhoff-Smith, T., Bolt, D.M., Wilson-Mendenhall, C.D., Dahl, C.J., Davidson, R.J., Rosenkranz, M.A., Testing the Efficacy of a Multicomponent, Self-Guided, Smartphone-Based Meditation App: Three-Armed Randomized Controlled Trial (2020) JMIR Ment. Health, 7, p. e23825. , [CrossRef]; Howells, A., Ivtzan, I., Eiroa-Orosa, F.J., Putting the ‘app’ in happiness: A randomised controlled trial of a smartphone-based mindfulness intervention to enhance wellbeing (2016) J. Happiness Stud, 17, pp. 163-185. , [CrossRef]; Kahn, J.R., Collinge, W., Soltysik, R., Post-9/11 veterans and their partners improve mental health outcomes with a self-directed mobile and web-based wellness training program: A randomized controlled trial (2016) J. Med. Internet Res, 18, p. e5800. , [CrossRef]; Linardon, J., Can acceptance, mindfulness, and self-compassion be learned by smartphone apps? A systematic and meta-analytic review of randomized controlled trials (2019) Behav. Ther, 51, pp. 646-658. , [CrossRef]; Andrews-Hanna, J.R., Reidler, J.S., Huang, C., Buckner, R.L., Evidence for the default network’s role in spontaneous cognition (2010) J. Neurophysiol, 104, pp. 322-335. , [CrossRef] [PubMed]; Brewer, J.A., Worhunsky, P.D., Gray, J.R., Tang, Y.Y., Weber, J., Kober, H., Meditation experience is associated with differences in default mode network activity and connectivity (2011) Proc. Natl. Acad. Sci. USA, 108, pp. 20254-20259. , [CrossRef] [PubMed]; Brewer, J.A., Garrison, K.A., Whitfield-Gabrieli, S., What about the “Self” is Processed in the Posterior Cingulate Cortex? (2013) Front. Hum. Neurosci, 7, p. 647. , [CrossRef]; Garrison, K., Santoyo, J., Davis, J., Thornhill, T., Kerr, C., Brewer, J., Effortless awareness: Using real time neurofeedback to investigate correlates of posterior cingulate cortex activity in meditators’ self-report (2013) Front. Hum. Neurosci, 7, p. 440. , [CrossRef]; Greicius, M.D., Flores, B.H., Menon, V., Glover, G.H., Solvason, H.B., Kenna, H., Reiss, A.L., Schatzberg, A.F., Resting-state functional connectivity in major depression: Abnormally increased contributions from subgenual cingulate cortex and thalamus (2007) Biol. Psychiatry, 62, pp. 429-437. , [CrossRef]; Manning, K.J., Steffens, D.C., Systems Neuroscience in Late-Life Depression (2016) Systems Neuroscience in Depression, pp. 325-340. , Academic Press: Cambridge, MA, USA; Hulvershorn, L.A., Cullen, K., Anand, A., Toward dysfunctional connectivity: A review of neuroimaging findings in pediatric major depressive disorder (2011) Brain Imaging Behav, 5, pp. 307-328. , [CrossRef]; Koziol, L.F., Cognitive control, reward, and the basal ganglia (2014) The Myth of Executive Functioning, pp. 61-64. , Springer: Cham, Switzerland; Ochsner, K.N., Silvers, J.A., Buhle, J.T., Functional imaging studies of emotion regulation: A synthetic review and evolving model of the cognitive control of emotion (2012) Ann. N. Y. Acad. Sci, 1251, p. E1. , [CrossRef]; Raichle, M.E., MacLeod, A.M., Snyder, A.Z., Powers, W.J., Gusnard, D.A., Shulman, G.L., A default mode of brain function (2001) Proc. Natl. Acad. Sci. USA, 98, pp. 676-682. , [CrossRef]; Broyd, S.J., Demanuele, C., Debener, S., Helps, S.K., James, C.J., Sonuga-Barke, E.J., Default-mode brain dysfunction in mental disorders: A systematic review (2009) Neurosci. Biobehav. Rev, 33, pp. 279-296. , [CrossRef]; Fan, J., An information theory account of cognitive control (2014) Front. Hum. Neurosci, 8, p. 680. , [CrossRef]; Rossi, A.F., Pessoa, L., Desimone, R., Ungerleider, L.G., The prefrontal cortex and the executive control of attention (2009) Exp. Brain Res, 192, p. 489. , [CrossRef] [PubMed]; Yao, Z., Shi, J., Zhang, Z., Zheng, W., Hu, T., Li, Y., Yu, Y., Zou, Y., Altered dynamic functional connectivity in weakly-connected state in major depressive disorder (2019) Clin. Neurophysiol, 130, pp. 2096-2104. , [CrossRef] [PubMed]; van den Heuvel, M.P., Sporns, O., Network hubs in the human brain (2013) Trends Cogn. Sci, 17, pp. 683-696. , [CrossRef]; Botvinick, M.M., Braver, T.S., Barch, D.M., Carter, C.S., Cohen, J.D., Conflict monitoring and cognitive control (2001) Psychol. Rev, 108, p. 624. , [CrossRef]; Finger, S., (2001) Origins of Neuroscience: A History of Explorations into Brain Function, , Oxford University Press: Oxford, UK; New York, NY, USA; Power, J.D., Petersen, S.E., Control-related systems in the human brain (2013) Curr. Opin. Neurobiol, 23, pp. 223-228. , [CrossRef]; Liang, X., Zou, Q., He, Y., Yang, Y., Coupling of functional connectivity and regional cerebral blood flow reveals a physiological basis for network hubs of the human brain (2013) Proc. Natl. Acad. Sci. USA, 110, pp. 1929-1934. , [CrossRef]; Pessoa, L., Lindquist, K.A., Wager, T.D., Kober, H., Bliss-Moreau, E., Barrett, L.F., Beyond brain regions: Network perspective of cognition–emotion interactions (2012) Behav. Brain Sci, 35, p. 158. , [CrossRef]; Wang, Y.L., Yang, S.Z., Sun, W.L., Shi, Y.Z., Duan, H.F., Altered functional interaction hub between affective network and cognitive control network in patients with major depressive disorder (2016) Behav. Brain Res, 298, pp. 301-309. , Pt B. [CrossRef]; Wu, T., Dufford, A.J., Egan, L.J., Mackie, M.-A., Chen, C., Yuan, C., Chen, C., Hof, P.R., Hick–Hyman law is mediated by the cognitive control network in the brain (2018) Cereb. Cortex, 28, pp. 2267-2282. , [CrossRef]; Fales, C.L., Barch, D.M., Rundle, M.M., Mintun, M.A., Mathews, J., Snyder, A.Z., Sheline, Y.I., Antidepressant treatment normalizes hypoactivity in dorsolateral prefrontal cortex during emotional interference processing in major depression (2009) J. Affect. Disord, 112, pp. 206-211. , [CrossRef]; Dosenbach, N.U., Fair, D.A., Miezin, F.M., Cohen, A.L., Wenger, K.K., Dosenbach, R.A., Fox, M.D., Raichle, M.E., Distinct brain networks for adaptive and stable task control in humans (2007) Proc. Natl. Acad. Sci. USA, 104, pp. 11073-11078. , [CrossRef] [PubMed]; Langenecker, S.A., Kennedy, S.E., Guidotti, L.M., Briceno, E.M., Own, L.S., Hooven, T., Young, E.A., Zubieta, J.K., Frontal and limbic activation during inhibitory control predicts treatment response in major depressive disorder (2007) Biol. Psychiatry, 62, pp. 1272-1280. , [CrossRef] [PubMed]; Hwang, J.W., Egorova, N., Yang, X.Q., Zhang, W.Y., Chen, J., Hu, L.J., Sun, S., Kong, J., Subthreshold depression is associated with impaired resting-state functional connectivity of the cognitive control network (2015) Transl. Psychiatry, 5, p. e683. , [CrossRef]; Davey, C.G., Yücel, M., Allen, N.B., Harrison, B.J., Task-related deactivation and functional connectivity of the subgenual cingulate cortex in major depressive disorder (2012) Front. Psychiatry, 3, p. 14. , [CrossRef]; Bush, G., Luu, P., Posner, M.I., Cognitive and emotional influences in anterior cingulate cortex (2000) Trends Cogn. Sci, 4, pp. 215-222. , [CrossRef]; Salehinejad, M.A., Ghanavai, E., Rostami, R., Nejati, V., Cognitive control dysfunction in emotion dysregulation and psychopathol-ogy of major depression (MD): Evidence from transcranial brain stimulation of the dorsolateral prefrontal cortex (DLPFC) (2017) J. Affect. Disord, 210, pp. 241-248. , [CrossRef]; Murphy, C., Jefferies, E., Rueschemeyer, S.A., Sormaz, M., Wang, H.T., Margulies, D.S., Smallwood, J., Distant from input: Evidence of regions within the default mode network supporting perceptually-decoupled and conceptually-guided cognition (2018) Neuroimage, 171, pp. 393-401. , [CrossRef]; Mason, M.F., Norton, M.I., Van Horn, J.D., Wegner, D.M., Grafton, S.T., Macrae, C.N., Wandering minds: The default netw</t>
  </si>
  <si>
    <t>20763425</t>
  </si>
  <si>
    <t>Brain Sci.</t>
  </si>
  <si>
    <t>2-s2.0-85130978092</t>
  </si>
  <si>
    <t>Mindfulness-enhanced computerized cognitive training for depression: an integrative review and proposed model targeting the cognitive control and default-mode networks</t>
  </si>
  <si>
    <t>Ma L., Pahlevan Sharif S., Ray A., Khong K.W.</t>
  </si>
  <si>
    <t>57826749600;56196545700;56665499800;8932496900;</t>
  </si>
  <si>
    <t>Investigating the relationships between MOOC consumers' perceived quality, emotional experiences, and intention to recommend: an NLP-based approach</t>
  </si>
  <si>
    <t>Online Information Review</t>
  </si>
  <si>
    <t>10.1108/OIR-09-2021-0482</t>
  </si>
  <si>
    <t>https://www.scopus.com/inward/record.uri?eid=2-s2.0-85137511660&amp;doi=10.1108%2fOIR-09-2021-0482&amp;partnerID=40&amp;md5=2141b12d550750fdd71e454171f0fda7</t>
  </si>
  <si>
    <t>Taylor's Business School, Taylor's University - Lakeside Campus, Subang Jaya, Malaysia; Management Information Systems and Analytics, International Management Institute Kolkata, Kolkata, India</t>
  </si>
  <si>
    <t>Ma, L., Taylor's Business School, Taylor's University - Lakeside Campus, Subang Jaya, Malaysia; Pahlevan Sharif, S., Taylor's Business School, Taylor's University - Lakeside Campus, Subang Jaya, Malaysia; Ray, A., Management Information Systems and Analytics, International Management Institute Kolkata, Kolkata, India; Khong, K.W., Taylor's Business School, Taylor's University - Lakeside Campus, Subang Jaya, Malaysia</t>
  </si>
  <si>
    <t>Purpose: The paper aims to explore and examine the factors that influence the post-consumption behavioral intentions of education consumers with the help of online reviews from a Massive Open Online Course (MOOC) platform in the knowledge payment context. Design/methodology/approach: The paper adopted a novel mixed-method approach based on natural language processing (NLP) techniques. Variables were identified using topic modeling drawing upon 14,585 online reviews from a global commercial MOOC platform (Udemy.com). The relationships among identified factors, such as perceived quality dimensions, consumption emotions, and intention to recommend, were then tested from a cognition-affect-behavior (CAB) perspective using partial least squares structural equation modeling (PLS-SEM). Findings: Results indicate that course content quality, instructor quality, and platform quality are strong predictors of consumers' emotions and intention to recommend. Interestingly, course content quality displays a positive effect on invoking negative emotions in the MOOC context. Additionally, positive emotions mediate the relationships between three perceived qualities and the intention to recommend. Originality/value: Limited research has been conducted regarding MOOC consumers' post-consumption intentions in the knowledge payment context. Findings of this study address the limited literature on MOOC qualities and consumer post-consumption behaviors, which contribute to a comprehensive understanding of MOOC learners' experiences at a meso-level for future paid-MOOC creators. Peer review: The peer review history for this article is available at: https://publons.com/publon/10.1108/OIR-09-2021-0482/ © 2022, Emerald Publishing Limited.</t>
  </si>
  <si>
    <t>Consumer behavior; Consumption emotions; Intention to recommend; Massive open online courses (MOOCs); NLP-based approach; Perceived quality</t>
  </si>
  <si>
    <t>Curricula; E-learning; Least squares approximations; Natural language processing systems; Consumption emotion; Course contents; Intention to recommend; Language processing; Massive open online course; Natural language processing-based approach; Natural languages; Online reviews; Perceived quality; Consumer behavior; article; cognition; consumer attitude; course content; drawing; emotion; human; human experiment; natural language processing; partial least squares regression; peer review; structural equation modeling</t>
  </si>
  <si>
    <t>Ahn, T., Ryu, S., Han, I., The impact of Web quality and playfulness on user acceptance of online retailing (2007) Information and Management, 44, pp. 263-275; Albelbisi, N.A., Development and validation of the MOOC success scale (MOOC-SS) (2020) Education and Information Technologies, 25, pp. 4535-4555; Albelbisi, N.A., Al-Adwan, A.S., Habibi, A., Self-regulated learning and satisfaction: a key determinants of MOOC success (2021) Education and Information Technologies, 26, pp. 3459-3481; Aldowah, H., Al-Samarraie, H., Fauzy, W.M., Educational data mining and learning analytics for 21st century higher education: a review and synthesis (2019) Telematics and Informatics, 37, pp. 13-49; Alkhalaf, S., Drew, S., Nguyen, A., (2013) Validation of the IS impact model for measuring the impact of e-learning systems in KSA Universities: student perspective, , arXiv preprint; Alraimi, K.M., Zo, H., Ciganek, A.P., Understanding the MOOCs continuance: the role of openness and reputation (2015) Computers and Education, 80, pp. 28-38; Alsaggaf, M.A., Althonayan, A., An empirical investigation of customer intentions influenced by service quality using the mediation of emotional and cognitive responses (2018) Journal of Enterprise Information Management, 31, pp. 194-223; Alshehri, M., Alamri, A., Cristea, A.I., Stewart, C.D., Towards designing profitable courses: predicting student purchasing behaviour in MOOCs (2021) International Journal of Artificial Intelligence in Education, 31, pp. 215-233; Aparicio, M., Oliveira, T., Bacao, F., Painho, M., Gamification: a key determinant of massive open online course (MOOC) success (2019) Information and Management, 56, pp. 39-54; Bakeman, R., McArthur, D., Determining the power of multiple regression analyses both with and without repeated measures (1999) Behavior Research Methods, Instruments, and Computers, 31, pp. 150-154; Baker, R., Passmore, D., Value and pricing of MOOCs (2016) Education Sciences, 6, p. 14; Beirne, E., (2020) What a Feeling! A Multistage, Multimethod Investigation of Emotions and Their Antecedents in an Irish Language MOOC, , Dublin City University; Bigné, J.E., Mattila, A.S., Andreu, L., The impact of experiential consumption cognitions and emotions on behavioral intentions (2008) Journal of Services Marketing, 22 (4), pp. 303-315; Bigne, E., Andreu, L., Perez, C., Ruiz, C., Brand love is all around: loyalty behaviour, active and passive social media users (2020) Current Issues in Tourism, 23, pp. 1613-1630; Biswas, A., Licata, J.W., McKee, D., Pullig, C., Daughtridge, C., The recycling cycle: an empirical examination of consumer waste recycling and recycling shopping behaviors (2000) Journal of Public Policy and Marketing, 19, pp. 93-105; Blei, D.M., Ng, A.Y., Jordan, M.I., Latent dirichlet allocation (2003) The Journal of Machine Learning Research, 3, pp. 993-1022; Boyatzis, R.E., (1998) Transforming Qualitative Information: Thematic Analysis and Code Development, , Sage; Bronner, F., de Hoog, R., Vacationers and eWOM: who posts, and why, where, and what? (2010) Journal of Travel Research, 50, pp. 15-26; Chen, C., Sonnert, G., Sadler, P.M., Sasselov, D.D., Fredericks, C., Malan, D.J., Going over the cliff: MOOC dropout behavior at chapter transition (2020) Distance Education, 41, pp. 6-25; Cai, S., Luo, Q., Fu, X., Fang, B., What drives the sales of paid knowledge products? A two-phase approach (2020) Information and Management, 57; Chen, Y., Ding, D., Meng, L., Li, X., Zhang, S., Understanding consumers' purchase intention towards online paid courses (2021) Information Development; Choe, J.Y., Kim, S., Effects of tourists’ local food consumption value on attitude, food destination image, and behavioral intention (2018) International Journal of Hospitality Management, 71, pp. 1-10; Cohen, J., (1988) Statistical Power Analysis for the Behavioral Sciences, , ed., 2nd, Routledge, New York; Conole, G., (2016) Revista de Educación a Distancia (RED), 39. , MOOCs as Disruptive Technologies: Strategies for Enhancing the Learner Experience and Quality of MOOCs: (accessed 11 May 2021; Cross, J.S., Keerativoranan, N., Carlon, M.K.J., Tan, Y.H., Rakhimberdina, Z., Mori, H., Improving MOOC quality using learning analytics and tools (2019) 2019 IEEE Learning With MOOCS (LWMOOCS), 23-25 Oct. 2019, pp. 174-179; Dargaud, E., Jouneau-Sion, F., The good MOOC and the universities (2020) Education Economics, 28, pp. 474-490; Deng, R., Benckendorff, P., A contemporary review of research methods adopted to understand students' and instructors' use of massive open online courses (MOOCs) (2017) International Journal of Information and Education Technology, 7, pp. 601-607; Dweck, C.S., Leggett, E.L., A social-cognitive approach to motivation and personality (1988) Psychological Review, 95, pp. 256-273; D'Mello, S., Lehman, B., Pekrun, R., Graesser, A., Confusion can be beneficial for learning (2014) Learning and Instruction, 29, pp. 153-170; Efron, B., Tibshirani, R., The problem of regions (1998) The Annals of Statistics, 26, pp. 1687-1718. , 32; Eom, S.B., Ashill, N., The determinants of students' perceived learning outcomes and satisfaction in university online education: an update (2016) Decision Sciences Journal of Innovative Education, 14, pp. 185-215; Fidalgo-Blanco, Á., Sein-Echaluce, M.L., García-Peñalvo, F.J., From massive access to cooperation: lessons learned and proven results of a hybrid xMOOC/cMOOC pedagogical approach to MOOCs (2016) International Journal of Educational Technology in Higher Education, 13, p. 24; Finn, A., Wang, L., Frank, T., Attribute perceptions, customer satisfaction and intention to recommend E-services (2009) Journal of Interactive Marketing, 23, pp. 209-220; Geng, S., Niu, B., Feng, Y., Huang, M., Understanding the focal points and sentiment of learners in MOOC reviews: a machine learning and SC‐LIWC‐based approach (2020) British Journal of Educational Technology, 51, pp. 1785-1803; Goli, A., Chintagunta, P.K., Sriram, S., Effects of payment on user engagement in online courses (2021) Journal of Marketing Research, 59 (1), pp. 11-34; Gracia, E., Bakker, A.B., Grau, R.M., Positive emotions: the connection between customer quality evaluations and loyalty (2011) Cornell Hospitality Quarterly, 52, pp. 458-465; Greller, W., Drachsler, H., Translating learning into numbers: a generic framework for learning analytics (2012) Journal of Educational Technology and Society, 15, pp. 42-57; Guo, J., Wang, X., Wu, Y., Positive emotion bias: role of emotional content from online customer reviews in purchase decisions (2020) Journal of Retailing and Consumer Services, 52; Hair, J.F., Howard, M.C., Nitzl, C., Assessing measurement model quality in PLS-SEM using confirmatory composite analysis (2020) Journal of Business Research, 109, pp. 101-110; Havlena, W.J., Holbrook, M.B., The varieties of consumption experience: comparing two typologies of emotion in consumer behavior (1986) Journal of Consumer Research, 13, pp. 394-404; Hew, K.F., Hu, X., Qiao, C., Tang, Y., What predicts student satisfaction with MOOCs: a gradient boosting trees supervised machine learning and sentiment analysis approach (2020) Computers and Education, 145; Holbrook, M.B., Hirschman, E.C., The experiential aspects of consumption: consumer fantasies, feelings, and fun (1982) Journal of Consumer Research, 9, pp. 132-140; Holsapple, C.W., Lee-Post, A., Defining, assessing, and promoting E-learning success: an information systems perspective (2006) Decision Sciences Journal of Innovative Education, 4, pp. 67-85; Hone, K.S., El Said, G.R., Exploring the factors affecting MOOC retention: a survey study (2016) Computers and Education, 98, pp. 157-168; Hsiao, C.-C., Understanding content sharing on the internet: test of a cognitive-affective-conative model (2020) Online Information Review, 44, pp. 1289-1306; Joo, S., Lu, K., Lee, T., Analysis of content topics, user engagement and library factors in public library social media based on text mining (2020) Online Information Review, 44, pp. 258-277; Jüttner, U., Schaffner, D., Windler, K., Maklan, S., Customer service experiences (2013) European Journal of Marketing, 47, pp. 738-769; Kowalczuk, P., Siepmann, C., Adler, J., Cognitive, affective, and behavioral consumer responses to augmented reality in e-commerce: a comparative study (2021) Journal of Business Research, 124, pp. 357-373; Li, L., Johnson, J., Aarhus, W., Shah, D., Key factors in MOOC pedagogy based on NLP sentiment analysis of learner reviews: what makes a hit (2022) Computers and Education, 176; Li, J., Zhang, S., Wang, W., Wang, Y., Research on the influencing factors of user’s online knowledge consumption behavior (2017) Procedia Computer Science, 122, pp. 174-179; Liljander, V., Strandvik, T., Emotions in service satisfaction (1997) International Journal of Service Industry Management, 8, pp. 148-169; Liu, S., Yang, G., Negative sentiment analysis of MOOC comments based on machine learning (2020) Advanced Graphic Communication, Printing and Packaging Technology, , Springer; Liu, B., Xing, W., Zeng, Y., Wu, Y., Quantifying the influence of achievement emotions for student learning in MOOCs (2020) Journal of Educational Computing Research, 59 (3), pp. 429-452; Longstaff, E., Ritual in online communities: a study of post-voting in MOOC discussion forums (2017) International Journal of Human–Computer Interaction, 33, pp. 655-663; Loureiro, S.M.C., The role of website quality on PAD, attitude and intentions to visit and recommend Island destination (2015) International Journal of Tourism Research, 17, pp. 545-554; Ma, L., Sharif, S.P., Khong, K.W., What factors drive the purchase of paid online courses? A systematic literature review (2022) Journal of Marketing for Higher Education, pp. 1-24; Merrill, M.D., (2002) First Principles of Instruction, 50, pp. 43-59. , Educational Technology Research and Development; Nyer, P.U., A study of the relationships between cognitive appraisals and consumption emotions (1997) Journal of the Academy of Marketing Science, 25, pp. 296-304; Oh, E.G., Chang, Y., Park, S.W., Design review of MOOCs: application of e-learning design principles (2020) Journal of Computing in Higher Education, 32, pp. 455-475; Oliver, R.L., Whence consumer loyalty? (1999) Journal of Marketing, 63, pp. 33-44; Pachankis, J.E., The psychological implications of concealing a stigma: a cognitive-affective-behavioral model (2007) Psychological Bulletin, 133, pp. 328-345; Park, S., Jeong, S., Ju, B., MOOCs in the workplace: an intervention for strategic human resource development (2018) Human Resource Development International, 24 (3), pp. 1-12; Peng, X., Xu, Q., Investigating learners’ behaviors and discourse content in MOOC course reviews (2020) Computers and Education, 143; Peng, N., Chen, A., Hung, K.-P., The effects of teppanyaki restaurant stimuli on diners' emotions and loyalty (2017) International Journal of Hospitality Management, 60, pp. 1-12; Pham, L., Limbu, Y.B., Bui, T.K., Nguyen, H.T., Pham, H.T., Does e-learning service quality influence e-learning student satisfaction and loyalty? Evidence from Vietnam (2019) International Journal of Educational Technology in Higher Education, 16, p. 7; Pillutla, V.S., Tawfik, A.A., Giabbanelli, P.J.J.T., Detecting the depth and progression of learning in massive open online courses by mining discussion data (2020) Knowledge and Learning, pp. 1-18; Pozón-López, I., Kalinic, Z., Higueras-Castillo, E., Liébana-Cabanillas, F., A multi-analytical approach to modeling of customer satisfaction and intention to use in Massive Open Online Courses (MOOC) (2020) Interactive Learning Environments, 28, pp. 1003-1021; Pozón-López, I., Higueras-Castillo, E., Muñoz-Leiva, F., Liébana-Cabanillas, F.J., Perceived user satisfaction and intention to use massive open online courses (MOOCs) (2021) Journal of Computing in Higher Education, 33, pp. 85-120; Prayag, G., Hosany, S., Muskat, B., Del Chiappa, G., Understanding the relationships between tourists' emotional experiences, perceived overall image, satisfaction, and intention to recommend (2015) Journal of Travel Research, 56, pp. 41-54; Qi, T., Wang, T., Ma, Y., Zhou, X., Knowledge payment research: status quo and key issues (2019) International Journal of Crowd Science, 3, pp. 117-137; Ray, A., Ma, L., Operational changes and performance outcomes: analysis on hotels of five Asia–pacific countries (2021) International Journal of Global Business and Competitiveness, pp. 77-88. , Su; Ray, A., Bala, P.K., Dwivedi, Y.K., Exploring values affecting e-Learning adoption from the user-generated-content: a consumption-value-theory perspective (2020) Journal of Strategic Marketing, 29 (5), pp. 1-23; Ray, A., Bala, P.K., Chakraborty, S., Dasgupta, S.A., Exploring the impact of different factors on brand equity and intention to take up online courses from e-Learning platforms (2021) Journal of Retailing and Consumer Services, 59; Reich, J., Rebooting MOOC research (2015) Science, 347, pp. 34-35; Ribeiro, M.A., Prayag, G., Perceived quality and service experience: mediating effects of positive and negative emotions (2019) Journal of Hospitality Marketing and Management, 28, pp. 285-305; Rocklage, M.D., Fazio, R.H., The enhancing versus backfiring effects of positive emotion in consumer reviews (2020) Journal of Marketing Research, 57, pp. 332-352; Samuels, R., (2018) Educating Inequality: Beyong the Political Myths of Higher Education and the Job Market, , Routledge, New York; Santo, L.D., Peña-Jimenez, M., Canzan, F., Saiani, L., Battistelli, A., The emotional side of the e-learning among nursing students: the role of the affective correlates on e-learning satisfaction (2022) Nurse Education Today, 110; Shah, D., (2021) Udemy to remove non-performing courses from its catalog, , https://www.classcentral.com/report/udemy-marketplace-maintenance-program/, accessed, 5 August 2021; Shah, D., (2021) Udemy vs Coursera: comparing online learning giants that might IPO in 2021, , Class Central; She, L., Ma, L., Jan, A., Sharif Nia, H., Rahmatpour, P., Online learning satisfaction during COVID-19 pandemic among Chinese university students: the serial mediation model (2021) Frontiers in Psychology, 12; Shi, X., Zheng, X., Yang, F., Exploring payment behavior for live courses in social Q&amp;A communities: an information foraging perspective (2020) Information Processing and Management, 57; Siemens, G., Long, P., Penetrating the fog: analytics in learning and education (2011) EDUCAUSE Review, 5, pp. 30-32; Sitar-Taut, D.-A., Mican, D., Mobile learning acceptance and use in higher education during social distancing circumstances: an expansion and customization of UTAUT2 (2021) Online Information Review, 45, pp. 1000-1019; Steyn, C., Davies, C., Sambo, A., Eliciting student feedback for course development: the application of a qualitative course evaluation tool among business research students (2019) Assessment and Evaluation in Higher Education, 44, pp. 11-24; Tao, D., Fu, P., Wang, Y., Zhang, T., Qu, X., Key characteristics in designing massive open online courses (MOOCs) for user acceptance: an application of the extended technology acceptance model (2019) Interactive Learning Environments, 30, pp. 1-14; Veletsianos, G., Shepherdson, P., A systematic analysis and synthesis of the empirical MOOC literature published in 2013-2015 (2016) International Review of Research in Open and Distributed Learning, 17, pp. 198-221; Verhagen, T., van Dolen, W., The influence of online store beliefs on consumer online impulse buying: a model and empirical application (2011) Information and Management, 48, pp. 320-327; Watson, D., Clark, L.A., Tellegen, A., Development and validation of brief measures of positive and negative affect: the PANAS scales (1988) Journal of Personality and Social Psychology, 54, pp. 1063-1070; Williams, J., Student feedback on the experience of higher education: a significant component of institutional research data (2014) Using Data to Improve Higher Education, , Brill Sense; Xiang, Z., Du, Q., Ma, Y., Fan, W., A comparative analysis of major online review platforms: implications for social media analytics in hospitality and tourism (2017) Tourism Management, 58, pp. 51-65; Xiaofei, Z., Guo, X., Ho, S.Y., Lai, K.-H., Vogel, D., Effects of emotional attachment on mobile health-monitoring service usage: an affect transfer perspective (2021) Information and Management, 58; Xing, W., Tang, H., Pei, B., Beyond positive and negative emotions: looking into the role of achievement emotions in discussion forums of MOOCs (2019) The Internet and Higher Education, 43; Xu, X., Liu, W., Gursoy, D., The impacts of service failure and recovery efforts on airline customers' emotions and satisfaction (2018) Journal of Travel Research, 58, pp. 1034-1051; Xu, X., Wang, L., Zhao, K., Exploring determinants of consumers’ platform usage in “double eleven” shopping carnival in China: cognition and emotion from an integrated perspective (2020) Sustainability, 12, p. 2790; Yang, M., Shao, Z., Liu, Q., Liu, C., Understanding the quality factors that influence the continuance intention of students toward participation in MOOCs (2017) Educational Technology Research and Development, 65, pp. 1195-1214; Yoon, S.-J., The antecedents and consequences of trust in online-purchase decisions (2002) Journal of Interactive Marketing, 16, pp. 47-63; You, Y., Vadakkepatt, G.G., Joshi, A.M., A meta-analysis of electronic word-of-mouth elasticity (2015) Journal of Marketing, 79, pp. 19-39; Yu, L., Chen, Z., Yao, P., Liu, H., A study on the factors influencing users’ online knowledge paying-behavior based on the UTAUT model (2021) Journal of Theoretical and Applied Electronic Commerce Research, 16, pp. 1768-1790; Yuan, L., Powell, S.J., Olivier, B., (2014) Beyond MOOCs: sustainable online learning in institutions; Zeithaml, V.A., Berry, L.L., Parasuraman, A., The behavioral consequences of service quality (1996) Journal of Marketing, 60, pp. 31-46; Zhang, M., Zhang, Y., Zhao, L., Li, X., What drives online course sales? Signaling effects of user-generated information in the paid knowledge market (2020) Journal of Business Research, 118, pp. 389-397; Zhao, Y., Zhao, Y., Yuan, X., Zhou, R., How knowledge contributor characteristics and reputation affect user payment decision in paid Q&amp;A? An empirical analysis from the perspective of trust theory (2018) Electronic Commerce Research and Applications, 31, pp. 1-11; Zhou, M., Chinese university students’ acceptance of MOOCs: a self-determination perspective (2016) Computers and Education, 92-93, pp. 194-203; Zhou, S., Li, T., Yang, S., Chen, Y., What drives consumers' purchase intention of online paid knowledge? A stimulus-organism-response perspective (2022) Electronic Commerce Research and Applications, 52; Zhu, M., Sari, A.R., Lee, M.M., A comprehensive systematic review of MOOC research: research techniques, topics, and trends from 2009 to 2019 (2020) Educational Technology Research and Development, 68, pp. 1685-1710; Žižka, J., Dařena, F., Svoboda, A., (2019) Text Mining with Machine Learning: Principles and Techniques, , ed., 1st, CRC Press, Boca Raton</t>
  </si>
  <si>
    <t>14684527</t>
  </si>
  <si>
    <t>OIRNA</t>
  </si>
  <si>
    <t>Online Info. Rev.</t>
  </si>
  <si>
    <t>2-s2.0-85137511660</t>
  </si>
  <si>
    <t>Investigating the relationships between mooc consumers' perceived quality, emotional experiences, and intention to recommend: an nlp-based approach</t>
  </si>
  <si>
    <t>Pan W., Han Y., Li J., Zhang E., He B.</t>
  </si>
  <si>
    <t>57439567900;55910277300;57223434969;57439218000;57951948500;</t>
  </si>
  <si>
    <t>The positive energy of netizens: development and application of fine-grained sentiment lexicon and emotional intensity model</t>
  </si>
  <si>
    <t>Current Psychology</t>
  </si>
  <si>
    <t>10.1007/s12144-022-03876-4</t>
  </si>
  <si>
    <t>https://www.scopus.com/inward/record.uri?eid=2-s2.0-85141170585&amp;doi=10.1007%2fs12144-022-03876-4&amp;partnerID=40&amp;md5=527630867c524383bb04795adde3467e</t>
  </si>
  <si>
    <t>School of Public Administration, South China University of Technology, Guangzhou, China; School of Psychology, Guizhou Normal University, Guiyang, China; Troy High School, Fullerton, CA, United States; Department of Intelligent Engineering, Guiyang Institute of Information Science and Technology, Guiyang, China</t>
  </si>
  <si>
    <t>Pan, W., School of Public Administration, South China University of Technology, Guangzhou, China; Han, Y., School of Public Administration, South China University of Technology, Guangzhou, China; Li, J., School of Psychology, Guizhou Normal University, Guiyang, China; Zhang, E., Troy High School, Fullerton, CA, United States; He, B., Department of Intelligent Engineering, Guiyang Institute of Information Science and Technology, Guiyang, China</t>
  </si>
  <si>
    <t>The outbreak of COVID-19 has led to a global health crisis and caused huge emotional swings. However, the positive emotional expressions, like self-confidence, optimism, and praise, that appear in Chinese social networks are rarely explored by researchers. This study aims to analyze the characteristics of netizens' positive energy expressions and the impact of node events on public emotional expression during the COVID-19 pandemic. First, a total of 6,525,249 Chinese texts posted by Sina Weibo users were randomly selected through textual data cleaning and word segmentation for corpus construction. A fine-grained sentiment lexicon that contained POSITIVE ENERGY was built using Word2Vec technology; this lexicon was later used to conduct sentiment category analysis on original posts. Next, through manual labeling and multi-classification machine learning model construction, four mainstream machine learning algorithms were selected to train the emotional intensity model. Finally, the lexicon and optimized emotional intensity model were used to analyze the emotional expressions of Chinese netizens. The results show that POSITIVE ENERGY expression accounted for 40.97% during the COVID-19 pandemic. Over the course of time, POSITIVE ENERGY emotions were displayed at the highest levels and SURPRISES the lowest. The analysis results of the node events showed after the outbreak was confirmed officially, the expressions of POSITIVE ENERGY and FEAR increased simultaneously. After the initial victory in pandemic prevention and control, the expression of POSITIVE ENERGY and SAD reached a peak, while the increase of SAD was the most prominent. The fine-grained sentiment lexicon, which includes a POSITIVE ENERGY category, demonstrated reliable algorithm performance and can be used for sentiment classification of Chinese Internet context. We also found many POSITIVE ENERGY expressions in Chinese online social platforms which are proven to be significantly affected by nod events of different nature. © 2022, The Author(s), under exclusive licence to Springer Science+Business Media, LLC, part of Springer Nature.</t>
  </si>
  <si>
    <t>COVID-19 pandemic; Fine-grained sentiment lexicon; Positive energy; Social media analysis</t>
  </si>
  <si>
    <t>Aslam, F., Awan, T.M., Syed, J.H., Kashif, A., Parveen, M., Sentiments and emotions evoked by news headlines of coronavirus disease (COVID-19) outbreak (2020) Humanities and Social Sciences Communications, 7 (1), p. 23; An, L., Zhou, W., Ou, M., Li, G., Yu, C., Wang, X., Measuring and profiling the topical influence and sentiment contagion of public event stakeholders (2021) International Journal of Information Management, 58, p. 102327; Emotion-aware polarity lexicons for Twitter sentiment analysis (2021) Expert Systems, 38 (7), p. e12332. , https://doi.org/10.1111/exsy.12332; Barbalet, J.M., (1998) Emotion, social theory, and social structure: A macrosociological approach, , (,).,., Cambridge University Press,., https://doi.org/10.1017/CBO9780511488740; Blanken, T.F., Tanis, C.C., Nauta, F.H., Dablander, F., Zijlstra, B.J.H., Bouten, R.R.M., Oostvogel, Q.H., Borsboom, D., Promoting physical distancing during COVID-19: A systematic approach to compare behavioral interventions (2021) Scientific Reports, 11 (1), p. 19463; Bollen, J., Mao, H., Zeng, X., Twitter mood predicts the stock market (2011) Journal of Computational Science, 2 (1), pp. 1-8; Affective norms for English words (ANEW): Instruction manual and affective ratings (vol. 30, no. 1, pp. 25–36): Technical report C-1, the center for research in psychophysiology (1999) University of Florida; Buratto, L.G., Pottage, C.L., Brown, C., Morrison, C.M., Schaefer, A., The effects of a distracting n-back task on recognition memory are reduced by negative emotional intensity (2014) PLoS ONE, 9 (10); Cawcutt, K.A., Starlin, R., Rupp, M.E., Fighting fear in healthcare workers during the COVID-19 pandemic (2020) Infection Control &amp; Hospital Epidemiology, 41 (10), pp. 1192-1193; Cheng, Q., Li, T.M., Kwok, C., Zhu, T., Yip, P.S., Assessing suicide risk and emotional distress in chinese social media: A text mining and machine learning study (2017) Journal of Medical Internet Research, 19 (7); The 48th Statistical Report on China's Internet Development CNNIC, , http://cnnic.cn/gywm/xwzx/rdxw/20172017_7086/202202/t20220225_71725.htm; Crossley, S.A., Kyle, K., McNamara, D.S., Sentiment analysis and social cognition engine (SEANCE): An automatic tool for sentiment, social cognition, and social-order analysis (2017) Behavior Research Methods, 49 (3), pp. 803-821; Deng, H., Walter, F., Guan, Y., Supervisor-directed emotional labor as upward influence: An emotions-as-social-information perspective (2020) Journal of Organizational Behavior, 41 (4), pp. 384-402; Dong, Z., Dong, Q., (2003) Hownet-A Hybrid Language and Knowledge Resource, p. 2003. , https://doi.org/10.1109/NLPKE.2003.1276017, International Conference on Natural Language Processing and Knowledge Engineering, Proceedings; Dubey, S., Biswas, P., Ghosh, R., Chatterjee, S., Dubey, M.J., Chatterjee, S., Lahiri, D., Lavie, C.J., Psychosocial impact of COVID-19 (2020) Diabetes &amp; Metabolic Syndrome: Clinical Research &amp; Reviews, 14 (5), pp. 779-788; Duong, D., Ahmad, W.U., Eskin, E., Chang, K., Li, J.J., Word and sentence embedding tools to measure semantic similarity of gene ontology terms by their definitions (2018) Journal of Computational Biology, 26 (1), pp. 38-52; Ekman, P., Friesen, W.V., Constants across cultures in the face and emotion (1971) Journal of Personality and Social Psychology, 17 (2), pp. 124-129; Emodi-Perlman, A., Eli, I., Uziel, N., Smardz, J., Khehra, A., Gilon, E., Wieckiewicz, G., Wieckiewicz, M., Public concerns during the COVID-19 lockdown: A multicultural cross-sectional study among internet survey respondents in three countries (2021) Journal of Clinical Medicine, 10 (8). , &amp;, (,).,., (,)., https://doi.org/10.3390/jcm10081577; Feng, X., Wei, Y., Pan, X., Qiu, L., Ma, Y., Academic emotion classification and recognition method for large-scale online learning environment-based on A-CNN and LSTM-ATT deep learning pipeline method (2020) International Journal of Environmental Research and Public Health, 17 (6), p. 1941; Ferrari, R., Martini, M., Mondini, S., Novello, C., Palomba, D., Scacco, C., Toffolon, M., Visentin, M., Pain assessment in non-communicative patients: The Italian version of the Non-Communicative Patient’s Pain Assessment Instrument (NOPPAIN) (2009) Aging Clinical and Experimental Research, 21 (4), pp. 298-306; Gao, J., Chen, H., Zhang, X., Guo, J., Liang, W., A new feature extraction and recognition method for microexpression based on local non-negative matrix factorization (2020) Frontiers in Neurorobotics, 14, p. 88; Gong, X., Wong, N., Wang, D., Are gender differences in emotion culturally universal? Comparison of emotional intensity between Chinese and German samples (2018) Journal of Cross-Cultural Psychology, 49 (6), pp. 993-1005; Guo, H., Wang, Y., Zhao, Y., Liu, H., Computer-aided design of polyetheretherketone for application to removable pediatric space maintainers (2020) BMC Oral Health, 20 (1), p. 201; Han, Y., Pan, W., Li, J., Zhang, T., Zhang, Q., Zhang, E., Developmental trend of subjective well-being of Weibo users during COVID-19: Online text analysis based on machine learning method (2022) Frontiers in Psychology, 12; Havey, N.F., Partisan public health: How does political ideology influence support for COVID-19 related misinformation? (2020) Journal of Computational Social Science, 3 (2), pp. 319-342; Havnen, A., Anyan, F., Hjemdal, O., Solem, S., Gurigard Riksfjord, M., Hagen, K., Resilience moderates negative outcome from stress during the COVID-19 pandemic: A moderated-mediation approach (2020) International Journal of Environmental Research and Public Health, 17 (18). , &amp;, (,).,., (,)., https://doi.org/10.3390/ijerph17186461; Hoke, T.P., Berger, A.A., Pan, C.C., Jackson, L.A., Winkelman, W.D., High, R., Volpe, K.A., Richter, H.E., Assessing patients' preferences for gender, age, and experience of their urogynecologic provider (2020) International Urogynecology Journal, 31 (6), pp. 1203-1208; Hutto, D.D., Robertson, I., Kirchhoff, M.D., A new, better BET: Rescuing and revising basic emotion theory (2018) Frontiers in Psychology, 9, p. 1217; Jost, J.T., Barberá, P., Bonneau, R., Langer, M., Metzger, M., Nagler, J., Sterling, J., Tucker, J.A., How social media facilitates political protest: Information, motivation, and social networks (2018) Political Psychology, 39 (S1), pp. 85-118; Kaufman, B.E., Emotional arousal as a source of bounded rationality (1999) Journal of Economic Behavior &amp; Organization, 38 (2), pp. 135-144; Kensinger, E.A., Corkin, S., Two routes to emotional memory: Distinct neural processes for valence and arousal (2004) Proceedings of the National Academy of Sciences of the United States of America, 101 (9), p. 3310; Keshmiri, S., Shiomi, M., Sumioka, H., Minato, T., Ishiguro, H., Gentle versus strong touch classification: Preliminary results, challenges, and potentials (2020) Sensors, 20 (11). , &amp;, (,).,., (,)., https://doi.org/10.3390/s20113033; Kim, H.S., Sherman, D.K., Updegraff, J.A., Fear of Ebola: The influence of collectivism on xenophobic threat responses (2016) Psychological Science, 27 (7), pp. 935-944; King, K.M., Molina, B.S.G., Chassin, L., A state-trait model of negative life event occurrence in adolescence: Predictors of stability in the occurrence of stressors (2008) Journal of Clinical Child &amp; Adolescent Psychology, 37 (4), pp. 848-859; Kirelli, Y., Arslankaya, S., Sentiment analysis of shared tweets on global warming on twitter with data mining methods: A case study on Turkish language (2020) Computational Intelligence and Neuroscience, 2020, p. 1904172; Kosinski, M., Matz, S.C., Gosling, S.D., Popov, V., Stillwell, D., Facebook as a research tool for the social sciences: Opportunities, challenges, ethical considerations, and practical guidelines (2015) American Psychologist, 70 (6), pp. 543-556; Kulviwat, S., Bruner, G.C., II, Kumar, A., Nasco, S.A., Clark, T., Toward a unified theory of consumer acceptance technology (2007) Psychology &amp; Marketing, 24 (12), pp. 1059-1084; Kümmel, E., Kimmerle, J., The effects of a university’s self-presentation and applicants’ regulatory focus on emotional, behavioral, and cognitive student engagement (2020) Sustainability, 12 (23). , &amp;, (,).,., (,)., https://doi.org/10.3390/su122310045; Lee, Y.J., Kamen, C., Margolies, L., Boehmer, U., Online health community experiences of sexual minority women with cancer (2019) Journal of the American Medical Informatics Association, 26 (8-9), pp. 759-766; Leis, A., Ronzano, F., Mayer, M.A., Furlong, L.I., Sanz, F., Detecting signs of depression in Tweets in Spanish: Behavioral and linguistic analysis (2019) Journal of Medical Internet Research, 21 (6); Li, S., Liu, Z., Li, Y., Temporal and spatial evolution of online public sentiment on emergencies (2020) Information Processing &amp; Management, 57 (2); Liang, X., Gu, S., Deng, J., Gao, Z., Zhang, Z., Shen, D., Investigation of college students' mental health status via semantic analysis of Sina microblog (2015) Wuhan University Journal of Natural Sciences, 20 (2), pp. 159-164; Lin, J., Yao, Y., Encoding emotion in Chinese: A database of Chinese emotion words with information of emotion type, intensity, and valence (2016) Lingua Sinica, 2 (1), p. 6; Luo, K., Deng, Z., Yu, H., Li, S., Automatic identification and recognition of sentiment words using an optimization-based model with propagation (2015) International Journal of Intelligent Systems, 30 (5), pp. 537-549; Majeed, M., Irshad, M., Fatima, T., Khan, J., Hassan, M.M., Relationship between problematic social media usage and employee depression: A moderated mediation model of mindfulness and fear of COVID-19 (2020) Frontiers in Psychology, 11, p. 3368; Manzar, M.D., Albougami, A., Usman, N., Mamun, M.A., Suicide among adolescents and youths during the COVID-19 pandemic lockdowns: A press media reports-based exploratory study (2021) Journal of Child and Adolescent Psychiatric Nursing, 34 (2), pp. 139-146; Medford, R.J., Saleh, S.N., Sumarsono, A., Perl, T.M., Lehmann, C.U., An "Infodemic": Leveraging high-volume twitter data to understand early public sentiment for the coronavirus disease 2019 outbreak (2020) Open Forum Infectious Diseases, 7 (7); Medhat, W., Hassan, A., Korashy, H., Sentiment analysis algorithms and applications: A survey (2014) Ain Shams Engineering Journal, 5 (4), pp. 1093-1113; Messner, W., Payson, S.E., Contextual factors and the COVID-19 outbreak rate across U.S. counties in its initial phase (2021) Health Science Reports, 4 (1); Min, H., Peng, Y., Shoss, M., Yang, B., Using machine learning to investigate the public’s emotional responses to work from home during the COVID-19 pandemic (2021) Journal of Applied Psychology, 106 (2), pp. 214-229; Moon, E., Yang, M., Seon, Q., Linnaranta, O., Relevance of objective measures in psychiatric disorders—rest-activity rhythm and psychophysiological measures (2021) Current Psychiatry Reports, 23 (12), p. 85; Mozetič, I., Grčar, M., Smailović, J., Multilingual Twitter sentiment classification: The role of human annotators (2016) PLoS ONE, 11 (5); Muraoka, K., Sada, Y., Miyazaki, D., Chaikittisilp, W., Okubo, T., Linking synthesis and structure descriptors from a large collection of synthetic records of zeolite materials (2019) Nature Communications, 10 (1), p. 4459; Na, J., Kim, N., Suk, H.W., Choi, E., Choi, J.A., Kim, J.H., Kim, S., Choi, I., Individualism-collectivism during the COVID-19 pandemic: A field study testing the pathogen stress hypothesis of individualism-collectivism in Korea (2021) Personality and Individual Differences, 183; Naslund, J.A., Bondre, A., Torous, J., Aschbrenner, K.A., Social media and mental health: Benefits, risks, and opportunities for research and practice (2020) Journal of Technology in Behavioral Science, 5 (3), pp. 245-257; Nicomedes, C.J.C., Avila, R.M.A., An analysis on the panic during COVID-19 pandemic through an online form (2020) Journal of Affective Disorders, 276, pp. 14-22; Novembre, G., Zanon, M., Morrison, I., Ambron, E., Bodily sensations in social scenarios: Where in the body? (2019) PLoS ONE, 14 (6); Ostic, D., Qalati, S.A., Barbosa, B., Shah, S.M.M., Galvan Vela, E., Herzallah, A.M., Liu, F., Effects of social media use on psychological well-being: A mediated model (2021) Frontiers in Psychology, 12; Power, M.J., The structure of emotion: An empirical comparison of six models (2006) Cognition and Emotion, 20 (5), pp. 694-713; Pröllochs, N., Feuerriegel, S., Neumann, D., Statistical inferences for polarity identification in natural language (2018) PLoS ONE, 13 (12); Raghunathan, R., Corfman, K.P., Sadness as pleasure-seeking prime and anxiety as attentiveness prime: The “Different Affect-Different Effect" (DADE) model (2004) Motivation and Emotion, 28 (1), pp. 23-41; Raghupathi, V., Ren, J., Raghupathi, W., Studying public perception about vaccination: A sentiment analysis of Tweets (2020) International Journal of Environmental Research and Public Health, 17 (10). , &amp;, (,).,., (,)., https://doi.org/10.3390/ijerph17103464; Ranieri, J., Guerra, F., Martelli, A., Fanelli, V., Di Giacomo, D., Impact of cybersex and intensive Internet use on the well-being of Generation Z: An analysis based on the EPOCH model (2021) Journal of Technology in Behavioral Science, 6 (3), pp. 501-506; Ready, R.E., Åkerstedt, A.M., Mroczek, D.K., Emotional complexity and emotional well-being in older adults: Risks of high neuroticism (2012) Aging &amp; Mental Health, 16 (1), pp. 17-26; Reisenzein, R., Pleasure-arousal theory and the intensity of emotions (1994) Journal of Personality and Social Psychology, 67 (3), pp. 525-539; Rodríguez, F.M., Garza, S.E., Predicting emotional intensity in social networks (2019) Journal of Intelligent &amp; Fuzzy Systems, 36, pp. 4709-4719; Roh, T., Jeong, Y., Jang, H., Yoon, B., Technology opportunity discovery by structuring user needs based on natural language processing and machine learning (2019) PLoS ONE, 14 (10); Rubin, G.J., Wessely, S., The psychological effects of quarantining a city (2020) BMJ, 368; Russell, J.A., A circumplex model of affect (1980) Journal of Personality and Social Psychology, 39 (6), pp. 1161-1178; Sailunaz, K., Alhajj, R., Emotion and sentiment analysis from Twitter text (2019) Journal of Computational Science, 36; Salathé, M., Khandelwal, S., Assessing vaccination sentiments with online social media: Implications for infectious disease dynamics and control (2011) PLoS Computational Biology, 7 (10); Salgado, S., Kingo, O.S., How is physiological arousal related to self-reported measures of emotional intensity and valence of events and their autobiographical memories? (2019) Consciousness and Cognition, 75; Sasaki, Y., Rea, B., Ananiadou, S., Clinical text classification under the open and closed topic assumptions (2009) International Journal of Data Mining and Bioinformatics, 3 (3), pp. 299-313; ANEW+: Automatic expansion and validation of affective norms of words lexicons in multiple languages (2016) Proceedings of the Tenth International Conference on Language Resources and Evaluation (LREC'16), Portorož, Slovenia, , https://aclanthology.org/L16-1180; Shi, Y., Li, P., Yu, X., Wang, H., Niu, L., Evaluating doctor performance: Ordinal regression-based approach (2018) Journal of Medical Internet Research, 20 (7); User Development Report. Sina Weibo Reports. Retrieved November 10, 2021 (2020) From, , https://data.weibo.com/report/reportDetail?id=456; Sønderskov, K.M., Dinesen, P.T., Santini, Z.I., Østergaard, S.D., The depressive state of Denmark during the COVID-19 pandemic (2020) Acta Neuropsychiatrica, 32 (4), pp. 226-228; Sonnemans, J., Frijda, N.H., The structure of subjective emotional intensity (1994) Cognition and Emotion, 8 (4), pp. 329-350; Sonnemans, J., Frijda, N.H., The determinants of subjective emotional intensity (1995) Cognition and Emotion, 9 (5), pp. 483-506; Stone, P.J., Dunphy, D.C., Smith, M.S., (1966) The general inquirer: A computer approach to content analysis, , M.I.T. Press; Tavares, P., Barnard, P.J., Lawrence, A.D., Emotional complexity and the neural representation of emotion in motion (2011) Social Cognitive and Affective Neuroscience, 6 (1), pp. 98-108; Twenge, J.M., Joiner, T.E., U.S. census bureau-assessed prevalence of anxiety and depressive symptoms in 2019 and during the 2020 COVID-19 pandemic (2020) Depression and Anxiety, 37 (10), pp. 954-956; Wang, C., Pan, R., Wan, X., Tan, Y., Xu, L., Ho, C.S., Ho, R.C., Immediate psychological responses and associated factors during the initial stage of the 2019 coronavirus disease (COVID-19) pandemic among the general population in China (2020) International Journal of Environmental Research and Public Health, 17 (5). , https://doi.org/10.3390/ijerph17051729; Warriner, A.B., Kuperman, V., Brysbaert, M., Norms of valence, arousal, and dominance for 13,915 English lemmas (2013) Behavior Research Methods, 45 (4), pp. 1191-1207; Xiong, Y., Wang, Z., Jiang, D., Wang, X., Chen, Q., Xu, H., Yan, J., Tang, B., A fine-grained Chinese word segmentation and part-of-speech tagging corpus for clinical text (2019) BMC Medical Informatics and Decision Making, 19, p. 66; Xu, L., Li, L., Jiang, Z., Sun, Z., Wen, X., Shi, J., Sun, R., Qian, X., A novel emotion lexicon for Chinese emotional expression analysis on Weibo: Using grounded theory and semi-automatic methods (2021) IEEE Access, 9, pp. 92757-92768; Xu, L., Lin, H., Pan, Y., Ren, H., Chen, J., Constructing the affective lexicon ontology (2008) Journal of the China Society for Scientific and Technical Information, 27 (2), pp. 180-185; Xue, J., Chen, J., Hu, R., Chen, C., Zheng, C., Su, Y., Zhu, T., Twitter discussions and emotions about the COVID-19 pandemic: Machine learning approach (2020) Journal of Medical Internet Research, 22 (11); Yang, T., Xie, J., Li, G., Mou, N., Li, Z., Tian, C., Zhao, J., Social media big data mining and spatio-temporal analysis on public emotions for disaster mitigation (2019) ISPRS International Journal of Geo-Information, 8 (1). , &amp;, (,).,., (,)., https://doi.org/10.3390/ijgi8010029; Ye, Y., Long, T., Liu, C., Xu, D., The effect of emotion on prosocial tendency: The moderating effect of pandemic severity under the outbreak of COVID-19 (2020) Frontiers in Psychology, 11; Ye, Y., Xu, Y., Zhu, Y., Liang, J., Lan, T., Yu, M., The characteristics of moral emotions of Chinese netizens towards an anthropogenic hazard: A sentiment analysis on Weibo (2016) Acta Psychologica Sinica, 48 (3), pp. 290-304; You, J., Expert, P., Costelloe, C., Using text mining to track outbreak trends in global surveillance of emerging diseases: ProMED-mail (2021) Journal of the Royal Statistical Society: Series A (Statistics in Society), 184 (4), pp. 1245-1259; Zeng, R., Zhu, D., A model and simulation of the emotional contagion of netizens in the process of rumor refutation (2019) Scientific Reports, 9 (1), p. 14164; Zhang, Y., Yu, F., Which socio-economic indicators influence collective morality? Big data analysis on online Chinese social media (2018) Emerging Markets Finance and Trade, 54 (4), pp. 792-800; Zhao, D., Ding, R., Zhang, H., Zhang, N., Hu, L., Luo, W., Individualized prediction of females’ empathic concern from intrinsic brain activity within general network of state empathy (2021) Cognitive, Affective, &amp; Behavioral Neuroscience.; Zhu, J., Xu, C., Sina microblog sentiment in Beijing city parks as measure of demand for urban green space during the COVID-19 (2021) Urban Forestry &amp; Urban Greening, 58, p. 126913; Zhu, Y., Yan, E., Wang, F., Semantic relatedness and similarity of biomedical terms: Examining the effects of recency, size, and section of biomedical publications on the performance of word2vec (2017) BMC Medical Informatics and Decision Making, 17 (1), p. 95</t>
  </si>
  <si>
    <t>10461310</t>
  </si>
  <si>
    <t>Curr. Psychol.</t>
  </si>
  <si>
    <t>2-s2.0-85141170585</t>
  </si>
  <si>
    <t>Ocklenburg S., Packheiser J., Hidalgo-Gadea G.</t>
  </si>
  <si>
    <t>25957798200;57200313975;57223127453;</t>
  </si>
  <si>
    <t>10.1007/s12144-022-03051-9</t>
  </si>
  <si>
    <t>https://www.scopus.com/inward/record.uri?eid=2-s2.0-85127431050&amp;doi=10.1007%2fs12144-022-03051-9&amp;partnerID=40&amp;md5=1b838b4f9e03b8a1feed0e4abb9fccff</t>
  </si>
  <si>
    <t>Department of Psychology, MSH Medical School Hamburg, Am Kaiserkai 1, Hamburg, 20457, Germany; ICAN Institute for Cognitive and Affective Neuroscience, MSH Medical School Hamburg, Hamburg, Germany; Biopsychology, Institute of Cognitive Neuroscience, Faculty of Psychology, Ruhr University Bochum, Bochum, Germany; Social Brain Lab, Netherlands Institute for Neuroscience, Amsterdam, Netherlands</t>
  </si>
  <si>
    <t>Ocklenburg, S., Department of Psychology, MSH Medical School Hamburg, Am Kaiserkai 1, Hamburg, 20457, Germany, ICAN Institute for Cognitive and Affective Neuroscience, MSH Medical School Hamburg, Hamburg, Germany, Biopsychology, Institute of Cognitive Neuroscience, Faculty of Psychology, Ruhr University Bochum, Bochum, Germany; Packheiser, J., Social Brain Lab, Netherlands Institute for Neuroscience, Amsterdam, Netherlands; Hidalgo-Gadea, G., Biopsychology, Institute of Cognitive Neuroscience, Faculty of Psychology, Ruhr University Bochum, Bochum, Germany</t>
  </si>
  <si>
    <t>Social affective touch is an important aspect of close relationships in humans. It has been also observed in many non-human primate species. Despite the high relevance of behaviours like embraces for personal wellbeing and mental health, they remain vastly under-investigated in psychology. This may be because psychology often relies on a limited repertoire of behavioural measurements such as error rates and reaction time measurements. These are, however, insufficient to capture the multidimensional complexity of highly interactive dyadic behaviours like embraces. Based on recent advances in computational ethology in animal models, the rapidly emerging field of human computational ethology utilizes an accessible repertoire of machine learning methods to track and quantify complex natural behaviours. We highlight how such techniques can be utilized to investigate social touch and which preliminary conditions, motor aspects and higher-level interactions need to be considered. Ultimately, integration of computational ethology with mobile neuroscience techniques such as ultraportable EEG systems will allow for an ecologically valid investigation of social affective touch in humans that will advance psychological research of emotions. © 2022, The Author(s).</t>
  </si>
  <si>
    <t>Behavioural neuroscience; Computational ethology; Embracing; Hugging; Social touch</t>
  </si>
  <si>
    <t>Anderson, D.J., Perona, P., Toward a science of computational ethology (2014) Neuron, 84 (1), pp. 18-31; Berretz, G., Cebula, C., . Wortelmann, B.M., Papadopoulou, P., Wolf, O.T., . Ocklenburg, S., . Packheiser, J., (2021), https://doi.org/10.31234/osf.io/32bde, Romantic partner embraces reduce cortisol release after acute stress induction in women but not in men; Boulinguez-Ambroise, G., Pouydebat, E., Disarbois, É., Meguerditchian, A., Human-like maternal left-cradling bias in monkeys is altered by social pressure (2020) Scientific Reports, 10 (1), p. 11036; Brereton, J.E., Tuke, J., Fernandez, E.J., A simulated comparison of behavioural observation sampling methods (2022) Scientific Reports, 12 (1), p. 3096; Calhoun, A.J., Pillow, J.W., Murthy, M., Unsupervised identification of the internal states that shape natural behavior (2019) Nature Neuroscience, 22 (12), pp. 2040-2049; Cohen, S., Janicki-Deverts, D., Turner, R.B., Doyle, W.J., Does hugging provide stress-buffering social support? A study of susceptibility to upper respiratory infection and illness (2015) Psychological Science, 26 (2), pp. 135-147; Dreisoerner, A., Junker, N.M., Schlotz, W., Heimrich, J., Bloemeke, S., Ditzen, B., van Dick, R., Self-soothing touch and being hugged reduce cortisol responses to stress: A randomized controlled trial on stress, physical touch, and social identity (2021) Comprehensive Psychoneuroendocrinology, 8; Dueren, A.L., Vafeiadou, A., Edgar, C., Banissy, M.J., The influence of duration, arm crossing style, gender, and emotional closeness on hugging behaviour (2021) Acta Psychologica, 221; Dunn, T.W., Marshall, J.D., Severson, K.S., Aldarondo, D.E., Hildebrand, D.G.C., Chettih, S.N., Wang, W.L., Ölveczky, B.P., Geometric deep learning enables 3D kinematic profiling across species and environments (2021) Nature Methods, 18 (5), pp. 564-573; Dvořák, N., Chung, K., Mueller, K., Ku, P.-C., Ultrathin Tactile Sensors with Directional Sensitivity and a High Spatial Resolution (2021) Nano Letters, 21 (19), pp. 8304-8310; Forsell, L.M., Åström, J.A., Meanings of Hugging: From Greeting Behavior to Touching Implications (2012) Comprehensive Psychology, 1. , https://doi.org/10.2466/02.17.21.CP.1.13; Gimpl, G., Fahrenholz, F., The oxytocin receptor system: Structure, function, and regulation (2001) Physiological Reviews, 81 (2), pp. 629-683; Haim-Nachum, S., Sopp, M.R., Michael, T., Shamay-Tsoory, S., Levy-Gigi, E., No distance is too far between friends: Associations of comfortable interpersonal distance with PTSD and anxiety symptoms in Israeli firefighters (2021) European Journal of Psychotraumatology, 12 (1), p. 1899480; Hendriks, A.W., van Rijswijk, M., Omtzigt, D., Holding-side influences on infant's view of mother's face (2011) Laterality, 16 (6), pp. 641-655; Herdien, L., Malcolm-Smith, S., Pileggi, L.-A., Leftward cradling bias in males and its relation to autistic traits and lateralised emotion processing (2021) Brain and Cognition, 147; Hopkins, W.D., Laterality in Maternal Cradling and Infant Positional Biases: Implications for the Development and Evolution of Hand Preferences in Nonhuman Primates (2004) International Journal of Primatology, 25 (6), pp. 1243-1265; Hsu, A.I., Yttri, E.A., (2019), https://doi.org/10.1101/770271, An Open Source Unsupervised Algorithm for Identification and Fast Prediction of Behaviors; Jablonski, N.G., Social and affective touch in primates and its role in the evolution of social cohesion (2021) Neuroscience, 464, pp. 117-125; Karashchuk, P., Rupp, K.L., Dickinson, E.S., Walling-Bell, S., Sanders, E., Azim, E., Brunton, B.W., Tuthill, J.C., Anipose: A toolkit for robust markerless 3D pose estimation (2021) Cell Reports, 36 (13); Koshar, P., Knowles, M.L., Do Hugs and Their Constituent Components Reduce Self-Reported Anxiety, Stress, and Negative Affect? Psi Chi Journal of (2020) Psychological Research, 25 (2), pp. 181-191; Lauer, J., Zhou, M., Ye, S., Menegas, W., Nath, T., Rahman, M.M., Di Santo, V., Mackenzie, W., (2021), https://doi.org/10.1101/2021.04.30.442096, Mathis, A, Multi-animal pose estimation and tracking with DeepLabCut; Luxem, K., Fuhrmann, F., Kürsch, J., Remy, S., Bauer., P., (2020), https://doi.org/10.1101/2020.05.14.095430, Identifying Behavioral Structure from Deep Variational Embeddings of Animal Motion; Malatesta, G., Marzoli, D., Morelli, L., Pivetti, M., Tommasi, L., The Role of Ethnic Prejudice in the Modulation of Cradling Lateralization (2021) Journal of Nonverbal Behavior, 45 (2), pp. 187-205; Malatesta, G., Marzoli, D., Piccioni, C., Tommasi, L., The Relationship Between the Left-Cradling Bias and Attachment to Parents and Partner (2019) Evolutionary Psychology: An International Journal of Evolutionary Approaches to Psychology and Behavior, 17 (2); Malatesta, G., Marzoli, D., Prete, G., Tommasi, L., Human Lateralization, Maternal Effects and Neurodevelopmental Disorders (2021) Frontiers in Behavioral Neuroscience, 15; Malatesta, G., Marzoli, D., Rapino, M., Tommasi, L., The left-cradling bias and its relationship with empathy and depression (2019) Scientific Reports, 9 (1), p. 6141; Malatesta, G., Marzoli, D., Tommasi, L., Keep a Left Profile, Baby! The Left-Cradling Bias Is Associated with a Preference for Left-Facing Profiles of Human Babies (2020) Symmetry, 12 (6), p. 911; Marzoli, D., Lucafò, C., Rescigno, C., Mussini, E., Padulo, C., Prete, G., D'Anselmo, A., Tommasi, L., Sex-specific effects of posture on the attribution of handedness to an imagined agent (2017) Experimental Brain Research, 235 (4), pp. 1163-1171; Mathis, A., Mamidanna, P., Cury, K.M., Abe, T., Murthy, V.N., Mathis, M.W., Weygandt, M., Bethge, M., Deeplabcut: Markerless pose estimation of user-defined body parts with deep learning (2018) Nature Neuroscience, 21 (9), pp. 1281-1289; Mobbs, D., Wise, T., Suthana, N., Guzmán, N., Kriegeskorte, N., Leibo, J.Z., Promises and challenges of human computational ethology. Neuron (2021) Advance Online Publication, , https://doi.org/10.1016/j.neuron.2021.05.021; von Mohr, M., Kirsch, L.P., Fotopoulou, A., Social touch deprivation during COVID-19: Effects on psychological wellbeing and craving interpersonal touch (2021) Royal Society Open Science, 8 (9); Morgan, B., Hunt, X., Sieratzki, J., Woll, B., Tomlinson, M., Atypical maternal cradling laterality in an impoverished South African population (2019) Laterality, 24 (3), pp. 320-341; Murphy, M.L.M., Janicki-Deverts, D., Cohen, S., Receiving a hug is associated with the attenuation of negative mood that occurs on days with interpersonal conflict (2018) PloS One, 13 (10); Nagy, E., Sharing the moment: the duration of embraces in humans (2011) Journal of Ethology, 29 (2), pp. 389-393; Nava, E., Etzi, R., Gallace, A., Macchi Cassia, V., Socially-relevant Visual Stimulation Modulates Physiological Response to Affective Touch in Human Infants (2021) Neuroscience, 464, pp. 59-66; Ocklenburg, S., Packheiser, J., Schmitz, J., Rook, N., Güntürkün, O., Peterburs, J., Grimshaw, G.M., Hugs and kisses - The role of motor preferences and emotional lateralization for hemispheric asymmetries in human social touch (2018) Neuroscience and Biobehavioral Reviews, 95, pp. 353-360; Packheiser, J., Berretz, G., Rook, N., Bahr, C., Schockenhoff, L., Güntürkün, O., Ocklenburg, S., Investigating real-life emotions in romantic couples: A mobile EEG study (2021) Scientific Reports, 11 (1), p. 1142; (2021) The Association of Embracing with Daily Mood and General Life Satisfaction: An Ecological Momentary Assessment Study., , https://doi.org/10.31234/osf.io/rxbcv; Packheiser, J., Rook, N., Dursun, Z., Mesenhöller, J., Wenglorz, A., Güntürkün, O., Ocklenburg, S., Embracing your emotions: Affective state impacts lateralisation of human embraces (2019) Psychological Research, 83 (1), pp. 26-36; Packheiser, J., Schmitz, J., Berretz, G., Papadatou-Pastou, M., Ocklenburg, S., Handedness and sex effects on lateral biases in human cradling: Three meta-analyses (2019) Neuroscience and Biobehavioral Reviews, 104, pp. 30-42; Packheiser, J., Schmitz, J., Metzen, D., Reinke, P., Radtke, F., Friedrich, P., Güntürkün, O., Ocklenburg, S., Asymmetries in social touch-motor and emotional biases on lateral preferences in embracing, cradling and kissing (2020) Laterality, 25 (3), pp. 325-348; Pereira, T.D., Aldarondo, D.E., Willmore, L., Kislin, M., Wang, S.S.-H., Murthy, M., Shaevitz, J.W., Fast animal pose estimation using deep neural networks (2019) Nature Methods, 16 (1), pp. 117-125; Prince, E.B., Ciptadi, A., Tao, Y., Rozga, A., Martin, K.B., Rehg, J., Messinger, D.S., Continuous measurement of attachment behavior: A multimodal view of the strange situation procedure (2021) Infant Behavior &amp; Development, 63; Reissland, N., Hopkins, B., Helms, P., Williams, B., Maternal stress and depression and the lateralisation of infant cradling (2009) Journal of Child Psychology and Psychiatry, and Allied Disciplines, 50 (3), pp. 263-269; Rogers-Jarrell, T., Eswaran, A., Meisner, B.A., Extend an Embrace: The Availability of Hugs Is an Associate of Higher Self-Rated Health in Later Life (2021) Research on Aging, 43 (5-6), pp. 227-236; Saling, M.M., Cooke, W.-L., Cradling and Transport of Infants by South African Mothers: A Cross-Cultural Study (1984) Current Anthropology, 25 (3), pp. 333-335; Salk, L., The effects of the normal heartbeat sound on the behaviour of the newborn infant: Implications for mental health (1960) World Mental Health, 12, pp. 168-175; Schaefer, M., Heinze, H.-J., Rotte, M., Touch and personality: Extraversion predicts somatosensory brain response (2012) NeuroImage, 62 (1), pp. 432-438; Affective Interpersonal Touch in Close Relationships: A Cross-Cultural Perspective (2021) Personality &amp; Social Psychology Bulletin, , https://doi.org/10.1177/0146167220988373; Sun, R., Huang, C., Zhu, H., Ma, L., Mask-aware photorealistic facial attribute manipulation (2021) Computational Visual Media, 7 (3), pp. 363-374; Suvilehto, J.T., Glerean, E., Dunbar, R.I.M., Hari, R., Nummenmaa, L., Topography of social touching depends on emotional bonds between humans (2015) Proceedings of the National Academy of Sciences of the United States of America, 112 (45), pp. 13811-13816; Thiebaut, G., Méot, A., Witt, A., Prokop, P., Bonin, P., "Touch Me If You Can!": Individual Differences in Disease Avoidance and Social Touch (2021) Evolutionary Psychology: An International Journal of Evolutionary Approaches to Psychology and Behavior, 19 (4); Trotter, P., Belovol, E., McGlone, F., Varlamov, A., Validation and psychometric properties of the Russian version of the Touch Experiences and Attitudes Questionnaire (TEAQ-37 Rus) (2018) PloS One, 13 (12); Turnbull, O.H., Stein, L., Lucas, M.D., Lateral Preferences in Adult Embracing: A Test of the “Hemispheric Asymmetry” Theory of Infant Cradling (1995) The Journal of Genetic Psychology, 156 (1), pp. 17-21; Vauclair, J., Maternal cradling bias: A marker of the nature of the mother-infant relationship (2022) Infant Behavior &amp; Development, 66; Willis, F.N., Dodds, R.A., Age, relationship, and touch initiation (1998) The Journal of Social Psychology, 138 (1), pp. 115-123; Yoshida, S., Funato, H., Physical contact in parent-infant relationship and its effect on fostering a feeling of safety (2021) IScience, 24 (7)</t>
  </si>
  <si>
    <t>2-s2.0-85127431050</t>
  </si>
  <si>
    <t>Social touch in the age of computational ethology: embracing as a multidimensional and complex behaviour</t>
  </si>
  <si>
    <t>Kawashima I., Takahashi T., Kikai T., Sugiyama F., Kumano H.</t>
  </si>
  <si>
    <t>57194230349;57205557563;57206239431;57206255447;7007128301;</t>
  </si>
  <si>
    <t>A Method of Measuring the Ability of Disengagement From Mind-Wandering Using Electroencephalogram and Its Relationship to Mindfulness and Depressive Symptoms</t>
  </si>
  <si>
    <t>Psychology and Neuroscience</t>
  </si>
  <si>
    <t>10.1037/pne0000285</t>
  </si>
  <si>
    <t>https://www.scopus.com/inward/record.uri?eid=2-s2.0-85125090671&amp;doi=10.1037%2fpne0000285&amp;partnerID=40&amp;md5=cbfad075f5241401e0b4cd350dd1ed42</t>
  </si>
  <si>
    <t>ATR Brain Information Communication Research Laboratory Group, Kyoto, Japan; Faculty of Human Sciences, Waseda University, Japan; Faculty of Psychology, Mejiro University, Japan; Faculty of Human Studies, Bunkyo Gakuin University, Japan</t>
  </si>
  <si>
    <t>Kawashima, I., ATR Brain Information Communication Research Laboratory Group, Kyoto, Japan; Takahashi, T., Faculty of Human Sciences, Waseda University, Japan; Kikai, T., Faculty of Psychology, Mejiro University, Japan; Sugiyama, F., Faculty of Human Studies, Bunkyo Gakuin University, Japan; Kumano, H., Faculty of Human Sciences, Waseda University, Japan</t>
  </si>
  <si>
    <t>Objective: Mindfulness meditation might improve the ability of disengagement from mind-wandering (MW), that is, the ability to shift attention from MW. Disengagement from MW could mediate the relationship between mindfulness and reduced depression. However, no studies have confirmed this relationship because of limitations in measurement methodology. Since the mindfulness-based intervention, which instructs participants to be aware of the occurrence of, and their own engagement in,MW, might bias self-reports of MW, a measurement method that does not rely on participants’ verbal report is needed. Therefore, we propose a novel method to evaluate the ability of disengagement from MW, based on MW intensity estimation by machine-learning using electroencephalography. Method: Mind-wandering (MW) intensity was estimated using 1-s electroencephalogram samples and a machine-learning model developed in previous research. Thus, fluctuations in MW were observed during a 14-min meditation and the time required to shift attention fromMWwas defined as an index of MWdisengagement. Two experiments were performed: The first targeted experienced meditators and the second assessed nonmeditators before and after participating in a mindfulness-based intervention. Results: The experiments revealed that disengagement from MW correlated with the extent of meditation experience. A correlation was also found between the magnitude of change in disengagement and severity of depression following the intervention. Conclusions: Though further verification of validity is required, this study suggested the possibility that disengagement from MW has a mediating function on reducing depression by mindfulness-based intervention, and that improved disengagement from MW is more essential for mindfulness than trait MW. © 2022 American Psychological Association</t>
  </si>
  <si>
    <t>Depression; Electroencephalogram; Mind-wandering; Mindfulness</t>
  </si>
  <si>
    <t>Ainsworth, B., Eddershaw, R., Meron, D., Baldwin, D. S., Garner, M., The effect of focused attention and open monitoring meditation on attention network function in healthy volunteers (2013) Psychiatry Research, 210 (3), pp. 1226-1231. , https://doi.org/10.1016/j.psychres.2013.09.002; Cheyne, J., Solman, G. J. F., Carriere, J. S. A., Smilek, D., Anatomy of an error: A bidirectional state model of task engagement/disengagement and attention-related errors (2009) Cognition, 111 (1), pp. 98-113. , https://doi.org/10.1016/j.cognition.2008.12.009; Alsubaie, M., Abbott, R., Dunn, B., Dickens, C., Keil, T. F., Henley, W., Kuyken, W., Mechanisms of action in mindfulness-based cognitive therapy (MBCT) and mindfulness-based stress reduction (MBSR) in people with physical and/or psychological conditions: A systematic review (2017) Clinical Psychology Review, 55, pp. 74-91. , https://doi.org/10.1016/j.cpr.2017.04.008; Baer, R. A., Smith, G. T., Hopkins, J., Krietemeyer, J., Toney, L., Using self-report assessment methods to explore facets of mindfulness (2006) Assessment, 13 (1), pp. 27-45. , https://doi.org/10.1177/1073191105283504; Beck, A. T., Steer, R. A., Brown, G. K., (1996) Manual for the beck depression inventory-II, , Psychological Corporation; Bennike, I. H., Wieghorst, A., Kirk, U., Online-based mindfulness training reduces behavioral markers of mind wandering (2017) Journal of Cognitive Enhancement: Towards the Integration of Theory and Practice, 1 (2), pp. 172-181. , https://doi.org/10.1007/s41465-017-0020-9; Brewer, J. A., Worhunsky, P. D., Gray, J. R., Tang, Y. Y., Weber, J., Kober, H., Meditation experience is associated with differences in default mode network activity and connectivity (2011) Proceedings of the National Academy of Sciences of the United States of America, 108 (50), pp. 20254-20259. , https://doi.org/10.1073/pnas.1112029108; Burg, J. M., Michalak, J., The healthy quality of mindful breathing: Associations with rumination and depression (2010) Cognitive Therapy and Research, 35 (2), pp. 179-185. , https://doi.org/10.1007/s10608-010-9343-x; Carden˜a, E., Sjöstedt, J. O. A., Marcusson-Clavertz, D., Sustained attention and motivation in zen meditators and non-meditators (2015) Mindfulness, 6 (5), pp. 1082-1087. , https://doi.org/10.1007/s12671-014-0357-4; Cheyne, J. A., Carriere, J. S. A., Smilek, D., Absent-mindedness: Lapses of conscious awareness and everyday cognitive failures (2006) Consciousness and Cognition, 15 (3), pp. 578-592. , https://doi.org/10.1016/j.concog.2005.11.009; Chiesa, A., Calati, R., Serretti, A., Does mindfulness training improve cognitive abilities? A systematic review of neuropsychological findings (2011) Clinical Psychology Review, 31 (3), pp. 449-464. , https://doi.org/10.1016/j.cpr.2010.11.003; Cunningham, S., Scerbo, M. W., Freeman, F. G., The electrocortical correlates of daydreaming during vigilance tasks (2000) Journal of Mental Imagery, 24 (1–2), pp. 61-72; Hasenkamp, W., Barsalou, L. W., Effects of meditation experience on functional connectivity of distributed brain networks (2012) Frontiers in Human Neuroscience, 6, p. 38. , https://doi.org/10.3389/fnhum.2012.00038, Article; Hoffmann, F., Banzhaf, C., Kanske, P., Bermpohl, F., Singer, T., Where the depressed mind wanders: Self-generated thought patterns as assessed through experience sampling as a state marker of depression (2016) Journal of Affective Disorders, 198, pp. 127-134. , https://doi.org/10.1016/j.jad.2016.03.005; Imai, S., Kumano, H., Imai, C., Nedate, K., Subjective aspects of voluntary attention control and its relation to depression and anxiety (2015) Japanese Journal of Cognitive Therapy, 8, pp. 85-95; Jha, A. P., Krompinger, J., Baime, M. J., (2007) Mindfulness training modifies subsystems of; Cognitive, Affective &amp; Behavioral Neuro-science, 7 (2), pp. 109-119. , https://doi.org/10.3758/CABN.7.2.109; Kabat-Zinn, J., Mindfulness (2015) Mindfulness, 6 (6), pp. 1481-1483. , https://doi.org/10.1007/s12671-015-0456-x; Kawashima, I., Kumano, H., Prediction of mind-wandering with electroencephalogram and non-linear regression modeling (2017) Frontiers in Human Neuroscience, 11, p. 365. , https://doi.org/10.3389/fnhum.2017.00365, Article; Khoury, B., Knäuper, B., Schlosser, M., Carrière, K., Chiesa, A., Effectiveness of traditional meditation retreats: A systematic review and meta-analysis (2017) Journal of Psychosomatic Research, 92, pp. 16-25. , https://doi.org/10.1016/j.jpsychores.2016.11.006; Khoury, B., Lecomte, T., Fortin, G., Masse, M., Therien, P., Bouchard, V., Chapleau, M.-A., Hofmann, S. G., Mindfulness-based therapy: A comprehensive meta-analysis (2013) Clinical Psychology Review, 33 (6), pp. 763-771. , https://doi.org/10.1016/j.cpr.2013.05.005; Killingsworth, M. A., Gilbert, D. T., A wandering mind is an unhappy mind (2010) Science, 330 (6006), p. 932. , https://doi.org/10.1126/science.1192439, Article; Krimsky, M., Forster, D. E., Llabre, M. M., Jha, A. P., The influence of time on task on mind wandering and visual working memory (2017) Cognition, 169, pp. 84-90. , https://doi.org/10.1016/j.cognition.2017.08.006; Marcusson-Clavertz, D., Carden˜a, E., Terhune, D. B., Daydreaming style moderates the relation between working memory and mind wandering: Integrating two hypotheses (2016) Journal of Experimental Psychology: Learning, Memory, and Cognition, 42 (3), pp. 451-464. , https://doi.org/10.1037/xlm0000180; Menon, V., Large-scale brain networks and psychopathology: A unifying triple network model (2011) Trends in Cognitive Sciences, 15 (10), pp. 483-506. , https://doi.org/10.1016/j.tics.2011.08.003; Morrison, A. B., Goolsarran, M., Rogers, S. L., Jha, A. P., Taming a wandering attention: Short-form mindfulness training in student cohorts (2014) Frontiers in Human Neuroscience, 7, p. 897. , https://doi.org/10.3389/fnhum.2013.00897, Article; Mrazek, M. D., Franklin, M. S., Phillips, D. T., Baird, B., Schooler, J. W., Mindfulness training improves working memory capacity and GRE performance while reducing mind wandering (2013) Psychological Science, 24 (5), pp. 776-781. , https://doi.org/10.1177/0956797612459659; Mrazek, M. D., Phillips, D. T., Franklin, M. S., Broadway, J. M., Schooler, J. W., (2013) Young and restless: Validation of the Mind-Wandering Questionnaire (MWQ) reveals disruptive impact; of mind-wandering for youth Frontiers in Psychology, 4, p. 560. , https://doi.org/10.3389/fpsyg.2013.00560, Article; Mrazek, M. D., Smallwood, J., Schooler, J. W., Mindfulness and mind-wandering: Finding convergence through opposing constructs (2012) Emotion, 12 (3), pp. 442-448. , https://doi.org/10.1037/a0026678; Ottaviani, C, Couyoumdjian, A., Pros and cons of a wandering mind: A prospective study (2013) Frontiers in Psychology, 4, p. 524. , https://doi.org/10.3389/fpsyg.2013.00524, Article; Rahl, H. A., Lindsay, E. K., Pacilio, L. E., Brown, K. W., Creswell, J. D., Brief mindfulness meditation training reduces mind wandering: The critical role of acceptance (2017) Emotion, 17 (2), pp. 224-230. , https://doi.org/10.1037/emo0000250; Raichle, M. E., MacLeod, A. M., Snyder, A. Z., Powers, W. J., Gusnard, D. A., Shulman, G. L., A default mode of brain function (2001) Proceedings of the National Academy of Sciences of the United States of America, 98 (2), pp. 676-682. , https://doi.org/10.1073/pnas.98.2.676; Robertson, I. H., Manly, T., Andrade, J., Baddeley, B. T., Yiend, J., “Oops!”: Performance correlates of everyday attentional failures in traumatic brain injured and normal subjects (1997) Neurop-sychologia, 35 (6), pp. 747-758. , https://doi.org/10.1016/S0028-3932(97)00015-8; Ruby, F. J. M., Smallwood, J., Engen, H., Singer, T., How self-generated thought shapes mood— The relation between mind-wandering and mood depends on the socio-temporal content of thoughts (2013) PLOS ONE, 8 (10), p. e77554. , https://doi.org/10.1371/journal.pone.0077554, Article; Schooler, J. W., Smallwood, J., Christoff, K., Handy, T. C, Reichle, E. D., Sayette, M. A., Meta-awareness, perceptual decoupling and the wandering mind (2011) Trends in Cognitive Sciences, 15 (7), pp. 319-326. , https://doi.org/10.1016/j.tics.2011.05.006; Seeley, W. W., Menon, V., Schatzberg, A. F., Keller, J., Glover, G. H., Kenna, H., Reiss, A. L., Greicius, M. D., Dissociable intrinsic connectivity networks for salience processing and executive control (2007) The Journal of Neuroscience: The Official Journal of the Society for Neuroscience, 27 (9), pp. 2349-2356. , https://doi.org/10.1523/JNEUROSCI.5587-06.2007; Segal, Z. V., Williams, J. M. G, Teasdale, J. D., (2002) Mindfulness-based cognitive therapy for depression, , (2nd ed). The Gilford Press; Seli, P., The attention-lapse and motor decoupling accounts of SART performance are not mutually exclusive (2016) Consciousness and Cognition, 41, pp. 189-198. , https://doi.org/10.1016/j.concog.2016.02.017; Seli, P., Risko, E. F., Smilek, D., (2016) Assessing the associations among trait and state levels of; deliberate and spontaneous mind wandering Consciousness and Cognition, 41, pp. 50-56. , https://doi.org/10.1016/j.concog.2016.02.002; Smallwood, J., O’Connor, R. C., Sudbery, M. V., Obonsawin, M., Mind-wandering and dys-phoria (2007) Cognition and Emotion, 21 (4), pp. 816-842. , https://doi.org/10.1080/02699930600911531; Smallwood, J., Schooler, J. W., The restless mind (2006) Psychological Bulletin, 132 (6), pp. 946-958. , https://doi.org/10.1037/0033-2909.132.6.946; Sugiura, Y., Sato, A., Ito, Y., Murakami, H., Development and validation of the Japanese version of the Five Facet Mindfulness Questionnaire (2012) Mind-fulness, 3 (2), pp. 85-94. , https://doi.org/10.1007/s12671-011-0082-1; Takahashi, T., Kikai, T., Sugiyama, F., Kawashima, I., Kuroda, A., Usui, K., Maeda, W., Kumano, H., Changes in mind-wandering and cognitive fusion through mindfulness group therapy for depression and anxiety (2020) Journal of Cognitive Psychotherapy, 34 (2), pp. 162-176. , https://doi.org/10.1891/JCPSY-D-19-00015; Takahashi, T., Sugiyama, F., Kikai, T., Kawashima, I., Guan, S., Oguchi, M., Uchida, T., Kumano, H., Changes in depression and anxiety through mindfulness group therapy in Japan: The role of mindfulness and self-compassion as possible mediators (2019) BioPsychoSocial Medicine, 13 (1), p. 4. , https://doi.org/10.1186/s13030-019-0145-4, Article; Tang, Y. Y., Rothbart, M. K., Posner, M. I., Neural correlates of establishing, maintaining, and switching brain states (2012) Trends in Cognitive Sciences, 16 (6), pp. 330-337. , https://doi.org/10.1016/j.tics.2012.05.001; Tibshirani, R., Saunders, M., Rosset, S., Zhu, J., Knight, K., Sparsity and smoothness via the fused lasso (2005) Journal of the Royal Statistical Society. Series B, Statistical Methodology, 67 (1), pp. 91-108. , https://doi.org/10.1111/j.1467-9868.2005.00490.x; Vago, D. R., Zeidan, F., The brain on silent: Mind wandering, mindful awareness, and states of mental tranquility (2016) Annals of the New York Academy of Sciences, 1373 (1), pp. 96-113. , https://doi.org/10.1111/nyas.13171; van Vugt, M. K., Broers, N., Self-reported stickiness of mind-wandering affects task performance (2016) Frontiers in Psychology, 7, p. 732. , https://doi.org/10.3389/fpsyg.2016.00732, Article; Voss, M. J., Zukosky, M., Wang, R. F., A new approach to differentiate states of mind wandering: Effects of working memory capacity (2018) Cognition, 179, pp. 202-212. , https://doi.org/10.1016/j.cognition.2018.05.013; Wang, Y., Xu, W., Zhuang, C., Liu, X., Does mind wandering mediate the association between mindfulness and negative mood? A preliminary study (2017) Psychological Reports, 120 (1), pp. 118-129. , https://doi.org/10.1177/0033294116686036; Weinstein, Y., Mind-wandering, how do I measure thee with probes? Let me count the ways (2018) Behavior Research Methods, 50 (2), pp. 642-661. , https://doi.org/10.3758/s13428-017-0891-9; Xu, M., Purdon, C., Seli, P., Smilek, D., Mindfulness and mind wandering: The protective effects of brief meditation in anxious individuals (2017) Consciousness and Cognition, 51, pp. 157-165. , https://doi.org/10.1016/j.concog.2017.03.009; Zanesco, A. P., King, B. G., MacLean, K. A., Jacobs, T. L., Aichele, S. R., Wallace, B. A., Smallwood, J., Saron, C. D., Meditation training influences mind wandering and mindless reading (2016) Psychology of Consciousness, 3 (1), pp. 12-33. , https://doi.org/10.1037/cns0000082; Zukosky, M., Wang, R. F., Spontaneous state alternations in the time course of mind wandering (2021) Cognition, 212, p. 104689. , https://doi.org/10.1016/j.cognition.2021.104689, Article</t>
  </si>
  <si>
    <t>19843054</t>
  </si>
  <si>
    <t>Psychol. Neurosci.</t>
  </si>
  <si>
    <t>2-s2.0-85125090671</t>
  </si>
  <si>
    <t>A method of measuring the ability of disengagement from mind-wandering using electroencephalogram and its relationship to mindfulness and depressive symptoms</t>
  </si>
  <si>
    <t>de Girolamo G., Ferrari C., Candini V., Buizza C., Calamandrei G., Caserotti M., Gavaruzzi T., Girardi P., Habersaat K.B., Lotto L., Scherzer M., Starace F., Tasso A., Zamparini M., Zarbo C.</t>
  </si>
  <si>
    <t>7004586737;57866310100;55735911200;6701546245;7004291951;57193908518;35956034600;56219662900;55825292400;6602243856;57217314169;7004624219;6508177597;57224910956;55848151600;</t>
  </si>
  <si>
    <t>Psychological well-being during the COVID-19 pandemic in Italy assessed in a four-waves survey</t>
  </si>
  <si>
    <t>17945</t>
  </si>
  <si>
    <t>10.1038/s41598-022-22994-4</t>
  </si>
  <si>
    <t>https://www.scopus.com/inward/record.uri?eid=2-s2.0-85140608713&amp;doi=10.1038%2fs41598-022-22994-4&amp;partnerID=40&amp;md5=385a5b2174c2f90fd870223e9e42c341</t>
  </si>
  <si>
    <t>Psychiatric Epidemiology and Evaluation Unit, IRCCS Istituto Centro San Giovanni Di Dio Fatebenefratelli, Via Pilastroni 4, Brescia, 25125, Italy; Service of Statistics, IRCCS Istituto Centro San Giovanni Di Dio Fatebenefratelli, Brescia, Italy; Centre for Behavioral Science and Mental Health, Istituto Superiore Di Sanità, Roma, Italy; Department of Developmental Psychology and Socialization, University of Padova, Padova, Italy; Department of Statistical Sciences, University of Padova, Padova, Italy; World Health Organization, Regional Office for Europe, Copenhagen, Denmark; Department of Mental Health and Drug Abuse, AUSL Modena, Modena, Italy; Department of Humanities, University of Ferrara, Ferrara, Italy</t>
  </si>
  <si>
    <t>de Girolamo, G., Psychiatric Epidemiology and Evaluation Unit, IRCCS Istituto Centro San Giovanni Di Dio Fatebenefratelli, Via Pilastroni 4, Brescia, 25125, Italy; Ferrari, C., Service of Statistics, IRCCS Istituto Centro San Giovanni Di Dio Fatebenefratelli, Brescia, Italy; Candini, V., Psychiatric Epidemiology and Evaluation Unit, IRCCS Istituto Centro San Giovanni Di Dio Fatebenefratelli, Via Pilastroni 4, Brescia, 25125, Italy; Buizza, C., Psychiatric Epidemiology and Evaluation Unit, IRCCS Istituto Centro San Giovanni Di Dio Fatebenefratelli, Via Pilastroni 4, Brescia, 25125, Italy; Calamandrei, G., Centre for Behavioral Science and Mental Health, Istituto Superiore Di Sanità, Roma, Italy; Caserotti, M., Department of Developmental Psychology and Socialization, University of Padova, Padova, Italy; Gavaruzzi, T., Department of Developmental Psychology and Socialization, University of Padova, Padova, Italy; Girardi, P., Department of Developmental Psychology and Socialization, University of Padova, Padova, Italy, Department of Statistical Sciences, University of Padova, Padova, Italy; Habersaat, K.B., World Health Organization, Regional Office for Europe, Copenhagen, Denmark; Lotto, L., Department of Developmental Psychology and Socialization, University of Padova, Padova, Italy; Scherzer, M., World Health Organization, Regional Office for Europe, Copenhagen, Denmark; Starace, F., Department of Mental Health and Drug Abuse, AUSL Modena, Modena, Italy; Tasso, A., Department of Humanities, University of Ferrara, Ferrara, Italy; Zamparini, M., Psychiatric Epidemiology and Evaluation Unit, IRCCS Istituto Centro San Giovanni Di Dio Fatebenefratelli, Via Pilastroni 4, Brescia, 25125, Italy; Zarbo, C., Psychiatric Epidemiology and Evaluation Unit, IRCCS Istituto Centro San Giovanni Di Dio Fatebenefratelli, Via Pilastroni 4, Brescia, 25125, Italy</t>
  </si>
  <si>
    <t>COVID-19 pandemic had a negative impact on the mental health and well-being (WB) of citizens. This cross-sectional study included 4 waves of data collection aimed at identifying profiles of individuals with different levels of WB. The study included a representative stratified sample of 10,013 respondents in Italy. The WHO 5-item well-being scale (WHO-5) was used for the assessment of WB. Different supervised machine learning approaches (multinomial logistic regression, partial least-square discriminant analysis—PLS-DA—, classification tree—CT—) were applied to identify individual characteristics with different WB scores, first in waves 1–2 and, subsequently, in waves 3 and 4. Forty-one percent of participants reported “Good WB”, 30% “Poor WB”, and 28% “Depression”. Findings carried out using multinomial logistic regression show that Resilience was the most important variable able for discriminating the WB across all waves. Through the PLS-DA, Increased Unhealthy Behaviours proved to be the more important feature in the first two waves, while Financial Situation gained most relevance in the last two. COVID-19 Perceived Risk was relevant, but less than the other variables, across all waves. Interestingly, using the CT we were able to establish a cut-off for Resilience (equal to 4.5) that discriminated good WB with a probability of 65% in wave 4. Concluding, we found that COVID-19 had negative implications for WB. Governments should support evidence-based strategies considering factors that influence WB (i.e., Resilience, Perceived Risk, Healthy Behaviours, and Financial Situation). © 2022, The Author(s).</t>
  </si>
  <si>
    <t>cross-sectional study; epidemiology; human; Italy; mental health; pandemic; questionnaire; COVID-19; Cross-Sectional Studies; Humans; Italy; Mental Health; Pandemics; Surveys and Questionnaires</t>
  </si>
  <si>
    <t>Xiong, J., Impact of COVID-19 pandemic on mental health in the general population: A systematic review (2020) J. Affect. Disord., 277, pp. 55-64; Li, H.Y., Cao, H., Leung, D.Y.P., Mak, Y.W., The psychological impacts of a COVID-19 outbreak on college students in China: A longitudinal study (2020) Int. J. Environ. Res. Public Health; Daly, M., Sutin, A.R., Robinson, E., Longitudinal changes in mental health and the COVID-19 pandemic: Evidence from the UK Household Longitudinal Study (2020) Psychol. Med.; Dawel, A., The effect of COVID-19 on mental health and wellbeing in a representative sample of Australian adults (2020) Front. Psychiatry, 11; Galea, S., Merchant, R.M., Lurie, N., The mental health consequences of COVID-19 and physical distancing: The need for prevention and early intervention (2020) JAMA Intern. Med., 180, pp. 817-818; Pieh, C., Budimir, S., Probst, T., The effect of age, gender, income, work, and physical activity on mental health during coronavirus disease (COVID-19) lockdown in Austria (2020) J. Psychosom. Res., 136; Lai, J., Factors associated with mental health outcomes among health care workers exposed to coronavirus disease 2019 (2020) JAMA Netw. Open, 3; Qiu, J., A nationwide survey of psychological distress among Chinese people in the COVID-19 epidemic: Implications and policy recommendations (2020) Gen. Psychiatr.; Iasevoli, F., Psychological distress in patients with serious mental illness during the COVID-19 outbreak and one-month mass quarantine in Italy (2021) Psychol. Med., 51, pp. 1054-1056; Epidemia COVID-19 (2021) Aggiornamento Nazionale: 6 Ottobre, p. 2021; Gloster, A.T., Impact of COVID-19 pandemic on mental health: An international study (2020) PLoS ONE, 15. , COI: 1:CAS:528:DC%2BB3MXhtFCmtLY%3D, PID: 33382859; Signorelli, C., Scognamiglio, T., Odone, A., COVID-19 in Italy: Impact of containment measures and prevalence estimates of infection in the general population (2020) Acta Bio Medica: Atenei Parmensis, 91, p. 175; Rossi, R., Mental health outcomes among healthcare workers and the general population during the COVID-19 in Italy (2020) Front. Psychol., 11. , eCollection 2020; Zarbo, C., COVID-19 Vaccine Hesitancy in Italy: Predictors of acceptance, fence sitting and refusal of the COVID-19 vaccination (2022) Front. Public Health, 10, p. 873098. , PID: 35570888; Caserotti, M., Who is likely to vacillate in their COVID-19 vaccination decision? Free-riding intention and post-positive reluctance (2021) Prev. Med., 154; Smith, B.W., The brief resilience scale: Assessing the ability to bounce back (2008) Int. J. Behav. Med., 15, pp. 194-200; Bech, P., Gudex, C., Johansen, K.S., The WHO (Ten) well-being index: Validation in diabetes (1996) Psychother. Psychosom., 65, pp. 183-190; Topp, C.W., Østergaard, S.D., Søndergaard, S., Bech, P., The WHO-5 well-being index: A systematic review of the literature (2015) Psychother. Psychosom., 84, pp. 167-176; Omani-Samani, R., Maroufizadeh, S., Almasi-Hashiani, A., Sepidarkish, M., Amini, P., The WHO-5 well-being index: A validation study in people with infertility (2019) Iran. J. Public Health, 48, pp. 2058-2064. , PID: 31970105; Boulesteix, A.L., Strimmer, K., Partial least squares: A versatile tool for the analysis of high-dimensional genomic data (2007) Br. Bioinform., 8, pp. 32-44; Rokach, L., Maimon, O.Z., (2007) Data Mining with Decision Trees: Theory and Applications, 69. , World Scientific; James, G., Witten, D., Hastie, T., Tibshirani, R., (2013) An Introduction to Statistical Learning, 112. , Springer; Every-Palmer, S., Psychological distress, anxiety, family violence, suicidality, and wellbeing in New Zealand during the COVID-19 lockdown: A cross-sectional study (2020) PLoS ONE, 15; Wilke, J., Drastic reductions in mental well-being observed globally during the COVID-19 pandemic: Results from the ASAP survey (2021) Front. Med. (Lausanne), 8, p. 578959; Fioravanti, G., Benucci, S.B., Prostamo, A., Banchi, V., Casale, S., Effects of the COVID-19 pandemic on psychological health in a sample of Italian adults: A three-wave longitudinal study (2022) Psychiatry Res., 315. , PID: 35809495; Lijadi, A.A., Theoretical foundations to outline human well-being: Metaanalytic literature review for defining empowered life years (2018) IIASA Working Paper; Krishnamoorthy, Y., Nagarajan, R., Saya, G.K., Menon, V., Prevalence of psychological morbidities among general population, healthcare workers and COVID-19 patients amidst the COVID-19 pandemic: A systematic review and meta-analysis (2020) J. Psychiatry Res., 293. , COI: 1:CAS:528:DC%2BB3cXhs1GjsbrJ; Salari, N., Prevalence of stress, anxiety, depression among the general population during the COVID-19 pandemic: A systematic review and meta-analysis (2020) Global Health, 16, p. 57; Liu, X., Public mental health problems during COVID-19 pandemic: A large-scale meta-analysis of the evidence (2021) Transl. Psychiatry, 11, p. 384; Luo, M., Guo, L., Yu, M., Jiang, W., Wang, H., The psychological and mental impact of coronavirus disease 2019 (COVID-19) on medical staff and general public—A systematic review and meta-analysis (2020) Psychiatry Res., 291; Prati, G., Mancini, A.D., The psychological impact of COVID-19 pandemic lockdowns: A review and meta-analysis of longitudinal studies and natural experiments (2021) Psychol. Med., 51, pp. 201-211; Morin, C.M., Insomnia, anxiety, and depression during the COVID-19 pandemic: An international collaborative study (2021) Sleep Med., 87, pp. 38-45. , PID: 34508986; Gori, A., Topino, E., Across the COVID-19 waves; Assessing temporal fluctuations in perceived stress, post-traumatic symptoms, worry, anxiety and civic moral disengagement over one year of pandemic (2021) Int. J. Environ. Res. Public Health, 18, p. 5651. , COI: 1:CAS:528:DC%2BB3MXhvV2jt7nP, PID: 34070478; Villani, L., Impact of the COVID-19 pandemic on psychological well-being of students in an Italian university: A web-based cross-sectional survey (2021) Glob. Health, 17, pp. 1-14; Amendola, S., Spensieri, V., Hengartner, M.P., Cerutti, R., Mental health of Italian adults during COVID-19 pandemic (2021) Br. J. Health. Psychol., 26, pp. 644-656. , PID: 33410243; Prati, G., Mental health and its psychosocial predictors during national quarantine in Italy against the coronavirus disease 2019 (COVID-19) (2021) Anxiety Stress Coping, 34, pp. 145-156. , PID: 33350343; Fiorillo, A., Effects of the lockdown on the mental health of the general population during the COVID-19 pandemic in Italy: Results from the COMET collaborative network (2020) Eur. Psychiatry, 63. , PID: 32981568; Mannarini, T., The potential of psychological connectedness: Mitigating the impacts of COVID-19 through sense of community and community resilience (2022) J. Community Psychol., 50, pp. 2273-2289. , PID: 34913170; Richardson, G.E., The metatheory of resilience and resiliency (2002) J. Clin. Psychol., 58, pp. 307-321; Vinkers, C.H., Stress resilience during the coronavirus pandemic (2020) Eur. Neuropsychopharmacol., 35, pp. 12-16; Fisher, M., A theory of public wellbeing (2019) BMC Public Health, 19, pp. 1-12; Lenzo, V., Resilience contributes to low emotional impact of the COVID-19 outbreak among the general population in Italy (2020) Front. Psychol., 11; Killgore, W.D.S., Taylor, E.C., Cloonan, S.A., Dailey, N.S., Psychological resilience during the COVID-19 lockdown (2020) Psychiatry Res., 291; Buttery, A.K., Mensink, G.B., Busch, M.A., Healthy behaviours and mental health: Findings from the German Health Update (GEDA) (2015) Eur. J. Public Health, 25, pp. 219-225; Kilani, H.A., Healthy lifestyle behaviors are major predictors of mental wellbeing during COVID-19 pandemic confinement: A study on adult Arabs in higher educational institutions (2020) PLoS ONE, 15; Wendtlandt, M., Wicker, P., The effects of sport activities and environmentally sustainable behaviors on subjective well-being: A comparison before and during COVID-19 (2021) Front Sports Act Living, 3; Dale, R., Budimir, S., Probst, T., Stippl, P., Pieh, C., Mental health during the COVID-19 lockdown over the Christmas period in Austria and the effects of sociodemographic and lifestyle factors (2021) Int. J. Environ. Res. Public Health; Budimir, S., Probst, T., Pieh, C., Coping strategies and mental health during COVID-19 lockdown (2021) J. Mental Health, 30, pp. 156-163; Ding, Y., Risk perception and depression in public health crises: Evidence from the COVID-19 crisis in China (2020) Int. J. Environ. Res. Public Health; Zhong, Y., Liu, W., Lee, T.Y., Zhao, H., Ji, J., Risk perception, knowledge, information sources and emotional states among COVID-19 patients in Wuhan, China (2021) Nurs. Outlook, 69, pp. 13-21; Orte, C., Sánchez-Prieto, L., Domínguez, D.C., Barrientos-Báez, A., Evaluation of distress and risk perception associated with COVID-19 in vulnerable groups (2020) Int. J. Environ. Res. Public Health; Han, Q., Associations of risk perception of COVID-19 with emotion and mental health during the pandemic (2021) J. Affect. Disord., 284, pp. 247-255; Lei, L., Comparison of prevalence and associated factors of anxiety and depression among people affected by versus people unaffected by quarantine during the COVID-19 epidemic in Southwestern China (2020) Med. Sci. Monit., 26</t>
  </si>
  <si>
    <t>2-s2.0-85140608713</t>
  </si>
  <si>
    <t>Psychological well-being during the covid-19 pandemic in italy assessed in a four-waves survey</t>
  </si>
  <si>
    <t>Shu Y., Yang P., Liu N., Zhang S., Zhao G., Liu Y.</t>
  </si>
  <si>
    <t>57204979314;57204475488;57228305100;57227213500;36026171100;35933567100;</t>
  </si>
  <si>
    <t>Emotion Distribution Learning Based on Peripheral Physiological Signals</t>
  </si>
  <si>
    <t>10.1109/TAFFC.2022.3163609</t>
  </si>
  <si>
    <t>https://www.scopus.com/inward/record.uri?eid=2-s2.0-85127476653&amp;doi=10.1109%2fTAFFC.2022.3163609&amp;partnerID=40&amp;md5=9e6a68df891380e088e1aedfc8bf358b</t>
  </si>
  <si>
    <t>Computer Science and Technology, Tsinghua University, 12442 Beijing, Beijing, China; Institute of Psychology, Chinese Academy of Sciences, Beijing, Beijing, China; Computer Science and Technology, Tsinghua University, Beijing, Beijing, China, 100084</t>
  </si>
  <si>
    <t>Shu, Y., Computer Science and Technology, Tsinghua University, 12442 Beijing, Beijing, China; Yang, P., Computer Science and Technology, Tsinghua University, 12442 Beijing, Beijing, China; Liu, N., Computer Science and Technology, Tsinghua University, 12442 Beijing, Beijing, China; Zhang, S., Computer Science and Technology, Tsinghua University, 12442 Beijing, Beijing, China; Zhao, G., Institute of Psychology, Chinese Academy of Sciences, Beijing, Beijing, China; Liu, Y., Computer Science and Technology, Tsinghua University, Beijing, Beijing, China, 100084</t>
  </si>
  <si>
    <t>Emotion analysis based on peripheral physiological signals has attracted increasing attention recently in affective computing. Previous works usually predict emotional states using a single emotion label for each discrete time. However, in real-world scenarios, it is not sufficient due to the fact that the real-world emotional state is usually a mixture of basic emotions. In this paper, we formulate the emotion analysis as an emotion distribution learning (EDL) problem and make two contributions. First, we establish a standardised dataset containing four negative emotions (anger, disgust, sadness, fear) and three positive emotions (tenderness, joy, amusement), which could be a useful benchmark for the EDL task. Second, we propose an emotion distribution prediction system which has the following distinct characteristics: (1) after processing raw peripheral physiological signals, we compute totally 89 representative features from four channels, i.e., GSR, SKT, ECG and HR, (2) an adaptive feature selection strategy based on recursive feature elimination (RFE) is used to select the most significant features in our EDL task, and (3) we design a dedicated EDL model based on convolution neural networks that takes information from both the feature correlation and the time domain into consideration. Experiments were conducted to validate our proposed system. IEEE</t>
  </si>
  <si>
    <t>Biological system modeling; Brain modeling; distribution learning; Electroencephalography; Emotion recognition; Emotion recognition; feature selection; Motion pictures; peripheral physiological signals; Physiology; Task analysis</t>
  </si>
  <si>
    <t>Biological systems; Biomedical signal processing; Brain; Brain mapping; Electroencephalography; Electrophysiology; Speech recognition; Time domain analysis; Biological system modeling; Brain modeling; Distribution learning; Emotion analysis; Emotion recognition; Features selection; Peripheral physiological signal; Physiological signals; Task analysis; Feature extraction</t>
  </si>
  <si>
    <t>2-s2.0-85127476653</t>
  </si>
  <si>
    <t>Emotion distribution learning based on peripheral physiological signals</t>
  </si>
  <si>
    <t>Serbaya S.H.</t>
  </si>
  <si>
    <t>57222903608;</t>
  </si>
  <si>
    <t>Analyzing the Role of Emotional Intelligence on the Performance of Small and Medium Enterprises (SMEs) Using AI-Based Convolutional Neural Networks (CNNs)</t>
  </si>
  <si>
    <t>Security and Communication Networks</t>
  </si>
  <si>
    <t>7951676</t>
  </si>
  <si>
    <t>10.1155/2022/7951676</t>
  </si>
  <si>
    <t>https://www.scopus.com/inward/record.uri?eid=2-s2.0-85132325442&amp;doi=10.1155%2f2022%2f7951676&amp;partnerID=40&amp;md5=c6e91b93dc70942d24a85f64ccd5c369</t>
  </si>
  <si>
    <t>Department of Industrial Engineering, Faculty of Engineering, King Abdulaziz University, Jeddah, 21589, Saudi Arabia</t>
  </si>
  <si>
    <t>Serbaya, S.H., Department of Industrial Engineering, Faculty of Engineering, King Abdulaziz University, Jeddah, 21589, Saudi Arabia</t>
  </si>
  <si>
    <t>Human emotion detection is necessary for social interaction and plays an important role in our daily lives. Artificial intelligence research is rising, focusing on automated emotion detection. The capability to identify the emotion, which is considered one of the traits of emotional intelligence, is a component of human intelligence. Although the study is limited dependent on facial expressions or voice is flourishing, it is identifying emotions via body movements, a less researched issue. To attain emotional intelligence, this study suggests a deep learning approach. Here initially the video can be converted into image frames after the converted image frames can be preprocessed using the Glitter bandpass butter worth filter and contrast stretch histogram equalization. Then from the enhanced image, the features can be clustered using the hybrid Gaussian BIRCH algorithm. Then the specialized features are retrieved from the body of human gestures using the AdaDelta bacteria foraging optimization algorithm, and the selected features are fed to a supervised Kernel Boosting LENET deep-learning algorithm. The experiment is conducted using Geneva multimodal emotion portrayals (GEMEPs) corpus data set. This data set includes, human body gestures portraying the archetypes of five emotions, such as anger, fear, joy, pride, and sad. In these emotion detection techniques, the suggested Kernel Boosting LENET classifier achieves 98.5% accuracy, 94% precision, 95% sensitivity, and F-Score 93% outperformed better than the other existing classifiers. As a result, emotional acknowledgment may help small and medium enterprises (SMEs) to improve their performance and entrepreneurial orientation. The correlation coefficient of 188 and the significance coefficient of 0.00 show that emotional intelligence and SMEs performance have a significant and positive association. © 2022 Suhail H. Serbaya.</t>
  </si>
  <si>
    <t>Convolution; Convolutional neural networks; Deep learning; Emotion Recognition; Convolutional neural network; Daily lives; Data set; Emotion detection; Emotional intelligence; Human emotion; Image frames; Performance; Small-and-medium enterprise; Social interactions; Image enhancement</t>
  </si>
  <si>
    <t>Hernández, F.G., Cabada, R.Z., Estrada, M.L.B., Rangel, H.R., Recognition of learning-centered emotions using a convolutional neural network (2018) Journal of Intelligent and Fuzzy Systems, 34 (5), pp. 3325-3336. , 2-s2.0-85063477598; Meriem, S., Moussaoui, A., Hadid, A., Automated facial expression recognition using deep learning techniques: An overview (2020) International Journal of Informatics and Applied Mathematics, 3 (1), pp. 39-53; Chakraborty, A., Konar, A., Chakraborty, U.K., Chatterjee, A., Emotion recognition from facial expressions and its control using fuzzy logic (2009) IEEE Transactions on Systems, Man, and Cybernetics - Part A: Systems and Humans, 39 (4), pp. 726-743. , 2-s2.0-67650675840; Christou, N., Kanojiya, N., Human Facial Expression Recognition with Convolution Neural Networks, pp. 539-545. , Proceedings of the Third International Congress on Information and Communication Technology October 2019 Makassar, Indonesia Springer 2-s2.0-85054343974; Huang, C.W., Narayanan, S., (2017) Characterizing Types of Convolution in Deep Convolutional Recurrent Neural Networks for Robust Speech Emotion Recognition, , https://arxiv.org/abs/1706.02901; Donuk, K., Ali, A.R.I., Özdemir, M.F., Hanbay, D., Deep Feature Selection for Facial Emotion Recognition Based on BPSO and SVM (2021) PoliteknikDergisi, (1), p. 1; Huang, C.W., Narayanan, S., (2017) Characterizing Types of Convolution in Deep Convolutional Recurrent Neural Networks for Robust Speech Emotion Recognition, , https://arxiv.org/abs/1706.02901arXivpreprintarXiv:1706.02901; Sergio, G.C., Lee, M., Emotional video to audio transformation using deep recurrent neural networks and a neuro-fuzzy system (2020) Mathematical Problems in Engineering, 2020, p. 15. , 8478527; Muthusamy, H., Polat, K., Yaacob, S., Improved emotion recognition using Gaussian mixture model and extreme learning machine in speech and glottal signals (2015) Mathematical Problems in Engineering, 2015, p. 13. , 394083 2-s2.0-84925324945; Liu, J., Wu, G., Luo, Y., Qiu, S., Yang, S., Li, W., Bi, Y., EEG-based emotion classification using a deep neural network and sparse autoencoder (2020) Frontiers in Systems Neuroscience, 14, p. 43; Pitaloka, D.A., Wulandari, A., Basaruddin, T., Liliana, D.Y., Enhancing CNN with preprocessing stage in automatic emotion recognition (2017) Procedia Computer Science, 116, pp. 523-529. , 2-s2.0-85040010911; Sabri, N., Musa, N.H., Mangshor, N.N.A., Ibrahim, S., Hamzah, H.H.M., Student emotion estimation based on facial application in E-learning during COVID-19 pandemic (2020) International Journal of Advanced Trends in Computer Science and Engineering, 9, pp. 576-582. , 1.4; Ravikumar, K.M., Thejaswini, S., Electroencephalogram based emotion detection using hybrid LongShort term memory (2020) European Journal of Molecular &amp; Clinical Medicine, 7 (8), pp. 2786-2792; Eyam, A.T., Mohammed, W.M., Lastra, J.L.M., Emotion-driven analysis and control of human-robot interactions in collaborative applications (2021) Sensors, 21 (14), p. 4626; Krestinskaya, O., James, A.P., September. Facial Emotion Recognition Using Min-max Similarity Classifier, pp. 752-758. , Proceedings of the 2017 International Conference on Advances in Computing, Communications and Informatics (ICACCI) September 2017 New York, NY, U.S.A IEEE; Pham, N.T., Dang, D.N.M., Nguyen, S.D., (2021) Hybrid Data Augmentation and Deep Attention-Based Dilated Convolutional-Recurrent Neural Networks for Speech Emotion Recognition, , https://arxiv.org/abs/2109.09026; Shahin, I., Nassif, A.B., Hamsa, S., Emotion recognition using hybrid Gaussian mixture model and deep neural network (2019) IEEE Access, 7. , 26787 2-s2.0-85062985406; Zhang, T., Tan, Z., (2021) Deep Emotion Recognition Using Facial, Speech and Textual Cues: A Survey, , China TechRxiv; Gouru, A., Suthaharan, S., (2021) Facial Emotion Characterization and Detection Using Fourier Transform and Machine Learning, , https://arxiv.org/abs/2112.02729a; Amjad, A., Khan, L., Chang, H., Effect on speech emotion classification of a feature selection approach using a convolutional neural network (2021) PeerJ Computer Science, 7, p. e766; Manzoor, U., Rizwan, A., Demirbas, A., Hafiz, N.A.S., Analysis of perception gap between employers and fresh engineering graduates about employability skills: A case study of Pakistan (2018) International Journal of Engineering Education, 34 (1), pp. 248-255; Alsulami, H., Bashir, M., Rizwan, A., Elnahas, N., Bawareth, F., Noorelahi, R., Kamrani, R., Impact of emotional intelligence on the academic performance and employability of female engineering students in Saudi Arabia (2019) International Journal of Engineering Education, 35 (1), pp. 119-125; Rizwan, A., Serbaya, S.H., Saleem, M., Alsulami, H., Karras, D.A., Alamgir, Z., A preliminary analysis of the perception gap between employers and vocational students for career sustainability (2021) Sustainability, 13 (20), p. 11327; Rizwan, A., Alvi, M.S., Hammouda, M.M., Analysis of factors affecting the satisfaction levels of engineering students (2008) International Journal of Engineering Education, 24 (4), pp. 811-816; Rizwan, A., Choudhary, M., Jahanzaib, M., Ammar, A., Analysis of factors affecting the stress level of engineering students from remote areas (2013) International Journal of Engineering Education, 29 (4), pp. 926-932; Kumar, R., Dhiman, G., A comparative study of fuzzy optimization through fuzzy number (2021) International Journal of Modern Research, 1 (1), pp. 1-14; Vaishnav, P.K., Sharma, S., Sharma, P., Analytical review analysis for screening COVID-19 disease (2021) International Journal of Modern Research, 1 (1), pp. 22-29; Gupta, V.K., Shukla, S.K., Rawat, R.S., Crime tracking system and people's safety in India using machine learning approaches (2022) International Journal of Modern Research, 2 (1), pp. 1-7; Dhiman, G., Kumar, V., Emperor penguin optimizer: A bio-inspired algorithm for engineering problems (2018) Knowledge-Based Systems, 159, pp. 20-50. , 2-s2.0-85048787208; Dhiman, G., Kumar, V., Seagull optimization algorithm: Theory and its applications for large-scale industrial engineering problems (2019) Knowledge-Based Systems, 165, pp. 169-196. , 2-s2.0-85058217128; Dhiman, G., Kaur, A., STOA: A bio-inspired based optimization algorithm for industrial engineering problems (2019) Engineering Applications of Artificial Intelligence, 82, pp. 148-174. , 2-s2.0-85063969804; Dehghani, M., Montazeri, Z., Dhiman, G., Malik, O.P., Menendez, R.M., Mendoza, R.A., Dehghani, A., Arroyo, L.P., A spring search algorithm applied to engineering optimization problems (2020) Applied Sciences, 10 (18), p. 6173; Dhiman, G., ESA: A hybrid bio-inspired metaheuristic optimization approach for engineering problems (2021) Engineering with Computers, 37 (1), pp. 323-353. , 2-s2.0-85069512647; Eyben, F., Scherer, K.R., Sundberg, J., André, E., Busso, C., Devillers, L.Y., Epps, J., Truong, K.P., The geneva minimalistic acoustic parameter set (GeMAPS) for voice research and affective computing (2016) IEEE Transactions on Affective Computing, 7 (2), pp. 190-202. , 2-s2.0-84973513831; Suputri, S.D., Satyanarayana, C., An efficient facial emotion recognition system using novel deep learning neural network-regression activation classifier (2021) Multimedia Tools and Applications, 80 (12). , 17568; Sánchez, D., Melin, P., Castillo, O., Optimization of modular granular neural networks using a firefly algorithm for human recognition (2017) Engineering Applications of Artificial Intelligence, 64, pp. 172-186. , 2-s2.0-85021692938; Shao, J., Qian, Y., Three convolutional neural network models for facial expression recognition in the wild (2019) Neurocomputing, 355, pp. 82-92. , 2-s2.0-85065595874; Dhiman, G., Kumar, V., Spotted hyena optimizer: A novel bio-inspired based metaheuristic technique for engineering applications (2017) Advances in Engineering Software, 114, pp. 48-70. , 2-s2.0-85019714639; Warrier, U., Shankar, A., Belal, H.M., Examining the role of emotional intelligence as a moderator for virtual communication and decision making effectiveness during the COVID-19 crisis: Revisiting task technology fit theory (2021) Annals of Operations Research, 13, pp. 1-17; Cao, G., Ma, Y., Meng, X., Gao, Y., Meng, M., Emotion Recognition Based on CNN, pp. 8627-8630. , Proceedings of the 2019 Chinese Control Conference (CCC) July 2019 Guangzhou, China; Ozdemir, M.A., Elagoz, B., Alaybeyoglu, A., Sadighzadeh, R., Akan, A., Real Time Emotion Recognition from Facial Expressions Using CNN Architecture, pp. 1-4. , Proceedings of the 2019 Medical Technologies Congress (TIPTEKNO) November 2019 Izmir, Turkey; Lee, J.R., Wang, L., Wong, A., EmotionNet Nano: An efficient deep convolutional neural network design for real-time facial expression recognition Frontiers in Artificial Intelligence, 3, pp. 1-9</t>
  </si>
  <si>
    <t>19390114</t>
  </si>
  <si>
    <t>Secur. Commun. Networks</t>
  </si>
  <si>
    <t>2-s2.0-85132325442</t>
  </si>
  <si>
    <t>Analyzing the role of emotional intelligence on the performance of small and medium enterprises (smes) using ai-based convolutional neural networks (cnns)</t>
  </si>
  <si>
    <t>Britton Ú., Onibonoje O., Belton S., Behan S., Peers C., Issartel J., Roantree M.</t>
  </si>
  <si>
    <t>57211039662;57221519701;35386256100;57210373155;57210379196;12797469400;6602546023;</t>
  </si>
  <si>
    <t>Moving well-being well: Using machine learning to explore the relationship between physical literacy and well-being in children</t>
  </si>
  <si>
    <t>Applied Psychology: Health and Well-Being</t>
  </si>
  <si>
    <t>10.1111/aphw.12429</t>
  </si>
  <si>
    <t>https://www.scopus.com/inward/record.uri?eid=2-s2.0-85146216721&amp;doi=10.1111%2faphw.12429&amp;partnerID=40&amp;md5=967a3ca192504f98e56683bf8018ee6e</t>
  </si>
  <si>
    <t>SFI Insight Centre for Data Analytics, Dublin City University, Dublin, Ireland; School of Computing, Dublin City University, Dublin, Ireland; School of Health and Human Performance, Dublin City University, Dublin, Ireland</t>
  </si>
  <si>
    <t>Britton, Ú., SFI Insight Centre for Data Analytics, Dublin City University, Dublin, Ireland; Onibonoje, O., School of Computing, Dublin City University, Dublin, Ireland; Belton, S., School of Health and Human Performance, Dublin City University, Dublin, Ireland; Behan, S., SFI Insight Centre for Data Analytics, Dublin City University, Dublin, Ireland, School of Health and Human Performance, Dublin City University, Dublin, Ireland; Peers, C., School of Health and Human Performance, Dublin City University, Dublin, Ireland; Issartel, J., School of Health and Human Performance, Dublin City University, Dublin, Ireland; Roantree, M., SFI Insight Centre for Data Analytics, Dublin City University, Dublin, Ireland</t>
  </si>
  <si>
    <t>Physical literacy provides a foundation for lifelong engagement in physical activity, resulting in positive health outcomes. Direct pathways between physical literacy and health have not yet been investigated thoroughly. Associations between physical literacy and well-being in children (n = 1073, mean age 10.86 ± 1.20 years) were analysed using machine learning. Motor competence (TGMD-3 and BOT-2) and health-related fitness (PACER and plank) were assessed in the physical competence domain. Motivation (adapted-Behavioural Regulation in Exercise Questionnaire) and confidence (modified-Physical Activity Self-Efficacy Scale) were assessed in the affective domain. Well-being was measured using the KIDSCREEN-27. Accuracy of predicting well-being from physical literacy was investigated using five machine learning classifiers (decision tree, random forest, XGBoost, AdaBoost, k-nearest neighbour) in the full sample and across subgroups (sex, socioeconomic status [SES], age). XGBoost predicted well-being from physical literacy with an accuracy of 87% in the full sample. Predictive accuracy was lowest in low SES participants. Contribution of physical literacy features differed substantially across subgroups. Physical literacy predicts well-being in children but the relative contribution of physical literacy features to well-being differs substantially between subgroups. © 2023 The Authors. Applied Psychology: Health and Well-Being published by John Wiley &amp; Sons Ltd on behalf of International Association of Applied Psychology.</t>
  </si>
  <si>
    <t>children; health; machine learning; physical literacy; prediction; well-being</t>
  </si>
  <si>
    <t>article; child; classifier; decision tree; exercise; female; human; human experiment; k nearest neighbor; literacy; machine learning; major clinical study; male; motivation; physical activity; prediction; questionnaire; random forest; school child; self concept; social status; wellbeing</t>
  </si>
  <si>
    <t>Abraham, C., Kelly, M.P., West, R., Michie, S., The UK National Institute for Health and Clinical Excellence public health guidance on behaviour change: A brief introduction (2009) Psychology, Health &amp; Medicine, 14 (1), pp. 1-8. , https://doi.org/10.1080/13548500802537903; Bailey, D.P., Boddy, L.M., Savory, L.A., Denton, S.J., Kerr, C.J., Associations between cardiorespiratory fitness, physical activity and clustered cardiometabolic risk in children and adolescents: The HAPPY study (2012) European Journal of Pediatrics, 171 (9), pp. 1317-1323. , https://doi.org/10.1007/s00431-012-1719-3; Bandura, A., Self-efficacy: Toward a unifying theory of behavioral change (1977) Psychological Review, 84 (2), pp. 191-215. , https://doi.org/10.1037/0033-295X.84.2.191; Bandura, A., Self-efficacy (1997) Encyclopedia of Human Behavior, 4 (1994), pp. 1-65. , https://doi.org/10.1002/9780470479216.corpsy0836; Bartholomew, J.B., Loukas, A., Jowers, E.M., Allua, S., Validation of the physical activity self-efficacy scale: Testing measurement invariance between Hispanic and Caucasian children (2006) Journal of Physical Activity and Health, 3 (1), pp. 70-78. , https://doi.org/10.1123/jpah.3.1.70; Behan, S., Belton, S., Peers, C., O'Connor, N.E., Issartel, J., Moving well-being well: Investigating the maturation of fundamental movement skill proficiency across sex in Irish children aged five to twelve (2019) Journal of Sports Sciences, 37 (22), pp. 2604-2612. , https://doi.org/10.1080/02640414.2019.1651144; Behan, S., Belton, S., Peers, C., O'Connor, N.E., Issartel, J., Exploring the relationships between fundamental movement skills and health related fitness components in children (2020) European Journal of Sport Science, 22, pp. 1-23. , https://doi.org/10.1080/17461391.2020.1847201; Belanger, K., Barnes, J.D., Longmuir, P.E., Anderson, K.D., Bruner, B., Copeland, J.L., Gregg, M.J., Tremblay, M.S., The relationship between physical literacy scores and adherence to Canadian physical activity and sedentary behaviour guidelines (2018) BMC Public Health, 18 (S2). , https://doi.org/10.1186/s12889-018-5897-4; Berman, A.H., Liu, B., Ullman, S., Jadbäck, I., Engström, K., Children's quality of life based on the KIDSCREEN-27: Child self-report, parent ratings and child-parent agreement in a Swedish random population sample (2016) PLoS ONE, 11 (3). , https://doi.org/10.1371/journal.pone.0150545; Blanchard, J., Van Wyk, N., Ertel, E., Alpous, A., Longmuir, P.E., Canadian Assessment of Physical Literacy in grades 7-9 (12-16 years): Preliminary validity and descriptive results (2020) Journal of Sports Sciences, 38 (2), pp. 177-186. , https://doi.org/10.1080/02640414.2019.1689076; Bremer, E., Graham, J.D., Cairney, J., Outcomes and feasibility of a 12-week physical literacy intervention for children in an afterschool program (2020) International Journal of Environmental Research and Public Health, 17 (9). , https://doi.org/10.3390/ijerph17093129; Breslin, G., Fitzpatrick, B., Brennan, D., Shannon, S., Rafferty, R., O'Brien, W., Belton, S., Hanna, D., Physical activity and wellbeing of 8–9 year old children from social disadvantage: An all-Ireland approach to health (2017) Mental Health and Physical Activity, 13, pp. 9-14. , https://doi.org/10.1016/j.mhpa.2017.06.001; Britton, Ú., Belton, S., Peers, C., Issartel, J., Goss, H., Roantree, M., Behan, S., Physical literacy in children: Exploring the construct validity of a multidimensional physical literacy construct (2022) European Physical Education Review, pp. 1-16. , https://doi.org/10.1177/1356336X221131272; Britton, U., Issartel, J., Symonds, J., Belton, S., What keeps them physically active? Predicting physical activity, motor competence, health-related fitness, and perceived competence in Irish adolescents after the transition from primary to second-level school (2020) International Journal of Environmental Research and Public Health, 17. , https://doi.org/10.3390/ijerph17082874; Brown, D.M.Y., Dudley, D.A., Cairney, J., Physical literacy profiles are associated with differences in children's physical activity participation: A latent profile analysis approach (2020) Journal of Science and Medicine in Sport, 23 (11), pp. 1062-1067. , https://doi.org/10.1016/j.jsams.2020.05.007; Bruininks, R.H., (2005) Bruininks-Oseretsky test of motor proficiency, , American Guidance Service; Cairney, J., Clark, H., Dudley, D., Kriellaars, D., Physical literacy in children and youth—A construct validation study (2019) Journal of Teaching in Physical Education, 38 (2), pp. 84-90. , https://doi.org/10.1123/jtpe.2018-0270; Cairney, J., Dudley, D., Kwan, M., Bulten, R., Kriellaars, D., Physical literacy, physical activity and health: Toward an evidence-informed conceptual model (2019) Sports Medicine, 49 (3), pp. 371-383. , https://doi.org/10.1007/s40279-019-01063-3; Caldwell, H., Cristofaro, N., Cairney, J., Bray, S., MacDonald, M., Timmons, B., Physical literacy, physical activity, and health indicators in school-age children (2020) International Journal of Environmental Research and Public Health, 17 (5367). , https://doi.org/10.3390/ijerph17155367; Chaput, J.P., Willumsen, J., Bull, F., Chou, R., Ekelund, U., Firth, J., Jago, R., Katzmarzyk, P.T., 2020 WHO guidelines on physical activity and sedentary behaviour for children and adolescents aged 5–17 years: Summary of the evidence (2020) International Journal of Behavioral Nutrition and Physical Activity, 17 (1). , https://doi.org/10.1186/s12966-020-01037-z; Clark, J., Metcalfe, J., The mountain of motor development: A metaphor (2002) Motor development: Research and reviews, pp. 163-190. , https://doi.org/10.4081/ejh.2015.2477, J. E. Clark, &amp;, J. Humphrey, (Eds.)., NASPE Publications; Coyne, P., Vandenborn, E., Santarossa, S., Milne, M.M., Milne, K.J., Woodruff, S.J., Physical literacy improves with the run jump throw wheel program among students in grades 4–6 in southwestern Ontario (2019) Applied Physiology, Nutrition and Metabolism, 44 (6), pp. 645-649. , https://doi.org/10.1139/apnm-2018-0495; De Meester, A., Maes, J., Stodden, D., Cardon, G., Goodway, J., Lenoir, M., Haerens, L., Identifying profiles of actual and perceived motor competence among adolescents: Associations with motivation, physical activity, and sports participation (2016) Journal of Sports Sciences, 34 (21), pp. 2027-2037. , https://doi.org/10.1080/02640414.2016.1149608; Deci, E., Ryan, R., (2002) Handbook of self-determination research, , University of Rochester Press; (2017) DEIS: Delivering Equality of Opportunity in Schools; (2017) DEIS Identification Process; (2018) National Sports Policy 2018–2027, , www.dttas.gov.ie, Department of Transport, Tourism and Sport; Dudley, D., Cairney, J., Wainwright, N., Kriellaars, D., Mitchell, D., Critical considerations for physical literacy policy in public health, recreation, sport, and education agencies (2017) Quest, 69 (4), pp. 436-452. , https://doi.org/10.1080/00336297.2016.1268967; Edwards, L.C., Bryant, A.S., Keegan, R.J., Morgan, K., Jones, A.M., Definitions, foundations and associations of physical literacy: A systematic review (2017) Sports Medicine, 47, pp. 113-126. , https://doi.org/10.1007/s40279-016-0560-7; Emm-Collison, L.G., Standage, M., Gillison, F.B., Development and validation of the adolescent psychological need support in exercise questionnaire (2016) Journal of Sport and Exercise Psychology, 38 (5), pp. 505-520. , https://doi.org/10.1123/jsep.2015-0220; Friedman, J., Hastie, T., Tibshirani, R., Additive logistic regression: A statistical view of boosting (1998) The Annals of Statistics, 28 (2), pp. 337-407. , https://doi.org/10.1214/aos/1016218223; Friedman, J.H., Greedy function approximation: A gradient boosting machine (2001) Annals of Statistics, 29 (5), pp. 1189-1232. , https://doi.org/10.1214/aos/1013203451; Froiland, J.M., Smith, L., Peterson, A., How children can be happier and more intrinsically motivated while receiving their compulsory education (2012) Advances in psychology research, pp. 85-111. , A. M. Columbus, (Ed.)., Nova Science Publishers; Fuller, D., Ferber, R., Stanley, K., Why machine learning (ML) has failed physical activity research and how we can improve (2022) BMJ Open Sport &amp; Exercise Medicine, 8 (1). , https://doi.org/10.1136/bmjsem-2021-001259; Gall, S., Walter, C., du Randt, R., Adams, L., Joubert, N., Müller, I., Nqweniso, S., Gerber, M., Changes in self-reported physical activity predict health-related quality of life among South African schoolchildren: Findings from the DASH Intervention Trial (2020) Frontiers in Public Health, 8. , https://doi.org/10.3389/fpubh.2020.492618; Gallahue, D., Ozmun, J., (2012) Understanding motor development: Infants, children, adolescents, adults, , Jones &amp; Bartlett Learning; Gillison, F., Osborn, M., Standage, M., Skevington, S., Exploring the experience of introjected regulation for exercise across gender in adolescence (2009) Psychology of Sport and Exercise, 10 (3), pp. 309-319. , https://doi.org/10.1016/j.psychsport.2008.10.004; Gunnell, K., Barnes, J., Tremblay, M., Longmuir, P., Refining the Canadian Assessment of Physical Literacy based on theory and factor analyses (2018) BMC Public Health, 18. , https://doi.org/10.1186/s12889-018-5899-2; Guthold, R., Stevens, G.A., Riley, L.M., Bull, F.C., Global trends in insufficient physical activity among adolescents: A pooled analysis of 298 population-based surveys with 1·6 million participants (2020) The Lancet Child and Adolescent Health, 4 (1), pp. 23-35. , https://doi.org/10.1016/S2352-4642(19)30323-2; Han, J., Kamber, M., (2012) Data mining concepts and techniques, , 3rd ed., Kaufmann; Hastie, T., Tibshirani, R., Friedman, J., The elements of statistical learning (2009) Data mining, inference, and prediction, , https://doi.org/10.1007/978-0-387-84858-7, 2nd ed., Springer; (2016) Get Ireland Active: National Physical Activity Plan for Ireland (Vol. 6, Issue suppl.), , http://www.physicalactivityplan.org/projects/reportcard.html%0Ahttp://journals.humankinetics.com/jpah-back-issues/jpah-volume-6-supplement-november/ANationalPhysicalActivityPlanfortheUnitedStates%0Ahttps://health.gov.ie/wp-content/uploads/2016/01/Get-Irel; (2021) Healthy Ireland Strategic Action Plan 2021–2025 Building on the first seven years of implementation; Hyndman, B., Pill, S., What's in a concept? A Leximancer text mining analysis of physical literacy across the international literature (2018) European Physical Education Review, 24 (3), pp. 292-313. , https://doi.org/10.1177/1356336X17690312; (2017) International Physical Literacy Association, , https://www.physical-literacy.org.uk/?v=79cba1185463; Jefferies, P., Ungar, M., Aubertin, P., Kriellaars, D., Physical literacy and resilience in children and youth (2019) Frontiers in Public Health, 7. , https://doi.org/10.3389/fpubh.2019.00346; Kessler, R.C., Amminger, G.P., Aguilar-Gaxiola, S., Alonso, J., Lee, S., Üstün, T.B., Age of onset of mental disorders: A review of recent literature (2007) Current Opinion in Psychiatry, 20 (4), pp. 359-364. , https://doi.org/10.1097/YCO.0b013e32816ebc8c; Lane, C., Naylor, P.J., Predy, M., Kurtzhals, M., Rhodes, R.E., Morton, K., Hunter, S., Carson, V., Exploring a parent-focused physical literacy intervention for early childhood: A pragmatic controlled trial of the PLAYshop (2022) BMC Public Health, 22 (1). , https://doi.org/10.1186/s12889-022-13048-5; Léger, L.A., Mercier, D., Gadoury, C., Lambert, J., The multistage 20 metre shuttle run test for aerobic fitness (1988) Journal of Sports Sciences, 6 (2), pp. 93-101. , https://doi.org/10.1080/02640418808729800; McGrath, S.A., Chananie-Hill, S., Individual-level predictors of perceived safety: Data from an international sample (2011) Sociological Focus, 44 (3), pp. 231-254. , https://doi.org/10.1080/00380237.2011.10571397; Melby, P.S., Nielsen, G., Brønd, J.C., Tremblay, M.S., Bentsen, P., Associations between children's physical literacy and well- being: Is physical activity a mediator? (2022) BMC Public Health, UNDER REVI, pp. 1-22. , https://doi.org/10.21203/rs.3.rs-1408100/v1; Murphy, J., Sweeney, M.R., McGrane, B., Physical activity and sports participation in Irish adolescents and associations with anxiety, depression and mental wellbeing. Findings from the physical activity and wellbeing (paws) study (2020) Physical Activity and Health, 4 (1), pp. 107-119. , https://doi.org/10.5334/paah.58; Narayanan, A., Desai, F., Tom, S., Duncan, S., Mackay, L., Application of raw accelerometer data and machine-learning techniques to characterize human movement behavior: A systematic scoping review (2020) Journal of Physical Activity and Health, 17 (3), pp. 360-383. , https://doi.org/10.1123/jpah.2019-0088; (2018) Promoting mental health in Europe: Why and how?, , https://doi.org/10.1787/health_glance_eur-2018-4-en; Owen, K.B., Smith, J., Lubans, D.R., Ng, J.Y.Y., Lonsdale, C., Self-determined motivation and physical activity in children and adolescents: A systematic review and meta-analysis (2014) Preventive Medicine, 67, pp. 270-279. , https://doi.org/10.1016/j.ypmed.2014.07.033; Patalay, P., Fitzsimons, E., Correlates of mental illness and wellbeing in children: Are they the same? Results from the UK millennium cohort study (2016) Journal of the American Academy of Child and Adolescent Psychiatry, 55 (9), pp. 771-783. , https://doi.org/10.1016/j.jaac.2016.05.019; Peers, C., Issartel, J., Behan, S., O'Connor, N., Belton, S., Movement competence: Association with physical self-efficacy and physical activity (2020) Human Movement Science, 70. , https://doi.org/10.1016/j.humov.2020.102582; Plowman, S.A., Mahar, M.T., (2013) FITNESSGRAM/ACTIVITYGRAM reference guide, , https://doi.org/10.1055/s-0033-1334967, 4th ed., The Cooper Institute; Ravens-Sieberer, U., Auquier, P., Erhart, M., Gosch, A., Rajmil, L., Bruil, J., Power, M., Phillips, K., The KIDSCREEN-27 quality of life measure for children and adolescents: Psychometric results from a cross-cultural survey in 13 European countries (2007) Quality of Life Research, 16 (8), pp. 1347-1356. , https://doi.org/10.1007/s11136-007-9240-2; Ré, A.H.N., Cattuzzo, M.T., dos Henrique, R.S., Stodden, D.F., Physical characteristics that predict involvement with the ball in recreational youth soccer (2016) Journal of Sports Sciences, 34 (18), pp. 1716-1722. , https://doi.org/10.1080/02640414.2015.1136067; Sebire, S.J., Jago, R., Fox, K.R., Edwards, M.J., Thompson, J.L., Testing a self-determination theory model of children's physical activity motivation: A cross-sectional study (2013) International Journal of Behavioral Nutrition and Physical Activity, 10. , https://doi.org/10.1186/1479-5868-10-111; Shannon, S., Breslin, G., Fitzpatrick, B., Hanna, D., Brennan, D., Testing the psychometric properties of Kidscreen-27 with Irish children of low socio-economic status (2017) Quality of Life Research, 26 (4), pp. 1081-1089. , https://doi.org/10.1007/s11136-016-1432-1; Shoup, J.A., Gattshall, M., Dandamudi, P., Estabrooks, P., Physical activity, quality of life, and weight status in overweight children (2008) Quality of Life Research, 17 (3), pp. 407-412. , https://doi.org/10.1007/s11136-008-9312-y; Stodden, D.F., Goodway, J.D., Langendorfer, S.J., Roberton, M.A., Rudisill, M.E., Garcia, C., Garcia, L.E., A developmental perspective on the role of motor skill competence in physical activity: An emergent relationship (2008) Quest, 60 (2), pp. 290-306. , https://doi.org/10.1080/00336297.2008.10483582; Tahmassian, K., Moghadam, N.J., Relationship between self-efficacy and symptoms of anxiety, depression, worry and social avoidance in a normal sample of students (2011) Iranian Journal of Psychiatry and Behavioral Sciences, 5 (2), pp. 91-98; Tandon, P.S., Zhou, C., Sallis, J.F., Cain, K.L., Frank, L.D., Saelens, B.E., Home environment relationships with children's physical activity, sedentary time, and screen time by socioeconomic status (2012) International Journal of Behavioral Nutrition and Physical Activity, 9. , https://doi.org/10.1186/1479-5868-9-88; (2006) The KIDSCREEN questionnaires: Quality of life questionnaires for children and adolescents, , Pabst Science Publishers; Ulrich, D., (2016) Test of Gross Motor development-3, , 3rd ed., Pro-Ed; (2016) THE 17 GOALS|Sustainable Development. Sustainable Development, , https://sdgs.un.org/goals; Whitehead, M., The concept of physical literacy (2001) European Journal of Physical Education, 6 (2), pp. 127-138. , https://doi.org/10.1080/1740898010060205; (2020) WHO Guidelines on physical activity and sedentary behaviour, , https://apps.who.int/iris/bitstream/handle/10665/336656/9789240015128-eng.pdf, World Health Organisation; Woods, C.B., Powell, C., Saunders, J.A., O'Brien, W., Murphy, M.H., Duff, C., Farmer, O., Belton, S., (2018) The children's sport participation and physical activity study 2018 (CSPPA 2018), pp. 1-108; (2018) Global action plan on physical activity 2018–2030: more active people for a healthier world</t>
  </si>
  <si>
    <t>17580846</t>
  </si>
  <si>
    <t>Appl. Psychol: Health Well-Being</t>
  </si>
  <si>
    <t>2-s2.0-85146216721</t>
  </si>
  <si>
    <t>Moving well-being well: using machine learning to explore the relationship between physical literacy and well-being in children</t>
  </si>
  <si>
    <t>Ashford, Linda J.;Spivak, Benjamin L.;Ogloff, James R. P.;Shepherd, Stephane M.</t>
  </si>
  <si>
    <t>Statistical learning methods and cross-cultural fairness: Trade-offs and implications for risk assessment instruments.</t>
  </si>
  <si>
    <t>No Pagination Specified</t>
  </si>
  <si>
    <t>https://doi.org/10.1037/pas0001228</t>
  </si>
  <si>
    <t>The use of statistical learning methods has recently increased within the risk assessment literature. They have primarily been used to increase accuracy and the area under the curve (AUC, i.e., discrimination). Processing approaches applied to statistical learning methods have also emerged to increase cross-cultural fairness. However, these approaches are rarely trialed in the forensic psychology discipline nor have they been trialed as an approach to increase fairness in Australia. The study included 380 Aboriginal and Torres Strait Islander and non-Aboriginal and Torres Strait Islander males assessed with the Level of Service/Risk Needs Responsivity (LS/RNR). Discrimination was assessed through the AUC, and fairness was assessed through the cross area under the curve (xAUC), error rate balance, calibration, predictive parity, and statistical parity. Logistic regression, penalized logistic regression, random forest, stochastic gradient boosting, and support vector machine algorithms using the LS/RNR risk factors were used to compare performance against the LS/RNR total risk score. The algorithms were then subjected to pre- and postprocessing approaches to see if fairness could be improved. Statistical learning methods were found to produce comparable or marginally improved AUC values. Processing approaches increased several fairness definitions (namely xAUC, error rate balance, and statistical parity) between Aboriginal and Torres Strait Islanders and non-Aboriginal and Torres Strait Islanders. The findings demonstrate that statistical learning methods may be a useful approach to increasing the discrimination and cross-cultural fairness of risk assessment instruments. However, both fairness and the use of statistical learning methods encompass significant trade-offs that need to be considered. (PsycInfo Database Record (c) 2023 APA, all rights reserved)</t>
  </si>
  <si>
    <t>1939-134X(Electronic);1040-3590(Print)</t>
  </si>
  <si>
    <t>PsycNet</t>
  </si>
  <si>
    <t>Statistical learning methods and cross-cultural fairness: trade-offs and implications for risk assessment instruments.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</si>
</sst>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sz val="11.0"/>
      <color theme="1"/>
      <name val="Calibri"/>
    </font>
    <font>
      <sz val="11.0"/>
      <color theme="0"/>
      <name val="Calibri"/>
    </font>
  </fonts>
  <fills count="16">
    <fill>
      <patternFill patternType="none"/>
    </fill>
    <fill>
      <patternFill patternType="lightGray"/>
    </fill>
    <fill>
      <patternFill patternType="solid">
        <fgColor theme="1"/>
        <bgColor theme="1"/>
      </patternFill>
    </fill>
    <fill>
      <patternFill patternType="solid">
        <fgColor rgb="FFD8D8D8"/>
        <bgColor rgb="FFD8D8D8"/>
      </patternFill>
    </fill>
    <fill>
      <patternFill patternType="solid">
        <fgColor rgb="FFFDE9D9"/>
        <bgColor rgb="FFFDE9D9"/>
      </patternFill>
    </fill>
    <fill>
      <patternFill patternType="solid">
        <fgColor rgb="FFFABF8F"/>
        <bgColor rgb="FFFABF8F"/>
      </patternFill>
    </fill>
    <fill>
      <patternFill patternType="solid">
        <fgColor rgb="FF95B3D7"/>
        <bgColor rgb="FF95B3D7"/>
      </patternFill>
    </fill>
    <fill>
      <patternFill patternType="solid">
        <fgColor rgb="FFDBE5F1"/>
        <bgColor rgb="FFDBE5F1"/>
      </patternFill>
    </fill>
    <fill>
      <patternFill patternType="solid">
        <fgColor rgb="FFC6D9F0"/>
        <bgColor rgb="FFC6D9F0"/>
      </patternFill>
    </fill>
    <fill>
      <patternFill patternType="solid">
        <fgColor rgb="FF548DD4"/>
        <bgColor rgb="FF548DD4"/>
      </patternFill>
    </fill>
    <fill>
      <patternFill patternType="solid">
        <fgColor rgb="FF00B0F0"/>
        <bgColor rgb="FF00B0F0"/>
      </patternFill>
    </fill>
    <fill>
      <patternFill patternType="solid">
        <fgColor rgb="FFF2DBDB"/>
        <bgColor rgb="FFF2DBDB"/>
      </patternFill>
    </fill>
    <fill>
      <patternFill patternType="solid">
        <fgColor rgb="FFD99594"/>
        <bgColor rgb="FFD99594"/>
      </patternFill>
    </fill>
    <fill>
      <patternFill patternType="solid">
        <fgColor rgb="FFE5DFEC"/>
        <bgColor rgb="FFE5DFEC"/>
      </patternFill>
    </fill>
    <fill>
      <patternFill patternType="solid">
        <fgColor rgb="FFFFFF00"/>
        <bgColor rgb="FFFFFF00"/>
      </patternFill>
    </fill>
    <fill>
      <patternFill patternType="solid">
        <fgColor rgb="FFFFC000"/>
        <bgColor rgb="FFFFC00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1" fillId="3" fontId="2" numFmtId="0" xfId="0" applyBorder="1" applyFill="1" applyFont="1"/>
    <xf borderId="1" fillId="4" fontId="2" numFmtId="0" xfId="0" applyBorder="1" applyFill="1" applyFont="1"/>
    <xf borderId="1" fillId="5" fontId="2" numFmtId="0" xfId="0" applyBorder="1" applyFill="1" applyFont="1"/>
    <xf borderId="1" fillId="6" fontId="2" numFmtId="0" xfId="0" applyBorder="1" applyFill="1" applyFont="1"/>
    <xf borderId="1" fillId="7" fontId="2" numFmtId="0" xfId="0" applyBorder="1" applyFill="1" applyFont="1"/>
    <xf borderId="1" fillId="8" fontId="2" numFmtId="0" xfId="0" applyBorder="1" applyFill="1" applyFont="1"/>
    <xf borderId="1" fillId="9" fontId="2" numFmtId="0" xfId="0" applyBorder="1" applyFill="1" applyFont="1"/>
    <xf borderId="1" fillId="10" fontId="2" numFmtId="0" xfId="0" applyBorder="1" applyFill="1" applyFont="1"/>
    <xf borderId="1" fillId="11" fontId="2" numFmtId="0" xfId="0" applyBorder="1" applyFill="1" applyFont="1"/>
    <xf borderId="1" fillId="12" fontId="2" numFmtId="0" xfId="0" applyBorder="1" applyFill="1" applyFont="1"/>
    <xf borderId="1" fillId="13" fontId="2" numFmtId="0" xfId="0" applyBorder="1" applyFill="1" applyFont="1"/>
    <xf borderId="2" fillId="14" fontId="2" numFmtId="0" xfId="0" applyBorder="1" applyFill="1" applyFont="1"/>
    <xf borderId="2" fillId="15"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8.71"/>
    <col customWidth="1" min="2" max="2" width="36.43"/>
    <col customWidth="1" min="3" max="3" width="20.86"/>
    <col customWidth="1" min="4" max="4" width="18.14"/>
    <col customWidth="1" min="5" max="17" width="8.86"/>
    <col customWidth="1" min="18" max="20" width="8.71"/>
    <col customWidth="1" min="21" max="44" width="9.14"/>
    <col customWidth="1" min="45" max="45" width="12.43"/>
    <col customWidth="1" min="46" max="124" width="8.71"/>
    <col customWidth="1" min="125" max="125" width="8.43"/>
    <col customWidth="1" min="126" max="366" width="8.71"/>
  </cols>
  <sheetData>
    <row r="1" ht="15.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c r="NB1" s="1" t="s">
        <v>365</v>
      </c>
    </row>
    <row r="2">
      <c r="A2" s="2">
        <v>26.0</v>
      </c>
      <c r="B2" s="2" t="s">
        <v>366</v>
      </c>
      <c r="C2" s="2" t="s">
        <v>367</v>
      </c>
      <c r="D2" s="2" t="s">
        <v>368</v>
      </c>
      <c r="E2" s="2">
        <v>2010.0</v>
      </c>
      <c r="F2" s="2" t="s">
        <v>369</v>
      </c>
      <c r="G2" s="2" t="s">
        <v>370</v>
      </c>
      <c r="H2" s="2" t="s">
        <v>371</v>
      </c>
      <c r="J2" s="2" t="s">
        <v>372</v>
      </c>
      <c r="K2" s="2" t="s">
        <v>373</v>
      </c>
      <c r="M2" s="2">
        <v>1323.0</v>
      </c>
      <c r="N2" s="2" t="s">
        <v>374</v>
      </c>
      <c r="O2" s="2" t="s">
        <v>375</v>
      </c>
      <c r="P2" s="2" t="s">
        <v>376</v>
      </c>
      <c r="Q2" s="2" t="s">
        <v>377</v>
      </c>
      <c r="R2" s="2" t="s">
        <v>378</v>
      </c>
      <c r="T2" s="2" t="s">
        <v>379</v>
      </c>
      <c r="Y2" s="2" t="s">
        <v>380</v>
      </c>
      <c r="AG2" s="2" t="s">
        <v>381</v>
      </c>
      <c r="AI2" s="2" t="s">
        <v>382</v>
      </c>
      <c r="AK2" s="2" t="s">
        <v>383</v>
      </c>
      <c r="AL2" s="2" t="s">
        <v>384</v>
      </c>
      <c r="AM2" s="2" t="s">
        <v>385</v>
      </c>
      <c r="AN2" s="2" t="s">
        <v>386</v>
      </c>
      <c r="AO2" s="2" t="s">
        <v>387</v>
      </c>
      <c r="AP2" s="2" t="s">
        <v>386</v>
      </c>
      <c r="AQ2" s="2">
        <v>1685.0</v>
      </c>
      <c r="AR2" s="2" t="s">
        <v>368</v>
      </c>
      <c r="AS2" s="2" t="b">
        <v>1</v>
      </c>
      <c r="AT2" s="3">
        <v>0.0</v>
      </c>
      <c r="AU2" s="4"/>
      <c r="AV2" s="4">
        <v>1.0</v>
      </c>
      <c r="AW2" s="5">
        <f t="shared" ref="AW2:AW50" si="3">IF(OR(ISNUMBER(SEARCH("Well-Being Theory", $D2)), ISNUMBER(SEARCH("Well-Being Theory", $T2)), ISNUMBER(SEARCH("Well-Being Theory", $R2)), ISNUMBER(SEARCH("Well-Being Theory", $S2))), 1, 0)</f>
        <v>0</v>
      </c>
      <c r="AX2" s="5">
        <f t="shared" ref="AX2:AX264" si="4">IF(OR(ISNUMBER(SEARCH("Seligman", $D2)), ISNUMBER(SEARCH("Seligman", $T2)), ISNUMBER(SEARCH("Seligman", $R2)), ISNUMBER(SEARCH("Seligman", $S2))), 1, 0)</f>
        <v>0</v>
      </c>
      <c r="AY2" s="5">
        <f t="shared" ref="AY2:AY264" si="5">IF(OR(ISNUMBER(SEARCH("Self-Determination Theory", $D2)), ISNUMBER(SEARCH("Self-Determination Theory", $T2)), ISNUMBER(SEARCH("Self-Determination Theory", $R2)), ISNUMBER(SEARCH("Self-Determination Theory", $S2))), 1, 0)</f>
        <v>0</v>
      </c>
      <c r="AZ2" s="5">
        <f t="shared" ref="AZ2:AZ264" si="6">IF(OR(ISNUMBER(SEARCH("Human Flourishing", $D2)), ISNUMBER(SEARCH("Human Flourishing", $T2)), ISNUMBER(SEARCH("Human Flourishing", $R2)), ISNUMBER(SEARCH("Human Flourishing", $S2))), 1, 0)</f>
        <v>0</v>
      </c>
      <c r="BA2" s="5">
        <f t="shared" ref="BA2:BA264" si="7">IF(OR(ISNUMBER(SEARCH("Meaning in Life",$D2)),ISNUMBER(SEARCH(" Meaning in Life",$T2)),ISNUMBER(SEARCH("Meaning in Life",$R2)),ISNUMBER(SEARCH("Meaning in Life",$S2)),
ISNUMBER(SEARCH("Meaning in Life Theory",$D2)),ISNUMBER(SEARCH("Meaning in Life Theory",$T2)),ISNUMBER(SEARCH("Meaning in Life Theory",$R2)),ISNUMBER(SEARCH("Meaning in Life Theory",$S2))), 1, 0)</f>
        <v>0</v>
      </c>
      <c r="BB2" s="5">
        <f t="shared" ref="BB2:BB264" si="8">IF(OR(ISNUMBER(SEARCH("Positive emotion", $D2)), ISNUMBER(SEARCH("Positive emotion", $T2)), ISNUMBER(SEARCH("Positive emotion", $R2)), ISNUMBER(SEARCH("Positive emotion", $S2))), 1, 0)</f>
        <v>1</v>
      </c>
      <c r="BC2" s="5">
        <f t="shared" ref="BC2:BC264" si="9">IF(OR(ISNUMBER(SEARCH("Psychological strength", $D2)), ISNUMBER(SEARCH("Psychological strength", $T2)), ISNUMBER(SEARCH("Psychological strength", $R2)), ISNUMBER(SEARCH("Psychological strength", $S2))), 1, 0)</f>
        <v>0</v>
      </c>
      <c r="BD2" s="5">
        <f t="shared" ref="BD2:BD264" si="10">IF(OR(ISNUMBER(SEARCH("Self-Discovery", $D2)), ISNUMBER(SEARCH("Self-Discovery", $T2)), ISNUMBER(SEARCH("Self-Discovery ", $R2)), ISNUMBER(SEARCH("Self-Discovery", $S2))), 1, 0)</f>
        <v>0</v>
      </c>
      <c r="BE2" s="5">
        <f t="shared" ref="BE2:BE264" si="11">IF(OR(ISNUMBER(SEARCH("Self-Actualization", $D2)), ISNUMBER(SEARCH("Self-Actualization", $T2)), ISNUMBER(SEARCH("Self-Actualization", $R2)), ISNUMBER(SEARCH("Self-Actualization", $S2))), 1, 0)</f>
        <v>0</v>
      </c>
      <c r="BF2" s="5">
        <f t="shared" ref="BF2:BF264" si="12">IF(OR(ISNUMBER(SEARCH("Authenticity", $D2)), ISNUMBER(SEARCH("Authenticity", $T2)), ISNUMBER(SEARCH("Authenticity", $R2)), ISNUMBER(SEARCH("Authenticity", $S2))), 1, 0)</f>
        <v>0</v>
      </c>
      <c r="BG2" s="5">
        <f t="shared" ref="BG2:BG264" si="13">IF(OR(ISNUMBER(SEARCH("Gratitude", $D2)), ISNUMBER(SEARCH("Gratitude", $T2)), ISNUMBER(SEARCH("Gratitude", $R2)), ISNUMBER(SEARCH("Gratitude", $S2))), 1, 0)</f>
        <v>0</v>
      </c>
      <c r="BH2" s="5">
        <f t="shared" ref="BH2:BH264" si="14">IF(OR(ISNUMBER(SEARCH("Flow Theory", $D2)), ISNUMBER(SEARCH("Flow Theory", $T2)), ISNUMBER(SEARCH("Flow Theory", $R2)), ISNUMBER(SEARCH("Flow Theory", $S2))), 1, 0)</f>
        <v>0</v>
      </c>
      <c r="BI2" s="5">
        <f t="shared" ref="BI2:BI264" si="15">IF(OR(ISNUMBER(SEARCH("Spirituality", $D2)), ISNUMBER(SEARCH("Spirituality", $T2)), ISNUMBER(SEARCH("Spirituality", $R2)), ISNUMBER(SEARCH("Spirituality", $S2))), 1, 0)</f>
        <v>0</v>
      </c>
      <c r="BJ2" s="5">
        <f t="shared" ref="BJ2:BJ264" si="16">IF(OR(ISNUMBER(SEARCH("Theory of happiness", $D2)), ISNUMBER(SEARCH("Theory of happiness", $T2)), ISNUMBER(SEARCH("Theory of happiness", $R2)), ISNUMBER(SEARCH("Theory of happiness", $S2))), 1, 0)</f>
        <v>0</v>
      </c>
      <c r="BK2" s="5">
        <f t="shared" ref="BK2:BK264" si="17">IF(OR(ISNUMBER(SEARCH("subjective well-being", $D2)), ISNUMBER(SEARCH("subjective well-being", $T2)), ISNUMBER(SEARCH("subjective well-being", $R2)), ISNUMBER(SEARCH("subjective well-being", $S2))), 1, 0)</f>
        <v>0</v>
      </c>
      <c r="BL2" s="5">
        <f t="shared" ref="BL2:BL264" si="18">IF(OR(ISNUMBER(SEARCH("Kah's theory", $D2)), ISNUMBER(SEARCH("Kah's theory", $T2)), ISNUMBER(SEARCH("Kah's theory", $R2)), ISNUMBER(SEARCH("Kah's theory", $S2))), 1, 0)</f>
        <v>0</v>
      </c>
      <c r="BM2" s="5">
        <f t="shared" ref="BM2:BM264" si="19">IF(OR(ISNUMBER(SEARCH("Crossover Theory", $D2)), ISNUMBER(SEARCH("Crossover Theory", $T2)), ISNUMBER(SEARCH("Crossover Theory", $R2)), ISNUMBER(SEARCH("Crossover Theory", $S2))), 1, 0)</f>
        <v>0</v>
      </c>
      <c r="BN2" s="5">
        <f t="shared" ref="BN2:BN264" si="20">IF(OR(ISNUMBER(SEARCH("Rational Choice Theory", $D2)), ISNUMBER(SEARCH("Rational Choice Theory", $T2)), ISNUMBER(SEARCH("Rational Choice Theory", $R2)), ISNUMBER(SEARCH("Rational Choice Theory", $S2))), 1, 0)</f>
        <v>0</v>
      </c>
      <c r="BO2" s="5">
        <f t="shared" ref="BO2:BO264" si="21">IF(OR(ISNUMBER(SEARCH("Actor-Network Theory", $D2)), ISNUMBER(SEARCH("Actor-Network Theory", $T2)), ISNUMBER(SEARCH("Actor-Network Theory", $R2)), ISNUMBER(SEARCH("Actor-Network Theory", $S2))), 1, 0)</f>
        <v>0</v>
      </c>
      <c r="BP2" s="5">
        <f t="shared" ref="BP2:BP264" si="22">IF(OR(ISNUMBER(SEARCH("Goal-Setting Theory", $D2)), ISNUMBER(SEARCH("Goal-Setting Theory", $T2)), ISNUMBER(SEARCH("Goal-Setting Theory", $R2)), ISNUMBER(SEARCH("Goal-Setting Theory", $S2))), 1, 0)</f>
        <v>0</v>
      </c>
      <c r="BQ2" s="5">
        <f t="shared" ref="BQ2:BQ264" si="23">IF(OR(ISNUMBER(SEARCH("Theory of Planned Behavior", $D2)), ISNUMBER(SEARCH("Theory of Planned Behavior", $T2)), ISNUMBER(SEARCH("Theory of Planned Behavior", $R2)), ISNUMBER(SEARCH("Theory of Planned Behavior", $S2))), 1, 0)</f>
        <v>0</v>
      </c>
      <c r="BR2" s="5">
        <f t="shared" ref="BR2:BR264" si="24">IF(OR(ISNUMBER(SEARCH(" Viktor Frankl", $D2)), ISNUMBER(SEARCH("Viktor Frankl", $T2)), ISNUMBER(SEARCH("Viktor Frankl", $R2)), ISNUMBER(SEARCH("Viktor Frankl", $S2))), 1, 0)</f>
        <v>0</v>
      </c>
      <c r="BS2" s="5">
        <f t="shared" ref="BS2:BS264" si="25">IF(OR(ISNUMBER(SEARCH("Emotional Intelligence", $D2)), ISNUMBER(SEARCH("Emotional Intelligence", $T2)), ISNUMBER(SEARCH("Emotional Intelligence", $R2)), ISNUMBER(SEARCH("Emotional Intelligence", $S2))), 1, 0)</f>
        <v>0</v>
      </c>
      <c r="BT2" s="5">
        <f t="shared" ref="BT2:BT264" si="26">IF(OR(ISNUMBER(SEARCH("resilience", $D2)), ISNUMBER(SEARCH("resilience", $T2)), ISNUMBER(SEARCH("resilience", $R2)),ISNUMBER(SEARCH("resilience", $S2))), 1, 0)</f>
        <v>0</v>
      </c>
      <c r="BU2" s="5">
        <f t="shared" ref="BU2:BU264" si="27">IF(OR(ISNUMBER(SEARCH("motiv", $D2)), ISNUMBER(SEARCH("motiv", $T2)), ISNUMBER(SEARCH("motiv", $R2)), ISNUMBER(SEARCH("motiv", $S2))), 1, 0)</f>
        <v>0</v>
      </c>
      <c r="BV2" s="5">
        <f t="shared" ref="BV2:BW2" si="1">IF(OR(ISNUMBER(SEARCH("grit",$D2)),ISNUMBER(SEARCH("grit",$T2)),ISNUMBER(SEARCH("grit",$R2)),ISNUMBER(SEARCH("grit",$S2)),
ISNUMBER(SEARCH("determination",$D2)),ISNUMBER(SEARCH("determination",$T2)),ISNUMBER(SEARCH("determination",$R2)),ISNUMBER(SEARCH("determination",$S2)),
ISNUMBER(SEARCH("tenacity",$D2)),ISNUMBER(SEARCH("tenacity",$T2)),ISNUMBER(SEARCH("tenacity",$R2)),ISNUMBER(SEARCH("tenacity",$S2)),
ISNUMBER(SEARCH("endurance",$D2)),ISNUMBER(SEARCH("endurance",$T2)),ISNUMBER(SEARCH("endurance",$R2)),ISNUMBER(SEARCH("endurance",$S2)),
ISNUMBER(SEARCH("fortitude",$D2)),ISNUMBER(SEARCH("fortitude",$T2)),ISNUMBER(SEARCH("fortitude",$R2)),ISNUMBER(SEARCH("fortitude",$S2)),
ISNUMBER(SEARCH("resolve",$D2)),ISNUMBER(SEARCH("resolve",$T2)),ISNUMBER(SEARCH("resolve",$R2)),ISNUMBER(SEARCH("resolve",$S2)),
ISNUMBER(SEARCH("stamina",$D2)),ISNUMBER(SEARCH("stamina",$T2)),ISNUMBER(SEARCH("stamina",$R2)),ISNUMBER(SEARCH("stamina",$S2)),
ISNUMBER(SEARCH("guts",$D2)),ISNUMBER(SEARCH("guts",$T2)),ISNUMBER(SEARCH("guts",$R2)),ISNUMBER(SEARCH("guts",$S2)),
ISNUMBER(SEARCH("spunk",$D2)),ISNUMBER(SEARCH("spunk",$T2)),ISNUMBER(SEARCH("spunk",$R2)),ISNUMBER(SEARCH("spunk",$S2))), 1, 0)</f>
        <v>0</v>
      </c>
      <c r="BW2" s="5">
        <f t="shared" si="1"/>
        <v>0</v>
      </c>
      <c r="BX2" s="5">
        <f t="shared" ref="BX2:BX264" si="29">IF(OR(ISNUMBER(SEARCH("decision-making", $D2)), ISNUMBER(SEARCH("decision-making", $T2)), ISNUMBER(SEARCH("decision-making", $R2)), ISNUMBER(SEARCH("decision-making", $S2))), 1, 0)</f>
        <v>0</v>
      </c>
      <c r="BY2" s="5">
        <f t="shared" ref="BY2:BY264" si="30">IF(
OR(
ISNUMBER(SEARCH("Self-management",$D2)), ISNUMBER(SEARCH("Self-management",$T2)), ISNUMBER(SEARCH("Self-management",$R2)), ISNUMBER(SEARCH("Self-management",$S2)),
ISNUMBER(SEARCH("self management",$D2)), ISNUMBER(SEARCH("self management",$T2)), ISNUMBER(SEARCH("self management",$R2)), ISNUMBER(SEARCH("self management",$S2)),
ISNUMBER(SEARCH("selfmanagement",$D2)), ISNUMBER(SEARCH("selfmanagement",$T2)), ISNUMBER(SEARCH("selfmanagement",$R2)), ISNUMBER(SEARCH("selfmanagement",$S2)),
ISNUMBER(SEARCH(" self-government",$D2)), ISNUMBER(SEARCH(" self-government",$T2)), ISNUMBER(SEARCH(" self-government",$R2)), ISNUMBER(SEARCH(" self-government",$S2)),
ISNUMBER(SEARCH("self-governing",$D2)), ISNUMBER(SEARCH("self-governing",$T2)), ISNUMBER(SEARCH("self-governing",$R2)), ISNUMBER(SEARCH("self-governing",$S2))), 1, 0)</f>
        <v>0</v>
      </c>
      <c r="BZ2" s="5">
        <f t="shared" ref="BZ2:BZ264" si="31">IF(
OR(
ISNUMBER(SEARCH("self-control",$D2)), ISNUMBER(SEARCH("self-control",$T2)), ISNUMBER(SEARCH("self-control",$R2)), ISNUMBER(SEARCH("self-control",$S2)),
ISNUMBER(SEARCH("selfcontrol",$D2)), ISNUMBER(SEARCH("selfcontrol",$T2)), ISNUMBER(SEARCH("selfcontrol",$R2)), ISNUMBER(SEARCH("selfcontrol",$S2)),
ISNUMBER(SEARCH("self control",$D2)), ISNUMBER(SEARCH("self control",$T2)), ISNUMBER(SEARCH("self control",$R2)), ISNUMBER(SEARCH("self control",$S2)),
ISNUMBER(SEARCH("self-possession",$D2)), ISNUMBER(SEARCH("self-possession",$T2)), ISNUMBER(SEARCH("self-possession",$R2)), ISNUMBER(SEARCH("self-possession",$S2)),
ISNUMBER(SEARCH(" self-mastery",$D2)), ISNUMBER(SEARCH(" self-mastery",$T2)), ISNUMBER(SEARCH(" self-mastery",$R2)), ISNUMBER(SEARCH(" self-mastery",$S2))), 1, 0)</f>
        <v>0</v>
      </c>
      <c r="CA2" s="5">
        <f t="shared" ref="CA2:CA264" si="32">IF(
OR(
ISNUMBER(SEARCH("Self-regulation",$D2)), ISNUMBER(SEARCH("Self-regulation",$T2)), ISNUMBER(SEARCH("Self-regulation",$R2)), ISNUMBER(SEARCH("Self-regulation",$S2)),
ISNUMBER(SEARCH("Self-control",$D2)), ISNUMBER(SEARCH("Self-control",$T2)), ISNUMBER(SEARCH("Self-control",$R2)), ISNUMBER(SEARCH("Self-control",$S2)),
ISNUMBER(SEARCH("Self-management",$D2)), ISNUMBER(SEARCH("Self-management",$T2)), ISNUMBER(SEARCH("Self-management",$R2)), ISNUMBER(SEARCH("Self-management",$S2)),
ISNUMBER(SEARCH("Emotional regulation",$D2)), ISNUMBER(SEARCH("Emotional regulation",$T2)), ISNUMBER(SEARCH("Emotional regulation",$R2)), ISNUMBER(SEARCH("Emotional regulation",$S2)),
ISNUMBER(SEARCH("Self-discipline",$D2)), ISNUMBER(SEARCH("Self-discipline",$T2)), ISNUMBER(SEARCH("Self-discipline",$R2)), ISNUMBER(SEARCH("Self-discipline",$S2))), 1, 0)</f>
        <v>0</v>
      </c>
      <c r="CB2" s="5">
        <f t="shared" ref="CB2:CB264" si="33">IF(
OR(
ISNUMBER(SEARCH("collaboration",$D2)),ISNUMBER(SEARCH("collaboration",$T2)),ISNUMBER(SEARCH("collaboration",$R2)),ISNUMBER(SEARCH("collaboration",$S2)),
ISNUMBER(SEARCH("cooperation",$D2)),ISNUMBER(SEARCH("cooperation",$T2)),ISNUMBER(SEARCH("cooperation",$R2)),ISNUMBER(SEARCH("cooperation",$S2))), 1, 0)</f>
        <v>0</v>
      </c>
      <c r="CC2" s="5">
        <f t="shared" ref="CC2:CC264" si="34">IF(OR(ISNUMBER(SEARCH("politeness", $D2)), ISNUMBER(SEARCH("politeness", $T2)), ISNUMBER(SEARCH("politeness", $R2)), ISNUMBER(SEARCH("politeness", $S2))), 1, 0)</f>
        <v>0</v>
      </c>
      <c r="CD2" s="5">
        <f t="shared" ref="CD2:CD264" si="35">IF(OR(ISNUMBER(SEARCH("Empathy", $D2)), ISNUMBER(SEARCH("Empathy", $T2)), ISNUMBER(SEARCH("Empathy", $R2)), ISNUMBER(SEARCH("Empathy", $S2))), 1, 0)</f>
        <v>0</v>
      </c>
      <c r="CE2" s="5">
        <f t="shared" ref="CE2:CE264" si="36">IF(OR(ISNUMBER(SEARCH("Compassion", $D2)), ISNUMBER(SEARCH("Compassion", $T2)), ISNUMBER(SEARCH("Compassion", $R2)), ISNUMBER(SEARCH("Compassion", $S2))), 1, 0)</f>
        <v>0</v>
      </c>
      <c r="CF2" s="5">
        <f t="shared" ref="CF2:CF264" si="37">IF(OR(ISNUMBER(SEARCH("Self-confidence", $D2)), ISNUMBER(SEARCH("Self-confidence", $T2)), ISNUMBER(SEARCH("Self-confidence", $R2)), ISNUMBER(SEARCH("Self-confidence", $S2))), 1, 0)</f>
        <v>0</v>
      </c>
      <c r="CG2" s="5">
        <f t="shared" ref="CG2:CG264" si="38">IF(OR(ISNUMBER(SEARCH("Optimism", $D2)), ISNUMBER(SEARCH("Optimism", $T2)), ISNUMBER(SEARCH("Optimism", $R2)), ISNUMBER(SEARCH("Optimism", $S2))), 1, 0)</f>
        <v>0</v>
      </c>
      <c r="CH2" s="5">
        <f t="shared" ref="CH2:CH264" si="39">IF(OR(ISNUMBER(SEARCH("Perseverance", $D2)), ISNUMBER(SEARCH("Perseverance", $T2)), ISNUMBER(SEARCH("Perseverance", $R2)), ISNUMBER(SEARCH("Perseverance", $S2))), 1, 0)</f>
        <v>0</v>
      </c>
      <c r="CI2" s="5">
        <f t="shared" ref="CI2:CI264" si="40">IF(OR(ISNUMBER(SEARCH("Leadership", $D2)), ISNUMBER(SEARCH("Leadership", $T2)), ISNUMBER(SEARCH("Leadership", $R2)), ISNUMBER(SEARCH("Leadership", $S2))), 1, 0)</f>
        <v>0</v>
      </c>
      <c r="CJ2" s="5">
        <f t="shared" ref="CJ2:CJ264" si="41">IF(OR(ISNUMBER(SEARCH("Creativity", $D2)), ISNUMBER(SEARCH("Creativity", $T2)), ISNUMBER(SEARCH("Creativity", $R2)), ISNUMBER(SEARCH("Creativity", $S2))), 1, 0)</f>
        <v>0</v>
      </c>
      <c r="CK2" s="5">
        <f t="shared" ref="CK2:CK264" si="42">IF(OR(ISNUMBER(SEARCH("Attention", $D2)), ISNUMBER(SEARCH("Attention", $T2)), ISNUMBER(SEARCH("Attention", $R2)), ISNUMBER(SEARCH("Attention", $S2))), 1, 0)</f>
        <v>0</v>
      </c>
      <c r="CL2" s="5">
        <f t="shared" ref="CL2:CL264" si="43">IF(OR(ISNUMBER(SEARCH("Self-efficacy", $D2)), ISNUMBER(SEARCH("Self-efficacy", $T2)), ISNUMBER(SEARCH("Self-efficacy", $R2)), ISNUMBER(SEARCH("Self-efficacy", $S2))), 1, 0)</f>
        <v>0</v>
      </c>
      <c r="CM2" s="5">
        <f t="shared" ref="CM2:CM264" si="44">IF(OR(ISNUMBER(SEARCH("Body Language", $D2)), ISNUMBER(SEARCH("Body Language", $T2)), ISNUMBER(SEARCH("Body Language", $R2)), ISNUMBER(SEARCH("Body Language", $S2))), 1, 0)</f>
        <v>0</v>
      </c>
      <c r="CN2" s="5">
        <f t="shared" ref="CN2:CN264" si="45">IF(OR(ISNUMBER(SEARCH("Self-leadership", $D2)), ISNUMBER(SEARCH("Self-leadership", $T2)), ISNUMBER(SEARCH("Self-leadership", $R2)), ISNUMBER(SEARCH("Self-leadership", $S2))), 1, 0)</f>
        <v>0</v>
      </c>
      <c r="CO2" s="5">
        <f t="shared" ref="CO2:CO264" si="46">IF(OR(ISNUMBER(SEARCH("Sense of Purpose", $D2)), ISNUMBER(SEARCH("Sense of Purpose", $T2)), ISNUMBER(SEARCH("Sense of Purpose", $R2)), ISNUMBER(SEARCH("Sense of Purpose", $S2))), 1, 0)</f>
        <v>0</v>
      </c>
      <c r="CP2" s="6">
        <f t="shared" ref="CP2:CP264" si="47">IF(OR(ISNUMBER(SEARCH("Life Satisfaction", $D2)), ISNUMBER(SEARCH("Life Satisfaction", $T2)), ISNUMBER(SEARCH("Life Satisfaction", $R2)), ISNUMBER(SEARCH("Life Satisfaction", $S2))), 1, 0)</f>
        <v>0</v>
      </c>
      <c r="CQ2" s="6">
        <f t="shared" ref="CQ2:CQ264" si="48">IF(OR(ISNUMBER(SEARCH("Physical Health", $D2)), ISNUMBER(SEARCH("Physical Health", $T2)), ISNUMBER(SEARCH("Physical Health", $R2)), ISNUMBER(SEARCH("Physical Health", $S2))), 1, 0)</f>
        <v>0</v>
      </c>
      <c r="CR2" s="6">
        <f t="shared" ref="CR2:CR264" si="49">IF(OR(ISNUMBER(SEARCH("Competence", $D2)), ISNUMBER(SEARCH("Competence", $T2)), ISNUMBER(SEARCH("Competence", $R2)), ISNUMBER(SEARCH("Competence", $S2))), 1, 0)</f>
        <v>0</v>
      </c>
      <c r="CS2" s="6">
        <f t="shared" ref="CS2:CS264" si="50">IF(OR(ISNUMBER(SEARCH("engagement", $D2)), ISNUMBER(SEARCH("engagement", $T2)), ISNUMBER(SEARCH("engagement", $R2)), ISNUMBER(SEARCH("engagement", $S2))), 1, 0)</f>
        <v>0</v>
      </c>
      <c r="CT2" s="6">
        <f t="shared" ref="CT2:CT83" si="51">IF(OR(ISNUMBER(SEARCH("optimism", $D2)), ISNUMBER(SEARCH("optimism", $T2)), ISNUMBER(SEARCH("optimism", $R2)), ISNUMBER(SEARCH("optimism", $S2))), 1, 0)</f>
        <v>0</v>
      </c>
      <c r="CU2" s="6">
        <f t="shared" ref="CU2:CU264" si="52">IF(OR(ISNUMBER(SEARCH("positive relationship", $D2)), ISNUMBER(SEARCH("positive relationship", $T2)), ISNUMBER(SEARCH("positive relationship", $R2)), ISNUMBER(SEARCH("positive relationship", $S2))), 1, 0)</f>
        <v>0</v>
      </c>
      <c r="CV2" s="6">
        <f t="shared" ref="CV2:CV264" si="53">IF(OR(ISNUMBER(SEARCH("Financial Security",$D2)),ISNUMBER(SEARCH("Financial Security",$T2)),ISNUMBER(SEARCH("Financial Security",$R2)),ISNUMBER(SEARCH("Financial Security",$S2)),
ISNUMBER(SEARCH("financial status",$D2)),ISNUMBER(SEARCH("financial status",$T2)),ISNUMBER(SEARCH("financial status",$R2)),ISNUMBER(SEARCH("financial status",$S2)),
ISNUMBER(SEARCH("financial condition",$D2)),ISNUMBER(SEARCH("financial condition",$T2)),ISNUMBER(SEARCH("financial condition",$R2)),ISNUMBER(SEARCH("financial condition",$S2)),
ISNUMBER(SEARCH("financial state",$D2)),ISNUMBER(SEARCH("financial state",$T2)),ISNUMBER(SEARCH("financial state",$R2)),ISNUMBER(SEARCH("financial state",$S2)),
ISNUMBER(SEARCH("Economic situation",$D2)),ISNUMBER(SEARCH("Economic situation",$T2)),ISNUMBER(SEARCH("Economic situation",$R2)),ISNUMBER(SEARCH("Economic situation",$S2)),
ISNUMBER(SEARCH("Financial health",$D2)),ISNUMBER(SEARCH("Financial health",$T2)),ISNUMBER(SEARCH("Financial health",$R2)),ISNUMBER(SEARCH("Financial health",$S2)),
ISNUMBER(SEARCH("Economic status",$D2)),ISNUMBER(SEARCH("Economic status",$T2)),ISNUMBER(SEARCH("Economic status",$R2)),ISNUMBER(SEARCH("Economic status",$S2)),
ISNUMBER(SEARCH("Monetary status",$D2)),ISNUMBER(SEARCH("Monetary status",$T2)),ISNUMBER(SEARCH("Monetary status",$R2)),ISNUMBER(SEARCH("Monetary status",$S2)),
ISNUMBER(SEARCH("Monetary state",$D2)),ISNUMBER(SEARCH("Monetary state",$T2)),ISNUMBER(SEARCH("Monetary state",$R2)),ISNUMBER(SEARCH("Monetary state",$S2))), 1, 0)</f>
        <v>0</v>
      </c>
      <c r="CW2" s="6">
        <f t="shared" ref="CW2:CW264" si="54">IF(OR(ISNUMBER(SEARCH("Comfort", $D2)), ISNUMBER(SEARCH("Comfort", $T2)), ISNUMBER(SEARCH("Comfort", $R2)), ISNUMBER(SEARCH("Comfort", $S2))), 1, 0)</f>
        <v>0</v>
      </c>
      <c r="CX2" s="6">
        <f t="shared" ref="CX2:CX264" si="55">IF(OR(ISNUMBER(SEARCH("Psychological Capital", $D2)), ISNUMBER(SEARCH("Psychological Capital", $T2)), ISNUMBER(SEARCH("Psychological Capital", $R2)), ISNUMBER(SEARCH("Psychological Capital", $S2))), 1, 0)</f>
        <v>0</v>
      </c>
      <c r="CY2" s="6">
        <f t="shared" ref="CY2:CY264" si="56">IF(OR(ISNUMBER(SEARCH("Productivity", $D2)), ISNUMBER(SEARCH("Productivity", $T2)), ISNUMBER(SEARCH("Productivity", $R2)), ISNUMBER(SEARCH("Productivity", $S2))), 1, 0)</f>
        <v>0</v>
      </c>
      <c r="CZ2" s="6">
        <f t="shared" ref="CZ2:CZ264" si="57">IF(OR(ISNUMBER(SEARCH("Happiness", $D2)), ISNUMBER(SEARCH("Happiness", $T2)), ISNUMBER(SEARCH("Happiness", $R2)), ISNUMBER(SEARCH("Happiness", $S2))), 1, 0)</f>
        <v>0</v>
      </c>
      <c r="DA2" s="6">
        <f t="shared" ref="DA2:DA264" si="58">IF(OR(ISNUMBER(SEARCH("Positive emotion", $D2)), ISNUMBER(SEARCH("Positive emotion", $T2)), ISNUMBER(SEARCH("Positive emotion", $R2)), ISNUMBER(SEARCH("Positive emotion", $S2))), 1, 0)</f>
        <v>1</v>
      </c>
      <c r="DB2" s="6">
        <f t="shared" ref="DB2:DB264" si="59">IF(OR(ISNUMBER(SEARCH("Resilience", $D2)), ISNUMBER(SEARCH("Resilience", $T2)), ISNUMBER(SEARCH("Resilience", $R2)), ISNUMBER(SEARCH("Resilience", $S2))), 1, 0)</f>
        <v>0</v>
      </c>
      <c r="DC2" s="6">
        <f t="shared" ref="DC2:DC264" si="60">IF(OR(ISNUMBER(SEARCH("Quality of Life", $D2)), ISNUMBER(SEARCH("Quality of Life", $T2)), ISNUMBER(SEARCH("Quality of Life", $R2)), ISNUMBER(SEARCH("Quality of Life", $S2))), 1, 0)</f>
        <v>0</v>
      </c>
      <c r="DD2" s="6">
        <f t="shared" ref="DD2:DD264" si="61">IF(OR(ISNUMBER(SEARCH("Self esteem", $D2)), ISNUMBER(SEARCH("Self esteem", $T2)), ISNUMBER(SEARCH("Self esteem", $R2)), ISNUMBER(SEARCH("Self esteem", $S2))), 1, 0)</f>
        <v>0</v>
      </c>
      <c r="DE2" s="6">
        <f t="shared" ref="DE2:DE264" si="62">IF(OR(ISNUMBER(SEARCH("Subjective Well-Being", $D2)), ISNUMBER(SEARCH("Subjective Well-Being", $T2)), ISNUMBER(SEARCH("Subjective Well-Being", $R2)), ISNUMBER(SEARCH("Subjective Well-Being", $S2))), 1, 0)</f>
        <v>0</v>
      </c>
      <c r="DF2" s="6">
        <f t="shared" ref="DF2:DF264" si="63">IF(OR(ISNUMBER(SEARCH("Vitality", $D2)), ISNUMBER(SEARCH("Vitality", $T2)), ISNUMBER(SEARCH("Vitality", $R2)), ISNUMBER(SEARCH("Vitality", $S2))), 1, 0)</f>
        <v>0</v>
      </c>
      <c r="DG2" s="6">
        <f t="shared" ref="DG2:DG264" si="64">IF(OR(ISNUMBER(SEARCH("meaning", $D2)), ISNUMBER(SEARCH("meaning", $T2)), ISNUMBER(SEARCH("meaning", $R2)), ISNUMBER(SEARCH("meaning", $S2))), 1, 0)</f>
        <v>0</v>
      </c>
      <c r="DH2" s="6">
        <f t="shared" ref="DH2:DH3" si="65">IF(
OR(
ISNUMBER(SEARCH("Spirituality",$D2)),ISNUMBER(SEARCH("Spirituality",$T2)),ISNUMBER(SEARCH("Spirituality",#REF!)),ISNUMBER(SEARCH("Spirituality",$S2)),
ISNUMBER(SEARCH("religio",$D2)),ISNUMBER(SEARCH("religio",$T2)),ISNUMBER(SEARCH("religio",$R2)),ISNUMBER(SEARCH("religio",$S2))), 1, 0)</f>
        <v>0</v>
      </c>
      <c r="DI2" s="6">
        <f t="shared" ref="DI2:DI264" si="66">IF(OR(ISNUMBER(SEARCH("Sleep", $D2)), ISNUMBER(SEARCH("Sleep", $T2)), ISNUMBER(SEARCH("Sleep", $R2)), ISNUMBER(SEARCH("Sleep", $S2))), 1, 0)</f>
        <v>0</v>
      </c>
      <c r="DJ2" s="6">
        <f t="shared" ref="DJ2:DJ29" si="67">IF(OR(ISNUMBER(SEARCH("Emotional stability", $D2)), ISNUMBER(SEARCH("Emotional stability", $T2)), ISNUMBER(SEARCH("Emotional stability", $R2)), ISNUMBER(SEARCH("Emotional stability", $S2))), 1, 0)</f>
        <v>0</v>
      </c>
      <c r="DK2" s="7">
        <f t="shared" ref="DK2:DK264" si="68">IF(OR(ISNUMBER(SEARCH("expert system",$D2)),ISNUMBER(SEARCH("expert system",$T2)),ISNUMBER(SEARCH("expert system",$R2)),ISNUMBER(SEARCH("expert system",$S2)),
ISNUMBER(SEARCH("semantic web",$D2)),ISNUMBER(SEARCH("semantic web",$T2)),ISNUMBER(SEARCH("semantic web",$R2)),ISNUMBER(SEARCH("semantic web",$S2)),
ISNUMBER(SEARCH("fuzzy logic",$D2)),ISNUMBER(SEARCH("fuzzy logic",$T2)),ISNUMBER(SEARCH("fuzzy logic",$R2)),ISNUMBER(SEARCH("fuzzy logic",$S2)),
ISNUMBER(SEARCH("uncertainty in artificial intelligence",$D2)),ISNUMBER(SEARCH("uncertainty in artificial intelligence",$T2)),ISNUMBER(SEARCH("uncertainty in artificial intelligence",$R2)),ISNUMBER(SEARCH("uncertainty in artificial intelligence",$S2)),
ISNUMBER(SEARCH("graphical model",$D2)),ISNUMBER(SEARCH("graphical model",$T2)),ISNUMBER(SEARCH("graphical model",$R2)),ISNUMBER(SEARCH("graphical model",$S2))), 1, 0)</f>
        <v>0</v>
      </c>
      <c r="DL2" s="7">
        <f t="shared" ref="DL2:DL3" si="69">IF(
OR(
ISNUMBER(SEARCH("common-sense reasoning",$D2)),ISNUMBER(SEARCH("common-sense reasoning",$T2)),ISNUMBER(SEARCH("common-sense reasoning",#REF!)),ISNUMBER(SEARCH("common-sense reasoning",$S2)),
ISNUMBER(SEARCH("religio",$D2)),ISNUMBER(SEARCH("religio",$T2)),ISNUMBER(SEARCH("religio",$R2)),ISNUMBER(SEARCH("religio",$S2))), 1, 0)</f>
        <v>0</v>
      </c>
      <c r="DM2" s="7">
        <f t="shared" ref="DM2:DM264" si="70">IF(OR(ISNUMBER(SEARCH("case-based reasoning",$D2)),ISNUMBER(SEARCH("case-based reasoning",$T2)),ISNUMBER(SEARCH("case-based reasoning",$R2)),ISNUMBER(SEARCH("case-based reasoning",$S2)),
ISNUMBER(SEARCH("inductive programming",$D2)),ISNUMBER(SEARCH("inductive programming",$T2)),ISNUMBER(SEARCH("inductive programming",$R2)),ISNUMBER(SEARCH("inductive programming",$S2)),
ISNUMBER(SEARCH("causal inference",$D2)),ISNUMBER(SEARCH("causal inference",$T2)),ISNUMBER(SEARCH("causal inference",$R2)),ISNUMBER(SEARCH("causal inference",$S2)),
ISNUMBER(SEARCH("information theory",$D2)),ISNUMBER(SEARCH("information theory",$T2)),ISNUMBER(SEARCH("information theory",$R2)),ISNUMBER(SEARCH("information theory",$S2)),
ISNUMBER(SEARCH("causal model",$D2)),ISNUMBER(SEARCH("causal model",$T2)),ISNUMBER(SEARCH("causal model",$R2)),ISNUMBER(SEARCH("causal model",$S2)),
ISNUMBER(SEARCH("knowledge representation",$D2)),ISNUMBER(SEARCH("knowledge representation",$T2)),ISNUMBER(SEARCH("knowledge representation",$R2)),ISNUMBER(SEARCH("knowledge representation",$S2)),
ISNUMBER(SEARCH("knowledge reasoning",$D2)),ISNUMBER(SEARCH("knowledge reasoning",$T2)),ISNUMBER(SEARCH("knowledge reasoning",$R2)),ISNUMBER(SEARCH("knowledge reasoning",$S2))), 1, 0)</f>
        <v>0</v>
      </c>
      <c r="DN2" s="7">
        <f t="shared" ref="DN2:DN264" si="71">IF(OR(ISNUMBER(SEARCH("bayesian optimisation",$D2)),ISNUMBER(SEARCH("bayesian optimisation",$T2)),ISNUMBER(SEARCH("bayesian optimisation",$R2)),ISNUMBER(SEARCH("bayesian optimisation",$S2)),
ISNUMBER(SEARCH("hierarchical task network",$D2)),ISNUMBER(SEARCH("hierarchical task network",$T2)),ISNUMBER(SEARCH("hierarchical task network",$R2)),ISNUMBER(SEARCH("hierarchical task network",$S2)),
ISNUMBER(SEARCH("constraint satisfaction",$D2)),ISNUMBER(SEARCH("constraint satisfaction",$T2)),ISNUMBER(SEARCH("constraint satisfaction",$R2)),ISNUMBER(SEARCH("constraint satisfaction",$S2)),
ISNUMBER(SEARCH("metaheuristic optimisation",$D2)),ISNUMBER(SEARCH("metaheuristic optimisation",$T2)),ISNUMBER(SEARCH("metaheuristic optimisation",$R2)),ISNUMBER(SEARCH("metaheuristic optimisation",$S2))), 1, 0)</f>
        <v>0</v>
      </c>
      <c r="DO2" s="7">
        <f t="shared" ref="DO2:DO264" si="72">IF(OR(ISNUMBER(SEARCH("evolutionary algorithm",$D2)),ISNUMBER(SEARCH("evolutionary algorithm",$T2)),ISNUMBER(SEARCH("evolutionary algorithm",$R2)),ISNUMBER(SEARCH("evolutionary algorithm",$S2)),
ISNUMBER(SEARCH("planning graph",$D2)),ISNUMBER(SEARCH("planning graph",$T2)),ISNUMBER(SEARCH("planning graph",$R2)),ISNUMBER(SEARCH("planning graph",$S2)),
ISNUMBER(SEARCH("genetic algorithm",$D2)),ISNUMBER(SEARCH("genetic algorithm",$T2)),ISNUMBER(SEARCH("genetic algorithm",$R2)),ISNUMBER(SEARCH("v",$S2)),
ISNUMBER(SEARCH("stochastic optimisation",$D2)),ISNUMBER(SEARCH("stochastic optimisation",$T2)),ISNUMBER(SEARCH("stochastic optimisation",$R2)),ISNUMBER(SEARCH("stochastic optimisation",$S2))), 1, 0)</f>
        <v>0</v>
      </c>
      <c r="DP2" s="8">
        <f t="shared" ref="DP2:DP264" si="73">IF(OR(ISNUMBER(SEARCH("gradient descent", $D2)), ISNUMBER(SEARCH("gradient descent", $T2)), ISNUMBER(SEARCH("gradient descent", $R2)), ISNUMBER(SEARCH("gradient descent", $S2))), 1, 0)</f>
        <v>0</v>
      </c>
      <c r="DQ2" s="8">
        <f t="shared" ref="DQ2:DQ264" si="74">IF(OR(ISNUMBER(SEARCH("anomaly detection",$D2)),ISNUMBER(SEARCH("anomaly detection",$T2)),ISNUMBER(SEARCH("anomaly detection",$R2)),ISNUMBER(SEARCH("anomaly detection",$S2)),
ISNUMBER(SEARCH("neural network",$D2)),ISNUMBER(SEARCH("neural network",$T2)),ISNUMBER(SEARCH("neural network",$R2)),ISNUMBER(SEARCH("neural network",$S2)),
ISNUMBER(SEARCH("machine learning",$D2)),ISNUMBER(SEARCH("machine learning",$T2)),ISNUMBER(SEARCH("machine learning",$R2)),ISNUMBER(SEARCH("machine learning",$S2)),
ISNUMBER(SEARCH("automatic classification",$D2)),ISNUMBER(SEARCH("automatic classification",$T2)),ISNUMBER(SEARCH("automatic classification",$R2)),ISNUMBER(SEARCH("automatic classification",$S2)),
ISNUMBER(SEARCH("automatic recognition",$D2)),ISNUMBER(SEARCH("automatic recognition",$T2)),ISNUMBER(SEARCH("automatic recognition",$R2)),ISNUMBER(SEARCH("automatic recognition",$S2)),
ISNUMBER(SEARCH("bayesian model",$D2)),ISNUMBER(SEARCH("bayesian model",$T2)),ISNUMBER(SEARCH("bayesian model",$R2)),ISNUMBER(SEARCH("bayesian model",$S2)),
ISNUMBER(SEARCH("deep learning",$D2)),ISNUMBER(SEARCH("deep learning",$T2)),ISNUMBER(SEARCH("deep learning",$R2)),ISNUMBER(SEARCH("deep learning",$S2)),
ISNUMBER(SEARCH("generative model",$D2)),ISNUMBER(SEARCH("generative model",$T2)),ISNUMBER(SEARCH("generative model",$R2)),ISNUMBER(SEARCH("generative model",$S2)), ISNUMBER(SEARCH("pattern recognition",$D2)),ISNUMBER(SEARCH("pattern recognition",$T2)),ISNUMBER(SEARCH("pattern recognition",$R2)),ISNUMBER(SEARCH("pattern recognition",$S2)),
ISNUMBER(SEARCH("recommender system",$D2)),ISNUMBER(SEARCH("recommender system",$T2)),ISNUMBER(SEARCH("recommender system",$R2)),ISNUMBER(SEARCH("recommender system",$S2)),
ISNUMBER(SEARCH("reinforcement learning",$D2)),ISNUMBER(SEARCH("reinforcement learning",$T2)),ISNUMBER(SEARCH("reinforcement learning",$R2)),ISNUMBER(SEARCH("reinforcement learning",$S2)),
ISNUMBER(SEARCH("semi-supervised learning",$D2)),ISNUMBER(SEARCH("semi-supervised learning",$T2)),ISNUMBER(SEARCH("semi-supervised learning",$R2)),ISNUMBER(SEARCH("semi-supervised learning",$S2)),
ISNUMBER(SEARCH("supervised learning",$D2)),ISNUMBER(SEARCH("supervised learning",$T2)),ISNUMBER(SEARCH("supervised learning",$R2)),ISNUMBER(SEARCH("supervised learning",$S2)),
ISNUMBER(SEARCH("support vector machine",$D2)),ISNUMBER(SEARCH("support vector machine",$T2)),ISNUMBER(SEARCH("support vector machine",$R2)),ISNUMBER(SEARCH("support vector machine",$S2)),
ISNUMBER(SEARCH("unsupervised learning",$D2)),ISNUMBER(SEARCH("unsupervised learning",$T2)),ISNUMBER(SEARCH("unsupervised learning",$R2)),ISNUMBER(SEARCH("unsupervised learning",$S2)),
ISNUMBER(SEARCH("feature extraction",$D2)),ISNUMBER(SEARCH("feature extraction",$T2)),ISNUMBER(SEARCH("feature extraction",$R2)),ISNUMBER(SEARCH("feature extraction",$S2))), 1, 0)</f>
        <v>1</v>
      </c>
      <c r="DR2" s="7">
        <f t="shared" ref="DR2:DR264" si="75">IF(OR(ISNUMBER(SEARCH("chatbot",$D2)),ISNUMBER(SEARCH("chatbot",$T2)),ISNUMBER(SEARCH("chatbot",$R2)),ISNUMBER(SEARCH("chatbot",$S2)),
ISNUMBER(SEARCH("conversation model",$D2)),ISNUMBER(SEARCH("conversation model",$T2)),ISNUMBER(SEARCH("conversation model",$R2)),ISNUMBER(SEARCH("conversation model",$S2)),
ISNUMBER(SEARCH("information extraction",$D2)),ISNUMBER(SEARCH("information extraction",$T2)),ISNUMBER(SEARCH("information extraction",$R2)),ISNUMBER(SEARCH("information extraction",$S2)),
ISNUMBER(SEARCH("natural language understanding",$D2)),ISNUMBER(SEARCH("natural language understanding",$T2)),ISNUMBER(SEARCH("natural language understanding",$R2)),ISNUMBER(SEARCH("natural language understanding",$S2)),
ISNUMBER(SEARCH("natural language generation",$D2)),ISNUMBER(SEARCH("natural language generation",$T2)),ISNUMBER(SEARCH("natural language generation",$R2)),ISNUMBER(SEARCH("natural language generation",$S2)),
ISNUMBER(SEARCH("machine translation",$D2)),ISNUMBER(SEARCH("machine translation",$T2)),ISNUMBER(SEARCH("machine translation",$R2)),ISNUMBER(SEARCH("machine translation",$S2)),
ISNUMBER(SEARCH("sentiment analysis",$D2)),ISNUMBER(SEARCH("sentiment analysis",$T2)),ISNUMBER(SEARCH("sentiment analysis",$R2)),ISNUMBER(SEARCH("sentiment analysis",$S2)),
ISNUMBER(SEARCH("text classification",$D2)),ISNUMBER(SEARCH("text classification",$T2)),ISNUMBER(SEARCH("text classification",$R2)),ISNUMBER(SEARCH("text classification",$S2)),
ISNUMBER(SEARCH("text mining",$D2)),ISNUMBER(SEARCH("text mining",$T2)),ISNUMBER(SEARCH("text mining",$R2)),ISNUMBER(SEARCH("text mining",$S2))), 1, 0)</f>
        <v>0</v>
      </c>
      <c r="DS2" s="7">
        <f t="shared" ref="DS2:DS264" si="76">IF(OR(ISNUMBER(SEARCH("action recognition",$D2)),ISNUMBER(SEARCH("action recognition",$T2)),ISNUMBER(SEARCH("action recognition",$R2)),ISNUMBER(SEARCH("action recognition",$S2)),
ISNUMBER(SEARCH("face recognition",$D2)),ISNUMBER(SEARCH("face recognition",$T2)),ISNUMBER(SEARCH("face recognition",$R2)),ISNUMBER(SEARCH("face recognition",$S2)),
ISNUMBER(SEARCH("gesture recognition",$D2)),ISNUMBER(SEARCH("gesture recognition",$T2)),ISNUMBER(SEARCH("gesture recognition",$R2)),ISNUMBER(SEARCH("gesture recognition",$S2)),
ISNUMBER(SEARCH("image processing",$D2)),ISNUMBER(SEARCH("image processing",$T2)),ISNUMBER(SEARCH("image processing",$R2)),ISNUMBER(SEARCH("image processing",$S2)),
ISNUMBER(SEARCH("image retrieval",$D2)),ISNUMBER(SEARCH("image retrieval",$T2)),ISNUMBER(SEARCH("image retrieval",$R2)),ISNUMBER(SEARCH("image retrieval",$S2)),
ISNUMBER(SEARCH("object recognition",$D2)),ISNUMBER(SEARCH("object recognition",$T2)),ISNUMBER(SEARCH("object recognition",$R2)),ISNUMBER(SEARCH("object recognition",$S2)),
ISNUMBER(SEARCH("recognition technology",$D2)),ISNUMBER(SEARCH("recognition technology",$T2)),ISNUMBER(SEARCH("recognition technology",$R2)),ISNUMBER(SEARCH("recognition technology",$S2)),
ISNUMBER(SEARCH("sensor network",$D2)),ISNUMBER(SEARCH("sensor network",$T2)),ISNUMBER(SEARCH("sensor network",$R2)),ISNUMBER(SEARCH("sensor network",$S2)),
ISNUMBER(SEARCH("visual search",$D2)),ISNUMBER(SEARCH("visual search",$T2)),ISNUMBER(SEARCH("visual search",$R2)),ISNUMBER(SEARCH("visual search",$S2))), 1, 0)</f>
        <v>0</v>
      </c>
      <c r="DT2" s="7">
        <f t="shared" ref="DT2:DT264" si="77">IF(OR(ISNUMBER(SEARCH("Audio processing",$D2)),ISNUMBER(SEARCH("Audio processing",$T2)),ISNUMBER(SEARCH("Audio processing",$R2)),ISNUMBER(SEARCH("Audio processing",$S2)),
ISNUMBER(SEARCH("speaker identification",$D2)),ISNUMBER(SEARCH("speaker identification",$T2)),ISNUMBER(SEARCH("speaker identification",$R2)),ISNUMBER(SEARCH("speaker identification",$S2)),
ISNUMBER(SEARCH("speech processing",$D2)),ISNUMBER(SEARCH("speech processing",$T2)),ISNUMBER(SEARCH("speech processing",$R2)),ISNUMBER(SEARCH("speech processing",$S2)),
ISNUMBER(SEARCH("speech synthesis",$D2)),ISNUMBER(SEARCH("speech synthesis",$T2)),ISNUMBER(SEARCH("speech synthesis",$R2)),ISNUMBER(SEARCH("speech synthesis",$S2)),
ISNUMBER(SEARCH("sound synthesis",$D2)),ISNUMBER(SEARCH("sound synthesis",$T2)),ISNUMBER(SEARCH("sound synthesis",$R2)),ISNUMBER(SEARCH("sound synthesis",$S2)),
ISNUMBER(SEARCH("sound description",$D2)),ISNUMBER(SEARCH("sound description",$T2)),ISNUMBER(SEARCH("sound description",$R2)),ISNUMBER(SEARCH("sound description",$S2)),
ISNUMBER(SEARCH("sound event recognition",$D2)),ISNUMBER(SEARCH("sound event recognition",$T2)),ISNUMBER(SEARCH("sound event recognition",$R2)),ISNUMBER(SEARCH("sound event recognition",$S2)),
ISNUMBER(SEARCH("sound source separation",$D2)),ISNUMBER(SEARCH("sound source separation",$T2)),ISNUMBER(SEARCH("sound source separation",$R2)),ISNUMBER(SEARCH("sound source separation",$S2)),
ISNUMBER(SEARCH("Speech Recognition",$D2)),ISNUMBER(SEARCH("Speech Recognition",$T2)),ISNUMBER(SEARCH("Speech Recognition",$R2)),ISNUMBER(SEARCH("Speech Recognition",$S2))), 1, 0)</f>
        <v>0</v>
      </c>
      <c r="DU2" s="9">
        <f t="shared" ref="DU2:DU264" si="78">IF(OR(ISNUMBER(SEARCH("agent-based modelling", $D2)), ISNUMBER(SEARCH("agent-based modelling", $T2)), ISNUMBER(SEARCH("agent-based modelling", $R2)), ISNUMBER(SEARCH("agent-based modelling", $S2))), 1, 0)</f>
        <v>0</v>
      </c>
      <c r="DV2" s="9">
        <f t="shared" ref="DV2:DV264" si="79">IF(OR(ISNUMBER(SEARCH("agreement technologies", $D2)), ISNUMBER(SEARCH("agreement technologies", $T2)), ISNUMBER(SEARCH("agreement technologies", $R2)), ISNUMBER(SEARCH("agreement technologies", $S2))), 1, 0)</f>
        <v>0</v>
      </c>
      <c r="DW2" s="9">
        <f t="shared" ref="DW2:DW264" si="80">IF(OR(ISNUMBER(SEARCH("computational economics", $D2)), ISNUMBER(SEARCH("computational economics", $T2)), ISNUMBER(SEARCH("computational economics", $R2)), ISNUMBER(SEARCH("computational economics", $S2))), 1, 0)</f>
        <v>0</v>
      </c>
      <c r="DX2" s="9">
        <f t="shared" ref="DX2:DX264" si="81">IF(OR(ISNUMBER(SEARCH("game theory", $D2)), ISNUMBER(SEARCH("game theory", $T2)), ISNUMBER(SEARCH("game theory", $R2)), ISNUMBER(SEARCH("game theory", $S2))), 1, 0)</f>
        <v>0</v>
      </c>
      <c r="DY2" s="9">
        <f t="shared" ref="DY2:DY264" si="82">IF(OR(ISNUMBER(SEARCH("intelligent agent", $D2)), ISNUMBER(SEARCH("intelligent agent", $T2)), ISNUMBER(SEARCH("intelligent agent", $R2)), ISNUMBER(SEARCH("intelligent agent", $S2))), 1, 0)</f>
        <v>0</v>
      </c>
      <c r="DZ2" s="9">
        <f t="shared" ref="DZ2:DZ264" si="83">IF(OR(ISNUMBER(SEARCH("negotiation algorithm", $D2)), ISNUMBER(SEARCH("negotiation algorithm", $T2)), ISNUMBER(SEARCH("negotiation algorithm", $R2)), ISNUMBER(SEARCH("ai application", $S2))), 1, 0)</f>
        <v>0</v>
      </c>
      <c r="EA2" s="9">
        <f t="shared" ref="EA2:EA264" si="84">IF(OR(ISNUMBER(SEARCH("network intelligence", $D2)), ISNUMBER(SEARCH("network intelligence", $T2)), ISNUMBER(SEARCH("network intelligence", $R2)), ISNUMBER(SEARCH("network intelligence", $S2))), 1, 0)</f>
        <v>0</v>
      </c>
      <c r="EB2" s="9">
        <f t="shared" ref="EB2:EB264" si="85">IF(OR(ISNUMBER(SEARCH("q-learning", $D2)), ISNUMBER(SEARCH("q-learning", $T2)), ISNUMBER(SEARCH("q-learning", $R2)), ISNUMBER(SEARCH("q-learning", $S2))), 1, 0)</f>
        <v>0</v>
      </c>
      <c r="EC2" s="9">
        <f t="shared" ref="EC2:EC264" si="86">IF(OR(ISNUMBER(SEARCH("cognitive system", $D2)), ISNUMBER(SEARCH("cognitive system", $T2)), ISNUMBER(SEARCH("cognitive system", $R2)), ISNUMBER(SEARCH("cognitive system", $S2))), 1, 0)</f>
        <v>0</v>
      </c>
      <c r="ED2" s="9">
        <f t="shared" ref="ED2:ED264" si="87">IF(OR(ISNUMBER(SEARCH("swarm intelligence", $D2)), ISNUMBER(SEARCH("swarm intelligence", $T2)), ISNUMBER(SEARCH("swarm intelligence", $R2)), ISNUMBER(SEARCH("swarm intelligence", $S2))), 1, 0)</f>
        <v>0</v>
      </c>
      <c r="EE2" s="9">
        <f t="shared" ref="EE2:EE264" si="88">IF(OR(ISNUMBER(SEARCH("human-ai interaction",$D2)),ISNUMBER(SEARCH("human-ai interaction",$T2)),ISNUMBER(SEARCH("human-ai interaction",$R2)),ISNUMBER(SEARCH("human-ai interaction",$S2)),
ISNUMBER(SEARCH("Human-Machine Interaction",$D2)),ISNUMBER(SEARCH("Human-Machine Interaction",$T2)),ISNUMBER(SEARCH("Human-Machine Interaction",$R2)),ISNUMBER(SEARCH("Human-Machine Interaction",$S2)),
ISNUMBER(SEARCH("Human-Computer Interaction",$D2)),ISNUMBER(SEARCH("Human-Computer Interaction",$T2)),ISNUMBER(SEARCH("Human-Computer Interaction",$R2)),ISNUMBER(SEARCH("Human-Computer Interaction",$S2)),
ISNUMBER(SEARCH("Human-AI Collaboration",$D2)),ISNUMBER(SEARCH("Human-AI Collaboration",$T2)),ISNUMBER(SEARCH("Human-AI Collaboration",$R2)),ISNUMBER(SEARCH("Human-AI Collaboration",$S2)),
ISNUMBER(SEARCH("Human-AI Partnership",$D2)),ISNUMBER(SEARCH("Human-AI Partnership",$T2)),ISNUMBER(SEARCH("Human-AI Partnership",$R2)),ISNUMBER(SEARCH("Human-AI Partnership",$S2)),
ISNUMBER(SEARCH("Human-AI Engagement",$D2)),ISNUMBER(SEARCH("Human-AI Engagement",$T2)),ISNUMBER(SEARCH("Human-AI Engagement",$R2)),ISNUMBER(SEARCH("Human-AI Engagement",$S2)),
ISNUMBER(SEARCH("Human-AI Communication",$D2)),ISNUMBER(SEARCH("Human-AI Communication",$T2)),ISNUMBER(SEARCH("Human-AI Communication",$R2)),ISNUMBER(SEARCH("Human-AI Communication",$S2)),
ISNUMBER(SEARCH("Human-AI Interface",$D2)),ISNUMBER(SEARCH("Human-AI Interface",$T2)),ISNUMBER(SEARCH("Human-AI Interface",$R2)),ISNUMBER(SEARCH("Human-AI Interface",$S2)),
ISNUMBER(SEARCH("Human-AI Integration",$D2)),ISNUMBER(SEARCH("Human-AI Integration",$T2)),ISNUMBER(SEARCH("Human-AI Integration",$R2)),ISNUMBER(SEARCH("Human-AI Integration",$S2))), 1, 0)</f>
        <v>0</v>
      </c>
      <c r="EF2" s="9">
        <f t="shared" ref="EF2:EF264" si="89">IF(OR(ISNUMBER(SEARCH("industrial robot", $D2)), ISNUMBER(SEARCH("industrial robot", $T2)), ISNUMBER(SEARCH("industrial robot", $R2)), ISNUMBER(SEARCH("industrial robot", $S2))), 1, 0)</f>
        <v>0</v>
      </c>
      <c r="EG2" s="9">
        <f t="shared" ref="EG2:EG264" si="90">IF(OR(ISNUMBER(SEARCH("robot system", $D2)), ISNUMBER(SEARCH("robot system", $T2)), ISNUMBER(SEARCH("robot system", $R2)), ISNUMBER(SEARCH("robot system", $S2))), 1, 0)</f>
        <v>0</v>
      </c>
      <c r="EH2" s="9">
        <f t="shared" ref="EH2:EH264" si="91">IF(OR(ISNUMBER(SEARCH("service robot", $D2)), ISNUMBER(SEARCH("service robot", $T2)), ISNUMBER(SEARCH("service robot", $R2)), ISNUMBER(SEARCH("service robot", $S2))), 1, 0)</f>
        <v>0</v>
      </c>
      <c r="EI2" s="9">
        <f t="shared" ref="EI2:EI264" si="92">IF(OR(ISNUMBER(SEARCH("social robot", $D2)), ISNUMBER(SEARCH("social robot", $T2)), ISNUMBER(SEARCH("social robot", $R2)), ISNUMBER(SEARCH("social robot", $S2))), 1, 0)</f>
        <v>0</v>
      </c>
      <c r="EJ2" s="10">
        <f t="shared" ref="EJ2:EJ264" si="93">IF(OR(ISNUMBER(SEARCH("ai application", $D2)), ISNUMBER(SEARCH("ai application", $T2)), ISNUMBER(SEARCH("ai application", $R2)), ISNUMBER(SEARCH("ai application", $S2))), 1, 0)</f>
        <v>0</v>
      </c>
      <c r="EK2" s="10">
        <f t="shared" ref="EK2:EK264" si="94">IF(OR(ISNUMBER(SEARCH("ai benchmark", $D2)), ISNUMBER(SEARCH("ai benchmark", $T2)), ISNUMBER(SEARCH("ai benchmark", $R2)), ISNUMBER(SEARCH("ai benchmark", $S2))), 1, 0)</f>
        <v>0</v>
      </c>
      <c r="EL2" s="10">
        <f t="shared" ref="EL2:EM2" si="2">IF(OR(ISNUMBER(SEARCH("ai software toolkit", $D2)), ISNUMBER(SEARCH("ai software toolkit", $T2)), ISNUMBER(SEARCH("ai software toolkit", $R2)), ISNUMBER(SEARCH("ai software toolkit", $S2))), 1, 0)</f>
        <v>0</v>
      </c>
      <c r="EM2" s="10">
        <f t="shared" si="2"/>
        <v>0</v>
      </c>
      <c r="EN2" s="10">
        <f t="shared" ref="EN2:EN264" si="96">IF(OR(ISNUMBER(SEARCH("analytics platform", $D2)), ISNUMBER(SEARCH("analytics platform", $T2)), ISNUMBER(SEARCH("analytics platform", $R2)), ISNUMBER(SEARCH("analytics platform", $S2))), 1, 0)</f>
        <v>0</v>
      </c>
      <c r="EO2" s="10">
        <f t="shared" ref="EO2:EO264" si="97">IF(OR(ISNUMBER(SEARCH("big data", $D2)), ISNUMBER(SEARCH("big data", $T2)), ISNUMBER(SEARCH("big data", $R2)), ISNUMBER(SEARCH("big data", $S2))), 1, 0)</f>
        <v>0</v>
      </c>
      <c r="EP2" s="10">
        <f t="shared" ref="EP2:EP264" si="98">IF(OR(ISNUMBER(SEARCH("business intelligence", $D2)), ISNUMBER(SEARCH("business intelligence", $T2)), ISNUMBER(SEARCH("business intelligence", $R2)), ISNUMBER(SEARCH("business intelligence", $S2))), 1, 0)</f>
        <v>0</v>
      </c>
      <c r="EQ2" s="10">
        <f t="shared" ref="EQ2:EQ264" si="99">IF(OR(ISNUMBER(SEARCH("central processing unit", $D2)), ISNUMBER(SEARCH("central processing unit", $T2)), ISNUMBER(SEARCH("central processing unit", $R2)), ISNUMBER(SEARCH("central processing unit", $S2))), 1, 0)</f>
        <v>0</v>
      </c>
      <c r="ER2" s="10">
        <f t="shared" ref="ER2:ER264" si="100">IF(OR(ISNUMBER(SEARCH("computational creativity", $D2)), ISNUMBER(SEARCH("computational creativity", $T2)), ISNUMBER(SEARCH("computational creativity", $R2)), ISNUMBER(SEARCH("computational creativity", $S2))), 1, 0)</f>
        <v>0</v>
      </c>
      <c r="ES2" s="10">
        <f t="shared" ref="ES2:ES264" si="101">IF(OR(ISNUMBER(SEARCH("computational neuroscience", $D2)), ISNUMBER(SEARCH("computational neuroscience", $T2)), ISNUMBER(SEARCH("computational neuroscience", $R2)), ISNUMBER(SEARCH("computational neuroscience", $S2))), 1, 0)</f>
        <v>0</v>
      </c>
      <c r="ET2" s="10">
        <f t="shared" ref="ET2:ET264" si="102">IF(OR(ISNUMBER(SEARCH("data analytic", $D2)), ISNUMBER(SEARCH("data analytic", $T2)), ISNUMBER(SEARCH("data analytic", $R2)), ISNUMBER(SEARCH("data analytic", $S2))), 1, 0)</f>
        <v>0</v>
      </c>
      <c r="EU2" s="10">
        <f t="shared" ref="EU2:EU264" si="103">IF(OR(ISNUMBER(SEARCH("decision analytic", $D2)), ISNUMBER(SEARCH("decision analytic", $T2)), ISNUMBER(SEARCH("decision analytic", $R2)), ISNUMBER(SEARCH("decision analytic", $S2))), 1, 0)</f>
        <v>0</v>
      </c>
      <c r="EV2" s="10">
        <f t="shared" ref="EV2:EV264" si="104">IF(OR(ISNUMBER(SEARCH("decision support", $D2)), ISNUMBER(SEARCH("decision support", $T2)), ISNUMBER(SEARCH("decision support", $R2)), ISNUMBER(SEARCH("decision support", $S2))), 1, 0)</f>
        <v>0</v>
      </c>
      <c r="EW2" s="10">
        <f t="shared" ref="EW2:EW264" si="105">IF(OR(ISNUMBER(SEARCH("distributed computing", $D2)), ISNUMBER(SEARCH("distributed computing", $T2)), ISNUMBER(SEARCH("distributed computing", $R2)), ISNUMBER(SEARCH("distributed computing", $S2))), 1, 0)</f>
        <v>0</v>
      </c>
      <c r="EX2" s="10">
        <f t="shared" ref="EX2:EX264" si="106">IF(OR(ISNUMBER(SEARCH("graphics processing unit", $D2)), ISNUMBER(SEARCH("graphics processing unit", $T2)), ISNUMBER(SEARCH("graphics processing unit", $R2)), ISNUMBER(SEARCH("graphics processing unit", $S2))), 1, 0)</f>
        <v>0</v>
      </c>
      <c r="EY2" s="10">
        <f t="shared" ref="EY2:EY264" si="107">IF(OR(ISNUMBER(SEARCH("intelligence software", $D2)), ISNUMBER(SEARCH("intelligence software", $T2)), ISNUMBER(SEARCH("intelligence software", $R2)), ISNUMBER(SEARCH("intelligence software", $S2))), 1, 0)</f>
        <v>0</v>
      </c>
      <c r="EZ2" s="10">
        <f t="shared" ref="EZ2:EZ264" si="108">IF(OR(ISNUMBER(SEARCH("intelligent control", $D2)), ISNUMBER(SEARCH("intelligent control", $T2)), ISNUMBER(SEARCH("intelligent control", $R2)), ISNUMBER(SEARCH("intelligent control", $S2))), 1, 0)</f>
        <v>0</v>
      </c>
      <c r="FA2" s="10">
        <f t="shared" ref="FA2:FA264" si="109">IF(OR(ISNUMBER(SEARCH("intelligent control system", $D2)), ISNUMBER(SEARCH("intelligent control system", $T2)), ISNUMBER(SEARCH("intelligent control system", $R2)), ISNUMBER(SEARCH("intelligent control system", $S2))), 1, 0)</f>
        <v>0</v>
      </c>
      <c r="FB2" s="10">
        <f t="shared" ref="FB2:FB264" si="110">IF(OR(ISNUMBER(SEARCH("intelligent hardware development", $D2)), ISNUMBER(SEARCH("intelligent hardware development", $T2)), ISNUMBER(SEARCH("intelligent hardware development", $R2)), ISNUMBER(SEARCH("intelligent hardware development", $S2))), 1, 0)</f>
        <v>0</v>
      </c>
      <c r="FC2" s="10">
        <f t="shared" ref="FC2:FC264" si="111">IF(OR(ISNUMBER(SEARCH("intelligent software development", $D2)), ISNUMBER(SEARCH("intelligent software development", $T2)), ISNUMBER(SEARCH("intelligent software development", $R2)), ISNUMBER(SEARCH("intelligent software development", $S2))), 1, 0)</f>
        <v>0</v>
      </c>
      <c r="FD2" s="10">
        <f t="shared" ref="FD2:FD264" si="112">IF(OR(ISNUMBER(SEARCH("intelligent user interface", $D2)), ISNUMBER(SEARCH("intelligent user interface", $T2)), ISNUMBER(SEARCH("intelligent user interface", $R2)), ISNUMBER(SEARCH("intelligent user interface", $S2))), 1, 0)</f>
        <v>0</v>
      </c>
      <c r="FE2" s="10">
        <f t="shared" ref="FE2:FE208" si="113">IF(
OR(
ISNUMBER(SEARCH("internet of things",$D2)),ISNUMBER(SEARCH("internet of things",$T2)),ISNUMBER(SEARCH("internet of things",$R2)),ISNUMBER(SEARCH("internet of things",$S2)),
ISNUMBER(SEARCH("IOT",$D2)),ISNUMBER(SEARCH("IOT",$T2)),ISNUMBER(SEARCH("IOT",$R2)),ISNUMBER(SEARCH("IOT",$S2))), 1, 0)</f>
        <v>0</v>
      </c>
      <c r="FF2" s="10">
        <f t="shared" ref="FF2:FF264" si="114">IF(OR(ISNUMBER(SEARCH("machine learning framework", $D2)), ISNUMBER(SEARCH("machine learning framework", $T2)), ISNUMBER(SEARCH("machine learning framework", $R2)), ISNUMBER(SEARCH("machine learning framework", $S2))), 1, 0)</f>
        <v>0</v>
      </c>
      <c r="FG2" s="10">
        <f t="shared" ref="FG2:FG264" si="115">IF(OR(ISNUMBER(SEARCH("machine learning library", $D2)), ISNUMBER(SEARCH("machine learning library", $T2)), ISNUMBER(SEARCH("machine learning library", $R2)), ISNUMBER(SEARCH("machine learning library", $S2))), 1, 0)</f>
        <v>0</v>
      </c>
      <c r="FH2" s="10">
        <f t="shared" ref="FH2:FH264" si="116">IF(OR(ISNUMBER(SEARCH("machine learning platform", $D2)), ISNUMBER(SEARCH("machine learning platform", $T2)), ISNUMBER(SEARCH("machine learning platform", $R2)), ISNUMBER(SEARCH("machine learning platform", $S2))), 1, 0)</f>
        <v>0</v>
      </c>
      <c r="FI2" s="10">
        <f t="shared" ref="FI2:FI264" si="117">IF(OR(ISNUMBER(SEARCH("personal assistant", $D2)), ISNUMBER(SEARCH("personal assistant", $T2)), ISNUMBER(SEARCH("personal assistant", $R2)), ISNUMBER(SEARCH("personal assistant", $S2))), 1, 0)</f>
        <v>0</v>
      </c>
      <c r="FJ2" s="10">
        <f t="shared" ref="FJ2:FJ264" si="118">IF(OR(ISNUMBER(SEARCH("platform as a service", $D2)), ISNUMBER(SEARCH("platform as a service", $T2)), ISNUMBER(SEARCH("platform as a service", $R2)), ISNUMBER(SEARCH("platform as a service", $S2))), 1, 0)</f>
        <v>0</v>
      </c>
      <c r="FK2" s="10">
        <f t="shared" ref="FK2:FK264" si="119">IF(OR(ISNUMBER(SEARCH("tensor processing unit", $D2)), ISNUMBER(SEARCH("tensor processing unit", $T2)), ISNUMBER(SEARCH("tensor processing unit", $R2)), ISNUMBER(SEARCH("tensor processing unit", $S2))), 1, 0)</f>
        <v>0</v>
      </c>
      <c r="FL2" s="10">
        <f t="shared" ref="FL2:FL264" si="120">IF(OR(ISNUMBER(SEARCH("virtual environment", $D2)), ISNUMBER(SEARCH("virtual environment", $T2)), ISNUMBER(SEARCH("virtual environment", $R2)), ISNUMBER(SEARCH("virtual environment", $S2))), 1, 0)</f>
        <v>0</v>
      </c>
      <c r="FM2" s="10">
        <f t="shared" ref="FM2:FM264" si="121">IF(OR(ISNUMBER(SEARCH("Virtual Reality", $D2)), ISNUMBER(SEARCH("Virtual Reality", $T2)), ISNUMBER(SEARCH("Virtual Reality", $R2)), ISNUMBER(SEARCH("Virtual Reality", $S2))), 1, 0)</f>
        <v>0</v>
      </c>
      <c r="FN2" s="10">
        <f t="shared" ref="FN2:FN264" si="122">IF(OR(ISNUMBER(SEARCH("Gamification", $D2)), ISNUMBER(SEARCH("Gamification", $T2)), ISNUMBER(SEARCH("Gamification", $R2)), ISNUMBER(SEARCH("Gamification", $S2))), 1, 0)</f>
        <v>0</v>
      </c>
      <c r="FO2" s="10">
        <f t="shared" ref="FO2:FO264" si="123">IF(OR(ISNUMBER(SEARCH("Blockchain", $D2)), ISNUMBER(SEARCH("Blockchain", $T2)), ISNUMBER(SEARCH("Blockchain", $R2)), ISNUMBER(SEARCH("Blockchain", $S2))), 1, 0)</f>
        <v>0</v>
      </c>
      <c r="FP2" s="10">
        <f t="shared" ref="FP2:FP264" si="124">IF(OR(ISNUMBER(SEARCH("Data Mining", $D2)), ISNUMBER(SEARCH("Data Mining", $T2)), ISNUMBER(SEARCH("Data Mining", $R2)), ISNUMBER(SEARCH("Data Mining", $S2))), 1, 0)</f>
        <v>0</v>
      </c>
      <c r="FQ2" s="10">
        <f t="shared" ref="FQ2:FQ264" si="125">IF(OR(ISNUMBER(SEARCH("wearable", $D2)), ISNUMBER(SEARCH("wearable", $T2)), ISNUMBER(SEARCH("wearable", $R2)), ISNUMBER(SEARCH("wearable", $S2))), 1, 0)</f>
        <v>0</v>
      </c>
      <c r="FR2" s="11">
        <f t="shared" ref="FR2:FR21" si="126">IF(
OR(
ISNUMBER(SEARCH("chatbot",$D2)),ISNUMBER(SEARCH("chatbot",$T2)),ISNUMBER(SEARCH("chatbot",#REF!)),ISNUMBER(SEARCH("chatbot",$S2)),
ISNUMBER(SEARCH("virtual assistance",$D2)),ISNUMBER(SEARCH("virtual assistance",$T2)),ISNUMBER(SEARCH("virtual assistance",$R2)),ISNUMBER(SEARCH("virtual assistance",$S2))), 1, 0)</f>
        <v>0</v>
      </c>
      <c r="FS2" s="11">
        <f t="shared" ref="FS2:FS264" si="127">IF(OR(ISNUMBER(SEARCH("Intelligent Tutoring System", $D2)), ISNUMBER(SEARCH("Intelligent Tutoring System", $T2)), ISNUMBER(SEARCH("Intelligent Tutoring System", $R2)), ISNUMBER(SEARCH("Intelligent Tutoring System", $S2))), 1, 0)</f>
        <v>0</v>
      </c>
      <c r="FT2" s="11">
        <f t="shared" ref="FT2:FT264" si="128">IF(OR(ISNUMBER(SEARCH("Personalized Education", $D2)), ISNUMBER(SEARCH("Personalized Education", $T2)), ISNUMBER(SEARCH("Personalized Education", $R2)), ISNUMBER(SEARCH("Personalized Education", $S2))), 1, 0)</f>
        <v>0</v>
      </c>
      <c r="FU2" s="11">
        <f t="shared" ref="FU2:FU264" si="129">IF(OR(ISNUMBER(SEARCH("Automated Assessment", $D2)), ISNUMBER(SEARCH("Automated Assessment", $T2)), ISNUMBER(SEARCH("Automated Assessment", $R2)), ISNUMBER(SEARCH("Automated Assessment", $S2))), 1, 0)</f>
        <v>0</v>
      </c>
      <c r="FV2" s="11">
        <f t="shared" ref="FV2:FV264" si="130">IF(OR(ISNUMBER(SEARCH("Machine Translation", $D2)), ISNUMBER(SEARCH("Machine Translation", $T2)), ISNUMBER(SEARCH("Machine Translation", $R2)), ISNUMBER(SEARCH("Machine Translation", $S2))), 1, 0)</f>
        <v>0</v>
      </c>
      <c r="FW2" s="11">
        <f t="shared" ref="FW2:FW264" si="131">IF(
OR(
ISNUMBER(SEARCH("Sentiment Analysis",$D2)),ISNUMBER(SEARCH("Sentiment Analysis",$T2)),ISNUMBER(SEARCH("Sentiment Analysis",$R2)),ISNUMBER(SEARCH("Sentiment Analysis",$S2)),
ISNUMBER(SEARCH("sentiment detection",$D2)),ISNUMBER(SEARCH("sentiment detection",$T2)),ISNUMBER(SEARCH("sentiment detection",$R2)),ISNUMBER(SEARCH("sentiment detection",$S2))), 1, 0)</f>
        <v>1</v>
      </c>
      <c r="FX2" s="11">
        <f t="shared" ref="FX2:FX264" si="132">IF(OR(ISNUMBER(SEARCH("Text Summarization", $D2)), ISNUMBER(SEARCH("Text Summarization", $T2)), ISNUMBER(SEARCH("Text Summarization", $R2)), ISNUMBER(SEARCH("Text Summarization", $S2))), 1, 0)</f>
        <v>0</v>
      </c>
      <c r="FY2" s="11">
        <f t="shared" ref="FY2:FY264" si="133">IF(OR(ISNUMBER(SEARCH("Automated Text Generation", $D2)), ISNUMBER(SEARCH("Automated Text Generation", $T2)), ISNUMBER(SEARCH("Automated Text Generation", $R2)), ISNUMBER(SEARCH("Automated Text Generation", $S2))), 1, 0)</f>
        <v>0</v>
      </c>
      <c r="FZ2" s="11">
        <f t="shared" ref="FZ2:FZ264" si="134">IF(OR(ISNUMBER(SEARCH("Speech Recognition", $D2)), ISNUMBER(SEARCH("Speech Recognition", $T2)), ISNUMBER(SEARCH("Speech Recognition", $R2)), ISNUMBER(SEARCH("Speech Recognition", $S2))), 1, 0)</f>
        <v>0</v>
      </c>
      <c r="GA2" s="11">
        <f t="shared" ref="GA2:GA264" si="135">IF(OR(ISNUMBER(SEARCH("Image Recognition", $D2)), ISNUMBER(SEARCH("Image Recognition", $T2)), ISNUMBER(SEARCH("Image Recognition", $R2)), ISNUMBER(SEARCH("Image Recognition", $S2))), 1, 0)</f>
        <v>0</v>
      </c>
      <c r="GB2" s="11">
        <f t="shared" ref="GB2:GB264" si="136">IF(OR(ISNUMBER(SEARCH("Object Detection", $D2)), ISNUMBER(SEARCH("Object Detection", $T2)), ISNUMBER(SEARCH("Object Detection", $R2)), ISNUMBER(SEARCH("Object Detection", $S2))), 1, 0)</f>
        <v>0</v>
      </c>
      <c r="GC2" s="11">
        <f t="shared" ref="GC2:GC264" si="137">IF(OR(ISNUMBER(SEARCH("Motion Tracking", $D2)), ISNUMBER(SEARCH("Motion Tracking", $T2)), ISNUMBER(SEARCH("Motion Tracking", $R2)), ISNUMBER(SEARCH("Motion Tracking", $S2))), 1, 0)</f>
        <v>0</v>
      </c>
      <c r="GD2" s="11">
        <f t="shared" ref="GD2:GD264" si="138">IF(OR(ISNUMBER(SEARCH("Image Segmentation", $D2)), ISNUMBER(SEARCH("Image Segmentation", $T2)), ISNUMBER(SEARCH("Image Segmentation", $R2)), ISNUMBER(SEARCH("Image Segmentation", $S2))), 1, 0)</f>
        <v>0</v>
      </c>
      <c r="GE2" s="11">
        <f t="shared" ref="GE2:GE264" si="139">IF(
OR(
ISNUMBER(SEARCH("Reading the Mind in the Eyes Test",$D2)),ISNUMBER(SEARCH("Reading the Mind in the Eyes Test",$T2)),ISNUMBER(SEARCH("Reading the Mind in the Eyes Test",$R2)),ISNUMBER(SEARCH("Reading the Mind in the Eyes Test",$S2)),
ISNUMBER(SEARCH("RMET",$D2)),ISNUMBER(SEARCH("RMET",$T2)),ISNUMBER(SEARCH("RMET",$R2)),ISNUMBER(SEARCH("RMET",$S2))), 1, 0)</f>
        <v>0</v>
      </c>
      <c r="GF2" s="11">
        <f t="shared" ref="GF2:GF264" si="140">IF(OR(ISNUMBER(SEARCH("Augmented Reality", $D2)), ISNUMBER(SEARCH("Augmented Reality", $T2)), ISNUMBER(SEARCH("Augmented Reality", $R2)), ISNUMBER(SEARCH("Augmented Reality", $S2))), 1, 0)</f>
        <v>0</v>
      </c>
      <c r="GG2" s="11">
        <f t="shared" ref="GG2:GG264" si="141">IF(OR(ISNUMBER(SEARCH("Virtual Reality", $D2)), ISNUMBER(SEARCH("Virtual Reality", $T2)), ISNUMBER(SEARCH("Virtual Reality", $R2)), ISNUMBER(SEARCH("Virtual Reality", $S2))), 1, 0)</f>
        <v>0</v>
      </c>
      <c r="GH2" s="11">
        <f t="shared" ref="GH2:GH264" si="142">IF(OR(ISNUMBER(SEARCH("Robotic Process Automation", $D2)), ISNUMBER(SEARCH("Robotic Process Automation", $T2)), ISNUMBER(SEARCH("Robotic Process Automation", $R2)), ISNUMBER(SEARCH("Robotic Process Automation", $S2))), 1, 0)</f>
        <v>0</v>
      </c>
      <c r="GI2" s="11">
        <f t="shared" ref="GI2:GI264" si="143">IF(OR(ISNUMBER(SEARCH("Eye Tracking", $D2)), ISNUMBER(SEARCH("Eye Tracking", $T2)), ISNUMBER(SEARCH("Eye Tracking", $R2)), ISNUMBER(SEARCH("Eye Tracking", $S2))), 1, 0)</f>
        <v>0</v>
      </c>
      <c r="GJ2" s="11">
        <f t="shared" ref="GJ2:GJ264" si="144">IF(OR(ISNUMBER(SEARCH("Language analysis", $D2)), ISNUMBER(SEARCH("Language analysis", $T2)), ISNUMBER(SEARCH("Language analysis", $R2)), ISNUMBER(SEARCH("Language analysis", $S2))), 1, 0)</f>
        <v>0</v>
      </c>
      <c r="GK2" s="11">
        <f t="shared" ref="GK2:GK264" si="145">IF(OR(ISNUMBER(SEARCH("Human Activity Recognition", $D2)), ISNUMBER(SEARCH("Human Activity Recognition", $T2)), ISNUMBER(SEARCH("Human Activity Recognition", $R2)), ISNUMBER(SEARCH("Human Activity Recognition", $S2))), 1, 0)</f>
        <v>0</v>
      </c>
      <c r="GL2" s="11">
        <f t="shared" ref="GL2:GL264" si="146">IF(OR(ISNUMBER(SEARCH("Linguistic vocalization analysis", $D2)), ISNUMBER(SEARCH("Linguistic vocalization analysis", $T2)), ISNUMBER(SEARCH("Linguistic vocalization analysis", $R2)), ISNUMBER(SEARCH("Linguistic vocalization analysis", $S2))), 1, 0)</f>
        <v>0</v>
      </c>
      <c r="GM2" s="11">
        <f t="shared" ref="GM2:GM264" si="147">IF(OR(ISNUMBER(SEARCH("Non-linguistic vocalization analysis", $D2)), ISNUMBER(SEARCH("Non-linguistic vocalization analysisn", $T2)), ISNUMBER(SEARCH("Non-linguistic vocalization analysis", $R2)), ISNUMBER(SEARCH("Non-linguistic vocalization analysis", $S2))), 1, 0)</f>
        <v>0</v>
      </c>
      <c r="GN2" s="11">
        <f t="shared" ref="GN2:GN264" si="148">IF(OR(ISNUMBER(SEARCH("Acoustic characteristics", $D2)), ISNUMBER(SEARCH("Acoustic characteristics", $T2)), ISNUMBER(SEARCH("Acoustic characteristics", $R2)), ISNUMBER(SEARCH("Acoustic characteristics", $S2))), 1, 0)</f>
        <v>0</v>
      </c>
      <c r="GO2" s="11">
        <f t="shared" ref="GO2:GO264" si="149">IF(OR(ISNUMBER(SEARCH("Gamification", $D2)), ISNUMBER(SEARCH("Gamification", $T2)), ISNUMBER(SEARCH("Gamification", $R2)), ISNUMBER(SEARCH("Gamification", $S2))), 1, 0)</f>
        <v>0</v>
      </c>
      <c r="GP2" s="11">
        <f t="shared" ref="GP2:GP264" si="150">IF(OR(ISNUMBER(SEARCH("Blockchain", $D2)), ISNUMBER(SEARCH("Blockchain", $T2)), ISNUMBER(SEARCH("Blockchain", $R2)), ISNUMBER(SEARCH("Blockchain", $S2))), 1, 0)</f>
        <v>0</v>
      </c>
      <c r="GQ2" s="11">
        <f t="shared" ref="GQ2:GQ264" si="151">IF(OR(ISNUMBER(SEARCH("Data Mining", $D2)), ISNUMBER(SEARCH("Data Mining", $T2)), ISNUMBER(SEARCH("Data Mining", $R2)), ISNUMBER(SEARCH("Data Mining", $S2))), 1, 0)</f>
        <v>0</v>
      </c>
      <c r="GR2" s="11">
        <f t="shared" ref="GR2:GR264" si="152">IF(OR(ISNUMBER(SEARCH("wearable", $D2)), ISNUMBER(SEARCH("wearable", $T2)), ISNUMBER(SEARCH("wearable", $R2)), ISNUMBER(SEARCH("wearable", $S2))), 1, 0)</f>
        <v>0</v>
      </c>
      <c r="GS2" s="11">
        <f t="shared" ref="GS2:GS264" si="153">IF(OR(ISNUMBER(SEARCH("grit",$D2)),ISNUMBER(SEARCH("grit",$T2)),ISNUMBER(SEARCH("grit",$R2)),ISNUMBER(SEARCH("grit",$S2)),
ISNUMBER(SEARCH("Persuasive technology",$D2)),ISNUMBER(SEARCH("Persuasive technology",$T2)),ISNUMBER(SEARCH("Persuasive technology",$R2)),ISNUMBER(SEARCH("Persuasive technology",$S2)),
ISNUMBER(SEARCH("Influence Technology",$D2)),ISNUMBER(SEARCH("Influence Technology",$T2)),ISNUMBER(SEARCH("Influence Technology",$R2)),ISNUMBER(SEARCH("Influence Technology",$S2)),
ISNUMBER(SEARCH("Persuasion Engineering",$D2)),ISNUMBER(SEARCH("Persuasion Engineering",$T2)),ISNUMBER(SEARCH("Persuasion Engineering",$R2)),ISNUMBER(SEARCH("Persuasion Engineering",$S2)),
ISNUMBER(SEARCH("Behavioral Technology",$D2)),ISNUMBER(SEARCH("Behavioral Technology",$T2)),ISNUMBER(SEARCH("Behavioral Technology",$R2)),ISNUMBER(SEARCH("Behavioral Technology",$S2)),
ISNUMBER(SEARCH("Persuasive Design",$D2)),ISNUMBER(SEARCH("Persuasive Design",$T2)),ISNUMBER(SEARCH("Persuasive Design",$R2)),ISNUMBER(SEARCH("Persuasive Design",$S2)),
ISNUMBER(SEARCH("Behavioral Engineering",$D2)),ISNUMBER(SEARCH("Behavioral Engineering",$T2)),ISNUMBER(SEARCH("Behavioral Engineering",$R2)),ISNUMBER(SEARCH("Behavioral Engineering",$S2)),
ISNUMBER(SEARCH("Captology",$D2)),ISNUMBER(SEARCH("Captology",$T2)),ISNUMBER(SEARCH("Captology",$R2)),ISNUMBER(SEARCH("Captology",$S2)),
ISNUMBER(SEARCH("Behavioral Design",$D2)),ISNUMBER(SEARCH("Behavioral Design",$T2)),ISNUMBER(SEARCH("Behavioral Design",$R2)),ISNUMBER(SEARCH("Behavioral Design",$S2))), 1, 0)</f>
        <v>0</v>
      </c>
      <c r="GT2" s="11">
        <f t="shared" ref="GT2:GT264" si="154">IF(OR(ISNUMBER(SEARCH("Affective Computing", $D2)), ISNUMBER(SEARCH("Affective Computing", $T2)), ISNUMBER(SEARCH("Affective Computing", $R2)), ISNUMBER(SEARCH("Affective Computing", $S2))), 1, 0)</f>
        <v>0</v>
      </c>
      <c r="GU2" s="12">
        <f t="shared" ref="GU2:GU264" si="155">IF(OR(ISNUMBER(SEARCH("Social Skills Rating System", $D2)), ISNUMBER(SEARCH("Social Skills Rating System", $T2)), ISNUMBER(SEARCH("Social Skills Rating System", $R2)), ISNUMBER(SEARCH("Social Skills Rating System", $S2))), 1, 0)</f>
        <v>0</v>
      </c>
      <c r="GV2" s="12">
        <f t="shared" ref="GV2:GV264" si="156">IF(OR(ISNUMBER(SEARCH("Matson Evaluation of Social Skills in Youngsters", $D2)), ISNUMBER(SEARCH("Matson Evaluation of Social Skills in Youngsters", $T2)), ISNUMBER(SEARCH("Matson Evaluation of Social Skills in Youngsters", $R2)), ISNUMBER(SEARCH("Matson Evaluation of Social Skills in Youngsters", $S2))), 1, 0)</f>
        <v>0</v>
      </c>
      <c r="GW2" s="12">
        <f t="shared" ref="GW2:GW264" si="157">IF(OR(ISNUMBER(SEARCH("Matson Social Skills Inventory", $D2)), ISNUMBER(SEARCH("Matson Social Skills Inventory", $T2)), ISNUMBER(SEARCH("Matson Social Skills Inventory", $R2)), ISNUMBER(SEARCH("Matson Social Skills Inventory", $S2))), 1, 0)</f>
        <v>0</v>
      </c>
      <c r="GX2" s="12">
        <f t="shared" ref="GX2:GX264" si="158">IF(OR(ISNUMBER(SEARCH("Rathus Assertiveness Schedule", $D2)), ISNUMBER(SEARCH("Rathus Assertiveness Schedule", $T2)), ISNUMBER(SEARCH("Rathus Assertiveness Schedule", $R2)), ISNUMBER(SEARCH("Rathus Assertiveness Schedule", $S2))), 1, 0)</f>
        <v>0</v>
      </c>
      <c r="GY2" s="12">
        <f t="shared" ref="GY2:GY264" si="159">IF(OR(ISNUMBER(SEARCH("Communication Skills Inventory", $D2)), ISNUMBER(SEARCH("Communication Skills Inventory", $T2)), ISNUMBER(SEARCH("Communication Skills Inventory", $R2)), ISNUMBER(SEARCH("Communication Skills Inventory", $S2))), 1, 0)</f>
        <v>0</v>
      </c>
      <c r="GZ2" s="12">
        <f t="shared" ref="GZ2:GZ264" si="160">IF(OR(ISNUMBER(SEARCH("Vineland Adaptive Behavior Scales", $D2)), ISNUMBER(SEARCH("Vineland Adaptive Behavior Scales", $T2)), ISNUMBER(SEARCH("Vineland Adaptive Behavior Scales", $R2)), ISNUMBER(SEARCH("Vineland Adaptive Behavior Scales", $S2))), 1, 0)</f>
        <v>0</v>
      </c>
      <c r="HA2" s="12">
        <f t="shared" ref="HA2:HA264" si="161">IF(
OR(
ISNUMBER(SEARCH("Davis Interpersonal Reactivity Index",$D2)),ISNUMBER(SEARCH("Davis Interpersonal Reactivity Index",$T2)),ISNUMBER(SEARCH("Davis Interpersonal Reactivity Index",$R2)),ISNUMBER(SEARCH("Davis Interpersonal Reactivity Index",$S2))), 1, 0)</f>
        <v>0</v>
      </c>
      <c r="HB2" s="12">
        <f t="shared" ref="HB2:HB264" si="162">IF(OR(ISNUMBER(SEARCH("Social-Emotional Learning Assessment", $D2)), ISNUMBER(SEARCH("Social-Emotional Learning Assessment", $T2)), ISNUMBER(SEARCH("Social-Emotional Learning Assessment", $R2)), ISNUMBER(SEARCH("Social-Emotional Learning Assessment", $S2))), 1, 0)</f>
        <v>0</v>
      </c>
      <c r="HC2" s="12">
        <f t="shared" ref="HC2:HC264" si="163">IF(OR(ISNUMBER(SEARCH("Life Skills Scale", $D2)), ISNUMBER(SEARCH("Life Skills Scale", $T2)), ISNUMBER(SEARCH("Life Skills Scale", $R2)), ISNUMBER(SEARCH("Life Skills Scale", $S2))), 1, 0)</f>
        <v>0</v>
      </c>
      <c r="HD2" s="12">
        <f t="shared" ref="HD2:HD264" si="164">IF(OR(ISNUMBER(SEARCH("Wong and Law Emotional Intelligence Scale", $D2)), ISNUMBER(SEARCH("Wong and Law Emotional Intelligence Scale", $T2)), ISNUMBER(SEARCH("Wong and Law Emotional Intelligence Scale", $R2)), ISNUMBER(SEARCH("Wong and Law Emotional Intelligence Scalee", $S2))), 1, 0)</f>
        <v>0</v>
      </c>
      <c r="HE2" s="12">
        <f t="shared" ref="HE2:HE264" si="165">IF(
OR(
ISNUMBER(SEARCH("Connor-Davidson Resilience Scale",$D2)),ISNUMBER(SEARCH("Connor-Davidson Resilience Scale",$T2)),ISNUMBER(SEARCH("Connor-Davidson Resilience Scale",$R2)),ISNUMBER(SEARCH("Connor-Davidson Resilience Scale",$S2))), 1, 0)</f>
        <v>0</v>
      </c>
      <c r="HF2" s="12">
        <f t="shared" ref="HF2:HF264" si="166">IF(
OR(
ISNUMBER(SEARCH("Collaborative for Academic, Social, and Emotional Learning",$D2)),ISNUMBER(SEARCH("Collaborative for Academic, Social, and Emotional Learning",$T2)),ISNUMBER(SEARCH("Collaborative for Academic, Social, and Emotional Learning",$R2)),ISNUMBER(SEARCH("Collaborative for Academic, Social, and Emotional Learning",$S2))), 1, 0)</f>
        <v>0</v>
      </c>
      <c r="HG2" s="12">
        <f t="shared" ref="HG2:HG264" si="167">IF(
OR(
ISNUMBER(SEARCH("Ruler Program",$D2)),ISNUMBER(SEARCH("Ruler Program",$T2)),ISNUMBER(SEARCH("Ruler Program",$R2)),ISNUMBER(SEARCH("Ruler Program",$S2)),
ISNUMBER(SEARCH("Recognize, Understand, Label, Express, Regulate",$D2)),ISNUMBER(SEARCH("Recognize, Understand, Label, Express, Regulate",$T2)),ISNUMBER(SEARCH("Recognize, Understand, Label, Express, Regulate",$R2)),ISNUMBER(SEARCH("Recognize, Understand, Label, Express, Regulate",$S2))), 1, 0)</f>
        <v>0</v>
      </c>
      <c r="HH2" s="12">
        <f t="shared" ref="HH2:HH264" si="168">IF(OR(ISNUMBER(SEARCH("Levels of Emotional Awareness Scale", $D2)), ISNUMBER(SEARCH("Levels of Emotional Awareness Scale", $T2)), ISNUMBER(SEARCH("Levels of Emotional Awareness Scale", $R2)), ISNUMBER(SEARCH("Levels of Emotional Awareness Scale", $S2))), 1, 0)</f>
        <v>0</v>
      </c>
      <c r="HI2" s="12">
        <f t="shared" ref="HI2:HI264" si="169">IF(OR(ISNUMBER(SEARCH("Bar-On Emotional Quotient Inventory", $D2)), ISNUMBER(SEARCH("Bar-On Emotional Quotient Inventory", $T2)), ISNUMBER(SEARCH("Bar-On Emotional Quotient Inventory", $R2)), ISNUMBER(SEARCH("Bar-On Emotional Quotient Inventory", $S2))), 1, 0)</f>
        <v>0</v>
      </c>
      <c r="HJ2" s="12">
        <f t="shared" ref="HJ2:HJ264" si="170">IF(
OR(
ISNUMBER(SEARCH("Mayer-Salovey-Caruso Emotional Intelligence Test",$D2)),ISNUMBER(SEARCH("Mayer-Salovey-Caruso Emotional Intelligence Test",$T2)),ISNUMBER(SEARCH("Mayer-Salovey-Caruso Emotional Intelligence Test",$R2)),ISNUMBER(SEARCH("Mayer-Salovey-Caruso Emotional Intelligence Test",$S2)),
ISNUMBER(SEARCH("MSCEIT",$D2)),ISNUMBER(SEARCH("MSCEIT",$T2)),ISNUMBER(SEARCH("MSCEIT",$R2)),ISNUMBER(SEARCH("MSCEIT",$S2))), 1, 0)</f>
        <v>0</v>
      </c>
      <c r="HK2" s="12">
        <f t="shared" ref="HK2:HK264" si="171">IF(
OR(
ISNUMBER(SEARCH("Emotion Regulation Skills Questionnaire",$D2)),ISNUMBER(SEARCH("Emotion Regulation Skills Questionnaire",$T2)),ISNUMBER(SEARCH("Emotion Regulation Skills Questionnaire",$R2)),ISNUMBER(SEARCH("Emotion Regulation Skills Questionnaire",$S2)),
ISNUMBER(SEARCH("ERSQ",$D2)),ISNUMBER(SEARCH("ERSQ",$T2)),ISNUMBER(SEARCH("ERSQ",$R2)),ISNUMBER(SEARCH("ERSQ",$S2))), 1, 0)</f>
        <v>0</v>
      </c>
      <c r="HL2" s="12">
        <f t="shared" ref="HL2:HL264" si="172">IF(OR(ISNUMBER(SEARCH("21st Century Learning", $D2)), ISNUMBER(SEARCH("21st Century Learning", $T2)), ISNUMBER(SEARCH("21st Century Learning", $R2)), ISNUMBER(SEARCH("21st Century Learning", $S2))), 1, 0)</f>
        <v>0</v>
      </c>
      <c r="HM2" s="12">
        <f t="shared" ref="HM2:HM264" si="173">IF(OR(ISNUMBER(SEARCH("ACT Holistic", $D2)), ISNUMBER(SEARCH("ACT Holistic", $T2)), ISNUMBER(SEARCH("ACT Holistic", $R2)), ISNUMBER(SEARCH("ACT Holistic", $S2))), 1, 0)</f>
        <v>0</v>
      </c>
      <c r="HN2" s="12">
        <f t="shared" ref="HN2:HN264" si="174">IF(
OR(
ISNUMBER(SEARCH("Big Five",$D2)),ISNUMBER(SEARCH("Big Five",$T2)),ISNUMBER(SEARCH("Big Five",$R2)),ISNUMBER(SEARCH("Big Five",$S2)),
ISNUMBER(SEARCH("Big 5",$D2)),ISNUMBER(SEARCH("Big 5",$T2)),ISNUMBER(SEARCH("Big 5",$R2)),ISNUMBER(SEARCH("Big 5",$S2))), 1, 0)</f>
        <v>0</v>
      </c>
      <c r="HO2" s="12">
        <f t="shared" ref="HO2:HO264" si="175">IF(OR(ISNUMBER(SEARCH("Building Blocks for Learning", $D2)), ISNUMBER(SEARCH("Building Blocks for Learning", $T2)), ISNUMBER(SEARCH("Building Blocks for Learning", $R2)), ISNUMBER(SEARCH("Building Blocks for Learning", $S2))), 1, 0)</f>
        <v>0</v>
      </c>
      <c r="HP2" s="12">
        <f t="shared" ref="HP2:HP264" si="176">IF(OR(ISNUMBER(SEARCH("CASEL", $D2)), ISNUMBER(SEARCH("CASEL", $T2)), ISNUMBER(SEARCH("CASEL", $R2)), ISNUMBER(SEARCH("CASEL", $S2))), 1, 0)</f>
        <v>0</v>
      </c>
      <c r="HQ2" s="12">
        <f t="shared" ref="HQ2:HQ264" si="177">IF(OR(ISNUMBER(SEARCH("Character Lab", $D2)), ISNUMBER(SEARCH("Character Lab", $T2)), ISNUMBER(SEARCH("Character Lab", $R2)), ISNUMBER(SEARCH("Character Lab", $S2))), 1, 0)</f>
        <v>0</v>
      </c>
      <c r="HR2" s="12">
        <f t="shared" ref="HR2:HR264" si="178">IF(OR(ISNUMBER(SEARCH("Clover Model", $D2)), ISNUMBER(SEARCH("Clover Model", $T2)), ISNUMBER(SEARCH("Clover Model", $R2)), ISNUMBER(SEARCH("Clover Model", $S2))), 1, 0)</f>
        <v>0</v>
      </c>
      <c r="HS2" s="12">
        <f t="shared" ref="HS2:HS264" si="179">IF(OR(ISNUMBER(SEARCH("Developmental Assets", $D2)), ISNUMBER(SEARCH("Developmental Assets", $T2)), ISNUMBER(SEARCH("Developmental Assets", $R2)), ISNUMBER(SEARCH("Developmental Assets", $S2))), 1, 0)</f>
        <v>0</v>
      </c>
      <c r="HT2" s="12">
        <f t="shared" ref="HT2:HT264" si="180">IF(OR(ISNUMBER(SEARCH("EDC Work Ready", $D2)), ISNUMBER(SEARCH("EDC Work Ready", $T2)), ISNUMBER(SEARCH("EDC Work Ready", $R2)), ISNUMBER(SEARCH("EDC Work Ready", $S2))), 1, 0)</f>
        <v>0</v>
      </c>
      <c r="HU2" s="12">
        <f t="shared" ref="HU2:HU264" si="181">IF(OR(ISNUMBER(SEARCH("NESET", $D2)), ISNUMBER(SEARCH(" NESET", $T2)), ISNUMBER(SEARCH("NESET", $R2)), ISNUMBER(SEARCH("NESET", $S2))), 1, 0)</f>
        <v>0</v>
      </c>
      <c r="HV2" s="12">
        <f t="shared" ref="HV2:HV264" si="182">IF(OR(ISNUMBER(SEARCH("Emotional Intelligence", $D2)), ISNUMBER(SEARCH("Emotional Intelligence", $T2)), ISNUMBER(SEARCH("Emotional Intelligence", $R2)), ISNUMBER(SEARCH("Emotional Intelligence", $S2))), 1, 0)</f>
        <v>0</v>
      </c>
      <c r="HW2" s="12">
        <f t="shared" ref="HW2:HW264" si="183">IF(OR(ISNUMBER(SEARCH("Employability Skills", $D2)), ISNUMBER(SEARCH("Employability Skills", $T2)), ISNUMBER(SEARCH("Employability Skills", $R2)), ISNUMBER(SEARCH("Employability Skills", $S2))), 1, 0)</f>
        <v>0</v>
      </c>
      <c r="HX2" s="12">
        <f t="shared" ref="HX2:HX264" si="184">IF(OR(ISNUMBER(SEARCH("Habits of Mind", $D2)), ISNUMBER(SEARCH("Habits of Mind", $T2)), ISNUMBER(SEARCH("Habits of Mind", $R2)), ISNUMBER(SEARCH("Habits of Mind", $S2))), 1, 0)</f>
        <v>0</v>
      </c>
      <c r="HY2" s="12">
        <f t="shared" ref="HY2:HY264" si="185">IF(OR(ISNUMBER(SEARCH("Head Start", $D2)), ISNUMBER(SEARCH("Head Start", $T2)), ISNUMBER(SEARCH("Head Start", $R2)), ISNUMBER(SEARCH("Head Start", $S2))), 1, 0)</f>
        <v>0</v>
      </c>
      <c r="HZ2" s="12">
        <f t="shared" ref="HZ2:HZ264" si="186">IF(OR(ISNUMBER(SEARCH("Hilton &amp; Pellegrino", $D2)), ISNUMBER(SEARCH("Hilton &amp; Pellegrino", $T2)), ISNUMBER(SEARCH("Hilton &amp; Pellegrino", $R2)), ISNUMBER(SEARCH("Hilton &amp; Pellegrino", $S2))), 1, 0)</f>
        <v>0</v>
      </c>
      <c r="IA2" s="12">
        <f t="shared" ref="IA2:IA264" si="187">IF(OR(ISNUMBER(SEARCH("IB Learner", $D2)), ISNUMBER(SEARCH("IB Learner", $T2)), ISNUMBER(SEARCH("IB Learner", $R2)), ISNUMBER(SEARCH("IB Learner", $S2))), 1, 0)</f>
        <v>0</v>
      </c>
      <c r="IB2" s="12">
        <f t="shared" ref="IB2:IB264" si="188">IF(OR(ISNUMBER(SEARCH("IRC Social and Emotional", $D2)), ISNUMBER(SEARCH("IRC Social and Emotional", $T2)), ISNUMBER(SEARCH("IRC Social and Emotional", $R2)), ISNUMBER(SEARCH("IRC Social and Emotional", $S2))), 1, 0)</f>
        <v>0</v>
      </c>
      <c r="IC2" s="12">
        <f t="shared" ref="IC2:IC264" si="189">IF(OR(ISNUMBER(SEARCH("K-12", $D2)), ISNUMBER(SEARCH("K-12", $T2)), ISNUMBER(SEARCH("K-12", $R2)), ISNUMBER(SEARCH("K-12", $S2))), 1, 0)</f>
        <v>0</v>
      </c>
      <c r="ID2" s="12">
        <f t="shared" ref="ID2:ID264" si="190">IF(OR(ISNUMBER(SEARCH("K-3 SEL", $D2)), ISNUMBER(SEARCH("K-3 SEL", $T2)), ISNUMBER(SEARCH("K-3 SEL", $R2)), ISNUMBER(SEARCH("K-3 SEL", $S2))), 1, 0)</f>
        <v>0</v>
      </c>
      <c r="IE2" s="12">
        <f t="shared" ref="IE2:IE264" si="191">IF(OR(ISNUMBER(SEARCH("KIPP", $D2)), ISNUMBER(SEARCH("KIPP", $T2)), ISNUMBER(SEARCH("KIPP", $R2)), ISNUMBER(SEARCH("KIPP", $S2))), 1, 0)</f>
        <v>0</v>
      </c>
      <c r="IF2" s="12">
        <f t="shared" ref="IF2:IF264" si="192">IF(OR(ISNUMBER(SEARCH("Kenya BECF", $D2)), ISNUMBER(SEARCH("Kenya BECF", $T2)), ISNUMBER(SEARCH("Kenya BECF", $R2)), ISNUMBER(SEARCH("Kenya BECF", $S2))), 1, 0)</f>
        <v>0</v>
      </c>
      <c r="IG2" s="12">
        <f t="shared" ref="IG2:IG264" si="193">IF(OR(ISNUMBER(SEARCH("Kenya TVET", $D2)), ISNUMBER(SEARCH("Kenya TVET", $T2)), ISNUMBER(SEARCH("Kenya TVET", $R2)), ISNUMBER(SEARCH("Kenya TVET", $S2))), 1, 0)</f>
        <v>0</v>
      </c>
      <c r="IH2" s="12">
        <f t="shared" ref="IH2:IH264" si="194">IF(OR(ISNUMBER(SEARCH("LEGO's Skills", $D2)), ISNUMBER(SEARCH("LEGO's Skills", $T2)), ISNUMBER(SEARCH("LEGO's Skills", $R2)), ISNUMBER(SEARCH("LEGO's Skills", $S2))), 1, 0)</f>
        <v>0</v>
      </c>
      <c r="II2" s="12">
        <f t="shared" ref="II2:II264" si="195">IF(OR(ISNUMBER(SEARCH("MELQO MODEL", $D2)), ISNUMBER(SEARCH("MELQO MODEL", $T2)), ISNUMBER(SEARCH("MELQO MODEL", $R2)), ISNUMBER(SEARCH("MELQO MODEL", $S2))), 1, 0)</f>
        <v>0</v>
      </c>
      <c r="IJ2" s="12">
        <f t="shared" ref="IJ2:IJ264" si="196">IF(OR(ISNUMBER(SEARCH("Mindsets, Essential Skills, and Habits", $D2)), ISNUMBER(SEARCH("Mindsets, Essential Skills, and Habits", $T2)), ISNUMBER(SEARCH("Mindsets, Essential Skills, and Habits", $R2)), ISNUMBER(SEARCH("Mindsets, Essential Skills, and Habits", $S2))), 1, 0)</f>
        <v>0</v>
      </c>
      <c r="IK2" s="12">
        <f t="shared" ref="IK2:IK264" si="197">IF(OR(ISNUMBER(SEARCH("OECD Framework", $D2)), ISNUMBER(SEARCH("OECD Framework", $T2)), ISNUMBER(SEARCH("OECD Framework", $R2)), ISNUMBER(SEARCH("OECD Framework", $S2))), 1, 0)</f>
        <v>0</v>
      </c>
      <c r="IL2" s="12">
        <f t="shared" ref="IL2:IL264" si="198">IF(OR(ISNUMBER(SEARCH("Pratham Life", $D2)), ISNUMBER(SEARCH("Pratham Life", $T2)), ISNUMBER(SEARCH("Pratham Life", $R2)), ISNUMBER(SEARCH("Pratham Life", $S2))), 1, 0)</f>
        <v>0</v>
      </c>
      <c r="IM2" s="12">
        <f t="shared" ref="IM2:IM264" si="199">IF(OR(ISNUMBER(SEARCH("Preparing Youth to Thrive", $D2)), ISNUMBER(SEARCH("Preparing Youth to Thrive", $T2)), ISNUMBER(SEARCH("Preparing Youth to Thrive", $R2)), ISNUMBER(SEARCH("Preparing Youth to Thrive", $S2))), 1, 0)</f>
        <v>0</v>
      </c>
      <c r="IN2" s="12">
        <f t="shared" ref="IN2:IN264" si="200">IF(OR(ISNUMBER(SEARCH("Room to Read Life Skills", $D2)), ISNUMBER(SEARCH("Room to Read Life Skills", $T2)), ISNUMBER(SEARCH("Room to Read Life Skills", $R2)), ISNUMBER(SEARCH("Room to Read Life Skills", $S2))), 1, 0)</f>
        <v>0</v>
      </c>
      <c r="IO2" s="12">
        <f t="shared" ref="IO2:IO264" si="201">IF(OR(ISNUMBER(SEARCH("Sesame Workshop", $D2)), ISNUMBER(SEARCH("Sesame Workshop", $T2)), ISNUMBER(SEARCH("Sesame Workshop", $R2)), ISNUMBER(SEARCH("Sesame Workshop", $S2))), 1, 0)</f>
        <v>0</v>
      </c>
      <c r="IP2" s="12">
        <f t="shared" ref="IP2:IP264" si="202">IF(OR(ISNUMBER(SEARCH("Singapore Framework", $D2)), ISNUMBER(SEARCH("Singapore Framework", $T2)), ISNUMBER(SEARCH("Singapore Framework", $R2)), ISNUMBER(SEARCH("Singapore Framework", $S2))), 1, 0)</f>
        <v>0</v>
      </c>
      <c r="IQ2" s="12">
        <f t="shared" ref="IQ2:IQ264" si="203">IF(OR(ISNUMBER(SEARCH("Social, Emotional, and Ethical", $D2)), ISNUMBER(SEARCH("Social, Emotional, and Ethical", $T2)), ISNUMBER(SEARCH("Social, Emotional, and Ethical", $R2)), ISNUMBER(SEARCH("Social, Emotional, and Ethical", $S2))), 1, 0)</f>
        <v>0</v>
      </c>
      <c r="IR2" s="12">
        <f t="shared" ref="IR2:IR264" si="204">IF(OR(ISNUMBER(SEARCH("Five Cs Model", $D2)), ISNUMBER(SEARCH("Five Cs Model", $T2)), ISNUMBER(SEARCH("Five Cs Model", $R2)), ISNUMBER(SEARCH("Five Cs Model", $S2))), 1, 0)</f>
        <v>0</v>
      </c>
      <c r="IS2" s="12">
        <f t="shared" ref="IS2:IS264" si="205">IF(OR(ISNUMBER(SEARCH("PRACTICE Model", $D2)), ISNUMBER(SEARCH("PRACTICE Model", $T2)), ISNUMBER(SEARCH("PRACTICE Model", $R2)), ISNUMBER(SEARCH("PRACTICE Model", $S2))), 1, 0)</f>
        <v>0</v>
      </c>
      <c r="IT2" s="12">
        <f t="shared" ref="IT2:IT264" si="206">IF(OR(ISNUMBER(SEARCH("India Comprehensive Life", $D2)), ISNUMBER(SEARCH("India Comprehensive Life", $T2)), ISNUMBER(SEARCH("India Comprehensive Life", $R2)), ISNUMBER(SEARCH("India Comprehensive Life", $S2))), 1, 0)</f>
        <v>0</v>
      </c>
      <c r="IU2" s="12">
        <f t="shared" ref="IU2:IU264" si="207">IF(OR(ISNUMBER(SEARCH("Life Skills and Citizenship Education", $D2)), ISNUMBER(SEARCH("Life Skills and Citizenship Education", $T2)), ISNUMBER(SEARCH("Life Skills and Citizenship Education", $R2)), ISNUMBER(SEARCH("Life Skills and Citizenship Education", $S2))), 1, 0)</f>
        <v>0</v>
      </c>
      <c r="IV2" s="12">
        <f t="shared" ref="IV2:IV264" si="208">IF(OR(ISNUMBER(SEARCH("USAID", $D2)), ISNUMBER(SEARCH("USAID", $T2)), ISNUMBER(SEARCH("USAID", $R2)), ISNUMBER(SEARCH("USAID", $S2))), 1, 0)</f>
        <v>0</v>
      </c>
      <c r="IW2" s="12">
        <f t="shared" ref="IW2:IW264" si="209">IF(OR(ISNUMBER(SEARCH("Haitian Child in Society", $D2)), ISNUMBER(SEARCH("Haitian Child in Society", $T2)), ISNUMBER(SEARCH("Haitian Child in Society", $R2)), ISNUMBER(SEARCH("Haitian Child in Society", $S2))), 1, 0)</f>
        <v>0</v>
      </c>
      <c r="IX2" s="12">
        <f t="shared" ref="IX2:IX264" si="210">IF(OR(ISNUMBER(SEARCH("Skills for Health", $D2)), ISNUMBER(SEARCH("Skills for Health", $T2)), ISNUMBER(SEARCH("Skills for Health", $R2)), ISNUMBER(SEARCH("Skills for Health", $S2))), 1, 0)</f>
        <v>0</v>
      </c>
      <c r="IY2" s="12">
        <f t="shared" ref="IY2:IY264" si="211">IF(OR(ISNUMBER(SEARCH("Young Adult Success", $D2)), ISNUMBER(SEARCH("Young Adult Success", $T2)), ISNUMBER(SEARCH("Young Adult Success", $R2)), ISNUMBER(SEARCH("Young Adult Success", $S2))), 1, 0)</f>
        <v>0</v>
      </c>
      <c r="IZ2" s="12">
        <f t="shared" ref="IZ2:IZ264" si="212">IF(
OR(
ISNUMBER(SEARCH("Assessment",$D2)),ISNUMBER(SEARCH("Assessment",$T2)),ISNUMBER(SEARCH("Assessment",$R2)),ISNUMBER(SEARCH("Assessment",$S2)),ISNUMBER(SEARCH("Test",$D2)),ISNUMBER(SEARCH("Test",$T2)),ISNUMBER(SEARCH("Test",$R2)),ISNUMBER(SEARCH("Test",$S2)),ISNUMBER(SEARCH("Inventory",$D2)),ISNUMBER(SEARCH("Inventory",$T2)),ISNUMBER(SEARCH("Inventory",$R2)),ISNUMBER(SEARCH("Inventory",$S2)),
ISNUMBER(SEARCH("Scale",$D2)),ISNUMBER(SEARCH("Scale",$T2)),ISNUMBER(SEARCH("Scale",$R2)),ISNUMBER(SEARCH("Scale",$S2))), 1, 0)</f>
        <v>1</v>
      </c>
      <c r="JA2" s="13">
        <f t="shared" ref="JA2:JA264" si="213">IF(OR(ISNUMBER(SEARCH("Heart rate", $D2)), ISNUMBER(SEARCH("Heart rate", $T2)), ISNUMBER(SEARCH("Heart rate", $R2)), ISNUMBER(SEARCH("Heart rate", $S2))), 1, 0)</f>
        <v>0</v>
      </c>
      <c r="JB2" s="13">
        <f t="shared" ref="JB2:JB264" si="214">IF(OR(ISNUMBER(SEARCH("Temperature", $D2)), ISNUMBER(SEARCH("Temperature", $T2)), ISNUMBER(SEARCH("Temperature", $R2)), ISNUMBER(SEARCH("Temperature", $S2))), 1, 0)</f>
        <v>0</v>
      </c>
      <c r="JC2" s="13">
        <f t="shared" ref="JC2:JC264" si="215">IF(OR(ISNUMBER(SEARCH("Electroencephalography", $D2)), ISNUMBER(SEARCH("Electroencephalography", $T2)), ISNUMBER(SEARCH("Electroencephalography", $R2)), ISNUMBER(SEARCH("Electroencephalography", $S2))), 1, 0)</f>
        <v>0</v>
      </c>
      <c r="JD2" s="13">
        <f t="shared" ref="JD2:JD264" si="216">IF(OR(ISNUMBER(SEARCH("Electrocardiography", $D2)), ISNUMBER(SEARCH("Electrocardiography", $T2)), ISNUMBER(SEARCH("Electrocardiography", $R2)), ISNUMBER(SEARCH("Electrocardiography", $S2))), 1, 0)</f>
        <v>0</v>
      </c>
      <c r="JE2" s="13">
        <f t="shared" ref="JE2:JE264" si="217">IF(OR(ISNUMBER(SEARCH("Magnetoencephalography", $D2)), ISNUMBER(SEARCH("Magnetoencephalography", $T2)), ISNUMBER(SEARCH("Magnetoencephalography", $R2)), ISNUMBER(SEARCH("Magnetoencephalography", $S2))), 1, 0)</f>
        <v>0</v>
      </c>
      <c r="JF2" s="13">
        <f t="shared" ref="JF2:JF264" si="218">IF(OR(ISNUMBER(SEARCH("Functional Magnetic Resonance Imaging", $D2)), ISNUMBER(SEARCH("Functional Magnetic Resonance Imaging", $T2)), ISNUMBER(SEARCH("Functional Magnetic Resonance Imaging", $R2)), ISNUMBER(SEARCH("Functional Magnetic Resonance Imaging", $S2))), 1, 0)</f>
        <v>0</v>
      </c>
      <c r="JG2" s="13">
        <f t="shared" ref="JG2:JG264" si="219">IF(OR(ISNUMBER(SEARCH("Skin Conductance", $D2)), ISNUMBER(SEARCH("Skin Conductance", $T2)), ISNUMBER(SEARCH("Skin Conductance", $R2)), ISNUMBER(SEARCH("Skin Conductance", $S2))), 1, 0)</f>
        <v>0</v>
      </c>
      <c r="JH2" s="13">
        <f t="shared" ref="JH2:JH264" si="220">IF(OR(ISNUMBER(SEARCH("Brain activity", $D2)), ISNUMBER(SEARCH("Brain activity", $T2)), ISNUMBER(SEARCH("Brain activity", $R2)), ISNUMBER(SEARCH("Brain activity", $S2))), 1, 0)</f>
        <v>0</v>
      </c>
      <c r="JI2" s="13">
        <f t="shared" ref="JI2:JI264" si="221">IF(OR(ISNUMBER(SEARCH("Galvanic Skin Response", $D2)), ISNUMBER(SEARCH("Galvanic Skin Response", $T2)), ISNUMBER(SEARCH("Galvanic Skin Response", $R2)), ISNUMBER(SEARCH("Galvanic Skin Response", $S2))), 1, 0)</f>
        <v>0</v>
      </c>
      <c r="JJ2" s="13">
        <f t="shared" ref="JJ2:JJ264" si="222">IF(OR(ISNUMBER(SEARCH("Photoplethysmography", $D2)), ISNUMBER(SEARCH("Photoplethysmography", $T2)), ISNUMBER(SEARCH("Photoplethysmography", $R2)), ISNUMBER(SEARCH("Photoplethysmography", $S2))), 1, 0)</f>
        <v>0</v>
      </c>
      <c r="JK2" s="13">
        <f t="shared" ref="JK2:JK264" si="223">IF(OR(ISNUMBER(SEARCH("Electrocardiogram", $D2)), ISNUMBER(SEARCH("Electrocardiogram", $T2)), ISNUMBER(SEARCH("Electrocardiogram", $R2)), ISNUMBER(SEARCH("Electrocardiogram", $S2))), 1, 0)</f>
        <v>0</v>
      </c>
      <c r="JL2" s="13">
        <f t="shared" ref="JL2:JL264" si="224">IF(
OR(
ISNUMBER(SEARCH("Facial Biometrics",$D2)),ISNUMBER(SEARCH("Facial Biometrics",$T2)),ISNUMBER(SEARCH("Facial Biometrics",$R2)),ISNUMBER(SEARCH("Facial Biometrics",$S2)),
ISNUMBER(SEARCH("Facial recognition",$D2)),ISNUMBER(SEARCH("Facial recognition",$T2)),ISNUMBER(SEARCH("Facial recognition",$R2)),ISNUMBER(SEARCH("Facial recognition",$S2))), 1, 0)</f>
        <v>0</v>
      </c>
      <c r="JM2" s="13">
        <f t="shared" ref="JM2:JM264" si="225">IF(
OR(
ISNUMBER(SEARCH("Body posture",$D2)),ISNUMBER(SEARCH("Body posture",$T2)),ISNUMBER(SEARCH("Body posture",$R2)),ISNUMBER(SEARCH("Body posture",$S2)),
ISNUMBER(SEARCH("head pose",$D2)),ISNUMBER(SEARCH("head pose",$T2)),ISNUMBER(SEARCH("head pose",$R2)),ISNUMBER(SEARCH("head pose",$S2))), 1, 0)</f>
        <v>0</v>
      </c>
      <c r="JN2" s="13">
        <f t="shared" ref="JN2:JN264" si="226">IF(OR(ISNUMBER(SEARCH("Environmental location", $D2)), ISNUMBER(SEARCH("Environmental location", $T2)), ISNUMBER(SEARCH("Environmental location", $R2)), ISNUMBER(SEARCH("Environmental location", $S2))), 1, 0)</f>
        <v>0</v>
      </c>
      <c r="JO2" s="13">
        <f t="shared" ref="JO2:JO264" si="227">IF(OR(ISNUMBER(SEARCH("Human-Computer Interaction", $D2)), ISNUMBER(SEARCH("Human-Computer Interaction", $T2)), ISNUMBER(SEARCH("Human-Computer Interaction", $R2)), ISNUMBER(SEARCH("Human-Computer Interaction", $S2))), 1, 0)</f>
        <v>0</v>
      </c>
      <c r="JP2" s="13">
        <f t="shared" ref="JP2:JP264" si="228">IF(OR(ISNUMBER(SEARCH("Human-Robot Interaction", $D2)), ISNUMBER(SEARCH("Human-Robot Interaction", $T2)), ISNUMBER(SEARCH("Human-Robot Interaction", $R2)), ISNUMBER(SEARCH("Human-Robot Interaction", $S2))), 1, 0)</f>
        <v>0</v>
      </c>
      <c r="JQ2" s="13">
        <f t="shared" ref="JQ2:JQ264" si="229">IF(OR(ISNUMBER(SEARCH("Brain-Computer Interface", $D2)), ISNUMBER(SEARCH("Brain-Computer Interface", $T2)), ISNUMBER(SEARCH("Brain-Computer Interface", $R2)), ISNUMBER(SEARCH("Brain-Computer Interface", $S2))), 1, 0)</f>
        <v>0</v>
      </c>
      <c r="JR2" s="13">
        <f t="shared" ref="JR2:JR264" si="230">IF(OR(ISNUMBER(SEARCH("SensoGrip", $D2)), ISNUMBER(SEARCH("SensoGrip", $T2)), ISNUMBER(SEARCH("SensoGrip", $R2)), ISNUMBER(SEARCH("SensoGrip", $S2))), 1, 0)</f>
        <v>0</v>
      </c>
      <c r="JS2" s="13">
        <f t="shared" ref="JS2:JS264" si="231">IF(OR(ISNUMBER(SEARCH("Contextual data", $D2)), ISNUMBER(SEARCH("Contextual data", $T2)), ISNUMBER(SEARCH("Contextual data", $R2)), ISNUMBER(SEARCH("Contextual data", $S2))), 1, 0)</f>
        <v>0</v>
      </c>
      <c r="JT2" s="13">
        <f t="shared" ref="JT2:JT264" si="232">IF(OR(ISNUMBER(SEARCH("Synthetic Data", $D2)), ISNUMBER(SEARCH("Synthetic Data", $T2)), ISNUMBER(SEARCH("Synthetic Data", $R2)), ISNUMBER(SEARCH("Synthetic Data", $S2))), 1, 0)</f>
        <v>0</v>
      </c>
      <c r="JU2" s="13">
        <f t="shared" ref="JU2:JU264" si="233">IF(OR(ISNUMBER(SEARCH("Electrodermal activity", $D2)), ISNUMBER(SEARCH("Electrodermal activity", $T2)), ISNUMBER(SEARCH("Electrodermal activity", $R2)), ISNUMBER(SEARCH("Electrodermal activity", $S2))), 1, 0)</f>
        <v>0</v>
      </c>
      <c r="JV2" s="12">
        <f t="shared" ref="JV2:JV264" si="234">IF(OR(ISNUMBER(SEARCH("Scales of Psychological Well-Being", $D2)), ISNUMBER(SEARCH("Scales of Psychological Well-Being", $T2)), ISNUMBER(SEARCH("Scales of Psychological Well-Being", $R2)), ISNUMBER(SEARCH("Scales of Psychological Well-Being", $S2))), 1, 0)</f>
        <v>0</v>
      </c>
      <c r="JW2" s="12">
        <f t="shared" ref="JW2:JW264" si="235">IF(OR(ISNUMBER(SEARCH("General Well-Being Schedule", $D2)), ISNUMBER(SEARCH("General Well-Being Schedule", $T2)), ISNUMBER(SEARCH("General Well-Being Schedule", $R2)), ISNUMBER(SEARCH("General Well-Being Schedule", $S2))), 1, 0)</f>
        <v>0</v>
      </c>
      <c r="JX2" s="12">
        <f t="shared" ref="JX2:JX264" si="236">IF(OR(ISNUMBER(SEARCH("Life Satisfaction Index A", $D2)), ISNUMBER(SEARCH("Life Satisfaction Index A", $T2)), ISNUMBER(SEARCH("Life Satisfaction Index A", $R2)), ISNUMBER(SEARCH("Life Satisfaction Index A", $S2))), 1, 0)</f>
        <v>0</v>
      </c>
      <c r="JY2" s="12">
        <f t="shared" ref="JY2:JY264" si="237">IF(OR(ISNUMBER(SEARCH("Multidimensional Personality Questionnaire", $D2)), ISNUMBER(SEARCH("Multidimensional Personality Questionnaire", $T2)), ISNUMBER(SEARCH("Multidimensional Personality Questionnaire", $R2)), ISNUMBER(SEARCH("Multidimensional Personality Questionnaire", $S2))), 1, 0)</f>
        <v>0</v>
      </c>
      <c r="JZ2" s="12">
        <f t="shared" ref="JZ2:JZ264" si="238">IF(OR(ISNUMBER(SEARCH("Quality of Life Scale", $D2)), ISNUMBER(SEARCH("Quality of Life Scale", $T2)), ISNUMBER(SEARCH("Quality of Life Scale", $R2)), ISNUMBER(SEARCH("Quality of Life Scale", $S2))), 1, 0)</f>
        <v>0</v>
      </c>
      <c r="KA2" s="12">
        <f t="shared" ref="KA2:KA264" si="239">IF(OR(ISNUMBER(SEARCH("Mental Health Continuum Short Form", $D2)), ISNUMBER(SEARCH("Mental Health Continuum Short Form", $T2)), ISNUMBER(SEARCH("Mental Health Continuum Short Form", $R2)), ISNUMBER(SEARCH("Mental Health Continuum Short Form", $S2))), 1, 0)</f>
        <v>0</v>
      </c>
      <c r="KB2" s="12">
        <f t="shared" ref="KB2:KB264" si="240">IF(OR(ISNUMBER(SEARCH("Flourishing Scale", $D2)), ISNUMBER(SEARCH("Flourishing Scale", $T2)), ISNUMBER(SEARCH("Flourishing Scale", $R2)), ISNUMBER(SEARCH("Flourishing Scale", $S2))), 1, 0)</f>
        <v>0</v>
      </c>
      <c r="KC2" s="12">
        <f t="shared" ref="KC2:KC264" si="241">IF(OR(ISNUMBER(SEARCH("Flourishing Index", $D2)), ISNUMBER(SEARCH("Flourishing Index", $T2)), ISNUMBER(SEARCH("Flourishing Index", $R2)), ISNUMBER(SEARCH("Flourishing Index", $S2))), 1, 0)</f>
        <v>0</v>
      </c>
      <c r="KD2" s="12">
        <f t="shared" ref="KD2:KD215" si="242">IF(OR(ISNUMBER(SEARCH("PERMA", $D2)), ISNUMBER(SEARCH("PERMA", $T2)), ISNUMBER(SEARCH("PERMA", $R2)), ISNUMBER(SEARCH("PERMA", $S2))), 1, 0)</f>
        <v>0</v>
      </c>
      <c r="KE2" s="12">
        <f t="shared" ref="KE2:KE264" si="243">IF(OR(ISNUMBER(SEARCH("Comprehensive Inventory of Thriving", $D2)), ISNUMBER(SEARCH("Comprehensive Inventory of Thriving", $T2)), ISNUMBER(SEARCH("Comprehensive Inventory of Thriving", $R2)), ISNUMBER(SEARCH("Comprehensive Inventory of Thriving", $S2))), 1, 0)</f>
        <v>0</v>
      </c>
      <c r="KF2" s="12">
        <f t="shared" ref="KF2:KF264" si="244">IF(OR(ISNUMBER(SEARCH("Positive and Negative Affect Schedule", $D2)), ISNUMBER(SEARCH("Positive and Negative Affect Schedule", $T2)), ISNUMBER(SEARCH("Positive and Negative Affect Schedule", $R2)), ISNUMBER(SEARCH("Positive and Negative Affect Schedule", $S2))), 1, 0)</f>
        <v>0</v>
      </c>
      <c r="KG2" s="12">
        <f t="shared" ref="KG2:KG264" si="245">IF(OR(ISNUMBER(SEARCH("Affect Balance Scale", $D2)), ISNUMBER(SEARCH("Affect Balance Scale", $T2)), ISNUMBER(SEARCH("Affect Balance Scale", $R2)), ISNUMBER(SEARCH("Affect Balance Scale", $S2))), 1, 0)</f>
        <v>0</v>
      </c>
      <c r="KH2" s="12">
        <f t="shared" ref="KH2:KH264" si="246">IF(OR(ISNUMBER(SEARCH("Mood and Anxiety Symptom Questionnaire", $D2)), ISNUMBER(SEARCH("Mood and Anxiety Symptom Questionnaire", $T2)), ISNUMBER(SEARCH("Mood and Anxiety Symptom Questionnaire", $R2)), ISNUMBER(SEARCH("Mood and Anxiety Symptom Questionnaire", $S2))), 1, 0)</f>
        <v>0</v>
      </c>
      <c r="KI2" s="12">
        <f t="shared" ref="KI2:KI264" si="247">IF(OR(ISNUMBER(SEARCH("Day Reconstruction Method", $D2)), ISNUMBER(SEARCH("Day Reconstruction Method", $T2)), ISNUMBER(SEARCH("Day Reconstruction Method", $R2)), ISNUMBER(SEARCH("Day Reconstruction Method", $S2))), 1, 0)</f>
        <v>0</v>
      </c>
      <c r="KJ2" s="12">
        <f t="shared" ref="KJ2:KJ264" si="248">IF(OR(ISNUMBER(SEARCH("Dispositional Positive Emotion Scale", $D2)), ISNUMBER(SEARCH("Dispositional Positive Emotion Scale", $T2)), ISNUMBER(SEARCH("Dispositional Positive Emotion Scale", $R2)), ISNUMBER(SEARCH("Dispositional Positive Emotion Scale", $S2))), 1, 0)</f>
        <v>0</v>
      </c>
      <c r="KK2" s="12">
        <f t="shared" ref="KK2:KK264" si="249">IF(OR(ISNUMBER(SEARCH("Life Engagement Test", $D2)), ISNUMBER(SEARCH("Life Engagement Test", $T2)), ISNUMBER(SEARCH("Life Engagement Test", $R2)), ISNUMBER(SEARCH("Life Engagement Test", $S2))), 1, 0)</f>
        <v>0</v>
      </c>
      <c r="KL2" s="12">
        <f t="shared" ref="KL2:KL264" si="250">IF(OR(ISNUMBER(SEARCH("Seeking of Noetic Goals Test", $D2)), ISNUMBER(SEARCH("Seeking of Noetic Goals Test", $T2)), ISNUMBER(SEARCH("Seeking of Noetic Goals Test", $R2)), ISNUMBER(SEARCH("Seeking of Noetic Goals Test", $S2))), 1, 0)</f>
        <v>0</v>
      </c>
      <c r="KM2" s="12">
        <f t="shared" ref="KM2:KM264" si="251">IF(OR(ISNUMBER(SEARCH("Sense of Coherence Scale", $D2)), ISNUMBER(SEARCH("Sense of Coherence Scale", $T2)), ISNUMBER(SEARCH("Sense of Coherence Scale", $R2)), ISNUMBER(SEARCH("Sense of Coherence Scale", $S2))), 1, 0)</f>
        <v>0</v>
      </c>
      <c r="KN2" s="12">
        <f t="shared" ref="KN2:KN264" si="252">IF(OR(ISNUMBER(SEARCH("Meaning in Life Questionnaire", $D2)), ISNUMBER(SEARCH("Meaning in Life Questionnaire", $T2)), ISNUMBER(SEARCH("Meaning in Life Questionnaire", $R2)), ISNUMBER(SEARCH("Meaning in Life Questionnaire", $S2))), 1, 0)</f>
        <v>0</v>
      </c>
      <c r="KO2" s="12">
        <f t="shared" ref="KO2:KO264" si="253">IF(OR(ISNUMBER(SEARCH("Satisfaction with Life Scale", $D2)), ISNUMBER(SEARCH("Satisfaction with Life Scale", $T2)), ISNUMBER(SEARCH("Satisfaction with Life Scale", $R2)), ISNUMBER(SEARCH("Satisfaction with Life Scale", $S2))), 1, 0)</f>
        <v>0</v>
      </c>
      <c r="KP2" s="12">
        <f t="shared" ref="KP2:KP264" si="254">IF(OR(ISNUMBER(SEARCH("Life Satisfaction Scale", $D2)), ISNUMBER(SEARCH("Life Satisfaction Scale", $T2)), ISNUMBER(SEARCH("Life Satisfaction Scale", $R2)), ISNUMBER(SEARCH("Life Satisfaction Scale", $S2))), 1, 0)</f>
        <v>0</v>
      </c>
      <c r="KQ2" s="12">
        <f t="shared" ref="KQ2:KQ264" si="255">IF(OR(ISNUMBER(SEARCH("Pearlin Mastery Scale", $D2)), ISNUMBER(SEARCH("Pearlin Mastery Scale", $T2)), ISNUMBER(SEARCH("Pearlin Mastery Scale", $R2)), ISNUMBER(SEARCH("Pearlin Mastery Scale", $S2))), 1, 0)</f>
        <v>0</v>
      </c>
      <c r="KR2" s="12">
        <f t="shared" ref="KR2:KR264" si="256">IF(OR(ISNUMBER(SEARCH("Internal-External Locus of Control Scale", $D2)), ISNUMBER(SEARCH("Internal-External Locus of Control Scale", $T2)), ISNUMBER(SEARCH("Internal-External Locus of Control Scale", $R2)), ISNUMBER(SEARCH("Internal-External Locus of Control Scale", $S2))), 1, 0)</f>
        <v>0</v>
      </c>
      <c r="KS2" s="12">
        <f t="shared" ref="KS2:KS264" si="257">IF(OR(ISNUMBER(SEARCH("Subjective Happiness Scale", $D2)), ISNUMBER(SEARCH("Subjective Happiness Scale", $T2)), ISNUMBER(SEARCH("Subjective Happiness Scale", $R2)), ISNUMBER(SEARCH("Subjective Happiness Scale", $S2))), 1, 0)</f>
        <v>0</v>
      </c>
      <c r="KT2" s="12">
        <f t="shared" ref="KT2:KT264" si="258">IF(OR(ISNUMBER(SEARCH("Life Orientation Test", $D2)), ISNUMBER(SEARCH("Life Orientation Test", $T2)), ISNUMBER(SEARCH("Life Orientation Test", $R2)), ISNUMBER(SEARCH("Life Orientation Test", $S2))), 1, 0)</f>
        <v>0</v>
      </c>
      <c r="KU2" s="12">
        <f t="shared" ref="KU2:KU264" si="259">IF(OR(ISNUMBER(SEARCH("Ikigai", $D2)), ISNUMBER(SEARCH("Ikigai", $T2)), ISNUMBER(SEARCH("Ikigai", $R2)), ISNUMBER(SEARCH("Ikigai", $S2))), 1, 0)</f>
        <v>0</v>
      </c>
      <c r="KV2" s="12">
        <f t="shared" ref="KV2:KV264" si="260">IF(OR(ISNUMBER(SEARCH("Emotional Vitality", $D2)), ISNUMBER(SEARCH("Emotional Vitality", $T2)), ISNUMBER(SEARCH("Emotional Vitality", $R2)), ISNUMBER(SEARCH("Emotional Vitality", $S2))), 1, 0)</f>
        <v>0</v>
      </c>
      <c r="KW2" s="12">
        <f t="shared" ref="KW2:KW264" si="261">IF(OR(ISNUMBER(SEARCH("Subjective Well-Being Index", $D2)), ISNUMBER(SEARCH("Subjective Well-Being Index", $T2)), ISNUMBER(SEARCH("Subjective Well-Being Index", $R2)), ISNUMBER(SEARCH("Subjective Well-Being Index", $S2))), 1, 0)</f>
        <v>0</v>
      </c>
      <c r="KX2" s="12">
        <f t="shared" ref="KX2:KX264" si="262">IF(OR(ISNUMBER(SEARCH("Symptom Checklist-90-Revised", $D2)), ISNUMBER(SEARCH("Symptom Checklist-90-Revised", $T2)), ISNUMBER(SEARCH("Symptom Checklist-90-Revised", $R2)), ISNUMBER(SEARCH("Symptom Checklist-90-Revised", $S2))), 1, 0)</f>
        <v>0</v>
      </c>
      <c r="KY2" s="12">
        <f t="shared" ref="KY2:KY264" si="263">IF(OR(ISNUMBER(SEARCH("Responses to Educational Disruption Survey", $D2)), ISNUMBER(SEARCH("Responses to Educational Disruption Survey", $T2)), ISNUMBER(SEARCH("Responses to Educational Disruption Survey", $R2)), ISNUMBER(SEARCH("Responses to Educational Disruption Survey", $S2))), 1, 0)</f>
        <v>0</v>
      </c>
      <c r="KZ2" s="12">
        <f t="shared" ref="KZ2:KZ264" si="264">IF(OR(ISNUMBER(SEARCH("Freiburg Mindfulness Inventory", $D2)), ISNUMBER(SEARCH("Freiburg Mindfulness Inventory", $T2)), ISNUMBER(SEARCH("Freiburg Mindfulness Inventory", $R2)), ISNUMBER(SEARCH("Freiburg Mindfulness Inventory", $S2))), 1, 0)</f>
        <v>0</v>
      </c>
      <c r="LA2" s="12">
        <f t="shared" ref="LA2:LA264" si="265">IF(OR(ISNUMBER(SEARCH("Religious Commitment Inventory", $D2)), ISNUMBER(SEARCH("Religious Commitment Inventory", $T2)), ISNUMBER(SEARCH("Religious Commitment Inventory", $R2)), ISNUMBER(SEARCH("Religious Commitment Inventory", $S2))), 1, 0)</f>
        <v>0</v>
      </c>
      <c r="LB2" s="12">
        <f t="shared" ref="LB2:LB264" si="266">IF(OR(ISNUMBER(SEARCH("Subjective Well-Being Index", $D2)), ISNUMBER(SEARCH("Subjective Well-Being Index", $T2)), ISNUMBER(SEARCH("Subjective Well-Being Index", $R2)), ISNUMBER(SEARCH("Subjective Well-Being Index", $S2))), 1, 0)</f>
        <v>0</v>
      </c>
      <c r="LC2" s="12">
        <f t="shared" ref="LC2:LC264" si="267">IF(OR(ISNUMBER(SEARCH("Psychological Well-Being Scale", $D2)), ISNUMBER(SEARCH("Psychological Well-Being Scale", $T2)), ISNUMBER(SEARCH("Psychological Well-Being Scale", $R2)), ISNUMBER(SEARCH("Psychological Well-Being Scale", $S2))), 1, 0)</f>
        <v>0</v>
      </c>
      <c r="LD2" s="12">
        <f t="shared" ref="LD2:LD264" si="268">IF(OR(ISNUMBER(SEARCH("Subjective Well-Being Daily Inventory", $D2)), ISNUMBER(SEARCH("Subjective Well-Being Daily Inventory", $T2)), ISNUMBER(SEARCH("Subjective Well-Being Daily Inventory", $R2)), ISNUMBER(SEARCH("Subjective Well-Being Daily Inventory", $S2))), 1, 0)</f>
        <v>0</v>
      </c>
      <c r="LE2" s="12">
        <f t="shared" ref="LE2:LE264" si="269">IF(OR(ISNUMBER(SEARCH("Life Satisfaction Scale", $D2)), ISNUMBER(SEARCH("Life Satisfaction Scale", $T2)), ISNUMBER(SEARCH("Life Satisfaction Scale", $R2)), ISNUMBER(SEARCH("Life Satisfaction Scale", $S2))), 1, 0)</f>
        <v>0</v>
      </c>
      <c r="LF2" s="12">
        <f t="shared" ref="LF2:LF264" si="270">IF(OR(ISNUMBER(SEARCH("Ryff's Psychological Well-Being", $D2)), ISNUMBER(SEARCH("Ryff's Psychological Well-Being", $T2)), ISNUMBER(SEARCH("Ryff's Psychological Well-Being", $R2)), ISNUMBER(SEARCH("Ryff's Psychological Well-Being", $S2))), 1, 0)</f>
        <v>0</v>
      </c>
      <c r="LG2" s="12">
        <f t="shared" ref="LG2:LG264" si="271">IF(OR(ISNUMBER(SEARCH("Diener's Satisfaction", $D2)), ISNUMBER(SEARCH("Diener's Satisfaction", $T2)), ISNUMBER(SEARCH("Diener's Satisfaction", $R2)), ISNUMBER(SEARCH("Diener's Satisfaction", $S2))), 1, 0)</f>
        <v>0</v>
      </c>
      <c r="LH2" s="12">
        <f t="shared" ref="LH2:LH264" si="272">IF(OR(ISNUMBER(SEARCH("Bradburn's Affect", $D2)), ISNUMBER(SEARCH("Bradburn's Affect", $T2)), ISNUMBER(SEARCH("Bradburn's Affect", $R2)), ISNUMBER(SEARCH("Bradburn's Affect", $S2))), 1, 0)</f>
        <v>0</v>
      </c>
      <c r="LI2" s="12">
        <f t="shared" ref="LI2:LI264" si="273">IF(OR(ISNUMBER(SEARCH("Subjective Happiness Scale", $D2)), ISNUMBER(SEARCH("Subjective Happiness Scale", $T2)), ISNUMBER(SEARCH("Subjective Happiness Scale", $R2)), ISNUMBER(SEARCH("Subjective Happiness Scale", $S2))), 1, 0)</f>
        <v>0</v>
      </c>
      <c r="LJ2" s="12">
        <f t="shared" ref="LJ2:LJ264" si="274">IF(OR(ISNUMBER(SEARCH("Work Well-Being Inventory", $D2)), ISNUMBER(SEARCH("Work Well-Being Inventory", $T2)), ISNUMBER(SEARCH("Work Well-Being Inventory", $R2)), ISNUMBER(SEARCH("Work Well-Being Inventory", $S2))), 1, 0)</f>
        <v>0</v>
      </c>
      <c r="LK2" s="12">
        <f t="shared" ref="LK2:LK264" si="275">IF(OR(ISNUMBER(SEARCH("Spiritual Well-Being Scale", $D2)), ISNUMBER(SEARCH("Spiritual Well-Being Scale", $T2)), ISNUMBER(SEARCH("Spiritual Well-Being Scale", $R2)), ISNUMBER(SEARCH("Spiritual Well-Being Scale", $S2))), 1, 0)</f>
        <v>0</v>
      </c>
      <c r="LL2" s="12">
        <f t="shared" ref="LL2:LL264" si="276">IF(OR(ISNUMBER(SEARCH("Flourishing Scale", $D2)), ISNUMBER(SEARCH("Flourishing Scale", $T2)), ISNUMBER(SEARCH("Flourishing Scale", $R2)), ISNUMBER(SEARCH("Flourishing Scale", $S2))), 1, 0)</f>
        <v>0</v>
      </c>
      <c r="LM2" s="12">
        <f t="shared" ref="LM2:LM264" si="277">IF(OR(ISNUMBER(SEARCH("General Well-Being Schedule", $D2)), ISNUMBER(SEARCH("General Well-Being Schedule", $T2)), ISNUMBER(SEARCH("General Well-Being Schedule", $R2)), ISNUMBER(SEARCH("General Well-Being Schedule", $S2))), 1, 0)</f>
        <v>0</v>
      </c>
      <c r="LN2" s="12">
        <f t="shared" ref="LN2:LN264" si="278">IF(OR(ISNUMBER(SEARCH("World Health Organization-Five", $D2)), ISNUMBER(SEARCH("World Health Organization-Five", $T2)), ISNUMBER(SEARCH("World Health Organization-Five", $R2)), ISNUMBER(SEARCH("World Health Organization-Five", $S2))), 1, 0)</f>
        <v>0</v>
      </c>
      <c r="LO2" s="12">
        <f t="shared" ref="LO2:LO264" si="279">IF(OR(ISNUMBER(SEARCH("Oxford Happiness Questionnaire", $D2)), ISNUMBER(SEARCH("Oxford Happiness Questionnaire", $T2)), ISNUMBER(SEARCH("Oxford Happiness Questionnaire", $R2)), ISNUMBER(SEARCH("Oxford Happiness Questionnaire", $S2))), 1, 0)</f>
        <v>0</v>
      </c>
      <c r="LP2" s="12">
        <f t="shared" ref="LP2:LP264" si="280">IF(OR(ISNUMBER(SEARCH("Life Satisfaction Index", $D2)), ISNUMBER(SEARCH("Life Satisfaction Index", $T2)), ISNUMBER(SEARCH("Life Satisfaction Index", $R2)), ISNUMBER(SEARCH("Life Satisfaction Index", $S2))), 1, 0)</f>
        <v>0</v>
      </c>
      <c r="LQ2" s="12">
        <f t="shared" ref="LQ2:LQ264" si="281">IF(OR(ISNUMBER(SEARCH("Perceived Stress Scale", $D2)), ISNUMBER(SEARCH("Perceived Stress Scale", $T2)), ISNUMBER(SEARCH("Perceived Stress Scale", $R2)), ISNUMBER(SEARCH("Perceived Stress Scale", $S2))), 1, 0)</f>
        <v>0</v>
      </c>
      <c r="LR2" s="12">
        <f t="shared" ref="LR2:LR264" si="282">IF(OR(ISNUMBER(SEARCH("Positive and Negative Affect Schedule", $D2)), ISNUMBER(SEARCH("Positive and Negative Affect Schedule", $T2)), ISNUMBER(SEARCH("Positive and Negative Affect Schedule", $R2)), ISNUMBER(SEARCH("Positive and Negative Affect Schedule", $S2))), 1, 0)</f>
        <v>0</v>
      </c>
      <c r="LS2" s="12">
        <f t="shared" ref="LS2:LS264" si="283">IF(OR(ISNUMBER(SEARCH("Warwick Edinburgh's", $D2)), ISNUMBER(SEARCH("Warwick Edinburgh's", $T2)), ISNUMBER(SEARCH("Warwick Edinburgh's", $R2)), ISNUMBER(SEARCH("Warwick Edinburgh's", $S2))), 1, 0)</f>
        <v>0</v>
      </c>
      <c r="LT2" s="13">
        <f t="shared" ref="LT2:LT264" si="284">IF(OR(ISNUMBER(SEARCH("Counseling", $D2)), ISNUMBER(SEARCH("Counseling", $T2)), ISNUMBER(SEARCH("Counseling", $R2)), ISNUMBER(SEARCH("Counseling", $S2))), 1, 0)</f>
        <v>0</v>
      </c>
      <c r="LU2" s="13">
        <f t="shared" ref="LU2:LU264" si="285">IF(OR(ISNUMBER(SEARCH("Educational programs", $D2)), ISNUMBER(SEARCH("Educational programs", $T2)), ISNUMBER(SEARCH("Educational programs", $R2)), ISNUMBER(SEARCH("Educational programs3", $S2))), 1, 0)</f>
        <v>0</v>
      </c>
      <c r="LV2" s="13">
        <f t="shared" ref="LV2:LV264" si="286">IF(OR(ISNUMBER(SEARCH("Meditation", $D2)), ISNUMBER(SEARCH("Meditation", $T2)), ISNUMBER(SEARCH("Meditation", $R2)), ISNUMBER(SEARCH("Meditation", $S2))), 1, 0)</f>
        <v>0</v>
      </c>
      <c r="LW2" s="13">
        <f t="shared" ref="LW2:LW264" si="287">IF(OR(ISNUMBER(SEARCH("Mindfulness", $D2)), ISNUMBER(SEARCH("Mindfulness", $T2)), ISNUMBER(SEARCH("Mindfulness", $R2)), ISNUMBER(SEARCH("Mindfulness", $S2))), 1, 0)</f>
        <v>0</v>
      </c>
      <c r="LX2" s="13">
        <f t="shared" ref="LX2:LX264" si="288">IF(OR(ISNUMBER(SEARCH("Blended care", $D2)), ISNUMBER(SEARCH("Blended care", $T2)), ISNUMBER(SEARCH("Blended care", $R2)), ISNUMBER(SEARCH("Blended care", $S2))), 1, 0)</f>
        <v>0</v>
      </c>
      <c r="LY2" s="13">
        <f t="shared" ref="LY2:LY264" si="289">IF(OR(ISNUMBER(SEARCH("Asynchronous Telepsychiatry", $D2)), ISNUMBER(SEARCH("Asynchronous Telepsychiatry", $T2)), ISNUMBER(SEARCH("Asynchronous Telepsychiatry", $R2)), ISNUMBER(SEARCH("Asynchronous Telepsychiatry", $S2))), 1, 0)</f>
        <v>0</v>
      </c>
      <c r="LZ2" s="13">
        <f t="shared" ref="LZ2:LZ264" si="290">IF(OR(ISNUMBER(SEARCH("Just-in-Time Adaptive Intervention", $D2)), ISNUMBER(SEARCH("Just-in-Time Adaptive Intervention", $T2)), ISNUMBER(SEARCH("Just-in-Time Adaptive Intervention", $R2)), ISNUMBER(SEARCH("Just-in-Time Adaptive Intervention", $S2))), 1, 0)</f>
        <v>0</v>
      </c>
      <c r="MA2" s="13">
        <f t="shared" ref="MA2:MA264" si="291">IF(OR(ISNUMBER(SEARCH("Physical Activity", $D2)), ISNUMBER(SEARCH("Physical Activity", $T2)), ISNUMBER(SEARCH("Physical Activity", $R2)), ISNUMBER(SEARCH("Physical Activity", $S2))), 1, 0)</f>
        <v>0</v>
      </c>
      <c r="MB2" s="13">
        <f t="shared" ref="MB2:MB264" si="292">IF(OR(ISNUMBER(SEARCH("Sleep", $D2)), ISNUMBER(SEARCH("Sleep", $T2)), ISNUMBER(SEARCH("Sleep", $R2)), ISNUMBER(SEARCH("Sleep", $S2))), 1, 0)</f>
        <v>0</v>
      </c>
      <c r="MC2" s="13">
        <f t="shared" ref="MC2:MC264" si="293">IF(OR(ISNUMBER(SEARCH("Behavior Change", $D2)), ISNUMBER(SEARCH("Behavior Change", $T2)), ISNUMBER(SEARCH("Behavior Change", $R2)), ISNUMBER(SEARCH("Behavior Change", $S2))), 1, 0)</f>
        <v>0</v>
      </c>
      <c r="MD2" s="13">
        <f t="shared" ref="MD2:MD264" si="294">IF(OR(ISNUMBER(SEARCH("Interpersonal Therapy", $D2)), ISNUMBER(SEARCH("Interpersonal Therapy", $T2)), ISNUMBER(SEARCH("Interpersonal Therapy", $R2)), ISNUMBER(SEARCH("Interpersonal Therapy", $S2))), 1, 0)</f>
        <v>0</v>
      </c>
      <c r="ME2" s="13">
        <f t="shared" ref="ME2:ME264" si="295">IF(OR(ISNUMBER(SEARCH("Behavioral Therapy", $D2)), ISNUMBER(SEARCH("Behavioral Therapy", $T2)), ISNUMBER(SEARCH("Behavioral Therapy", $R2)), ISNUMBER(SEARCH("Behavioral Therapy", $S2))), 1, 0)</f>
        <v>0</v>
      </c>
      <c r="MF2" s="13">
        <f t="shared" ref="MF2:MF264" si="296">IF(OR(ISNUMBER(SEARCH("Long-Duration Meditation", $D2)), ISNUMBER(SEARCH("Long-Duration Meditation", $T2)), ISNUMBER(SEARCH("Long-Duration Meditation", $R2)), ISNUMBER(SEARCH("Long-Duration Meditation", $S2))), 1, 0)</f>
        <v>0</v>
      </c>
      <c r="MG2" s="13">
        <f t="shared" ref="MG2:MG264" si="297">IF(OR(ISNUMBER(SEARCH("Music", $D2)), ISNUMBER(SEARCH("Music", $T2)), ISNUMBER(SEARCH("Music", $R2)), ISNUMBER(SEARCH("Music", $S2))), 1, 0)</f>
        <v>0</v>
      </c>
      <c r="MH2" s="13">
        <f t="shared" ref="MH2:MH264" si="298">IF(OR(ISNUMBER(SEARCH("Nature Sounds", $D2)), ISNUMBER(SEARCH("Nature Sounds", $T2)), ISNUMBER(SEARCH("Nature Sounds", $R2)), ISNUMBER(SEARCH("Nature Sounds", $S2))), 1, 0)</f>
        <v>0</v>
      </c>
      <c r="MI2" s="13">
        <f t="shared" ref="MI2:MI264" si="299">IF(OR(ISNUMBER(SEARCH("Coach ", $D2)), ISNUMBER(SEARCH("Coach", $T2)), ISNUMBER(SEARCH("Coach", $R2)), ISNUMBER(SEARCH("Coach", $S2))), 1, 0)</f>
        <v>0</v>
      </c>
      <c r="MJ2" s="13">
        <f t="shared" ref="MJ2:MJ264" si="300">IF(OR(ISNUMBER(SEARCH("Computerized cognitive training", $D2)), ISNUMBER(SEARCH("Computerized cognitive training", $T2)), ISNUMBER(SEARCH("Computerized cognitive training", $R2)), ISNUMBER(SEARCH("Computerized cognitive training", $S2))), 1, 0)</f>
        <v>0</v>
      </c>
      <c r="MK2" s="13">
        <f t="shared" ref="MK2:MK264" si="301">IF(OR(ISNUMBER(SEARCH("Breathing Training", $D2)), ISNUMBER(SEARCH("Breathing Training", $T2)), ISNUMBER(SEARCH("Breathing Training", $R2)), ISNUMBER(SEARCH("Breathing Training", $S2))), 1, 0)</f>
        <v>0</v>
      </c>
      <c r="ML2" s="14">
        <f t="shared" ref="ML2:ML264" si="302">IF(OR(ISNUMBER(SEARCH("Fairness", $D2)), ISNUMBER(SEARCH("Fairness", $T2)), ISNUMBER(SEARCH("Fairness", $R2)), ISNUMBER(SEARCH("Fairness", $S2))), 1, 0)</f>
        <v>0</v>
      </c>
      <c r="MM2" s="14">
        <f t="shared" ref="MM2:MM264" si="303">IF(OR(ISNUMBER(SEARCH("Accountability", $D2)), ISNUMBER(SEARCH("Accountability", $T2)), ISNUMBER(SEARCH("Accountability", $R2)), ISNUMBER(SEARCH("Accountability", $S2))), 1, 0)</f>
        <v>0</v>
      </c>
      <c r="MN2" s="14">
        <f t="shared" ref="MN2:MN264" si="304">IF(OR(ISNUMBER(SEARCH("Transparency", $D2)), ISNUMBER(SEARCH("Transparency", $T2)), ISNUMBER(SEARCH("Transparency", $R2)), ISNUMBER(SEARCH("Transparency", $S2))), 1, 0)</f>
        <v>0</v>
      </c>
      <c r="MO2" s="14">
        <f t="shared" ref="MO2:MO264" si="305">IF(OR(ISNUMBER(SEARCH("Ethic", $D2)), ISNUMBER(SEARCH("Ethic", $T2)), ISNUMBER(SEARCH("Ethic", $R2)), ISNUMBER(SEARCH("Ethic", $S2))), 1, 0)</f>
        <v>0</v>
      </c>
      <c r="MP2" s="14">
        <f t="shared" ref="MP2:MP264" si="306">IF(
OR(
ISNUMBER(SEARCH("Privacy",$D2)),ISNUMBER(SEARCH("Privacy",$T2)),ISNUMBER(SEARCH("Privacy",$R2)),ISNUMBER(SEARCH("Privacy",$S2)),
ISNUMBER(SEARCH("Data Protection",$D2)),ISNUMBER(SEARCH("Data Protection",$T2)),ISNUMBER(SEARCH("Data Protection",$R2)),ISNUMBER(SEARCH("Data Protection",$S2))), 1, 0)</f>
        <v>0</v>
      </c>
      <c r="MQ2" s="14">
        <f t="shared" ref="MQ2:MQ264" si="307">IF(OR(ISNUMBER(SEARCH("Teacher Resistance", $D2)), ISNUMBER(SEARCH("Teacher Resistance", $T2)), ISNUMBER(SEARCH("Teacher Resistance", $R2)), ISNUMBER(SEARCH("Teacher Resistance", $S2))), 1, 0)</f>
        <v>0</v>
      </c>
      <c r="MR2" s="14">
        <f t="shared" ref="MR2:MR264" si="308">IF(
OR(
ISNUMBER(SEARCH("Lack of Training",$D2)),ISNUMBER(SEARCH("Lack of Training",$T2)),ISNUMBER(SEARCH("Lack of Training",$R2)),ISNUMBER(SEARCH("Lack of Training",$S2)),
ISNUMBER(SEARCH("Lack of Development",$D2)),ISNUMBER(SEARCH("Lack of Development",$T2)),ISNUMBER(SEARCH("Lack of Development",$R2)),ISNUMBER(SEARCH("Lack of Development",$S2))), 1, 0)</f>
        <v>0</v>
      </c>
      <c r="MS2" s="14">
        <f t="shared" ref="MS2:MS264" si="309">IF(OR(ISNUMBER(SEARCH("Lack of Infrastructure", $D2)), ISNUMBER(SEARCH("Lack of Infrastructure", $T2)), ISNUMBER(SEARCH("Lack of Infrastructure", $R2)), ISNUMBER(SEARCH("Lack of Infrastructure", $S2))), 1, 0)</f>
        <v>0</v>
      </c>
      <c r="MT2" s="14">
        <f t="shared" ref="MT2:MT264" si="310">IF(OR(ISNUMBER(SEARCH("Technological Paternalism", $D2)), ISNUMBER(SEARCH("Technological Paternalism", $T2)), ISNUMBER(SEARCH("Technological Paternalism", $R2)), ISNUMBER(SEARCH("Technological Paternalism", $S2))), 1, 0)</f>
        <v>0</v>
      </c>
      <c r="MU2" s="14">
        <f t="shared" ref="MU2:MU264" si="311">IF(
OR(
ISNUMBER(SEARCH("vigilance",$D2)),ISNUMBER(SEARCH("vigilance",$T2)),ISNUMBER(SEARCH("vigilance",$R2)),ISNUMBER(SEARCH("vigilance",$S2)),ISNUMBER(SEARCH("detrimental surveillance",$D2)),ISNUMBER(SEARCH("surveillance",$T2)),ISNUMBER(SEARCH("surveillance",$R2)),ISNUMBER(SEARCH("surveillance",$S2)),
ISNUMBER(SEARCH("scrutiny",$D2)),ISNUMBER(SEARCH("scrutiny",$T2)),ISNUMBER(SEARCH("scrutiny",$R2)),ISNUMBER(SEARCH("scrutiny",$S2))), 1, 0)</f>
        <v>0</v>
      </c>
      <c r="MV2" s="14">
        <f t="shared" ref="MV2:MV264" si="312">IF(OR(ISNUMBER(SEARCH("Self-Fulfilling", $D2)), ISNUMBER(SEARCH("Self-Fulfilling", $T2)), ISNUMBER(SEARCH("Self-Fulfilling", $R2)), ISNUMBER(SEARCH("Self-Fulfilling", $S2))), 1, 0)</f>
        <v>0</v>
      </c>
      <c r="MW2" s="14">
        <f t="shared" ref="MW2:MW264" si="313">IF(OR(ISNUMBER(SEARCH("Trust", $D2)), ISNUMBER(SEARCH("Trust",, $T2)), ISNUMBER(SEARCH("Trust",, $R2)), ISNUMBER(SEARCH("Trust",, $S2))), 1, 0)</f>
        <v>0</v>
      </c>
      <c r="MX2" s="14">
        <f t="shared" ref="MX2:MX264" si="314">IF(OR(ISNUMBER(SEARCH("Explainability", $D2)), ISNUMBER(SEARCH("Explainability", $T2)), ISNUMBER(SEARCH("Explainability", $R2)), ISNUMBER(SEARCH("Explainability", $S2))), 1, 0)</f>
        <v>0</v>
      </c>
      <c r="MY2" s="14">
        <f t="shared" ref="MY2:MY264" si="315">IF(OR(ISNUMBER(SEARCH("Bias", $D2)), ISNUMBER(SEARCH("Bias", $T2)), ISNUMBER(SEARCH("Bias", $R2)), ISNUMBER(SEARCH("Bias", $S2))), 1, 0)</f>
        <v>0</v>
      </c>
      <c r="MZ2" s="14">
        <f t="shared" ref="MZ2:MZ264" si="316">IF(
OR(
ISNUMBER(SEARCH("ISO 26000",$D2)), ISNUMBER(SEARCH("ISO 26000",$T2)), ISNUMBER(SEARCH("ISO 26000",$R2)), ISNUMBER(SEARCH("ISO 26000",$S2)),
ISNUMBER(SEARCH("Social responsibility",$D2)), ISNUMBER(SEARCH("Social responsibility",$T2)), ISNUMBER(SEARCH("Social responsibility",$R2)), ISNUMBER(SEARCH("Social responsibility",$S2))), 1, 0)</f>
        <v>0</v>
      </c>
      <c r="NA2" s="14">
        <f t="shared" ref="NA2:NA264" si="317">IF(OR(ISNUMBER(SEARCH("Human-centered", $D2)), ISNUMBER(SEARCH("Human-centered", $T2)), ISNUMBER(SEARCH("Human-centered", $R2)), ISNUMBER(SEARCH("Human-centered", $S2))), 1, 0)</f>
        <v>0</v>
      </c>
      <c r="NB2" s="14">
        <f t="shared" ref="NB2:NB264" si="318">IF(OR(ISNUMBER(SEARCH("Justice", $D2)), ISNUMBER(SEARCH("Justice", $T2)), ISNUMBER(SEARCH("Justice", $R2)), ISNUMBER(SEARCH("Justice", $S2))), 1, 0)</f>
        <v>0</v>
      </c>
    </row>
    <row r="3">
      <c r="A3" s="2">
        <v>436.0</v>
      </c>
      <c r="B3" s="2" t="s">
        <v>388</v>
      </c>
      <c r="C3" s="2" t="s">
        <v>389</v>
      </c>
      <c r="D3" s="2" t="s">
        <v>390</v>
      </c>
      <c r="E3" s="2">
        <v>2008.0</v>
      </c>
      <c r="F3" s="2" t="s">
        <v>391</v>
      </c>
      <c r="G3" s="2" t="s">
        <v>371</v>
      </c>
      <c r="H3" s="2" t="s">
        <v>392</v>
      </c>
      <c r="J3" s="2" t="s">
        <v>393</v>
      </c>
      <c r="K3" s="2" t="s">
        <v>394</v>
      </c>
      <c r="M3" s="2">
        <v>582.0</v>
      </c>
      <c r="N3" s="2" t="s">
        <v>395</v>
      </c>
      <c r="O3" s="2" t="s">
        <v>396</v>
      </c>
      <c r="P3" s="2" t="s">
        <v>397</v>
      </c>
      <c r="Q3" s="2" t="s">
        <v>398</v>
      </c>
      <c r="R3" s="2" t="s">
        <v>399</v>
      </c>
      <c r="S3" s="2" t="s">
        <v>400</v>
      </c>
      <c r="T3" s="2" t="s">
        <v>401</v>
      </c>
      <c r="Y3" s="2" t="s">
        <v>402</v>
      </c>
      <c r="AG3" s="2" t="s">
        <v>403</v>
      </c>
      <c r="AI3" s="2" t="s">
        <v>404</v>
      </c>
      <c r="AJ3" s="2">
        <v>1.8270033E7</v>
      </c>
      <c r="AK3" s="2" t="s">
        <v>405</v>
      </c>
      <c r="AL3" s="2" t="s">
        <v>384</v>
      </c>
      <c r="AN3" s="2" t="s">
        <v>386</v>
      </c>
      <c r="AO3" s="2" t="s">
        <v>406</v>
      </c>
      <c r="AP3" s="2" t="s">
        <v>386</v>
      </c>
      <c r="AQ3" s="2">
        <v>1722.0</v>
      </c>
      <c r="AR3" s="2" t="s">
        <v>390</v>
      </c>
      <c r="AS3" s="2" t="b">
        <v>1</v>
      </c>
      <c r="AT3" s="3">
        <v>0.0</v>
      </c>
      <c r="AU3" s="4">
        <v>1.0</v>
      </c>
      <c r="AV3" s="4"/>
      <c r="AW3" s="5">
        <f t="shared" si="3"/>
        <v>0</v>
      </c>
      <c r="AX3" s="5">
        <f t="shared" si="4"/>
        <v>0</v>
      </c>
      <c r="AY3" s="5">
        <f t="shared" si="5"/>
        <v>0</v>
      </c>
      <c r="AZ3" s="5">
        <f t="shared" si="6"/>
        <v>0</v>
      </c>
      <c r="BA3" s="5">
        <f t="shared" si="7"/>
        <v>0</v>
      </c>
      <c r="BB3" s="5">
        <f t="shared" si="8"/>
        <v>0</v>
      </c>
      <c r="BC3" s="5">
        <f t="shared" si="9"/>
        <v>0</v>
      </c>
      <c r="BD3" s="5">
        <f t="shared" si="10"/>
        <v>0</v>
      </c>
      <c r="BE3" s="5">
        <f t="shared" si="11"/>
        <v>0</v>
      </c>
      <c r="BF3" s="5">
        <f t="shared" si="12"/>
        <v>0</v>
      </c>
      <c r="BG3" s="5">
        <f t="shared" si="13"/>
        <v>0</v>
      </c>
      <c r="BH3" s="5">
        <f t="shared" si="14"/>
        <v>0</v>
      </c>
      <c r="BI3" s="5">
        <f t="shared" si="15"/>
        <v>0</v>
      </c>
      <c r="BJ3" s="5">
        <f t="shared" si="16"/>
        <v>0</v>
      </c>
      <c r="BK3" s="5">
        <f t="shared" si="17"/>
        <v>0</v>
      </c>
      <c r="BL3" s="5">
        <f t="shared" si="18"/>
        <v>0</v>
      </c>
      <c r="BM3" s="5">
        <f t="shared" si="19"/>
        <v>0</v>
      </c>
      <c r="BN3" s="5">
        <f t="shared" si="20"/>
        <v>0</v>
      </c>
      <c r="BO3" s="5">
        <f t="shared" si="21"/>
        <v>0</v>
      </c>
      <c r="BP3" s="5">
        <f t="shared" si="22"/>
        <v>0</v>
      </c>
      <c r="BQ3" s="5">
        <f t="shared" si="23"/>
        <v>0</v>
      </c>
      <c r="BR3" s="5">
        <f t="shared" si="24"/>
        <v>0</v>
      </c>
      <c r="BS3" s="5">
        <f t="shared" si="25"/>
        <v>0</v>
      </c>
      <c r="BT3" s="5">
        <f t="shared" si="26"/>
        <v>0</v>
      </c>
      <c r="BU3" s="5">
        <f t="shared" si="27"/>
        <v>0</v>
      </c>
      <c r="BV3" s="5">
        <f t="shared" ref="BV3:BW3" si="28">IF(OR(ISNUMBER(SEARCH("grit",$D3)),ISNUMBER(SEARCH("grit",$T3)),ISNUMBER(SEARCH("grit",$R3)),ISNUMBER(SEARCH("grit",$S3)),
ISNUMBER(SEARCH("determination",$D3)),ISNUMBER(SEARCH("determination",$T3)),ISNUMBER(SEARCH("determination",$R3)),ISNUMBER(SEARCH("determination",$S3)),
ISNUMBER(SEARCH("tenacity",$D3)),ISNUMBER(SEARCH("tenacity",$T3)),ISNUMBER(SEARCH("tenacity",$R3)),ISNUMBER(SEARCH("tenacity",$S3)),
ISNUMBER(SEARCH("endurance",$D3)),ISNUMBER(SEARCH("endurance",$T3)),ISNUMBER(SEARCH("endurance",$R3)),ISNUMBER(SEARCH("endurance",$S3)),
ISNUMBER(SEARCH("fortitude",$D3)),ISNUMBER(SEARCH("fortitude",$T3)),ISNUMBER(SEARCH("fortitude",$R3)),ISNUMBER(SEARCH("fortitude",$S3)),
ISNUMBER(SEARCH("resolve",$D3)),ISNUMBER(SEARCH("resolve",$T3)),ISNUMBER(SEARCH("resolve",$R3)),ISNUMBER(SEARCH("resolve",$S3)),
ISNUMBER(SEARCH("stamina",$D3)),ISNUMBER(SEARCH("stamina",$T3)),ISNUMBER(SEARCH("stamina",$R3)),ISNUMBER(SEARCH("stamina",$S3)),
ISNUMBER(SEARCH("guts",$D3)),ISNUMBER(SEARCH("guts",$T3)),ISNUMBER(SEARCH("guts",$R3)),ISNUMBER(SEARCH("guts",$S3)),
ISNUMBER(SEARCH("spunk",$D3)),ISNUMBER(SEARCH("spunk",$T3)),ISNUMBER(SEARCH("spunk",$R3)),ISNUMBER(SEARCH("spunk",$S3))), 1, 0)</f>
        <v>0</v>
      </c>
      <c r="BW3" s="5">
        <f t="shared" si="28"/>
        <v>0</v>
      </c>
      <c r="BX3" s="5">
        <f t="shared" si="29"/>
        <v>0</v>
      </c>
      <c r="BY3" s="5">
        <f t="shared" si="30"/>
        <v>0</v>
      </c>
      <c r="BZ3" s="5">
        <f t="shared" si="31"/>
        <v>0</v>
      </c>
      <c r="CA3" s="5">
        <f t="shared" si="32"/>
        <v>0</v>
      </c>
      <c r="CB3" s="5">
        <f t="shared" si="33"/>
        <v>0</v>
      </c>
      <c r="CC3" s="5">
        <f t="shared" si="34"/>
        <v>0</v>
      </c>
      <c r="CD3" s="5">
        <f t="shared" si="35"/>
        <v>0</v>
      </c>
      <c r="CE3" s="5">
        <f t="shared" si="36"/>
        <v>0</v>
      </c>
      <c r="CF3" s="5">
        <f t="shared" si="37"/>
        <v>0</v>
      </c>
      <c r="CG3" s="5">
        <f t="shared" si="38"/>
        <v>0</v>
      </c>
      <c r="CH3" s="5">
        <f t="shared" si="39"/>
        <v>0</v>
      </c>
      <c r="CI3" s="5">
        <f t="shared" si="40"/>
        <v>0</v>
      </c>
      <c r="CJ3" s="5">
        <f t="shared" si="41"/>
        <v>0</v>
      </c>
      <c r="CK3" s="5">
        <f t="shared" si="42"/>
        <v>0</v>
      </c>
      <c r="CL3" s="5">
        <f t="shared" si="43"/>
        <v>0</v>
      </c>
      <c r="CM3" s="5">
        <f t="shared" si="44"/>
        <v>0</v>
      </c>
      <c r="CN3" s="5">
        <f t="shared" si="45"/>
        <v>0</v>
      </c>
      <c r="CO3" s="5">
        <f t="shared" si="46"/>
        <v>0</v>
      </c>
      <c r="CP3" s="6">
        <f t="shared" si="47"/>
        <v>0</v>
      </c>
      <c r="CQ3" s="6">
        <f t="shared" si="48"/>
        <v>0</v>
      </c>
      <c r="CR3" s="6">
        <f t="shared" si="49"/>
        <v>0</v>
      </c>
      <c r="CS3" s="6">
        <f t="shared" si="50"/>
        <v>0</v>
      </c>
      <c r="CT3" s="6">
        <f t="shared" si="51"/>
        <v>0</v>
      </c>
      <c r="CU3" s="6">
        <f t="shared" si="52"/>
        <v>0</v>
      </c>
      <c r="CV3" s="6">
        <f t="shared" si="53"/>
        <v>0</v>
      </c>
      <c r="CW3" s="6">
        <f t="shared" si="54"/>
        <v>0</v>
      </c>
      <c r="CX3" s="6">
        <f t="shared" si="55"/>
        <v>0</v>
      </c>
      <c r="CY3" s="6">
        <f t="shared" si="56"/>
        <v>0</v>
      </c>
      <c r="CZ3" s="6">
        <f t="shared" si="57"/>
        <v>0</v>
      </c>
      <c r="DA3" s="6">
        <f t="shared" si="58"/>
        <v>0</v>
      </c>
      <c r="DB3" s="6">
        <f t="shared" si="59"/>
        <v>0</v>
      </c>
      <c r="DC3" s="6">
        <f t="shared" si="60"/>
        <v>0</v>
      </c>
      <c r="DD3" s="6">
        <f t="shared" si="61"/>
        <v>0</v>
      </c>
      <c r="DE3" s="6">
        <f t="shared" si="62"/>
        <v>0</v>
      </c>
      <c r="DF3" s="6">
        <f t="shared" si="63"/>
        <v>0</v>
      </c>
      <c r="DG3" s="6">
        <f t="shared" si="64"/>
        <v>0</v>
      </c>
      <c r="DH3" s="6">
        <f t="shared" si="65"/>
        <v>0</v>
      </c>
      <c r="DI3" s="6">
        <f t="shared" si="66"/>
        <v>0</v>
      </c>
      <c r="DJ3" s="6">
        <f t="shared" si="67"/>
        <v>0</v>
      </c>
      <c r="DK3" s="7">
        <f t="shared" si="68"/>
        <v>0</v>
      </c>
      <c r="DL3" s="7">
        <f t="shared" si="69"/>
        <v>0</v>
      </c>
      <c r="DM3" s="7">
        <f t="shared" si="70"/>
        <v>0</v>
      </c>
      <c r="DN3" s="7">
        <f t="shared" si="71"/>
        <v>0</v>
      </c>
      <c r="DO3" s="7">
        <f t="shared" si="72"/>
        <v>1</v>
      </c>
      <c r="DP3" s="8">
        <f t="shared" si="73"/>
        <v>0</v>
      </c>
      <c r="DQ3" s="8">
        <f t="shared" si="74"/>
        <v>1</v>
      </c>
      <c r="DR3" s="7">
        <f t="shared" si="75"/>
        <v>0</v>
      </c>
      <c r="DS3" s="7">
        <f t="shared" si="76"/>
        <v>0</v>
      </c>
      <c r="DT3" s="7">
        <f t="shared" si="77"/>
        <v>0</v>
      </c>
      <c r="DU3" s="9">
        <f t="shared" si="78"/>
        <v>0</v>
      </c>
      <c r="DV3" s="9">
        <f t="shared" si="79"/>
        <v>0</v>
      </c>
      <c r="DW3" s="9">
        <f t="shared" si="80"/>
        <v>0</v>
      </c>
      <c r="DX3" s="9">
        <f t="shared" si="81"/>
        <v>0</v>
      </c>
      <c r="DY3" s="9">
        <f t="shared" si="82"/>
        <v>0</v>
      </c>
      <c r="DZ3" s="9">
        <f t="shared" si="83"/>
        <v>0</v>
      </c>
      <c r="EA3" s="9">
        <f t="shared" si="84"/>
        <v>0</v>
      </c>
      <c r="EB3" s="9">
        <f t="shared" si="85"/>
        <v>0</v>
      </c>
      <c r="EC3" s="9">
        <f t="shared" si="86"/>
        <v>0</v>
      </c>
      <c r="ED3" s="9">
        <f t="shared" si="87"/>
        <v>0</v>
      </c>
      <c r="EE3" s="9">
        <f t="shared" si="88"/>
        <v>0</v>
      </c>
      <c r="EF3" s="9">
        <f t="shared" si="89"/>
        <v>0</v>
      </c>
      <c r="EG3" s="9">
        <f t="shared" si="90"/>
        <v>0</v>
      </c>
      <c r="EH3" s="9">
        <f t="shared" si="91"/>
        <v>0</v>
      </c>
      <c r="EI3" s="9">
        <f t="shared" si="92"/>
        <v>0</v>
      </c>
      <c r="EJ3" s="10">
        <f t="shared" si="93"/>
        <v>0</v>
      </c>
      <c r="EK3" s="10">
        <f t="shared" si="94"/>
        <v>0</v>
      </c>
      <c r="EL3" s="10">
        <f t="shared" ref="EL3:EM3" si="95">IF(OR(ISNUMBER(SEARCH("ai software toolkit", $D3)), ISNUMBER(SEARCH("ai software toolkit", $T3)), ISNUMBER(SEARCH("ai software toolkit", $R3)), ISNUMBER(SEARCH("ai software toolkit", $S3))), 1, 0)</f>
        <v>0</v>
      </c>
      <c r="EM3" s="10">
        <f t="shared" si="95"/>
        <v>0</v>
      </c>
      <c r="EN3" s="10">
        <f t="shared" si="96"/>
        <v>0</v>
      </c>
      <c r="EO3" s="10">
        <f t="shared" si="97"/>
        <v>0</v>
      </c>
      <c r="EP3" s="10">
        <f t="shared" si="98"/>
        <v>0</v>
      </c>
      <c r="EQ3" s="10">
        <f t="shared" si="99"/>
        <v>0</v>
      </c>
      <c r="ER3" s="10">
        <f t="shared" si="100"/>
        <v>0</v>
      </c>
      <c r="ES3" s="10">
        <f t="shared" si="101"/>
        <v>0</v>
      </c>
      <c r="ET3" s="10">
        <f t="shared" si="102"/>
        <v>0</v>
      </c>
      <c r="EU3" s="10">
        <f t="shared" si="103"/>
        <v>0</v>
      </c>
      <c r="EV3" s="10">
        <f t="shared" si="104"/>
        <v>0</v>
      </c>
      <c r="EW3" s="10">
        <f t="shared" si="105"/>
        <v>0</v>
      </c>
      <c r="EX3" s="10">
        <f t="shared" si="106"/>
        <v>0</v>
      </c>
      <c r="EY3" s="10">
        <f t="shared" si="107"/>
        <v>0</v>
      </c>
      <c r="EZ3" s="10">
        <f t="shared" si="108"/>
        <v>0</v>
      </c>
      <c r="FA3" s="10">
        <f t="shared" si="109"/>
        <v>0</v>
      </c>
      <c r="FB3" s="10">
        <f t="shared" si="110"/>
        <v>0</v>
      </c>
      <c r="FC3" s="10">
        <f t="shared" si="111"/>
        <v>0</v>
      </c>
      <c r="FD3" s="10">
        <f t="shared" si="112"/>
        <v>0</v>
      </c>
      <c r="FE3" s="10">
        <f t="shared" si="113"/>
        <v>0</v>
      </c>
      <c r="FF3" s="10">
        <f t="shared" si="114"/>
        <v>0</v>
      </c>
      <c r="FG3" s="10">
        <f t="shared" si="115"/>
        <v>0</v>
      </c>
      <c r="FH3" s="10">
        <f t="shared" si="116"/>
        <v>0</v>
      </c>
      <c r="FI3" s="10">
        <f t="shared" si="117"/>
        <v>0</v>
      </c>
      <c r="FJ3" s="10">
        <f t="shared" si="118"/>
        <v>0</v>
      </c>
      <c r="FK3" s="10">
        <f t="shared" si="119"/>
        <v>0</v>
      </c>
      <c r="FL3" s="10">
        <f t="shared" si="120"/>
        <v>0</v>
      </c>
      <c r="FM3" s="10">
        <f t="shared" si="121"/>
        <v>0</v>
      </c>
      <c r="FN3" s="10">
        <f t="shared" si="122"/>
        <v>0</v>
      </c>
      <c r="FO3" s="10">
        <f t="shared" si="123"/>
        <v>0</v>
      </c>
      <c r="FP3" s="10">
        <f t="shared" si="124"/>
        <v>0</v>
      </c>
      <c r="FQ3" s="10">
        <f t="shared" si="125"/>
        <v>1</v>
      </c>
      <c r="FR3" s="11">
        <f t="shared" si="126"/>
        <v>0</v>
      </c>
      <c r="FS3" s="11">
        <f t="shared" si="127"/>
        <v>0</v>
      </c>
      <c r="FT3" s="11">
        <f t="shared" si="128"/>
        <v>0</v>
      </c>
      <c r="FU3" s="11">
        <f t="shared" si="129"/>
        <v>0</v>
      </c>
      <c r="FV3" s="11">
        <f t="shared" si="130"/>
        <v>0</v>
      </c>
      <c r="FW3" s="11">
        <f t="shared" si="131"/>
        <v>0</v>
      </c>
      <c r="FX3" s="11">
        <f t="shared" si="132"/>
        <v>0</v>
      </c>
      <c r="FY3" s="11">
        <f t="shared" si="133"/>
        <v>0</v>
      </c>
      <c r="FZ3" s="11">
        <f t="shared" si="134"/>
        <v>0</v>
      </c>
      <c r="GA3" s="11">
        <f t="shared" si="135"/>
        <v>0</v>
      </c>
      <c r="GB3" s="11">
        <f t="shared" si="136"/>
        <v>0</v>
      </c>
      <c r="GC3" s="11">
        <f t="shared" si="137"/>
        <v>0</v>
      </c>
      <c r="GD3" s="11">
        <f t="shared" si="138"/>
        <v>0</v>
      </c>
      <c r="GE3" s="11">
        <f t="shared" si="139"/>
        <v>0</v>
      </c>
      <c r="GF3" s="11">
        <f t="shared" si="140"/>
        <v>0</v>
      </c>
      <c r="GG3" s="11">
        <f t="shared" si="141"/>
        <v>0</v>
      </c>
      <c r="GH3" s="11">
        <f t="shared" si="142"/>
        <v>0</v>
      </c>
      <c r="GI3" s="11">
        <f t="shared" si="143"/>
        <v>0</v>
      </c>
      <c r="GJ3" s="11">
        <f t="shared" si="144"/>
        <v>0</v>
      </c>
      <c r="GK3" s="11">
        <f t="shared" si="145"/>
        <v>0</v>
      </c>
      <c r="GL3" s="11">
        <f t="shared" si="146"/>
        <v>0</v>
      </c>
      <c r="GM3" s="11">
        <f t="shared" si="147"/>
        <v>0</v>
      </c>
      <c r="GN3" s="11">
        <f t="shared" si="148"/>
        <v>0</v>
      </c>
      <c r="GO3" s="11">
        <f t="shared" si="149"/>
        <v>0</v>
      </c>
      <c r="GP3" s="11">
        <f t="shared" si="150"/>
        <v>0</v>
      </c>
      <c r="GQ3" s="11">
        <f t="shared" si="151"/>
        <v>0</v>
      </c>
      <c r="GR3" s="11">
        <f t="shared" si="152"/>
        <v>1</v>
      </c>
      <c r="GS3" s="11">
        <f t="shared" si="153"/>
        <v>0</v>
      </c>
      <c r="GT3" s="11">
        <f t="shared" si="154"/>
        <v>0</v>
      </c>
      <c r="GU3" s="12">
        <f t="shared" si="155"/>
        <v>0</v>
      </c>
      <c r="GV3" s="12">
        <f t="shared" si="156"/>
        <v>0</v>
      </c>
      <c r="GW3" s="12">
        <f t="shared" si="157"/>
        <v>0</v>
      </c>
      <c r="GX3" s="12">
        <f t="shared" si="158"/>
        <v>0</v>
      </c>
      <c r="GY3" s="12">
        <f t="shared" si="159"/>
        <v>0</v>
      </c>
      <c r="GZ3" s="12">
        <f t="shared" si="160"/>
        <v>0</v>
      </c>
      <c r="HA3" s="12">
        <f t="shared" si="161"/>
        <v>0</v>
      </c>
      <c r="HB3" s="12">
        <f t="shared" si="162"/>
        <v>0</v>
      </c>
      <c r="HC3" s="12">
        <f t="shared" si="163"/>
        <v>0</v>
      </c>
      <c r="HD3" s="12">
        <f t="shared" si="164"/>
        <v>0</v>
      </c>
      <c r="HE3" s="12">
        <f t="shared" si="165"/>
        <v>0</v>
      </c>
      <c r="HF3" s="12">
        <f t="shared" si="166"/>
        <v>0</v>
      </c>
      <c r="HG3" s="12">
        <f t="shared" si="167"/>
        <v>0</v>
      </c>
      <c r="HH3" s="12">
        <f t="shared" si="168"/>
        <v>0</v>
      </c>
      <c r="HI3" s="12">
        <f t="shared" si="169"/>
        <v>0</v>
      </c>
      <c r="HJ3" s="12">
        <f t="shared" si="170"/>
        <v>0</v>
      </c>
      <c r="HK3" s="12">
        <f t="shared" si="171"/>
        <v>0</v>
      </c>
      <c r="HL3" s="12">
        <f t="shared" si="172"/>
        <v>0</v>
      </c>
      <c r="HM3" s="12">
        <f t="shared" si="173"/>
        <v>0</v>
      </c>
      <c r="HN3" s="12">
        <f t="shared" si="174"/>
        <v>0</v>
      </c>
      <c r="HO3" s="12">
        <f t="shared" si="175"/>
        <v>0</v>
      </c>
      <c r="HP3" s="12">
        <f t="shared" si="176"/>
        <v>0</v>
      </c>
      <c r="HQ3" s="12">
        <f t="shared" si="177"/>
        <v>0</v>
      </c>
      <c r="HR3" s="12">
        <f t="shared" si="178"/>
        <v>0</v>
      </c>
      <c r="HS3" s="12">
        <f t="shared" si="179"/>
        <v>0</v>
      </c>
      <c r="HT3" s="12">
        <f t="shared" si="180"/>
        <v>0</v>
      </c>
      <c r="HU3" s="12">
        <f t="shared" si="181"/>
        <v>0</v>
      </c>
      <c r="HV3" s="12">
        <f t="shared" si="182"/>
        <v>0</v>
      </c>
      <c r="HW3" s="12">
        <f t="shared" si="183"/>
        <v>0</v>
      </c>
      <c r="HX3" s="12">
        <f t="shared" si="184"/>
        <v>0</v>
      </c>
      <c r="HY3" s="12">
        <f t="shared" si="185"/>
        <v>0</v>
      </c>
      <c r="HZ3" s="12">
        <f t="shared" si="186"/>
        <v>0</v>
      </c>
      <c r="IA3" s="12">
        <f t="shared" si="187"/>
        <v>0</v>
      </c>
      <c r="IB3" s="12">
        <f t="shared" si="188"/>
        <v>0</v>
      </c>
      <c r="IC3" s="12">
        <f t="shared" si="189"/>
        <v>0</v>
      </c>
      <c r="ID3" s="12">
        <f t="shared" si="190"/>
        <v>0</v>
      </c>
      <c r="IE3" s="12">
        <f t="shared" si="191"/>
        <v>0</v>
      </c>
      <c r="IF3" s="12">
        <f t="shared" si="192"/>
        <v>0</v>
      </c>
      <c r="IG3" s="12">
        <f t="shared" si="193"/>
        <v>0</v>
      </c>
      <c r="IH3" s="12">
        <f t="shared" si="194"/>
        <v>0</v>
      </c>
      <c r="II3" s="12">
        <f t="shared" si="195"/>
        <v>0</v>
      </c>
      <c r="IJ3" s="12">
        <f t="shared" si="196"/>
        <v>0</v>
      </c>
      <c r="IK3" s="12">
        <f t="shared" si="197"/>
        <v>0</v>
      </c>
      <c r="IL3" s="12">
        <f t="shared" si="198"/>
        <v>0</v>
      </c>
      <c r="IM3" s="12">
        <f t="shared" si="199"/>
        <v>0</v>
      </c>
      <c r="IN3" s="12">
        <f t="shared" si="200"/>
        <v>0</v>
      </c>
      <c r="IO3" s="12">
        <f t="shared" si="201"/>
        <v>0</v>
      </c>
      <c r="IP3" s="12">
        <f t="shared" si="202"/>
        <v>0</v>
      </c>
      <c r="IQ3" s="12">
        <f t="shared" si="203"/>
        <v>0</v>
      </c>
      <c r="IR3" s="12">
        <f t="shared" si="204"/>
        <v>0</v>
      </c>
      <c r="IS3" s="12">
        <f t="shared" si="205"/>
        <v>0</v>
      </c>
      <c r="IT3" s="12">
        <f t="shared" si="206"/>
        <v>0</v>
      </c>
      <c r="IU3" s="12">
        <f t="shared" si="207"/>
        <v>0</v>
      </c>
      <c r="IV3" s="12">
        <f t="shared" si="208"/>
        <v>0</v>
      </c>
      <c r="IW3" s="12">
        <f t="shared" si="209"/>
        <v>0</v>
      </c>
      <c r="IX3" s="12">
        <f t="shared" si="210"/>
        <v>0</v>
      </c>
      <c r="IY3" s="12">
        <f t="shared" si="211"/>
        <v>0</v>
      </c>
      <c r="IZ3" s="12">
        <f t="shared" si="212"/>
        <v>0</v>
      </c>
      <c r="JA3" s="13">
        <f t="shared" si="213"/>
        <v>0</v>
      </c>
      <c r="JB3" s="13">
        <f t="shared" si="214"/>
        <v>0</v>
      </c>
      <c r="JC3" s="13">
        <f t="shared" si="215"/>
        <v>0</v>
      </c>
      <c r="JD3" s="13">
        <f t="shared" si="216"/>
        <v>0</v>
      </c>
      <c r="JE3" s="13">
        <f t="shared" si="217"/>
        <v>0</v>
      </c>
      <c r="JF3" s="13">
        <f t="shared" si="218"/>
        <v>0</v>
      </c>
      <c r="JG3" s="13">
        <f t="shared" si="219"/>
        <v>0</v>
      </c>
      <c r="JH3" s="13">
        <f t="shared" si="220"/>
        <v>0</v>
      </c>
      <c r="JI3" s="13">
        <f t="shared" si="221"/>
        <v>0</v>
      </c>
      <c r="JJ3" s="13">
        <f t="shared" si="222"/>
        <v>0</v>
      </c>
      <c r="JK3" s="13">
        <f t="shared" si="223"/>
        <v>0</v>
      </c>
      <c r="JL3" s="13">
        <f t="shared" si="224"/>
        <v>0</v>
      </c>
      <c r="JM3" s="13">
        <f t="shared" si="225"/>
        <v>0</v>
      </c>
      <c r="JN3" s="13">
        <f t="shared" si="226"/>
        <v>0</v>
      </c>
      <c r="JO3" s="13">
        <f t="shared" si="227"/>
        <v>0</v>
      </c>
      <c r="JP3" s="13">
        <f t="shared" si="228"/>
        <v>0</v>
      </c>
      <c r="JQ3" s="13">
        <f t="shared" si="229"/>
        <v>0</v>
      </c>
      <c r="JR3" s="13">
        <f t="shared" si="230"/>
        <v>0</v>
      </c>
      <c r="JS3" s="13">
        <f t="shared" si="231"/>
        <v>0</v>
      </c>
      <c r="JT3" s="13">
        <f t="shared" si="232"/>
        <v>0</v>
      </c>
      <c r="JU3" s="13">
        <f t="shared" si="233"/>
        <v>0</v>
      </c>
      <c r="JV3" s="12">
        <f t="shared" si="234"/>
        <v>0</v>
      </c>
      <c r="JW3" s="12">
        <f t="shared" si="235"/>
        <v>0</v>
      </c>
      <c r="JX3" s="12">
        <f t="shared" si="236"/>
        <v>0</v>
      </c>
      <c r="JY3" s="12">
        <f t="shared" si="237"/>
        <v>0</v>
      </c>
      <c r="JZ3" s="12">
        <f t="shared" si="238"/>
        <v>0</v>
      </c>
      <c r="KA3" s="12">
        <f t="shared" si="239"/>
        <v>0</v>
      </c>
      <c r="KB3" s="12">
        <f t="shared" si="240"/>
        <v>0</v>
      </c>
      <c r="KC3" s="12">
        <f t="shared" si="241"/>
        <v>0</v>
      </c>
      <c r="KD3" s="12">
        <f t="shared" si="242"/>
        <v>0</v>
      </c>
      <c r="KE3" s="12">
        <f t="shared" si="243"/>
        <v>0</v>
      </c>
      <c r="KF3" s="12">
        <f t="shared" si="244"/>
        <v>0</v>
      </c>
      <c r="KG3" s="12">
        <f t="shared" si="245"/>
        <v>0</v>
      </c>
      <c r="KH3" s="12">
        <f t="shared" si="246"/>
        <v>0</v>
      </c>
      <c r="KI3" s="12">
        <f t="shared" si="247"/>
        <v>0</v>
      </c>
      <c r="KJ3" s="12">
        <f t="shared" si="248"/>
        <v>0</v>
      </c>
      <c r="KK3" s="12">
        <f t="shared" si="249"/>
        <v>0</v>
      </c>
      <c r="KL3" s="12">
        <f t="shared" si="250"/>
        <v>0</v>
      </c>
      <c r="KM3" s="12">
        <f t="shared" si="251"/>
        <v>0</v>
      </c>
      <c r="KN3" s="12">
        <f t="shared" si="252"/>
        <v>0</v>
      </c>
      <c r="KO3" s="12">
        <f t="shared" si="253"/>
        <v>0</v>
      </c>
      <c r="KP3" s="12">
        <f t="shared" si="254"/>
        <v>0</v>
      </c>
      <c r="KQ3" s="12">
        <f t="shared" si="255"/>
        <v>0</v>
      </c>
      <c r="KR3" s="12">
        <f t="shared" si="256"/>
        <v>0</v>
      </c>
      <c r="KS3" s="12">
        <f t="shared" si="257"/>
        <v>0</v>
      </c>
      <c r="KT3" s="12">
        <f t="shared" si="258"/>
        <v>0</v>
      </c>
      <c r="KU3" s="12">
        <f t="shared" si="259"/>
        <v>0</v>
      </c>
      <c r="KV3" s="12">
        <f t="shared" si="260"/>
        <v>0</v>
      </c>
      <c r="KW3" s="12">
        <f t="shared" si="261"/>
        <v>0</v>
      </c>
      <c r="KX3" s="12">
        <f t="shared" si="262"/>
        <v>0</v>
      </c>
      <c r="KY3" s="12">
        <f t="shared" si="263"/>
        <v>0</v>
      </c>
      <c r="KZ3" s="12">
        <f t="shared" si="264"/>
        <v>0</v>
      </c>
      <c r="LA3" s="12">
        <f t="shared" si="265"/>
        <v>0</v>
      </c>
      <c r="LB3" s="12">
        <f t="shared" si="266"/>
        <v>0</v>
      </c>
      <c r="LC3" s="12">
        <f t="shared" si="267"/>
        <v>0</v>
      </c>
      <c r="LD3" s="12">
        <f t="shared" si="268"/>
        <v>0</v>
      </c>
      <c r="LE3" s="12">
        <f t="shared" si="269"/>
        <v>0</v>
      </c>
      <c r="LF3" s="12">
        <f t="shared" si="270"/>
        <v>0</v>
      </c>
      <c r="LG3" s="12">
        <f t="shared" si="271"/>
        <v>0</v>
      </c>
      <c r="LH3" s="12">
        <f t="shared" si="272"/>
        <v>0</v>
      </c>
      <c r="LI3" s="12">
        <f t="shared" si="273"/>
        <v>0</v>
      </c>
      <c r="LJ3" s="12">
        <f t="shared" si="274"/>
        <v>0</v>
      </c>
      <c r="LK3" s="12">
        <f t="shared" si="275"/>
        <v>0</v>
      </c>
      <c r="LL3" s="12">
        <f t="shared" si="276"/>
        <v>0</v>
      </c>
      <c r="LM3" s="12">
        <f t="shared" si="277"/>
        <v>0</v>
      </c>
      <c r="LN3" s="12">
        <f t="shared" si="278"/>
        <v>0</v>
      </c>
      <c r="LO3" s="12">
        <f t="shared" si="279"/>
        <v>0</v>
      </c>
      <c r="LP3" s="12">
        <f t="shared" si="280"/>
        <v>0</v>
      </c>
      <c r="LQ3" s="12">
        <f t="shared" si="281"/>
        <v>0</v>
      </c>
      <c r="LR3" s="12">
        <f t="shared" si="282"/>
        <v>0</v>
      </c>
      <c r="LS3" s="12">
        <f t="shared" si="283"/>
        <v>0</v>
      </c>
      <c r="LT3" s="13">
        <f t="shared" si="284"/>
        <v>0</v>
      </c>
      <c r="LU3" s="13">
        <f t="shared" si="285"/>
        <v>0</v>
      </c>
      <c r="LV3" s="13">
        <f t="shared" si="286"/>
        <v>0</v>
      </c>
      <c r="LW3" s="13">
        <f t="shared" si="287"/>
        <v>0</v>
      </c>
      <c r="LX3" s="13">
        <f t="shared" si="288"/>
        <v>0</v>
      </c>
      <c r="LY3" s="13">
        <f t="shared" si="289"/>
        <v>0</v>
      </c>
      <c r="LZ3" s="13">
        <f t="shared" si="290"/>
        <v>0</v>
      </c>
      <c r="MA3" s="13">
        <f t="shared" si="291"/>
        <v>1</v>
      </c>
      <c r="MB3" s="13">
        <f t="shared" si="292"/>
        <v>0</v>
      </c>
      <c r="MC3" s="13">
        <f t="shared" si="293"/>
        <v>0</v>
      </c>
      <c r="MD3" s="13">
        <f t="shared" si="294"/>
        <v>0</v>
      </c>
      <c r="ME3" s="13">
        <f t="shared" si="295"/>
        <v>0</v>
      </c>
      <c r="MF3" s="13">
        <f t="shared" si="296"/>
        <v>0</v>
      </c>
      <c r="MG3" s="13">
        <f t="shared" si="297"/>
        <v>0</v>
      </c>
      <c r="MH3" s="13">
        <f t="shared" si="298"/>
        <v>0</v>
      </c>
      <c r="MI3" s="13">
        <f t="shared" si="299"/>
        <v>0</v>
      </c>
      <c r="MJ3" s="13">
        <f t="shared" si="300"/>
        <v>0</v>
      </c>
      <c r="MK3" s="13">
        <f t="shared" si="301"/>
        <v>0</v>
      </c>
      <c r="ML3" s="14">
        <f t="shared" si="302"/>
        <v>0</v>
      </c>
      <c r="MM3" s="14">
        <f t="shared" si="303"/>
        <v>0</v>
      </c>
      <c r="MN3" s="14">
        <f t="shared" si="304"/>
        <v>0</v>
      </c>
      <c r="MO3" s="14">
        <f t="shared" si="305"/>
        <v>0</v>
      </c>
      <c r="MP3" s="14">
        <f t="shared" si="306"/>
        <v>0</v>
      </c>
      <c r="MQ3" s="14">
        <f t="shared" si="307"/>
        <v>0</v>
      </c>
      <c r="MR3" s="14">
        <f t="shared" si="308"/>
        <v>0</v>
      </c>
      <c r="MS3" s="14">
        <f t="shared" si="309"/>
        <v>0</v>
      </c>
      <c r="MT3" s="14">
        <f t="shared" si="310"/>
        <v>0</v>
      </c>
      <c r="MU3" s="14">
        <f t="shared" si="311"/>
        <v>0</v>
      </c>
      <c r="MV3" s="14">
        <f t="shared" si="312"/>
        <v>0</v>
      </c>
      <c r="MW3" s="14">
        <f t="shared" si="313"/>
        <v>0</v>
      </c>
      <c r="MX3" s="14">
        <f t="shared" si="314"/>
        <v>0</v>
      </c>
      <c r="MY3" s="14">
        <f t="shared" si="315"/>
        <v>0</v>
      </c>
      <c r="MZ3" s="14">
        <f t="shared" si="316"/>
        <v>0</v>
      </c>
      <c r="NA3" s="14">
        <f t="shared" si="317"/>
        <v>0</v>
      </c>
      <c r="NB3" s="14">
        <f t="shared" si="318"/>
        <v>0</v>
      </c>
    </row>
    <row r="4">
      <c r="A4" s="2">
        <v>402.0</v>
      </c>
      <c r="B4" s="2" t="s">
        <v>407</v>
      </c>
      <c r="C4" s="2" t="s">
        <v>408</v>
      </c>
      <c r="D4" s="2" t="s">
        <v>409</v>
      </c>
      <c r="E4" s="2">
        <v>2014.0</v>
      </c>
      <c r="F4" s="2" t="s">
        <v>410</v>
      </c>
      <c r="G4" s="2" t="s">
        <v>411</v>
      </c>
      <c r="J4" s="2" t="s">
        <v>412</v>
      </c>
      <c r="K4" s="2" t="s">
        <v>413</v>
      </c>
      <c r="M4" s="2">
        <v>565.0</v>
      </c>
      <c r="N4" s="2" t="s">
        <v>414</v>
      </c>
      <c r="O4" s="2" t="s">
        <v>415</v>
      </c>
      <c r="P4" s="2" t="s">
        <v>416</v>
      </c>
      <c r="Q4" s="2" t="s">
        <v>417</v>
      </c>
      <c r="R4" s="2" t="s">
        <v>418</v>
      </c>
      <c r="S4" s="2" t="s">
        <v>419</v>
      </c>
      <c r="T4" s="2" t="s">
        <v>420</v>
      </c>
      <c r="Y4" s="2" t="s">
        <v>421</v>
      </c>
      <c r="AB4" s="2" t="s">
        <v>422</v>
      </c>
      <c r="AG4" s="2" t="s">
        <v>423</v>
      </c>
      <c r="AI4" s="2" t="s">
        <v>424</v>
      </c>
      <c r="AJ4" s="2">
        <v>2.4220041E7</v>
      </c>
      <c r="AK4" s="2" t="s">
        <v>410</v>
      </c>
      <c r="AL4" s="2" t="s">
        <v>384</v>
      </c>
      <c r="AM4" s="2" t="s">
        <v>385</v>
      </c>
      <c r="AN4" s="2" t="s">
        <v>386</v>
      </c>
      <c r="AO4" s="2" t="s">
        <v>425</v>
      </c>
      <c r="AP4" s="2" t="s">
        <v>386</v>
      </c>
      <c r="AQ4" s="2">
        <v>1591.0</v>
      </c>
      <c r="AR4" s="2" t="s">
        <v>426</v>
      </c>
      <c r="AS4" s="2" t="b">
        <v>1</v>
      </c>
      <c r="AT4" s="3">
        <v>0.0</v>
      </c>
      <c r="AU4" s="4"/>
      <c r="AV4" s="4"/>
      <c r="AW4" s="5">
        <f t="shared" si="3"/>
        <v>0</v>
      </c>
      <c r="AX4" s="5">
        <f t="shared" si="4"/>
        <v>0</v>
      </c>
      <c r="AY4" s="5">
        <f t="shared" si="5"/>
        <v>0</v>
      </c>
      <c r="AZ4" s="5">
        <f t="shared" si="6"/>
        <v>0</v>
      </c>
      <c r="BA4" s="5">
        <f t="shared" si="7"/>
        <v>0</v>
      </c>
      <c r="BB4" s="5">
        <f t="shared" si="8"/>
        <v>0</v>
      </c>
      <c r="BC4" s="5">
        <f t="shared" si="9"/>
        <v>0</v>
      </c>
      <c r="BD4" s="5">
        <f t="shared" si="10"/>
        <v>0</v>
      </c>
      <c r="BE4" s="5">
        <f t="shared" si="11"/>
        <v>0</v>
      </c>
      <c r="BF4" s="5">
        <f t="shared" si="12"/>
        <v>0</v>
      </c>
      <c r="BG4" s="5">
        <f t="shared" si="13"/>
        <v>0</v>
      </c>
      <c r="BH4" s="5">
        <f t="shared" si="14"/>
        <v>0</v>
      </c>
      <c r="BI4" s="5">
        <f t="shared" si="15"/>
        <v>0</v>
      </c>
      <c r="BJ4" s="5">
        <f t="shared" si="16"/>
        <v>0</v>
      </c>
      <c r="BK4" s="5">
        <f t="shared" si="17"/>
        <v>0</v>
      </c>
      <c r="BL4" s="5">
        <f t="shared" si="18"/>
        <v>0</v>
      </c>
      <c r="BM4" s="5">
        <f t="shared" si="19"/>
        <v>0</v>
      </c>
      <c r="BN4" s="5">
        <f t="shared" si="20"/>
        <v>0</v>
      </c>
      <c r="BO4" s="5">
        <f t="shared" si="21"/>
        <v>0</v>
      </c>
      <c r="BP4" s="5">
        <f t="shared" si="22"/>
        <v>0</v>
      </c>
      <c r="BQ4" s="5">
        <f t="shared" si="23"/>
        <v>0</v>
      </c>
      <c r="BR4" s="5">
        <f t="shared" si="24"/>
        <v>0</v>
      </c>
      <c r="BS4" s="5">
        <f t="shared" si="25"/>
        <v>0</v>
      </c>
      <c r="BT4" s="5">
        <f t="shared" si="26"/>
        <v>0</v>
      </c>
      <c r="BU4" s="5">
        <f t="shared" si="27"/>
        <v>0</v>
      </c>
      <c r="BV4" s="5">
        <f t="shared" ref="BV4:BW4" si="319">IF(OR(ISNUMBER(SEARCH("grit",$D4)),ISNUMBER(SEARCH("grit",$T4)),ISNUMBER(SEARCH("grit",$R4)),ISNUMBER(SEARCH("grit",$S4)),
ISNUMBER(SEARCH("determination",$D4)),ISNUMBER(SEARCH("determination",$T4)),ISNUMBER(SEARCH("determination",$R4)),ISNUMBER(SEARCH("determination",$S4)),
ISNUMBER(SEARCH("tenacity",$D4)),ISNUMBER(SEARCH("tenacity",$T4)),ISNUMBER(SEARCH("tenacity",$R4)),ISNUMBER(SEARCH("tenacity",$S4)),
ISNUMBER(SEARCH("endurance",$D4)),ISNUMBER(SEARCH("endurance",$T4)),ISNUMBER(SEARCH("endurance",$R4)),ISNUMBER(SEARCH("endurance",$S4)),
ISNUMBER(SEARCH("fortitude",$D4)),ISNUMBER(SEARCH("fortitude",$T4)),ISNUMBER(SEARCH("fortitude",$R4)),ISNUMBER(SEARCH("fortitude",$S4)),
ISNUMBER(SEARCH("resolve",$D4)),ISNUMBER(SEARCH("resolve",$T4)),ISNUMBER(SEARCH("resolve",$R4)),ISNUMBER(SEARCH("resolve",$S4)),
ISNUMBER(SEARCH("stamina",$D4)),ISNUMBER(SEARCH("stamina",$T4)),ISNUMBER(SEARCH("stamina",$R4)),ISNUMBER(SEARCH("stamina",$S4)),
ISNUMBER(SEARCH("guts",$D4)),ISNUMBER(SEARCH("guts",$T4)),ISNUMBER(SEARCH("guts",$R4)),ISNUMBER(SEARCH("guts",$S4)),
ISNUMBER(SEARCH("spunk",$D4)),ISNUMBER(SEARCH("spunk",$T4)),ISNUMBER(SEARCH("spunk",$R4)),ISNUMBER(SEARCH("spunk",$S4))), 1, 0)</f>
        <v>0</v>
      </c>
      <c r="BW4" s="5">
        <f t="shared" si="319"/>
        <v>0</v>
      </c>
      <c r="BX4" s="5">
        <f t="shared" si="29"/>
        <v>0</v>
      </c>
      <c r="BY4" s="5">
        <f t="shared" si="30"/>
        <v>0</v>
      </c>
      <c r="BZ4" s="5">
        <f t="shared" si="31"/>
        <v>0</v>
      </c>
      <c r="CA4" s="5">
        <f t="shared" si="32"/>
        <v>0</v>
      </c>
      <c r="CB4" s="5">
        <f t="shared" si="33"/>
        <v>0</v>
      </c>
      <c r="CC4" s="5">
        <f t="shared" si="34"/>
        <v>0</v>
      </c>
      <c r="CD4" s="5">
        <f t="shared" si="35"/>
        <v>0</v>
      </c>
      <c r="CE4" s="5">
        <f t="shared" si="36"/>
        <v>0</v>
      </c>
      <c r="CF4" s="5">
        <f t="shared" si="37"/>
        <v>0</v>
      </c>
      <c r="CG4" s="5">
        <f t="shared" si="38"/>
        <v>0</v>
      </c>
      <c r="CH4" s="5">
        <f t="shared" si="39"/>
        <v>0</v>
      </c>
      <c r="CI4" s="5">
        <f t="shared" si="40"/>
        <v>0</v>
      </c>
      <c r="CJ4" s="5">
        <f t="shared" si="41"/>
        <v>0</v>
      </c>
      <c r="CK4" s="5">
        <f t="shared" si="42"/>
        <v>1</v>
      </c>
      <c r="CL4" s="5">
        <f t="shared" si="43"/>
        <v>0</v>
      </c>
      <c r="CM4" s="5">
        <f t="shared" si="44"/>
        <v>0</v>
      </c>
      <c r="CN4" s="5">
        <f t="shared" si="45"/>
        <v>0</v>
      </c>
      <c r="CO4" s="5">
        <f t="shared" si="46"/>
        <v>0</v>
      </c>
      <c r="CP4" s="6">
        <f t="shared" si="47"/>
        <v>0</v>
      </c>
      <c r="CQ4" s="6">
        <f t="shared" si="48"/>
        <v>0</v>
      </c>
      <c r="CR4" s="6">
        <f t="shared" si="49"/>
        <v>0</v>
      </c>
      <c r="CS4" s="6">
        <f t="shared" si="50"/>
        <v>0</v>
      </c>
      <c r="CT4" s="6">
        <f t="shared" si="51"/>
        <v>0</v>
      </c>
      <c r="CU4" s="6">
        <f t="shared" si="52"/>
        <v>0</v>
      </c>
      <c r="CV4" s="6">
        <f t="shared" si="53"/>
        <v>0</v>
      </c>
      <c r="CW4" s="6">
        <f t="shared" si="54"/>
        <v>0</v>
      </c>
      <c r="CX4" s="6">
        <f t="shared" si="55"/>
        <v>0</v>
      </c>
      <c r="CY4" s="6">
        <f t="shared" si="56"/>
        <v>0</v>
      </c>
      <c r="CZ4" s="6">
        <f t="shared" si="57"/>
        <v>0</v>
      </c>
      <c r="DA4" s="6">
        <f t="shared" si="58"/>
        <v>0</v>
      </c>
      <c r="DB4" s="6">
        <f t="shared" si="59"/>
        <v>0</v>
      </c>
      <c r="DC4" s="6">
        <f t="shared" si="60"/>
        <v>0</v>
      </c>
      <c r="DD4" s="6">
        <f t="shared" si="61"/>
        <v>0</v>
      </c>
      <c r="DE4" s="6">
        <f t="shared" si="62"/>
        <v>0</v>
      </c>
      <c r="DF4" s="6">
        <f t="shared" si="63"/>
        <v>0</v>
      </c>
      <c r="DG4" s="6">
        <f t="shared" si="64"/>
        <v>0</v>
      </c>
      <c r="DH4" s="6">
        <f t="shared" ref="DH4:DH16" si="322">IF(
OR(
ISNUMBER(SEARCH("Spirituality",$D4)),ISNUMBER(SEARCH("Spirituality",$T4)),ISNUMBER(SEARCH("Spirituality",$R2)),ISNUMBER(SEARCH("Spirituality",$S4)),
ISNUMBER(SEARCH("religio",$D4)),ISNUMBER(SEARCH("religio",$T4)),ISNUMBER(SEARCH("religio",$R4)),ISNUMBER(SEARCH("religio",$S4))), 1, 0)</f>
        <v>0</v>
      </c>
      <c r="DI4" s="6">
        <f t="shared" si="66"/>
        <v>0</v>
      </c>
      <c r="DJ4" s="6">
        <f t="shared" si="67"/>
        <v>0</v>
      </c>
      <c r="DK4" s="7">
        <f t="shared" si="68"/>
        <v>0</v>
      </c>
      <c r="DL4" s="7">
        <f t="shared" ref="DL4:DL15" si="323">IF(
OR(
ISNUMBER(SEARCH("common-sense reasoning",$D4)),ISNUMBER(SEARCH("common-sense reasoning",$T4)),ISNUMBER(SEARCH("common-sense reasoning",$R2)),ISNUMBER(SEARCH("common-sense reasoning",$S4)),
ISNUMBER(SEARCH("religio",$D4)),ISNUMBER(SEARCH("religio",$T4)),ISNUMBER(SEARCH("religio",$R4)),ISNUMBER(SEARCH("religio",$S4))), 1, 0)</f>
        <v>0</v>
      </c>
      <c r="DM4" s="7">
        <f t="shared" si="70"/>
        <v>0</v>
      </c>
      <c r="DN4" s="7">
        <f t="shared" si="71"/>
        <v>0</v>
      </c>
      <c r="DO4" s="7">
        <f t="shared" si="72"/>
        <v>1</v>
      </c>
      <c r="DP4" s="8">
        <f t="shared" si="73"/>
        <v>0</v>
      </c>
      <c r="DQ4" s="8">
        <f t="shared" si="74"/>
        <v>1</v>
      </c>
      <c r="DR4" s="7">
        <f t="shared" si="75"/>
        <v>0</v>
      </c>
      <c r="DS4" s="7">
        <f t="shared" si="76"/>
        <v>0</v>
      </c>
      <c r="DT4" s="7">
        <f t="shared" si="77"/>
        <v>0</v>
      </c>
      <c r="DU4" s="9">
        <f t="shared" si="78"/>
        <v>0</v>
      </c>
      <c r="DV4" s="9">
        <f t="shared" si="79"/>
        <v>0</v>
      </c>
      <c r="DW4" s="9">
        <f t="shared" si="80"/>
        <v>0</v>
      </c>
      <c r="DX4" s="9">
        <f t="shared" si="81"/>
        <v>0</v>
      </c>
      <c r="DY4" s="9">
        <f t="shared" si="82"/>
        <v>0</v>
      </c>
      <c r="DZ4" s="9">
        <f t="shared" si="83"/>
        <v>0</v>
      </c>
      <c r="EA4" s="9">
        <f t="shared" si="84"/>
        <v>0</v>
      </c>
      <c r="EB4" s="9">
        <f t="shared" si="85"/>
        <v>0</v>
      </c>
      <c r="EC4" s="9">
        <f t="shared" si="86"/>
        <v>0</v>
      </c>
      <c r="ED4" s="9">
        <f t="shared" si="87"/>
        <v>0</v>
      </c>
      <c r="EE4" s="9">
        <f t="shared" si="88"/>
        <v>0</v>
      </c>
      <c r="EF4" s="9">
        <f t="shared" si="89"/>
        <v>0</v>
      </c>
      <c r="EG4" s="9">
        <f t="shared" si="90"/>
        <v>0</v>
      </c>
      <c r="EH4" s="9">
        <f t="shared" si="91"/>
        <v>0</v>
      </c>
      <c r="EI4" s="9">
        <f t="shared" si="92"/>
        <v>0</v>
      </c>
      <c r="EJ4" s="10">
        <f t="shared" si="93"/>
        <v>0</v>
      </c>
      <c r="EK4" s="10">
        <f t="shared" si="94"/>
        <v>0</v>
      </c>
      <c r="EL4" s="10">
        <f t="shared" ref="EL4:EM4" si="320">IF(OR(ISNUMBER(SEARCH("ai software toolkit", $D4)), ISNUMBER(SEARCH("ai software toolkit", $T4)), ISNUMBER(SEARCH("ai software toolkit", $R4)), ISNUMBER(SEARCH("ai software toolkit", $S4))), 1, 0)</f>
        <v>0</v>
      </c>
      <c r="EM4" s="10">
        <f t="shared" si="320"/>
        <v>0</v>
      </c>
      <c r="EN4" s="10">
        <f t="shared" si="96"/>
        <v>0</v>
      </c>
      <c r="EO4" s="10">
        <f t="shared" si="97"/>
        <v>0</v>
      </c>
      <c r="EP4" s="10">
        <f t="shared" si="98"/>
        <v>0</v>
      </c>
      <c r="EQ4" s="10">
        <f t="shared" si="99"/>
        <v>0</v>
      </c>
      <c r="ER4" s="10">
        <f t="shared" si="100"/>
        <v>0</v>
      </c>
      <c r="ES4" s="10">
        <f t="shared" si="101"/>
        <v>0</v>
      </c>
      <c r="ET4" s="10">
        <f t="shared" si="102"/>
        <v>0</v>
      </c>
      <c r="EU4" s="10">
        <f t="shared" si="103"/>
        <v>0</v>
      </c>
      <c r="EV4" s="10">
        <f t="shared" si="104"/>
        <v>0</v>
      </c>
      <c r="EW4" s="10">
        <f t="shared" si="105"/>
        <v>0</v>
      </c>
      <c r="EX4" s="10">
        <f t="shared" si="106"/>
        <v>0</v>
      </c>
      <c r="EY4" s="10">
        <f t="shared" si="107"/>
        <v>0</v>
      </c>
      <c r="EZ4" s="10">
        <f t="shared" si="108"/>
        <v>0</v>
      </c>
      <c r="FA4" s="10">
        <f t="shared" si="109"/>
        <v>0</v>
      </c>
      <c r="FB4" s="10">
        <f t="shared" si="110"/>
        <v>0</v>
      </c>
      <c r="FC4" s="10">
        <f t="shared" si="111"/>
        <v>0</v>
      </c>
      <c r="FD4" s="10">
        <f t="shared" si="112"/>
        <v>0</v>
      </c>
      <c r="FE4" s="10">
        <f t="shared" si="113"/>
        <v>0</v>
      </c>
      <c r="FF4" s="10">
        <f t="shared" si="114"/>
        <v>0</v>
      </c>
      <c r="FG4" s="10">
        <f t="shared" si="115"/>
        <v>0</v>
      </c>
      <c r="FH4" s="10">
        <f t="shared" si="116"/>
        <v>0</v>
      </c>
      <c r="FI4" s="10">
        <f t="shared" si="117"/>
        <v>0</v>
      </c>
      <c r="FJ4" s="10">
        <f t="shared" si="118"/>
        <v>0</v>
      </c>
      <c r="FK4" s="10">
        <f t="shared" si="119"/>
        <v>0</v>
      </c>
      <c r="FL4" s="10">
        <f t="shared" si="120"/>
        <v>0</v>
      </c>
      <c r="FM4" s="10">
        <f t="shared" si="121"/>
        <v>0</v>
      </c>
      <c r="FN4" s="10">
        <f t="shared" si="122"/>
        <v>0</v>
      </c>
      <c r="FO4" s="10">
        <f t="shared" si="123"/>
        <v>0</v>
      </c>
      <c r="FP4" s="10">
        <f t="shared" si="124"/>
        <v>0</v>
      </c>
      <c r="FQ4" s="10">
        <f t="shared" si="125"/>
        <v>0</v>
      </c>
      <c r="FR4" s="11">
        <f t="shared" si="126"/>
        <v>0</v>
      </c>
      <c r="FS4" s="11">
        <f t="shared" si="127"/>
        <v>0</v>
      </c>
      <c r="FT4" s="11">
        <f t="shared" si="128"/>
        <v>0</v>
      </c>
      <c r="FU4" s="11">
        <f t="shared" si="129"/>
        <v>0</v>
      </c>
      <c r="FV4" s="11">
        <f t="shared" si="130"/>
        <v>0</v>
      </c>
      <c r="FW4" s="11">
        <f t="shared" si="131"/>
        <v>0</v>
      </c>
      <c r="FX4" s="11">
        <f t="shared" si="132"/>
        <v>0</v>
      </c>
      <c r="FY4" s="11">
        <f t="shared" si="133"/>
        <v>0</v>
      </c>
      <c r="FZ4" s="11">
        <f t="shared" si="134"/>
        <v>0</v>
      </c>
      <c r="GA4" s="11">
        <f t="shared" si="135"/>
        <v>0</v>
      </c>
      <c r="GB4" s="11">
        <f t="shared" si="136"/>
        <v>0</v>
      </c>
      <c r="GC4" s="11">
        <f t="shared" si="137"/>
        <v>0</v>
      </c>
      <c r="GD4" s="11">
        <f t="shared" si="138"/>
        <v>0</v>
      </c>
      <c r="GE4" s="11">
        <f t="shared" si="139"/>
        <v>0</v>
      </c>
      <c r="GF4" s="11">
        <f t="shared" si="140"/>
        <v>0</v>
      </c>
      <c r="GG4" s="11">
        <f t="shared" si="141"/>
        <v>0</v>
      </c>
      <c r="GH4" s="11">
        <f t="shared" si="142"/>
        <v>0</v>
      </c>
      <c r="GI4" s="11">
        <f t="shared" si="143"/>
        <v>0</v>
      </c>
      <c r="GJ4" s="11">
        <f t="shared" si="144"/>
        <v>0</v>
      </c>
      <c r="GK4" s="11">
        <f t="shared" si="145"/>
        <v>0</v>
      </c>
      <c r="GL4" s="11">
        <f t="shared" si="146"/>
        <v>0</v>
      </c>
      <c r="GM4" s="11">
        <f t="shared" si="147"/>
        <v>0</v>
      </c>
      <c r="GN4" s="11">
        <f t="shared" si="148"/>
        <v>0</v>
      </c>
      <c r="GO4" s="11">
        <f t="shared" si="149"/>
        <v>0</v>
      </c>
      <c r="GP4" s="11">
        <f t="shared" si="150"/>
        <v>0</v>
      </c>
      <c r="GQ4" s="11">
        <f t="shared" si="151"/>
        <v>0</v>
      </c>
      <c r="GR4" s="11">
        <f t="shared" si="152"/>
        <v>0</v>
      </c>
      <c r="GS4" s="11">
        <f t="shared" si="153"/>
        <v>0</v>
      </c>
      <c r="GT4" s="11">
        <f t="shared" si="154"/>
        <v>0</v>
      </c>
      <c r="GU4" s="12">
        <f t="shared" si="155"/>
        <v>0</v>
      </c>
      <c r="GV4" s="12">
        <f t="shared" si="156"/>
        <v>0</v>
      </c>
      <c r="GW4" s="12">
        <f t="shared" si="157"/>
        <v>0</v>
      </c>
      <c r="GX4" s="12">
        <f t="shared" si="158"/>
        <v>0</v>
      </c>
      <c r="GY4" s="12">
        <f t="shared" si="159"/>
        <v>0</v>
      </c>
      <c r="GZ4" s="12">
        <f t="shared" si="160"/>
        <v>0</v>
      </c>
      <c r="HA4" s="12">
        <f t="shared" si="161"/>
        <v>0</v>
      </c>
      <c r="HB4" s="12">
        <f t="shared" si="162"/>
        <v>0</v>
      </c>
      <c r="HC4" s="12">
        <f t="shared" si="163"/>
        <v>0</v>
      </c>
      <c r="HD4" s="12">
        <f t="shared" si="164"/>
        <v>0</v>
      </c>
      <c r="HE4" s="12">
        <f t="shared" si="165"/>
        <v>0</v>
      </c>
      <c r="HF4" s="12">
        <f t="shared" si="166"/>
        <v>0</v>
      </c>
      <c r="HG4" s="12">
        <f t="shared" si="167"/>
        <v>0</v>
      </c>
      <c r="HH4" s="12">
        <f t="shared" si="168"/>
        <v>0</v>
      </c>
      <c r="HI4" s="12">
        <f t="shared" si="169"/>
        <v>0</v>
      </c>
      <c r="HJ4" s="12">
        <f t="shared" si="170"/>
        <v>0</v>
      </c>
      <c r="HK4" s="12">
        <f t="shared" si="171"/>
        <v>0</v>
      </c>
      <c r="HL4" s="12">
        <f t="shared" si="172"/>
        <v>0</v>
      </c>
      <c r="HM4" s="12">
        <f t="shared" si="173"/>
        <v>0</v>
      </c>
      <c r="HN4" s="12">
        <f t="shared" si="174"/>
        <v>0</v>
      </c>
      <c r="HO4" s="12">
        <f t="shared" si="175"/>
        <v>0</v>
      </c>
      <c r="HP4" s="12">
        <f t="shared" si="176"/>
        <v>0</v>
      </c>
      <c r="HQ4" s="12">
        <f t="shared" si="177"/>
        <v>0</v>
      </c>
      <c r="HR4" s="12">
        <f t="shared" si="178"/>
        <v>0</v>
      </c>
      <c r="HS4" s="12">
        <f t="shared" si="179"/>
        <v>0</v>
      </c>
      <c r="HT4" s="12">
        <f t="shared" si="180"/>
        <v>0</v>
      </c>
      <c r="HU4" s="12">
        <f t="shared" si="181"/>
        <v>0</v>
      </c>
      <c r="HV4" s="12">
        <f t="shared" si="182"/>
        <v>0</v>
      </c>
      <c r="HW4" s="12">
        <f t="shared" si="183"/>
        <v>0</v>
      </c>
      <c r="HX4" s="12">
        <f t="shared" si="184"/>
        <v>0</v>
      </c>
      <c r="HY4" s="12">
        <f t="shared" si="185"/>
        <v>0</v>
      </c>
      <c r="HZ4" s="12">
        <f t="shared" si="186"/>
        <v>0</v>
      </c>
      <c r="IA4" s="12">
        <f t="shared" si="187"/>
        <v>0</v>
      </c>
      <c r="IB4" s="12">
        <f t="shared" si="188"/>
        <v>0</v>
      </c>
      <c r="IC4" s="12">
        <f t="shared" si="189"/>
        <v>0</v>
      </c>
      <c r="ID4" s="12">
        <f t="shared" si="190"/>
        <v>0</v>
      </c>
      <c r="IE4" s="12">
        <f t="shared" si="191"/>
        <v>0</v>
      </c>
      <c r="IF4" s="12">
        <f t="shared" si="192"/>
        <v>0</v>
      </c>
      <c r="IG4" s="12">
        <f t="shared" si="193"/>
        <v>0</v>
      </c>
      <c r="IH4" s="12">
        <f t="shared" si="194"/>
        <v>0</v>
      </c>
      <c r="II4" s="12">
        <f t="shared" si="195"/>
        <v>0</v>
      </c>
      <c r="IJ4" s="12">
        <f t="shared" si="196"/>
        <v>0</v>
      </c>
      <c r="IK4" s="12">
        <f t="shared" si="197"/>
        <v>0</v>
      </c>
      <c r="IL4" s="12">
        <f t="shared" si="198"/>
        <v>0</v>
      </c>
      <c r="IM4" s="12">
        <f t="shared" si="199"/>
        <v>0</v>
      </c>
      <c r="IN4" s="12">
        <f t="shared" si="200"/>
        <v>0</v>
      </c>
      <c r="IO4" s="12">
        <f t="shared" si="201"/>
        <v>0</v>
      </c>
      <c r="IP4" s="12">
        <f t="shared" si="202"/>
        <v>0</v>
      </c>
      <c r="IQ4" s="12">
        <f t="shared" si="203"/>
        <v>0</v>
      </c>
      <c r="IR4" s="12">
        <f t="shared" si="204"/>
        <v>0</v>
      </c>
      <c r="IS4" s="12">
        <f t="shared" si="205"/>
        <v>0</v>
      </c>
      <c r="IT4" s="12">
        <f t="shared" si="206"/>
        <v>0</v>
      </c>
      <c r="IU4" s="12">
        <f t="shared" si="207"/>
        <v>0</v>
      </c>
      <c r="IV4" s="12">
        <f t="shared" si="208"/>
        <v>0</v>
      </c>
      <c r="IW4" s="12">
        <f t="shared" si="209"/>
        <v>0</v>
      </c>
      <c r="IX4" s="12">
        <f t="shared" si="210"/>
        <v>0</v>
      </c>
      <c r="IY4" s="12">
        <f t="shared" si="211"/>
        <v>0</v>
      </c>
      <c r="IZ4" s="12">
        <f t="shared" si="212"/>
        <v>1</v>
      </c>
      <c r="JA4" s="13">
        <f t="shared" si="213"/>
        <v>0</v>
      </c>
      <c r="JB4" s="13">
        <f t="shared" si="214"/>
        <v>0</v>
      </c>
      <c r="JC4" s="13">
        <f t="shared" si="215"/>
        <v>0</v>
      </c>
      <c r="JD4" s="13">
        <f t="shared" si="216"/>
        <v>0</v>
      </c>
      <c r="JE4" s="13">
        <f t="shared" si="217"/>
        <v>0</v>
      </c>
      <c r="JF4" s="13">
        <f t="shared" si="218"/>
        <v>1</v>
      </c>
      <c r="JG4" s="13">
        <f t="shared" si="219"/>
        <v>0</v>
      </c>
      <c r="JH4" s="13">
        <f t="shared" si="220"/>
        <v>0</v>
      </c>
      <c r="JI4" s="13">
        <f t="shared" si="221"/>
        <v>0</v>
      </c>
      <c r="JJ4" s="13">
        <f t="shared" si="222"/>
        <v>0</v>
      </c>
      <c r="JK4" s="13">
        <f t="shared" si="223"/>
        <v>0</v>
      </c>
      <c r="JL4" s="13">
        <f t="shared" si="224"/>
        <v>0</v>
      </c>
      <c r="JM4" s="13">
        <f t="shared" si="225"/>
        <v>0</v>
      </c>
      <c r="JN4" s="13">
        <f t="shared" si="226"/>
        <v>0</v>
      </c>
      <c r="JO4" s="13">
        <f t="shared" si="227"/>
        <v>0</v>
      </c>
      <c r="JP4" s="13">
        <f t="shared" si="228"/>
        <v>0</v>
      </c>
      <c r="JQ4" s="13">
        <f t="shared" si="229"/>
        <v>0</v>
      </c>
      <c r="JR4" s="13">
        <f t="shared" si="230"/>
        <v>0</v>
      </c>
      <c r="JS4" s="13">
        <f t="shared" si="231"/>
        <v>0</v>
      </c>
      <c r="JT4" s="13">
        <f t="shared" si="232"/>
        <v>0</v>
      </c>
      <c r="JU4" s="13">
        <f t="shared" si="233"/>
        <v>0</v>
      </c>
      <c r="JV4" s="12">
        <f t="shared" si="234"/>
        <v>0</v>
      </c>
      <c r="JW4" s="12">
        <f t="shared" si="235"/>
        <v>0</v>
      </c>
      <c r="JX4" s="12">
        <f t="shared" si="236"/>
        <v>0</v>
      </c>
      <c r="JY4" s="12">
        <f t="shared" si="237"/>
        <v>0</v>
      </c>
      <c r="JZ4" s="12">
        <f t="shared" si="238"/>
        <v>0</v>
      </c>
      <c r="KA4" s="12">
        <f t="shared" si="239"/>
        <v>0</v>
      </c>
      <c r="KB4" s="12">
        <f t="shared" si="240"/>
        <v>0</v>
      </c>
      <c r="KC4" s="12">
        <f t="shared" si="241"/>
        <v>0</v>
      </c>
      <c r="KD4" s="12">
        <f t="shared" si="242"/>
        <v>0</v>
      </c>
      <c r="KE4" s="12">
        <f t="shared" si="243"/>
        <v>0</v>
      </c>
      <c r="KF4" s="12">
        <f t="shared" si="244"/>
        <v>0</v>
      </c>
      <c r="KG4" s="12">
        <f t="shared" si="245"/>
        <v>0</v>
      </c>
      <c r="KH4" s="12">
        <f t="shared" si="246"/>
        <v>0</v>
      </c>
      <c r="KI4" s="12">
        <f t="shared" si="247"/>
        <v>0</v>
      </c>
      <c r="KJ4" s="12">
        <f t="shared" si="248"/>
        <v>0</v>
      </c>
      <c r="KK4" s="12">
        <f t="shared" si="249"/>
        <v>0</v>
      </c>
      <c r="KL4" s="12">
        <f t="shared" si="250"/>
        <v>0</v>
      </c>
      <c r="KM4" s="12">
        <f t="shared" si="251"/>
        <v>0</v>
      </c>
      <c r="KN4" s="12">
        <f t="shared" si="252"/>
        <v>0</v>
      </c>
      <c r="KO4" s="12">
        <f t="shared" si="253"/>
        <v>0</v>
      </c>
      <c r="KP4" s="12">
        <f t="shared" si="254"/>
        <v>0</v>
      </c>
      <c r="KQ4" s="12">
        <f t="shared" si="255"/>
        <v>0</v>
      </c>
      <c r="KR4" s="12">
        <f t="shared" si="256"/>
        <v>0</v>
      </c>
      <c r="KS4" s="12">
        <f t="shared" si="257"/>
        <v>0</v>
      </c>
      <c r="KT4" s="12">
        <f t="shared" si="258"/>
        <v>0</v>
      </c>
      <c r="KU4" s="12">
        <f t="shared" si="259"/>
        <v>0</v>
      </c>
      <c r="KV4" s="12">
        <f t="shared" si="260"/>
        <v>0</v>
      </c>
      <c r="KW4" s="12">
        <f t="shared" si="261"/>
        <v>0</v>
      </c>
      <c r="KX4" s="12">
        <f t="shared" si="262"/>
        <v>0</v>
      </c>
      <c r="KY4" s="12">
        <f t="shared" si="263"/>
        <v>0</v>
      </c>
      <c r="KZ4" s="12">
        <f t="shared" si="264"/>
        <v>0</v>
      </c>
      <c r="LA4" s="12">
        <f t="shared" si="265"/>
        <v>0</v>
      </c>
      <c r="LB4" s="12">
        <f t="shared" si="266"/>
        <v>0</v>
      </c>
      <c r="LC4" s="12">
        <f t="shared" si="267"/>
        <v>0</v>
      </c>
      <c r="LD4" s="12">
        <f t="shared" si="268"/>
        <v>0</v>
      </c>
      <c r="LE4" s="12">
        <f t="shared" si="269"/>
        <v>0</v>
      </c>
      <c r="LF4" s="12">
        <f t="shared" si="270"/>
        <v>0</v>
      </c>
      <c r="LG4" s="12">
        <f t="shared" si="271"/>
        <v>0</v>
      </c>
      <c r="LH4" s="12">
        <f t="shared" si="272"/>
        <v>0</v>
      </c>
      <c r="LI4" s="12">
        <f t="shared" si="273"/>
        <v>0</v>
      </c>
      <c r="LJ4" s="12">
        <f t="shared" si="274"/>
        <v>0</v>
      </c>
      <c r="LK4" s="12">
        <f t="shared" si="275"/>
        <v>0</v>
      </c>
      <c r="LL4" s="12">
        <f t="shared" si="276"/>
        <v>0</v>
      </c>
      <c r="LM4" s="12">
        <f t="shared" si="277"/>
        <v>0</v>
      </c>
      <c r="LN4" s="12">
        <f t="shared" si="278"/>
        <v>0</v>
      </c>
      <c r="LO4" s="12">
        <f t="shared" si="279"/>
        <v>0</v>
      </c>
      <c r="LP4" s="12">
        <f t="shared" si="280"/>
        <v>0</v>
      </c>
      <c r="LQ4" s="12">
        <f t="shared" si="281"/>
        <v>0</v>
      </c>
      <c r="LR4" s="12">
        <f t="shared" si="282"/>
        <v>0</v>
      </c>
      <c r="LS4" s="12">
        <f t="shared" si="283"/>
        <v>0</v>
      </c>
      <c r="LT4" s="13">
        <f t="shared" si="284"/>
        <v>0</v>
      </c>
      <c r="LU4" s="13">
        <f t="shared" si="285"/>
        <v>0</v>
      </c>
      <c r="LV4" s="13">
        <f t="shared" si="286"/>
        <v>0</v>
      </c>
      <c r="LW4" s="13">
        <f t="shared" si="287"/>
        <v>0</v>
      </c>
      <c r="LX4" s="13">
        <f t="shared" si="288"/>
        <v>0</v>
      </c>
      <c r="LY4" s="13">
        <f t="shared" si="289"/>
        <v>0</v>
      </c>
      <c r="LZ4" s="13">
        <f t="shared" si="290"/>
        <v>0</v>
      </c>
      <c r="MA4" s="13">
        <f t="shared" si="291"/>
        <v>0</v>
      </c>
      <c r="MB4" s="13">
        <f t="shared" si="292"/>
        <v>0</v>
      </c>
      <c r="MC4" s="13">
        <f t="shared" si="293"/>
        <v>0</v>
      </c>
      <c r="MD4" s="13">
        <f t="shared" si="294"/>
        <v>0</v>
      </c>
      <c r="ME4" s="13">
        <f t="shared" si="295"/>
        <v>0</v>
      </c>
      <c r="MF4" s="13">
        <f t="shared" si="296"/>
        <v>0</v>
      </c>
      <c r="MG4" s="13">
        <f t="shared" si="297"/>
        <v>0</v>
      </c>
      <c r="MH4" s="13">
        <f t="shared" si="298"/>
        <v>0</v>
      </c>
      <c r="MI4" s="13">
        <f t="shared" si="299"/>
        <v>0</v>
      </c>
      <c r="MJ4" s="13">
        <f t="shared" si="300"/>
        <v>0</v>
      </c>
      <c r="MK4" s="13">
        <f t="shared" si="301"/>
        <v>0</v>
      </c>
      <c r="ML4" s="14">
        <f t="shared" si="302"/>
        <v>0</v>
      </c>
      <c r="MM4" s="14">
        <f t="shared" si="303"/>
        <v>0</v>
      </c>
      <c r="MN4" s="14">
        <f t="shared" si="304"/>
        <v>0</v>
      </c>
      <c r="MO4" s="14">
        <f t="shared" si="305"/>
        <v>0</v>
      </c>
      <c r="MP4" s="14">
        <f t="shared" si="306"/>
        <v>0</v>
      </c>
      <c r="MQ4" s="14">
        <f t="shared" si="307"/>
        <v>0</v>
      </c>
      <c r="MR4" s="14">
        <f t="shared" si="308"/>
        <v>0</v>
      </c>
      <c r="MS4" s="14">
        <f t="shared" si="309"/>
        <v>0</v>
      </c>
      <c r="MT4" s="14">
        <f t="shared" si="310"/>
        <v>0</v>
      </c>
      <c r="MU4" s="14">
        <f t="shared" si="311"/>
        <v>0</v>
      </c>
      <c r="MV4" s="14">
        <f t="shared" si="312"/>
        <v>0</v>
      </c>
      <c r="MW4" s="14">
        <f t="shared" si="313"/>
        <v>0</v>
      </c>
      <c r="MX4" s="14">
        <f t="shared" si="314"/>
        <v>0</v>
      </c>
      <c r="MY4" s="14">
        <f t="shared" si="315"/>
        <v>0</v>
      </c>
      <c r="MZ4" s="14">
        <f t="shared" si="316"/>
        <v>0</v>
      </c>
      <c r="NA4" s="14">
        <f t="shared" si="317"/>
        <v>0</v>
      </c>
      <c r="NB4" s="14">
        <f t="shared" si="318"/>
        <v>0</v>
      </c>
    </row>
    <row r="5">
      <c r="A5" s="2">
        <v>431.0</v>
      </c>
      <c r="B5" s="2" t="s">
        <v>427</v>
      </c>
      <c r="C5" s="2" t="s">
        <v>428</v>
      </c>
      <c r="D5" s="2" t="s">
        <v>429</v>
      </c>
      <c r="E5" s="2">
        <v>2010.0</v>
      </c>
      <c r="F5" s="2" t="s">
        <v>430</v>
      </c>
      <c r="G5" s="2" t="s">
        <v>431</v>
      </c>
      <c r="H5" s="2" t="s">
        <v>432</v>
      </c>
      <c r="J5" s="2" t="s">
        <v>433</v>
      </c>
      <c r="K5" s="2" t="s">
        <v>434</v>
      </c>
      <c r="M5" s="2">
        <v>388.0</v>
      </c>
      <c r="N5" s="2" t="s">
        <v>435</v>
      </c>
      <c r="O5" s="2" t="s">
        <v>436</v>
      </c>
      <c r="P5" s="2" t="s">
        <v>437</v>
      </c>
      <c r="Q5" s="2" t="s">
        <v>438</v>
      </c>
      <c r="R5" s="2" t="s">
        <v>439</v>
      </c>
      <c r="S5" s="2" t="s">
        <v>440</v>
      </c>
      <c r="T5" s="2" t="s">
        <v>441</v>
      </c>
      <c r="Y5" s="2" t="s">
        <v>442</v>
      </c>
      <c r="AG5" s="2" t="s">
        <v>443</v>
      </c>
      <c r="AI5" s="2" t="s">
        <v>444</v>
      </c>
      <c r="AK5" s="2" t="s">
        <v>445</v>
      </c>
      <c r="AL5" s="2" t="s">
        <v>384</v>
      </c>
      <c r="AN5" s="2" t="s">
        <v>386</v>
      </c>
      <c r="AO5" s="2" t="s">
        <v>446</v>
      </c>
      <c r="AP5" s="2" t="s">
        <v>386</v>
      </c>
      <c r="AQ5" s="2">
        <v>1695.0</v>
      </c>
      <c r="AR5" s="2" t="s">
        <v>429</v>
      </c>
      <c r="AS5" s="2" t="b">
        <v>1</v>
      </c>
      <c r="AT5" s="3">
        <v>0.0</v>
      </c>
      <c r="AU5" s="4"/>
      <c r="AV5" s="4"/>
      <c r="AW5" s="5">
        <f t="shared" si="3"/>
        <v>0</v>
      </c>
      <c r="AX5" s="5">
        <f t="shared" si="4"/>
        <v>0</v>
      </c>
      <c r="AY5" s="5">
        <f t="shared" si="5"/>
        <v>0</v>
      </c>
      <c r="AZ5" s="5">
        <f t="shared" si="6"/>
        <v>0</v>
      </c>
      <c r="BA5" s="5">
        <f t="shared" si="7"/>
        <v>0</v>
      </c>
      <c r="BB5" s="5">
        <f t="shared" si="8"/>
        <v>0</v>
      </c>
      <c r="BC5" s="5">
        <f t="shared" si="9"/>
        <v>0</v>
      </c>
      <c r="BD5" s="5">
        <f t="shared" si="10"/>
        <v>0</v>
      </c>
      <c r="BE5" s="5">
        <f t="shared" si="11"/>
        <v>0</v>
      </c>
      <c r="BF5" s="5">
        <f t="shared" si="12"/>
        <v>0</v>
      </c>
      <c r="BG5" s="5">
        <f t="shared" si="13"/>
        <v>0</v>
      </c>
      <c r="BH5" s="5">
        <f t="shared" si="14"/>
        <v>0</v>
      </c>
      <c r="BI5" s="5">
        <f t="shared" si="15"/>
        <v>0</v>
      </c>
      <c r="BJ5" s="5">
        <f t="shared" si="16"/>
        <v>0</v>
      </c>
      <c r="BK5" s="5">
        <f t="shared" si="17"/>
        <v>0</v>
      </c>
      <c r="BL5" s="5">
        <f t="shared" si="18"/>
        <v>0</v>
      </c>
      <c r="BM5" s="5">
        <f t="shared" si="19"/>
        <v>0</v>
      </c>
      <c r="BN5" s="5">
        <f t="shared" si="20"/>
        <v>0</v>
      </c>
      <c r="BO5" s="5">
        <f t="shared" si="21"/>
        <v>0</v>
      </c>
      <c r="BP5" s="5">
        <f t="shared" si="22"/>
        <v>0</v>
      </c>
      <c r="BQ5" s="5">
        <f t="shared" si="23"/>
        <v>0</v>
      </c>
      <c r="BR5" s="5">
        <f t="shared" si="24"/>
        <v>0</v>
      </c>
      <c r="BS5" s="5">
        <f t="shared" si="25"/>
        <v>0</v>
      </c>
      <c r="BT5" s="5">
        <f t="shared" si="26"/>
        <v>0</v>
      </c>
      <c r="BU5" s="5">
        <f t="shared" si="27"/>
        <v>0</v>
      </c>
      <c r="BV5" s="5">
        <f t="shared" ref="BV5:BW5" si="321">IF(OR(ISNUMBER(SEARCH("grit",$D5)),ISNUMBER(SEARCH("grit",$T5)),ISNUMBER(SEARCH("grit",$R5)),ISNUMBER(SEARCH("grit",$S5)),
ISNUMBER(SEARCH("determination",$D5)),ISNUMBER(SEARCH("determination",$T5)),ISNUMBER(SEARCH("determination",$R5)),ISNUMBER(SEARCH("determination",$S5)),
ISNUMBER(SEARCH("tenacity",$D5)),ISNUMBER(SEARCH("tenacity",$T5)),ISNUMBER(SEARCH("tenacity",$R5)),ISNUMBER(SEARCH("tenacity",$S5)),
ISNUMBER(SEARCH("endurance",$D5)),ISNUMBER(SEARCH("endurance",$T5)),ISNUMBER(SEARCH("endurance",$R5)),ISNUMBER(SEARCH("endurance",$S5)),
ISNUMBER(SEARCH("fortitude",$D5)),ISNUMBER(SEARCH("fortitude",$T5)),ISNUMBER(SEARCH("fortitude",$R5)),ISNUMBER(SEARCH("fortitude",$S5)),
ISNUMBER(SEARCH("resolve",$D5)),ISNUMBER(SEARCH("resolve",$T5)),ISNUMBER(SEARCH("resolve",$R5)),ISNUMBER(SEARCH("resolve",$S5)),
ISNUMBER(SEARCH("stamina",$D5)),ISNUMBER(SEARCH("stamina",$T5)),ISNUMBER(SEARCH("stamina",$R5)),ISNUMBER(SEARCH("stamina",$S5)),
ISNUMBER(SEARCH("guts",$D5)),ISNUMBER(SEARCH("guts",$T5)),ISNUMBER(SEARCH("guts",$R5)),ISNUMBER(SEARCH("guts",$S5)),
ISNUMBER(SEARCH("spunk",$D5)),ISNUMBER(SEARCH("spunk",$T5)),ISNUMBER(SEARCH("spunk",$R5)),ISNUMBER(SEARCH("spunk",$S5))), 1, 0)</f>
        <v>0</v>
      </c>
      <c r="BW5" s="5">
        <f t="shared" si="321"/>
        <v>0</v>
      </c>
      <c r="BX5" s="5">
        <f t="shared" si="29"/>
        <v>0</v>
      </c>
      <c r="BY5" s="5">
        <f t="shared" si="30"/>
        <v>0</v>
      </c>
      <c r="BZ5" s="5">
        <f t="shared" si="31"/>
        <v>0</v>
      </c>
      <c r="CA5" s="5">
        <f t="shared" si="32"/>
        <v>0</v>
      </c>
      <c r="CB5" s="5">
        <f t="shared" si="33"/>
        <v>0</v>
      </c>
      <c r="CC5" s="5">
        <f t="shared" si="34"/>
        <v>0</v>
      </c>
      <c r="CD5" s="5">
        <f t="shared" si="35"/>
        <v>0</v>
      </c>
      <c r="CE5" s="5">
        <f t="shared" si="36"/>
        <v>0</v>
      </c>
      <c r="CF5" s="5">
        <f t="shared" si="37"/>
        <v>0</v>
      </c>
      <c r="CG5" s="5">
        <f t="shared" si="38"/>
        <v>0</v>
      </c>
      <c r="CH5" s="5">
        <f t="shared" si="39"/>
        <v>0</v>
      </c>
      <c r="CI5" s="5">
        <f t="shared" si="40"/>
        <v>0</v>
      </c>
      <c r="CJ5" s="5">
        <f t="shared" si="41"/>
        <v>0</v>
      </c>
      <c r="CK5" s="5">
        <f t="shared" si="42"/>
        <v>0</v>
      </c>
      <c r="CL5" s="5">
        <f t="shared" si="43"/>
        <v>0</v>
      </c>
      <c r="CM5" s="5">
        <f t="shared" si="44"/>
        <v>0</v>
      </c>
      <c r="CN5" s="5">
        <f t="shared" si="45"/>
        <v>0</v>
      </c>
      <c r="CO5" s="5">
        <f t="shared" si="46"/>
        <v>0</v>
      </c>
      <c r="CP5" s="6">
        <f t="shared" si="47"/>
        <v>0</v>
      </c>
      <c r="CQ5" s="6">
        <f t="shared" si="48"/>
        <v>0</v>
      </c>
      <c r="CR5" s="6">
        <f t="shared" si="49"/>
        <v>0</v>
      </c>
      <c r="CS5" s="6">
        <f t="shared" si="50"/>
        <v>0</v>
      </c>
      <c r="CT5" s="6">
        <f t="shared" si="51"/>
        <v>0</v>
      </c>
      <c r="CU5" s="6">
        <f t="shared" si="52"/>
        <v>0</v>
      </c>
      <c r="CV5" s="6">
        <f t="shared" si="53"/>
        <v>0</v>
      </c>
      <c r="CW5" s="6">
        <f t="shared" si="54"/>
        <v>0</v>
      </c>
      <c r="CX5" s="6">
        <f t="shared" si="55"/>
        <v>0</v>
      </c>
      <c r="CY5" s="6">
        <f t="shared" si="56"/>
        <v>0</v>
      </c>
      <c r="CZ5" s="6">
        <f t="shared" si="57"/>
        <v>0</v>
      </c>
      <c r="DA5" s="6">
        <f t="shared" si="58"/>
        <v>0</v>
      </c>
      <c r="DB5" s="6">
        <f t="shared" si="59"/>
        <v>0</v>
      </c>
      <c r="DC5" s="6">
        <f t="shared" si="60"/>
        <v>0</v>
      </c>
      <c r="DD5" s="6">
        <f t="shared" si="61"/>
        <v>0</v>
      </c>
      <c r="DE5" s="6">
        <f t="shared" si="62"/>
        <v>0</v>
      </c>
      <c r="DF5" s="6">
        <f t="shared" si="63"/>
        <v>0</v>
      </c>
      <c r="DG5" s="6">
        <f t="shared" si="64"/>
        <v>0</v>
      </c>
      <c r="DH5" s="6">
        <f t="shared" si="322"/>
        <v>0</v>
      </c>
      <c r="DI5" s="6">
        <f t="shared" si="66"/>
        <v>0</v>
      </c>
      <c r="DJ5" s="6">
        <f t="shared" si="67"/>
        <v>0</v>
      </c>
      <c r="DK5" s="7">
        <f t="shared" si="68"/>
        <v>0</v>
      </c>
      <c r="DL5" s="7">
        <f t="shared" si="323"/>
        <v>0</v>
      </c>
      <c r="DM5" s="7">
        <f t="shared" si="70"/>
        <v>0</v>
      </c>
      <c r="DN5" s="7">
        <f t="shared" si="71"/>
        <v>0</v>
      </c>
      <c r="DO5" s="7">
        <f t="shared" si="72"/>
        <v>1</v>
      </c>
      <c r="DP5" s="8">
        <f t="shared" si="73"/>
        <v>0</v>
      </c>
      <c r="DQ5" s="8">
        <f t="shared" si="74"/>
        <v>1</v>
      </c>
      <c r="DR5" s="7">
        <f t="shared" si="75"/>
        <v>1</v>
      </c>
      <c r="DS5" s="7">
        <f t="shared" si="76"/>
        <v>1</v>
      </c>
      <c r="DT5" s="7">
        <f t="shared" si="77"/>
        <v>0</v>
      </c>
      <c r="DU5" s="9">
        <f t="shared" si="78"/>
        <v>0</v>
      </c>
      <c r="DV5" s="9">
        <f t="shared" si="79"/>
        <v>0</v>
      </c>
      <c r="DW5" s="9">
        <f t="shared" si="80"/>
        <v>0</v>
      </c>
      <c r="DX5" s="9">
        <f t="shared" si="81"/>
        <v>0</v>
      </c>
      <c r="DY5" s="9">
        <f t="shared" si="82"/>
        <v>0</v>
      </c>
      <c r="DZ5" s="9">
        <f t="shared" si="83"/>
        <v>0</v>
      </c>
      <c r="EA5" s="9">
        <f t="shared" si="84"/>
        <v>0</v>
      </c>
      <c r="EB5" s="9">
        <f t="shared" si="85"/>
        <v>0</v>
      </c>
      <c r="EC5" s="9">
        <f t="shared" si="86"/>
        <v>0</v>
      </c>
      <c r="ED5" s="9">
        <f t="shared" si="87"/>
        <v>0</v>
      </c>
      <c r="EE5" s="9">
        <f t="shared" si="88"/>
        <v>0</v>
      </c>
      <c r="EF5" s="9">
        <f t="shared" si="89"/>
        <v>0</v>
      </c>
      <c r="EG5" s="9">
        <f t="shared" si="90"/>
        <v>0</v>
      </c>
      <c r="EH5" s="9">
        <f t="shared" si="91"/>
        <v>0</v>
      </c>
      <c r="EI5" s="9">
        <f t="shared" si="92"/>
        <v>0</v>
      </c>
      <c r="EJ5" s="10">
        <f t="shared" si="93"/>
        <v>0</v>
      </c>
      <c r="EK5" s="10">
        <f t="shared" si="94"/>
        <v>0</v>
      </c>
      <c r="EL5" s="10">
        <f t="shared" ref="EL5:EM5" si="324">IF(OR(ISNUMBER(SEARCH("ai software toolkit", $D5)), ISNUMBER(SEARCH("ai software toolkit", $T5)), ISNUMBER(SEARCH("ai software toolkit", $R5)), ISNUMBER(SEARCH("ai software toolkit", $S5))), 1, 0)</f>
        <v>0</v>
      </c>
      <c r="EM5" s="10">
        <f t="shared" si="324"/>
        <v>0</v>
      </c>
      <c r="EN5" s="10">
        <f t="shared" si="96"/>
        <v>0</v>
      </c>
      <c r="EO5" s="10">
        <f t="shared" si="97"/>
        <v>0</v>
      </c>
      <c r="EP5" s="10">
        <f t="shared" si="98"/>
        <v>0</v>
      </c>
      <c r="EQ5" s="10">
        <f t="shared" si="99"/>
        <v>0</v>
      </c>
      <c r="ER5" s="10">
        <f t="shared" si="100"/>
        <v>0</v>
      </c>
      <c r="ES5" s="10">
        <f t="shared" si="101"/>
        <v>0</v>
      </c>
      <c r="ET5" s="10">
        <f t="shared" si="102"/>
        <v>0</v>
      </c>
      <c r="EU5" s="10">
        <f t="shared" si="103"/>
        <v>0</v>
      </c>
      <c r="EV5" s="10">
        <f t="shared" si="104"/>
        <v>0</v>
      </c>
      <c r="EW5" s="10">
        <f t="shared" si="105"/>
        <v>0</v>
      </c>
      <c r="EX5" s="10">
        <f t="shared" si="106"/>
        <v>0</v>
      </c>
      <c r="EY5" s="10">
        <f t="shared" si="107"/>
        <v>0</v>
      </c>
      <c r="EZ5" s="10">
        <f t="shared" si="108"/>
        <v>0</v>
      </c>
      <c r="FA5" s="10">
        <f t="shared" si="109"/>
        <v>0</v>
      </c>
      <c r="FB5" s="10">
        <f t="shared" si="110"/>
        <v>0</v>
      </c>
      <c r="FC5" s="10">
        <f t="shared" si="111"/>
        <v>0</v>
      </c>
      <c r="FD5" s="10">
        <f t="shared" si="112"/>
        <v>0</v>
      </c>
      <c r="FE5" s="10">
        <f t="shared" si="113"/>
        <v>0</v>
      </c>
      <c r="FF5" s="10">
        <f t="shared" si="114"/>
        <v>0</v>
      </c>
      <c r="FG5" s="10">
        <f t="shared" si="115"/>
        <v>0</v>
      </c>
      <c r="FH5" s="10">
        <f t="shared" si="116"/>
        <v>0</v>
      </c>
      <c r="FI5" s="10">
        <f t="shared" si="117"/>
        <v>0</v>
      </c>
      <c r="FJ5" s="10">
        <f t="shared" si="118"/>
        <v>0</v>
      </c>
      <c r="FK5" s="10">
        <f t="shared" si="119"/>
        <v>0</v>
      </c>
      <c r="FL5" s="10">
        <f t="shared" si="120"/>
        <v>0</v>
      </c>
      <c r="FM5" s="10">
        <f t="shared" si="121"/>
        <v>0</v>
      </c>
      <c r="FN5" s="10">
        <f t="shared" si="122"/>
        <v>0</v>
      </c>
      <c r="FO5" s="10">
        <f t="shared" si="123"/>
        <v>0</v>
      </c>
      <c r="FP5" s="10">
        <f t="shared" si="124"/>
        <v>0</v>
      </c>
      <c r="FQ5" s="10">
        <f t="shared" si="125"/>
        <v>0</v>
      </c>
      <c r="FR5" s="11">
        <f t="shared" si="126"/>
        <v>0</v>
      </c>
      <c r="FS5" s="11">
        <f t="shared" si="127"/>
        <v>0</v>
      </c>
      <c r="FT5" s="11">
        <f t="shared" si="128"/>
        <v>0</v>
      </c>
      <c r="FU5" s="11">
        <f t="shared" si="129"/>
        <v>0</v>
      </c>
      <c r="FV5" s="11">
        <f t="shared" si="130"/>
        <v>0</v>
      </c>
      <c r="FW5" s="11">
        <f t="shared" si="131"/>
        <v>1</v>
      </c>
      <c r="FX5" s="11">
        <f t="shared" si="132"/>
        <v>0</v>
      </c>
      <c r="FY5" s="11">
        <f t="shared" si="133"/>
        <v>0</v>
      </c>
      <c r="FZ5" s="11">
        <f t="shared" si="134"/>
        <v>0</v>
      </c>
      <c r="GA5" s="11">
        <f t="shared" si="135"/>
        <v>0</v>
      </c>
      <c r="GB5" s="11">
        <f t="shared" si="136"/>
        <v>0</v>
      </c>
      <c r="GC5" s="11">
        <f t="shared" si="137"/>
        <v>0</v>
      </c>
      <c r="GD5" s="11">
        <f t="shared" si="138"/>
        <v>0</v>
      </c>
      <c r="GE5" s="11">
        <f t="shared" si="139"/>
        <v>0</v>
      </c>
      <c r="GF5" s="11">
        <f t="shared" si="140"/>
        <v>0</v>
      </c>
      <c r="GG5" s="11">
        <f t="shared" si="141"/>
        <v>0</v>
      </c>
      <c r="GH5" s="11">
        <f t="shared" si="142"/>
        <v>0</v>
      </c>
      <c r="GI5" s="11">
        <f t="shared" si="143"/>
        <v>0</v>
      </c>
      <c r="GJ5" s="11">
        <f t="shared" si="144"/>
        <v>0</v>
      </c>
      <c r="GK5" s="11">
        <f t="shared" si="145"/>
        <v>0</v>
      </c>
      <c r="GL5" s="11">
        <f t="shared" si="146"/>
        <v>0</v>
      </c>
      <c r="GM5" s="11">
        <f t="shared" si="147"/>
        <v>0</v>
      </c>
      <c r="GN5" s="11">
        <f t="shared" si="148"/>
        <v>0</v>
      </c>
      <c r="GO5" s="11">
        <f t="shared" si="149"/>
        <v>0</v>
      </c>
      <c r="GP5" s="11">
        <f t="shared" si="150"/>
        <v>0</v>
      </c>
      <c r="GQ5" s="11">
        <f t="shared" si="151"/>
        <v>0</v>
      </c>
      <c r="GR5" s="11">
        <f t="shared" si="152"/>
        <v>0</v>
      </c>
      <c r="GS5" s="11">
        <f t="shared" si="153"/>
        <v>0</v>
      </c>
      <c r="GT5" s="11">
        <f t="shared" si="154"/>
        <v>0</v>
      </c>
      <c r="GU5" s="12">
        <f t="shared" si="155"/>
        <v>0</v>
      </c>
      <c r="GV5" s="12">
        <f t="shared" si="156"/>
        <v>0</v>
      </c>
      <c r="GW5" s="12">
        <f t="shared" si="157"/>
        <v>0</v>
      </c>
      <c r="GX5" s="12">
        <f t="shared" si="158"/>
        <v>0</v>
      </c>
      <c r="GY5" s="12">
        <f t="shared" si="159"/>
        <v>0</v>
      </c>
      <c r="GZ5" s="12">
        <f t="shared" si="160"/>
        <v>0</v>
      </c>
      <c r="HA5" s="12">
        <f t="shared" si="161"/>
        <v>0</v>
      </c>
      <c r="HB5" s="12">
        <f t="shared" si="162"/>
        <v>0</v>
      </c>
      <c r="HC5" s="12">
        <f t="shared" si="163"/>
        <v>0</v>
      </c>
      <c r="HD5" s="12">
        <f t="shared" si="164"/>
        <v>0</v>
      </c>
      <c r="HE5" s="12">
        <f t="shared" si="165"/>
        <v>0</v>
      </c>
      <c r="HF5" s="12">
        <f t="shared" si="166"/>
        <v>0</v>
      </c>
      <c r="HG5" s="12">
        <f t="shared" si="167"/>
        <v>0</v>
      </c>
      <c r="HH5" s="12">
        <f t="shared" si="168"/>
        <v>0</v>
      </c>
      <c r="HI5" s="12">
        <f t="shared" si="169"/>
        <v>0</v>
      </c>
      <c r="HJ5" s="12">
        <f t="shared" si="170"/>
        <v>0</v>
      </c>
      <c r="HK5" s="12">
        <f t="shared" si="171"/>
        <v>0</v>
      </c>
      <c r="HL5" s="12">
        <f t="shared" si="172"/>
        <v>0</v>
      </c>
      <c r="HM5" s="12">
        <f t="shared" si="173"/>
        <v>0</v>
      </c>
      <c r="HN5" s="12">
        <f t="shared" si="174"/>
        <v>0</v>
      </c>
      <c r="HO5" s="12">
        <f t="shared" si="175"/>
        <v>0</v>
      </c>
      <c r="HP5" s="12">
        <f t="shared" si="176"/>
        <v>0</v>
      </c>
      <c r="HQ5" s="12">
        <f t="shared" si="177"/>
        <v>0</v>
      </c>
      <c r="HR5" s="12">
        <f t="shared" si="178"/>
        <v>0</v>
      </c>
      <c r="HS5" s="12">
        <f t="shared" si="179"/>
        <v>0</v>
      </c>
      <c r="HT5" s="12">
        <f t="shared" si="180"/>
        <v>0</v>
      </c>
      <c r="HU5" s="12">
        <f t="shared" si="181"/>
        <v>0</v>
      </c>
      <c r="HV5" s="12">
        <f t="shared" si="182"/>
        <v>0</v>
      </c>
      <c r="HW5" s="12">
        <f t="shared" si="183"/>
        <v>0</v>
      </c>
      <c r="HX5" s="12">
        <f t="shared" si="184"/>
        <v>0</v>
      </c>
      <c r="HY5" s="12">
        <f t="shared" si="185"/>
        <v>0</v>
      </c>
      <c r="HZ5" s="12">
        <f t="shared" si="186"/>
        <v>0</v>
      </c>
      <c r="IA5" s="12">
        <f t="shared" si="187"/>
        <v>0</v>
      </c>
      <c r="IB5" s="12">
        <f t="shared" si="188"/>
        <v>0</v>
      </c>
      <c r="IC5" s="12">
        <f t="shared" si="189"/>
        <v>0</v>
      </c>
      <c r="ID5" s="12">
        <f t="shared" si="190"/>
        <v>0</v>
      </c>
      <c r="IE5" s="12">
        <f t="shared" si="191"/>
        <v>0</v>
      </c>
      <c r="IF5" s="12">
        <f t="shared" si="192"/>
        <v>0</v>
      </c>
      <c r="IG5" s="12">
        <f t="shared" si="193"/>
        <v>0</v>
      </c>
      <c r="IH5" s="12">
        <f t="shared" si="194"/>
        <v>0</v>
      </c>
      <c r="II5" s="12">
        <f t="shared" si="195"/>
        <v>0</v>
      </c>
      <c r="IJ5" s="12">
        <f t="shared" si="196"/>
        <v>0</v>
      </c>
      <c r="IK5" s="12">
        <f t="shared" si="197"/>
        <v>0</v>
      </c>
      <c r="IL5" s="12">
        <f t="shared" si="198"/>
        <v>0</v>
      </c>
      <c r="IM5" s="12">
        <f t="shared" si="199"/>
        <v>0</v>
      </c>
      <c r="IN5" s="12">
        <f t="shared" si="200"/>
        <v>0</v>
      </c>
      <c r="IO5" s="12">
        <f t="shared" si="201"/>
        <v>0</v>
      </c>
      <c r="IP5" s="12">
        <f t="shared" si="202"/>
        <v>0</v>
      </c>
      <c r="IQ5" s="12">
        <f t="shared" si="203"/>
        <v>0</v>
      </c>
      <c r="IR5" s="12">
        <f t="shared" si="204"/>
        <v>0</v>
      </c>
      <c r="IS5" s="12">
        <f t="shared" si="205"/>
        <v>0</v>
      </c>
      <c r="IT5" s="12">
        <f t="shared" si="206"/>
        <v>0</v>
      </c>
      <c r="IU5" s="12">
        <f t="shared" si="207"/>
        <v>0</v>
      </c>
      <c r="IV5" s="12">
        <f t="shared" si="208"/>
        <v>0</v>
      </c>
      <c r="IW5" s="12">
        <f t="shared" si="209"/>
        <v>0</v>
      </c>
      <c r="IX5" s="12">
        <f t="shared" si="210"/>
        <v>0</v>
      </c>
      <c r="IY5" s="12">
        <f t="shared" si="211"/>
        <v>0</v>
      </c>
      <c r="IZ5" s="12">
        <f t="shared" si="212"/>
        <v>0</v>
      </c>
      <c r="JA5" s="13">
        <f t="shared" si="213"/>
        <v>0</v>
      </c>
      <c r="JB5" s="13">
        <f t="shared" si="214"/>
        <v>0</v>
      </c>
      <c r="JC5" s="13">
        <f t="shared" si="215"/>
        <v>0</v>
      </c>
      <c r="JD5" s="13">
        <f t="shared" si="216"/>
        <v>0</v>
      </c>
      <c r="JE5" s="13">
        <f t="shared" si="217"/>
        <v>0</v>
      </c>
      <c r="JF5" s="13">
        <f t="shared" si="218"/>
        <v>0</v>
      </c>
      <c r="JG5" s="13">
        <f t="shared" si="219"/>
        <v>0</v>
      </c>
      <c r="JH5" s="13">
        <f t="shared" si="220"/>
        <v>0</v>
      </c>
      <c r="JI5" s="13">
        <f t="shared" si="221"/>
        <v>0</v>
      </c>
      <c r="JJ5" s="13">
        <f t="shared" si="222"/>
        <v>0</v>
      </c>
      <c r="JK5" s="13">
        <f t="shared" si="223"/>
        <v>0</v>
      </c>
      <c r="JL5" s="13">
        <f t="shared" si="224"/>
        <v>0</v>
      </c>
      <c r="JM5" s="13">
        <f t="shared" si="225"/>
        <v>0</v>
      </c>
      <c r="JN5" s="13">
        <f t="shared" si="226"/>
        <v>0</v>
      </c>
      <c r="JO5" s="13">
        <f t="shared" si="227"/>
        <v>0</v>
      </c>
      <c r="JP5" s="13">
        <f t="shared" si="228"/>
        <v>0</v>
      </c>
      <c r="JQ5" s="13">
        <f t="shared" si="229"/>
        <v>0</v>
      </c>
      <c r="JR5" s="13">
        <f t="shared" si="230"/>
        <v>0</v>
      </c>
      <c r="JS5" s="13">
        <f t="shared" si="231"/>
        <v>0</v>
      </c>
      <c r="JT5" s="13">
        <f t="shared" si="232"/>
        <v>0</v>
      </c>
      <c r="JU5" s="13">
        <f t="shared" si="233"/>
        <v>0</v>
      </c>
      <c r="JV5" s="12">
        <f t="shared" si="234"/>
        <v>0</v>
      </c>
      <c r="JW5" s="12">
        <f t="shared" si="235"/>
        <v>0</v>
      </c>
      <c r="JX5" s="12">
        <f t="shared" si="236"/>
        <v>0</v>
      </c>
      <c r="JY5" s="12">
        <f t="shared" si="237"/>
        <v>0</v>
      </c>
      <c r="JZ5" s="12">
        <f t="shared" si="238"/>
        <v>0</v>
      </c>
      <c r="KA5" s="12">
        <f t="shared" si="239"/>
        <v>0</v>
      </c>
      <c r="KB5" s="12">
        <f t="shared" si="240"/>
        <v>0</v>
      </c>
      <c r="KC5" s="12">
        <f t="shared" si="241"/>
        <v>0</v>
      </c>
      <c r="KD5" s="12">
        <f t="shared" si="242"/>
        <v>0</v>
      </c>
      <c r="KE5" s="12">
        <f t="shared" si="243"/>
        <v>0</v>
      </c>
      <c r="KF5" s="12">
        <f t="shared" si="244"/>
        <v>0</v>
      </c>
      <c r="KG5" s="12">
        <f t="shared" si="245"/>
        <v>0</v>
      </c>
      <c r="KH5" s="12">
        <f t="shared" si="246"/>
        <v>0</v>
      </c>
      <c r="KI5" s="12">
        <f t="shared" si="247"/>
        <v>0</v>
      </c>
      <c r="KJ5" s="12">
        <f t="shared" si="248"/>
        <v>0</v>
      </c>
      <c r="KK5" s="12">
        <f t="shared" si="249"/>
        <v>0</v>
      </c>
      <c r="KL5" s="12">
        <f t="shared" si="250"/>
        <v>0</v>
      </c>
      <c r="KM5" s="12">
        <f t="shared" si="251"/>
        <v>0</v>
      </c>
      <c r="KN5" s="12">
        <f t="shared" si="252"/>
        <v>0</v>
      </c>
      <c r="KO5" s="12">
        <f t="shared" si="253"/>
        <v>0</v>
      </c>
      <c r="KP5" s="12">
        <f t="shared" si="254"/>
        <v>0</v>
      </c>
      <c r="KQ5" s="12">
        <f t="shared" si="255"/>
        <v>0</v>
      </c>
      <c r="KR5" s="12">
        <f t="shared" si="256"/>
        <v>0</v>
      </c>
      <c r="KS5" s="12">
        <f t="shared" si="257"/>
        <v>0</v>
      </c>
      <c r="KT5" s="12">
        <f t="shared" si="258"/>
        <v>0</v>
      </c>
      <c r="KU5" s="12">
        <f t="shared" si="259"/>
        <v>0</v>
      </c>
      <c r="KV5" s="12">
        <f t="shared" si="260"/>
        <v>0</v>
      </c>
      <c r="KW5" s="12">
        <f t="shared" si="261"/>
        <v>0</v>
      </c>
      <c r="KX5" s="12">
        <f t="shared" si="262"/>
        <v>0</v>
      </c>
      <c r="KY5" s="12">
        <f t="shared" si="263"/>
        <v>0</v>
      </c>
      <c r="KZ5" s="12">
        <f t="shared" si="264"/>
        <v>0</v>
      </c>
      <c r="LA5" s="12">
        <f t="shared" si="265"/>
        <v>0</v>
      </c>
      <c r="LB5" s="12">
        <f t="shared" si="266"/>
        <v>0</v>
      </c>
      <c r="LC5" s="12">
        <f t="shared" si="267"/>
        <v>0</v>
      </c>
      <c r="LD5" s="12">
        <f t="shared" si="268"/>
        <v>0</v>
      </c>
      <c r="LE5" s="12">
        <f t="shared" si="269"/>
        <v>0</v>
      </c>
      <c r="LF5" s="12">
        <f t="shared" si="270"/>
        <v>0</v>
      </c>
      <c r="LG5" s="12">
        <f t="shared" si="271"/>
        <v>0</v>
      </c>
      <c r="LH5" s="12">
        <f t="shared" si="272"/>
        <v>0</v>
      </c>
      <c r="LI5" s="12">
        <f t="shared" si="273"/>
        <v>0</v>
      </c>
      <c r="LJ5" s="12">
        <f t="shared" si="274"/>
        <v>0</v>
      </c>
      <c r="LK5" s="12">
        <f t="shared" si="275"/>
        <v>0</v>
      </c>
      <c r="LL5" s="12">
        <f t="shared" si="276"/>
        <v>0</v>
      </c>
      <c r="LM5" s="12">
        <f t="shared" si="277"/>
        <v>0</v>
      </c>
      <c r="LN5" s="12">
        <f t="shared" si="278"/>
        <v>0</v>
      </c>
      <c r="LO5" s="12">
        <f t="shared" si="279"/>
        <v>0</v>
      </c>
      <c r="LP5" s="12">
        <f t="shared" si="280"/>
        <v>0</v>
      </c>
      <c r="LQ5" s="12">
        <f t="shared" si="281"/>
        <v>0</v>
      </c>
      <c r="LR5" s="12">
        <f t="shared" si="282"/>
        <v>0</v>
      </c>
      <c r="LS5" s="12">
        <f t="shared" si="283"/>
        <v>0</v>
      </c>
      <c r="LT5" s="13">
        <f t="shared" si="284"/>
        <v>0</v>
      </c>
      <c r="LU5" s="13">
        <f t="shared" si="285"/>
        <v>0</v>
      </c>
      <c r="LV5" s="13">
        <f t="shared" si="286"/>
        <v>0</v>
      </c>
      <c r="LW5" s="13">
        <f t="shared" si="287"/>
        <v>0</v>
      </c>
      <c r="LX5" s="13">
        <f t="shared" si="288"/>
        <v>0</v>
      </c>
      <c r="LY5" s="13">
        <f t="shared" si="289"/>
        <v>0</v>
      </c>
      <c r="LZ5" s="13">
        <f t="shared" si="290"/>
        <v>0</v>
      </c>
      <c r="MA5" s="13">
        <f t="shared" si="291"/>
        <v>0</v>
      </c>
      <c r="MB5" s="13">
        <f t="shared" si="292"/>
        <v>0</v>
      </c>
      <c r="MC5" s="13">
        <f t="shared" si="293"/>
        <v>0</v>
      </c>
      <c r="MD5" s="13">
        <f t="shared" si="294"/>
        <v>0</v>
      </c>
      <c r="ME5" s="13">
        <f t="shared" si="295"/>
        <v>0</v>
      </c>
      <c r="MF5" s="13">
        <f t="shared" si="296"/>
        <v>0</v>
      </c>
      <c r="MG5" s="13">
        <f t="shared" si="297"/>
        <v>0</v>
      </c>
      <c r="MH5" s="13">
        <f t="shared" si="298"/>
        <v>0</v>
      </c>
      <c r="MI5" s="13">
        <f t="shared" si="299"/>
        <v>0</v>
      </c>
      <c r="MJ5" s="13">
        <f t="shared" si="300"/>
        <v>0</v>
      </c>
      <c r="MK5" s="13">
        <f t="shared" si="301"/>
        <v>0</v>
      </c>
      <c r="ML5" s="14">
        <f t="shared" si="302"/>
        <v>0</v>
      </c>
      <c r="MM5" s="14">
        <f t="shared" si="303"/>
        <v>0</v>
      </c>
      <c r="MN5" s="14">
        <f t="shared" si="304"/>
        <v>0</v>
      </c>
      <c r="MO5" s="14">
        <f t="shared" si="305"/>
        <v>0</v>
      </c>
      <c r="MP5" s="14">
        <f t="shared" si="306"/>
        <v>0</v>
      </c>
      <c r="MQ5" s="14">
        <f t="shared" si="307"/>
        <v>0</v>
      </c>
      <c r="MR5" s="14">
        <f t="shared" si="308"/>
        <v>0</v>
      </c>
      <c r="MS5" s="14">
        <f t="shared" si="309"/>
        <v>0</v>
      </c>
      <c r="MT5" s="14">
        <f t="shared" si="310"/>
        <v>0</v>
      </c>
      <c r="MU5" s="14">
        <f t="shared" si="311"/>
        <v>0</v>
      </c>
      <c r="MV5" s="14">
        <f t="shared" si="312"/>
        <v>0</v>
      </c>
      <c r="MW5" s="14">
        <f t="shared" si="313"/>
        <v>0</v>
      </c>
      <c r="MX5" s="14">
        <f t="shared" si="314"/>
        <v>0</v>
      </c>
      <c r="MY5" s="14">
        <f t="shared" si="315"/>
        <v>0</v>
      </c>
      <c r="MZ5" s="14">
        <f t="shared" si="316"/>
        <v>0</v>
      </c>
      <c r="NA5" s="14">
        <f t="shared" si="317"/>
        <v>0</v>
      </c>
      <c r="NB5" s="14">
        <f t="shared" si="318"/>
        <v>0</v>
      </c>
    </row>
    <row r="6">
      <c r="A6" s="2">
        <v>444.0</v>
      </c>
      <c r="B6" s="2" t="s">
        <v>447</v>
      </c>
      <c r="C6" s="2" t="s">
        <v>448</v>
      </c>
      <c r="D6" s="2" t="s">
        <v>449</v>
      </c>
      <c r="E6" s="2">
        <v>2004.0</v>
      </c>
      <c r="F6" s="2" t="s">
        <v>450</v>
      </c>
      <c r="G6" s="2" t="s">
        <v>451</v>
      </c>
      <c r="H6" s="2" t="s">
        <v>452</v>
      </c>
      <c r="J6" s="2" t="s">
        <v>453</v>
      </c>
      <c r="K6" s="2" t="s">
        <v>454</v>
      </c>
      <c r="M6" s="2">
        <v>338.0</v>
      </c>
      <c r="N6" s="2" t="s">
        <v>455</v>
      </c>
      <c r="O6" s="2" t="s">
        <v>456</v>
      </c>
      <c r="P6" s="2" t="s">
        <v>457</v>
      </c>
      <c r="Q6" s="2" t="s">
        <v>458</v>
      </c>
      <c r="R6" s="2" t="s">
        <v>459</v>
      </c>
      <c r="T6" s="2" t="s">
        <v>460</v>
      </c>
      <c r="Y6" s="2" t="s">
        <v>461</v>
      </c>
      <c r="AB6" s="2" t="s">
        <v>462</v>
      </c>
      <c r="AG6" s="2" t="s">
        <v>463</v>
      </c>
      <c r="AI6" s="2" t="s">
        <v>464</v>
      </c>
      <c r="AK6" s="2" t="s">
        <v>465</v>
      </c>
      <c r="AL6" s="2" t="s">
        <v>384</v>
      </c>
      <c r="AN6" s="2" t="s">
        <v>386</v>
      </c>
      <c r="AO6" s="2" t="s">
        <v>466</v>
      </c>
      <c r="AP6" s="2" t="s">
        <v>386</v>
      </c>
      <c r="AQ6" s="2">
        <v>1743.0</v>
      </c>
      <c r="AR6" s="2" t="s">
        <v>449</v>
      </c>
      <c r="AS6" s="2" t="b">
        <v>0</v>
      </c>
      <c r="AT6" s="3">
        <v>0.0</v>
      </c>
      <c r="AU6" s="4"/>
      <c r="AV6" s="4"/>
      <c r="AW6" s="5">
        <f t="shared" si="3"/>
        <v>0</v>
      </c>
      <c r="AX6" s="5">
        <f t="shared" si="4"/>
        <v>0</v>
      </c>
      <c r="AY6" s="5">
        <f t="shared" si="5"/>
        <v>0</v>
      </c>
      <c r="AZ6" s="5">
        <f t="shared" si="6"/>
        <v>0</v>
      </c>
      <c r="BA6" s="5">
        <f t="shared" si="7"/>
        <v>0</v>
      </c>
      <c r="BB6" s="5">
        <f t="shared" si="8"/>
        <v>0</v>
      </c>
      <c r="BC6" s="5">
        <f t="shared" si="9"/>
        <v>0</v>
      </c>
      <c r="BD6" s="5">
        <f t="shared" si="10"/>
        <v>0</v>
      </c>
      <c r="BE6" s="5">
        <f t="shared" si="11"/>
        <v>0</v>
      </c>
      <c r="BF6" s="5">
        <f t="shared" si="12"/>
        <v>0</v>
      </c>
      <c r="BG6" s="5">
        <f t="shared" si="13"/>
        <v>0</v>
      </c>
      <c r="BH6" s="5">
        <f t="shared" si="14"/>
        <v>0</v>
      </c>
      <c r="BI6" s="5">
        <f t="shared" si="15"/>
        <v>0</v>
      </c>
      <c r="BJ6" s="5">
        <f t="shared" si="16"/>
        <v>0</v>
      </c>
      <c r="BK6" s="5">
        <f t="shared" si="17"/>
        <v>0</v>
      </c>
      <c r="BL6" s="5">
        <f t="shared" si="18"/>
        <v>0</v>
      </c>
      <c r="BM6" s="5">
        <f t="shared" si="19"/>
        <v>0</v>
      </c>
      <c r="BN6" s="5">
        <f t="shared" si="20"/>
        <v>0</v>
      </c>
      <c r="BO6" s="5">
        <f t="shared" si="21"/>
        <v>0</v>
      </c>
      <c r="BP6" s="5">
        <f t="shared" si="22"/>
        <v>0</v>
      </c>
      <c r="BQ6" s="5">
        <f t="shared" si="23"/>
        <v>0</v>
      </c>
      <c r="BR6" s="5">
        <f t="shared" si="24"/>
        <v>0</v>
      </c>
      <c r="BS6" s="5">
        <f t="shared" si="25"/>
        <v>1</v>
      </c>
      <c r="BT6" s="5">
        <f t="shared" si="26"/>
        <v>0</v>
      </c>
      <c r="BU6" s="5">
        <f t="shared" si="27"/>
        <v>0</v>
      </c>
      <c r="BV6" s="5">
        <f t="shared" ref="BV6:BW6" si="325">IF(OR(ISNUMBER(SEARCH("grit",$D6)),ISNUMBER(SEARCH("grit",$T6)),ISNUMBER(SEARCH("grit",$R6)),ISNUMBER(SEARCH("grit",$S6)),
ISNUMBER(SEARCH("determination",$D6)),ISNUMBER(SEARCH("determination",$T6)),ISNUMBER(SEARCH("determination",$R6)),ISNUMBER(SEARCH("determination",$S6)),
ISNUMBER(SEARCH("tenacity",$D6)),ISNUMBER(SEARCH("tenacity",$T6)),ISNUMBER(SEARCH("tenacity",$R6)),ISNUMBER(SEARCH("tenacity",$S6)),
ISNUMBER(SEARCH("endurance",$D6)),ISNUMBER(SEARCH("endurance",$T6)),ISNUMBER(SEARCH("endurance",$R6)),ISNUMBER(SEARCH("endurance",$S6)),
ISNUMBER(SEARCH("fortitude",$D6)),ISNUMBER(SEARCH("fortitude",$T6)),ISNUMBER(SEARCH("fortitude",$R6)),ISNUMBER(SEARCH("fortitude",$S6)),
ISNUMBER(SEARCH("resolve",$D6)),ISNUMBER(SEARCH("resolve",$T6)),ISNUMBER(SEARCH("resolve",$R6)),ISNUMBER(SEARCH("resolve",$S6)),
ISNUMBER(SEARCH("stamina",$D6)),ISNUMBER(SEARCH("stamina",$T6)),ISNUMBER(SEARCH("stamina",$R6)),ISNUMBER(SEARCH("stamina",$S6)),
ISNUMBER(SEARCH("guts",$D6)),ISNUMBER(SEARCH("guts",$T6)),ISNUMBER(SEARCH("guts",$R6)),ISNUMBER(SEARCH("guts",$S6)),
ISNUMBER(SEARCH("spunk",$D6)),ISNUMBER(SEARCH("spunk",$T6)),ISNUMBER(SEARCH("spunk",$R6)),ISNUMBER(SEARCH("spunk",$S6))), 1, 0)</f>
        <v>0</v>
      </c>
      <c r="BW6" s="5">
        <f t="shared" si="325"/>
        <v>0</v>
      </c>
      <c r="BX6" s="5">
        <f t="shared" si="29"/>
        <v>1</v>
      </c>
      <c r="BY6" s="5">
        <f t="shared" si="30"/>
        <v>0</v>
      </c>
      <c r="BZ6" s="5">
        <f t="shared" si="31"/>
        <v>0</v>
      </c>
      <c r="CA6" s="5">
        <f t="shared" si="32"/>
        <v>0</v>
      </c>
      <c r="CB6" s="5">
        <f t="shared" si="33"/>
        <v>0</v>
      </c>
      <c r="CC6" s="5">
        <f t="shared" si="34"/>
        <v>0</v>
      </c>
      <c r="CD6" s="5">
        <f t="shared" si="35"/>
        <v>0</v>
      </c>
      <c r="CE6" s="5">
        <f t="shared" si="36"/>
        <v>0</v>
      </c>
      <c r="CF6" s="5">
        <f t="shared" si="37"/>
        <v>0</v>
      </c>
      <c r="CG6" s="5">
        <f t="shared" si="38"/>
        <v>0</v>
      </c>
      <c r="CH6" s="5">
        <f t="shared" si="39"/>
        <v>0</v>
      </c>
      <c r="CI6" s="5">
        <f t="shared" si="40"/>
        <v>0</v>
      </c>
      <c r="CJ6" s="5">
        <f t="shared" si="41"/>
        <v>1</v>
      </c>
      <c r="CK6" s="5">
        <f t="shared" si="42"/>
        <v>0</v>
      </c>
      <c r="CL6" s="5">
        <f t="shared" si="43"/>
        <v>0</v>
      </c>
      <c r="CM6" s="5">
        <f t="shared" si="44"/>
        <v>0</v>
      </c>
      <c r="CN6" s="5">
        <f t="shared" si="45"/>
        <v>0</v>
      </c>
      <c r="CO6" s="5">
        <f t="shared" si="46"/>
        <v>0</v>
      </c>
      <c r="CP6" s="6">
        <f t="shared" si="47"/>
        <v>0</v>
      </c>
      <c r="CQ6" s="6">
        <f t="shared" si="48"/>
        <v>0</v>
      </c>
      <c r="CR6" s="6">
        <f t="shared" si="49"/>
        <v>0</v>
      </c>
      <c r="CS6" s="6">
        <f t="shared" si="50"/>
        <v>0</v>
      </c>
      <c r="CT6" s="6">
        <f t="shared" si="51"/>
        <v>0</v>
      </c>
      <c r="CU6" s="6">
        <f t="shared" si="52"/>
        <v>0</v>
      </c>
      <c r="CV6" s="6">
        <f t="shared" si="53"/>
        <v>0</v>
      </c>
      <c r="CW6" s="6">
        <f t="shared" si="54"/>
        <v>0</v>
      </c>
      <c r="CX6" s="6">
        <f t="shared" si="55"/>
        <v>0</v>
      </c>
      <c r="CY6" s="6">
        <f t="shared" si="56"/>
        <v>0</v>
      </c>
      <c r="CZ6" s="6">
        <f t="shared" si="57"/>
        <v>0</v>
      </c>
      <c r="DA6" s="6">
        <f t="shared" si="58"/>
        <v>0</v>
      </c>
      <c r="DB6" s="6">
        <f t="shared" si="59"/>
        <v>0</v>
      </c>
      <c r="DC6" s="6">
        <f t="shared" si="60"/>
        <v>0</v>
      </c>
      <c r="DD6" s="6">
        <f t="shared" si="61"/>
        <v>0</v>
      </c>
      <c r="DE6" s="6">
        <f t="shared" si="62"/>
        <v>0</v>
      </c>
      <c r="DF6" s="6">
        <f t="shared" si="63"/>
        <v>0</v>
      </c>
      <c r="DG6" s="6">
        <f t="shared" si="64"/>
        <v>0</v>
      </c>
      <c r="DH6" s="6">
        <f t="shared" si="322"/>
        <v>0</v>
      </c>
      <c r="DI6" s="6">
        <f t="shared" si="66"/>
        <v>0</v>
      </c>
      <c r="DJ6" s="6">
        <f t="shared" si="67"/>
        <v>0</v>
      </c>
      <c r="DK6" s="7">
        <f t="shared" si="68"/>
        <v>0</v>
      </c>
      <c r="DL6" s="7">
        <f t="shared" si="323"/>
        <v>0</v>
      </c>
      <c r="DM6" s="7">
        <f t="shared" si="70"/>
        <v>0</v>
      </c>
      <c r="DN6" s="7">
        <f t="shared" si="71"/>
        <v>0</v>
      </c>
      <c r="DO6" s="7">
        <f t="shared" si="72"/>
        <v>0</v>
      </c>
      <c r="DP6" s="8">
        <f t="shared" si="73"/>
        <v>0</v>
      </c>
      <c r="DQ6" s="8">
        <f t="shared" si="74"/>
        <v>0</v>
      </c>
      <c r="DR6" s="7">
        <f t="shared" si="75"/>
        <v>0</v>
      </c>
      <c r="DS6" s="7">
        <f t="shared" si="76"/>
        <v>0</v>
      </c>
      <c r="DT6" s="7">
        <f t="shared" si="77"/>
        <v>1</v>
      </c>
      <c r="DU6" s="9">
        <f t="shared" si="78"/>
        <v>0</v>
      </c>
      <c r="DV6" s="9">
        <f t="shared" si="79"/>
        <v>0</v>
      </c>
      <c r="DW6" s="9">
        <f t="shared" si="80"/>
        <v>0</v>
      </c>
      <c r="DX6" s="9">
        <f t="shared" si="81"/>
        <v>0</v>
      </c>
      <c r="DY6" s="9">
        <f t="shared" si="82"/>
        <v>0</v>
      </c>
      <c r="DZ6" s="9">
        <f t="shared" si="83"/>
        <v>0</v>
      </c>
      <c r="EA6" s="9">
        <f t="shared" si="84"/>
        <v>0</v>
      </c>
      <c r="EB6" s="9">
        <f t="shared" si="85"/>
        <v>0</v>
      </c>
      <c r="EC6" s="9">
        <f t="shared" si="86"/>
        <v>1</v>
      </c>
      <c r="ED6" s="9">
        <f t="shared" si="87"/>
        <v>0</v>
      </c>
      <c r="EE6" s="9">
        <f t="shared" si="88"/>
        <v>0</v>
      </c>
      <c r="EF6" s="9">
        <f t="shared" si="89"/>
        <v>0</v>
      </c>
      <c r="EG6" s="9">
        <f t="shared" si="90"/>
        <v>0</v>
      </c>
      <c r="EH6" s="9">
        <f t="shared" si="91"/>
        <v>0</v>
      </c>
      <c r="EI6" s="9">
        <f t="shared" si="92"/>
        <v>0</v>
      </c>
      <c r="EJ6" s="10">
        <f t="shared" si="93"/>
        <v>0</v>
      </c>
      <c r="EK6" s="10">
        <f t="shared" si="94"/>
        <v>0</v>
      </c>
      <c r="EL6" s="10">
        <f t="shared" ref="EL6:EM6" si="326">IF(OR(ISNUMBER(SEARCH("ai software toolkit", $D6)), ISNUMBER(SEARCH("ai software toolkit", $T6)), ISNUMBER(SEARCH("ai software toolkit", $R6)), ISNUMBER(SEARCH("ai software toolkit", $S6))), 1, 0)</f>
        <v>0</v>
      </c>
      <c r="EM6" s="10">
        <f t="shared" si="326"/>
        <v>0</v>
      </c>
      <c r="EN6" s="10">
        <f t="shared" si="96"/>
        <v>0</v>
      </c>
      <c r="EO6" s="10">
        <f t="shared" si="97"/>
        <v>0</v>
      </c>
      <c r="EP6" s="10">
        <f t="shared" si="98"/>
        <v>0</v>
      </c>
      <c r="EQ6" s="10">
        <f t="shared" si="99"/>
        <v>0</v>
      </c>
      <c r="ER6" s="10">
        <f t="shared" si="100"/>
        <v>0</v>
      </c>
      <c r="ES6" s="10">
        <f t="shared" si="101"/>
        <v>0</v>
      </c>
      <c r="ET6" s="10">
        <f t="shared" si="102"/>
        <v>0</v>
      </c>
      <c r="EU6" s="10">
        <f t="shared" si="103"/>
        <v>0</v>
      </c>
      <c r="EV6" s="10">
        <f t="shared" si="104"/>
        <v>0</v>
      </c>
      <c r="EW6" s="10">
        <f t="shared" si="105"/>
        <v>0</v>
      </c>
      <c r="EX6" s="10">
        <f t="shared" si="106"/>
        <v>0</v>
      </c>
      <c r="EY6" s="10">
        <f t="shared" si="107"/>
        <v>0</v>
      </c>
      <c r="EZ6" s="10">
        <f t="shared" si="108"/>
        <v>1</v>
      </c>
      <c r="FA6" s="10">
        <f t="shared" si="109"/>
        <v>0</v>
      </c>
      <c r="FB6" s="10">
        <f t="shared" si="110"/>
        <v>0</v>
      </c>
      <c r="FC6" s="10">
        <f t="shared" si="111"/>
        <v>0</v>
      </c>
      <c r="FD6" s="10">
        <f t="shared" si="112"/>
        <v>0</v>
      </c>
      <c r="FE6" s="10">
        <f t="shared" si="113"/>
        <v>0</v>
      </c>
      <c r="FF6" s="10">
        <f t="shared" si="114"/>
        <v>0</v>
      </c>
      <c r="FG6" s="10">
        <f t="shared" si="115"/>
        <v>0</v>
      </c>
      <c r="FH6" s="10">
        <f t="shared" si="116"/>
        <v>0</v>
      </c>
      <c r="FI6" s="10">
        <f t="shared" si="117"/>
        <v>0</v>
      </c>
      <c r="FJ6" s="10">
        <f t="shared" si="118"/>
        <v>0</v>
      </c>
      <c r="FK6" s="10">
        <f t="shared" si="119"/>
        <v>0</v>
      </c>
      <c r="FL6" s="10">
        <f t="shared" si="120"/>
        <v>0</v>
      </c>
      <c r="FM6" s="10">
        <f t="shared" si="121"/>
        <v>0</v>
      </c>
      <c r="FN6" s="10">
        <f t="shared" si="122"/>
        <v>0</v>
      </c>
      <c r="FO6" s="10">
        <f t="shared" si="123"/>
        <v>0</v>
      </c>
      <c r="FP6" s="10">
        <f t="shared" si="124"/>
        <v>0</v>
      </c>
      <c r="FQ6" s="10">
        <f t="shared" si="125"/>
        <v>0</v>
      </c>
      <c r="FR6" s="11">
        <f t="shared" si="126"/>
        <v>0</v>
      </c>
      <c r="FS6" s="11">
        <f t="shared" si="127"/>
        <v>0</v>
      </c>
      <c r="FT6" s="11">
        <f t="shared" si="128"/>
        <v>0</v>
      </c>
      <c r="FU6" s="11">
        <f t="shared" si="129"/>
        <v>0</v>
      </c>
      <c r="FV6" s="11">
        <f t="shared" si="130"/>
        <v>0</v>
      </c>
      <c r="FW6" s="11">
        <f t="shared" si="131"/>
        <v>0</v>
      </c>
      <c r="FX6" s="11">
        <f t="shared" si="132"/>
        <v>0</v>
      </c>
      <c r="FY6" s="11">
        <f t="shared" si="133"/>
        <v>0</v>
      </c>
      <c r="FZ6" s="11">
        <f t="shared" si="134"/>
        <v>1</v>
      </c>
      <c r="GA6" s="11">
        <f t="shared" si="135"/>
        <v>0</v>
      </c>
      <c r="GB6" s="11">
        <f t="shared" si="136"/>
        <v>0</v>
      </c>
      <c r="GC6" s="11">
        <f t="shared" si="137"/>
        <v>0</v>
      </c>
      <c r="GD6" s="11">
        <f t="shared" si="138"/>
        <v>0</v>
      </c>
      <c r="GE6" s="11">
        <f t="shared" si="139"/>
        <v>0</v>
      </c>
      <c r="GF6" s="11">
        <f t="shared" si="140"/>
        <v>0</v>
      </c>
      <c r="GG6" s="11">
        <f t="shared" si="141"/>
        <v>0</v>
      </c>
      <c r="GH6" s="11">
        <f t="shared" si="142"/>
        <v>0</v>
      </c>
      <c r="GI6" s="11">
        <f t="shared" si="143"/>
        <v>0</v>
      </c>
      <c r="GJ6" s="11">
        <f t="shared" si="144"/>
        <v>0</v>
      </c>
      <c r="GK6" s="11">
        <f t="shared" si="145"/>
        <v>0</v>
      </c>
      <c r="GL6" s="11">
        <f t="shared" si="146"/>
        <v>0</v>
      </c>
      <c r="GM6" s="11">
        <f t="shared" si="147"/>
        <v>0</v>
      </c>
      <c r="GN6" s="11">
        <f t="shared" si="148"/>
        <v>0</v>
      </c>
      <c r="GO6" s="11">
        <f t="shared" si="149"/>
        <v>0</v>
      </c>
      <c r="GP6" s="11">
        <f t="shared" si="150"/>
        <v>0</v>
      </c>
      <c r="GQ6" s="11">
        <f t="shared" si="151"/>
        <v>0</v>
      </c>
      <c r="GR6" s="11">
        <f t="shared" si="152"/>
        <v>0</v>
      </c>
      <c r="GS6" s="11">
        <f t="shared" si="153"/>
        <v>0</v>
      </c>
      <c r="GT6" s="11">
        <f t="shared" si="154"/>
        <v>0</v>
      </c>
      <c r="GU6" s="12">
        <f t="shared" si="155"/>
        <v>0</v>
      </c>
      <c r="GV6" s="12">
        <f t="shared" si="156"/>
        <v>0</v>
      </c>
      <c r="GW6" s="12">
        <f t="shared" si="157"/>
        <v>0</v>
      </c>
      <c r="GX6" s="12">
        <f t="shared" si="158"/>
        <v>0</v>
      </c>
      <c r="GY6" s="12">
        <f t="shared" si="159"/>
        <v>0</v>
      </c>
      <c r="GZ6" s="12">
        <f t="shared" si="160"/>
        <v>0</v>
      </c>
      <c r="HA6" s="12">
        <f t="shared" si="161"/>
        <v>0</v>
      </c>
      <c r="HB6" s="12">
        <f t="shared" si="162"/>
        <v>0</v>
      </c>
      <c r="HC6" s="12">
        <f t="shared" si="163"/>
        <v>0</v>
      </c>
      <c r="HD6" s="12">
        <f t="shared" si="164"/>
        <v>0</v>
      </c>
      <c r="HE6" s="12">
        <f t="shared" si="165"/>
        <v>0</v>
      </c>
      <c r="HF6" s="12">
        <f t="shared" si="166"/>
        <v>0</v>
      </c>
      <c r="HG6" s="12">
        <f t="shared" si="167"/>
        <v>0</v>
      </c>
      <c r="HH6" s="12">
        <f t="shared" si="168"/>
        <v>0</v>
      </c>
      <c r="HI6" s="12">
        <f t="shared" si="169"/>
        <v>0</v>
      </c>
      <c r="HJ6" s="12">
        <f t="shared" si="170"/>
        <v>0</v>
      </c>
      <c r="HK6" s="12">
        <f t="shared" si="171"/>
        <v>0</v>
      </c>
      <c r="HL6" s="12">
        <f t="shared" si="172"/>
        <v>0</v>
      </c>
      <c r="HM6" s="12">
        <f t="shared" si="173"/>
        <v>0</v>
      </c>
      <c r="HN6" s="12">
        <f t="shared" si="174"/>
        <v>0</v>
      </c>
      <c r="HO6" s="12">
        <f t="shared" si="175"/>
        <v>0</v>
      </c>
      <c r="HP6" s="12">
        <f t="shared" si="176"/>
        <v>0</v>
      </c>
      <c r="HQ6" s="12">
        <f t="shared" si="177"/>
        <v>0</v>
      </c>
      <c r="HR6" s="12">
        <f t="shared" si="178"/>
        <v>0</v>
      </c>
      <c r="HS6" s="12">
        <f t="shared" si="179"/>
        <v>0</v>
      </c>
      <c r="HT6" s="12">
        <f t="shared" si="180"/>
        <v>0</v>
      </c>
      <c r="HU6" s="12">
        <f t="shared" si="181"/>
        <v>0</v>
      </c>
      <c r="HV6" s="12">
        <f t="shared" si="182"/>
        <v>1</v>
      </c>
      <c r="HW6" s="12">
        <f t="shared" si="183"/>
        <v>0</v>
      </c>
      <c r="HX6" s="12">
        <f t="shared" si="184"/>
        <v>0</v>
      </c>
      <c r="HY6" s="12">
        <f t="shared" si="185"/>
        <v>0</v>
      </c>
      <c r="HZ6" s="12">
        <f t="shared" si="186"/>
        <v>0</v>
      </c>
      <c r="IA6" s="12">
        <f t="shared" si="187"/>
        <v>0</v>
      </c>
      <c r="IB6" s="12">
        <f t="shared" si="188"/>
        <v>0</v>
      </c>
      <c r="IC6" s="12">
        <f t="shared" si="189"/>
        <v>0</v>
      </c>
      <c r="ID6" s="12">
        <f t="shared" si="190"/>
        <v>0</v>
      </c>
      <c r="IE6" s="12">
        <f t="shared" si="191"/>
        <v>0</v>
      </c>
      <c r="IF6" s="12">
        <f t="shared" si="192"/>
        <v>0</v>
      </c>
      <c r="IG6" s="12">
        <f t="shared" si="193"/>
        <v>0</v>
      </c>
      <c r="IH6" s="12">
        <f t="shared" si="194"/>
        <v>0</v>
      </c>
      <c r="II6" s="12">
        <f t="shared" si="195"/>
        <v>0</v>
      </c>
      <c r="IJ6" s="12">
        <f t="shared" si="196"/>
        <v>0</v>
      </c>
      <c r="IK6" s="12">
        <f t="shared" si="197"/>
        <v>0</v>
      </c>
      <c r="IL6" s="12">
        <f t="shared" si="198"/>
        <v>0</v>
      </c>
      <c r="IM6" s="12">
        <f t="shared" si="199"/>
        <v>0</v>
      </c>
      <c r="IN6" s="12">
        <f t="shared" si="200"/>
        <v>0</v>
      </c>
      <c r="IO6" s="12">
        <f t="shared" si="201"/>
        <v>0</v>
      </c>
      <c r="IP6" s="12">
        <f t="shared" si="202"/>
        <v>0</v>
      </c>
      <c r="IQ6" s="12">
        <f t="shared" si="203"/>
        <v>0</v>
      </c>
      <c r="IR6" s="12">
        <f t="shared" si="204"/>
        <v>0</v>
      </c>
      <c r="IS6" s="12">
        <f t="shared" si="205"/>
        <v>0</v>
      </c>
      <c r="IT6" s="12">
        <f t="shared" si="206"/>
        <v>0</v>
      </c>
      <c r="IU6" s="12">
        <f t="shared" si="207"/>
        <v>0</v>
      </c>
      <c r="IV6" s="12">
        <f t="shared" si="208"/>
        <v>0</v>
      </c>
      <c r="IW6" s="12">
        <f t="shared" si="209"/>
        <v>0</v>
      </c>
      <c r="IX6" s="12">
        <f t="shared" si="210"/>
        <v>0</v>
      </c>
      <c r="IY6" s="12">
        <f t="shared" si="211"/>
        <v>0</v>
      </c>
      <c r="IZ6" s="12">
        <f t="shared" si="212"/>
        <v>0</v>
      </c>
      <c r="JA6" s="13">
        <f t="shared" si="213"/>
        <v>0</v>
      </c>
      <c r="JB6" s="13">
        <f t="shared" si="214"/>
        <v>0</v>
      </c>
      <c r="JC6" s="13">
        <f t="shared" si="215"/>
        <v>0</v>
      </c>
      <c r="JD6" s="13">
        <f t="shared" si="216"/>
        <v>0</v>
      </c>
      <c r="JE6" s="13">
        <f t="shared" si="217"/>
        <v>0</v>
      </c>
      <c r="JF6" s="13">
        <f t="shared" si="218"/>
        <v>0</v>
      </c>
      <c r="JG6" s="13">
        <f t="shared" si="219"/>
        <v>0</v>
      </c>
      <c r="JH6" s="13">
        <f t="shared" si="220"/>
        <v>0</v>
      </c>
      <c r="JI6" s="13">
        <f t="shared" si="221"/>
        <v>0</v>
      </c>
      <c r="JJ6" s="13">
        <f t="shared" si="222"/>
        <v>0</v>
      </c>
      <c r="JK6" s="13">
        <f t="shared" si="223"/>
        <v>0</v>
      </c>
      <c r="JL6" s="13">
        <f t="shared" si="224"/>
        <v>0</v>
      </c>
      <c r="JM6" s="13">
        <f t="shared" si="225"/>
        <v>0</v>
      </c>
      <c r="JN6" s="13">
        <f t="shared" si="226"/>
        <v>0</v>
      </c>
      <c r="JO6" s="13">
        <f t="shared" si="227"/>
        <v>0</v>
      </c>
      <c r="JP6" s="13">
        <f t="shared" si="228"/>
        <v>0</v>
      </c>
      <c r="JQ6" s="13">
        <f t="shared" si="229"/>
        <v>0</v>
      </c>
      <c r="JR6" s="13">
        <f t="shared" si="230"/>
        <v>0</v>
      </c>
      <c r="JS6" s="13">
        <f t="shared" si="231"/>
        <v>0</v>
      </c>
      <c r="JT6" s="13">
        <f t="shared" si="232"/>
        <v>0</v>
      </c>
      <c r="JU6" s="13">
        <f t="shared" si="233"/>
        <v>0</v>
      </c>
      <c r="JV6" s="12">
        <f t="shared" si="234"/>
        <v>0</v>
      </c>
      <c r="JW6" s="12">
        <f t="shared" si="235"/>
        <v>0</v>
      </c>
      <c r="JX6" s="12">
        <f t="shared" si="236"/>
        <v>0</v>
      </c>
      <c r="JY6" s="12">
        <f t="shared" si="237"/>
        <v>0</v>
      </c>
      <c r="JZ6" s="12">
        <f t="shared" si="238"/>
        <v>0</v>
      </c>
      <c r="KA6" s="12">
        <f t="shared" si="239"/>
        <v>0</v>
      </c>
      <c r="KB6" s="12">
        <f t="shared" si="240"/>
        <v>0</v>
      </c>
      <c r="KC6" s="12">
        <f t="shared" si="241"/>
        <v>0</v>
      </c>
      <c r="KD6" s="12">
        <f t="shared" si="242"/>
        <v>0</v>
      </c>
      <c r="KE6" s="12">
        <f t="shared" si="243"/>
        <v>0</v>
      </c>
      <c r="KF6" s="12">
        <f t="shared" si="244"/>
        <v>0</v>
      </c>
      <c r="KG6" s="12">
        <f t="shared" si="245"/>
        <v>0</v>
      </c>
      <c r="KH6" s="12">
        <f t="shared" si="246"/>
        <v>0</v>
      </c>
      <c r="KI6" s="12">
        <f t="shared" si="247"/>
        <v>0</v>
      </c>
      <c r="KJ6" s="12">
        <f t="shared" si="248"/>
        <v>0</v>
      </c>
      <c r="KK6" s="12">
        <f t="shared" si="249"/>
        <v>0</v>
      </c>
      <c r="KL6" s="12">
        <f t="shared" si="250"/>
        <v>0</v>
      </c>
      <c r="KM6" s="12">
        <f t="shared" si="251"/>
        <v>0</v>
      </c>
      <c r="KN6" s="12">
        <f t="shared" si="252"/>
        <v>0</v>
      </c>
      <c r="KO6" s="12">
        <f t="shared" si="253"/>
        <v>0</v>
      </c>
      <c r="KP6" s="12">
        <f t="shared" si="254"/>
        <v>0</v>
      </c>
      <c r="KQ6" s="12">
        <f t="shared" si="255"/>
        <v>0</v>
      </c>
      <c r="KR6" s="12">
        <f t="shared" si="256"/>
        <v>0</v>
      </c>
      <c r="KS6" s="12">
        <f t="shared" si="257"/>
        <v>0</v>
      </c>
      <c r="KT6" s="12">
        <f t="shared" si="258"/>
        <v>0</v>
      </c>
      <c r="KU6" s="12">
        <f t="shared" si="259"/>
        <v>0</v>
      </c>
      <c r="KV6" s="12">
        <f t="shared" si="260"/>
        <v>0</v>
      </c>
      <c r="KW6" s="12">
        <f t="shared" si="261"/>
        <v>0</v>
      </c>
      <c r="KX6" s="12">
        <f t="shared" si="262"/>
        <v>0</v>
      </c>
      <c r="KY6" s="12">
        <f t="shared" si="263"/>
        <v>0</v>
      </c>
      <c r="KZ6" s="12">
        <f t="shared" si="264"/>
        <v>0</v>
      </c>
      <c r="LA6" s="12">
        <f t="shared" si="265"/>
        <v>0</v>
      </c>
      <c r="LB6" s="12">
        <f t="shared" si="266"/>
        <v>0</v>
      </c>
      <c r="LC6" s="12">
        <f t="shared" si="267"/>
        <v>0</v>
      </c>
      <c r="LD6" s="12">
        <f t="shared" si="268"/>
        <v>0</v>
      </c>
      <c r="LE6" s="12">
        <f t="shared" si="269"/>
        <v>0</v>
      </c>
      <c r="LF6" s="12">
        <f t="shared" si="270"/>
        <v>0</v>
      </c>
      <c r="LG6" s="12">
        <f t="shared" si="271"/>
        <v>0</v>
      </c>
      <c r="LH6" s="12">
        <f t="shared" si="272"/>
        <v>0</v>
      </c>
      <c r="LI6" s="12">
        <f t="shared" si="273"/>
        <v>0</v>
      </c>
      <c r="LJ6" s="12">
        <f t="shared" si="274"/>
        <v>0</v>
      </c>
      <c r="LK6" s="12">
        <f t="shared" si="275"/>
        <v>0</v>
      </c>
      <c r="LL6" s="12">
        <f t="shared" si="276"/>
        <v>0</v>
      </c>
      <c r="LM6" s="12">
        <f t="shared" si="277"/>
        <v>0</v>
      </c>
      <c r="LN6" s="12">
        <f t="shared" si="278"/>
        <v>0</v>
      </c>
      <c r="LO6" s="12">
        <f t="shared" si="279"/>
        <v>0</v>
      </c>
      <c r="LP6" s="12">
        <f t="shared" si="280"/>
        <v>0</v>
      </c>
      <c r="LQ6" s="12">
        <f t="shared" si="281"/>
        <v>0</v>
      </c>
      <c r="LR6" s="12">
        <f t="shared" si="282"/>
        <v>0</v>
      </c>
      <c r="LS6" s="12">
        <f t="shared" si="283"/>
        <v>0</v>
      </c>
      <c r="LT6" s="13">
        <f t="shared" si="284"/>
        <v>0</v>
      </c>
      <c r="LU6" s="13">
        <f t="shared" si="285"/>
        <v>0</v>
      </c>
      <c r="LV6" s="13">
        <f t="shared" si="286"/>
        <v>0</v>
      </c>
      <c r="LW6" s="13">
        <f t="shared" si="287"/>
        <v>0</v>
      </c>
      <c r="LX6" s="13">
        <f t="shared" si="288"/>
        <v>0</v>
      </c>
      <c r="LY6" s="13">
        <f t="shared" si="289"/>
        <v>0</v>
      </c>
      <c r="LZ6" s="13">
        <f t="shared" si="290"/>
        <v>0</v>
      </c>
      <c r="MA6" s="13">
        <f t="shared" si="291"/>
        <v>0</v>
      </c>
      <c r="MB6" s="13">
        <f t="shared" si="292"/>
        <v>0</v>
      </c>
      <c r="MC6" s="13">
        <f t="shared" si="293"/>
        <v>0</v>
      </c>
      <c r="MD6" s="13">
        <f t="shared" si="294"/>
        <v>0</v>
      </c>
      <c r="ME6" s="13">
        <f t="shared" si="295"/>
        <v>0</v>
      </c>
      <c r="MF6" s="13">
        <f t="shared" si="296"/>
        <v>0</v>
      </c>
      <c r="MG6" s="13">
        <f t="shared" si="297"/>
        <v>0</v>
      </c>
      <c r="MH6" s="13">
        <f t="shared" si="298"/>
        <v>0</v>
      </c>
      <c r="MI6" s="13">
        <f t="shared" si="299"/>
        <v>0</v>
      </c>
      <c r="MJ6" s="13">
        <f t="shared" si="300"/>
        <v>0</v>
      </c>
      <c r="MK6" s="13">
        <f t="shared" si="301"/>
        <v>0</v>
      </c>
      <c r="ML6" s="14">
        <f t="shared" si="302"/>
        <v>0</v>
      </c>
      <c r="MM6" s="14">
        <f t="shared" si="303"/>
        <v>0</v>
      </c>
      <c r="MN6" s="14">
        <f t="shared" si="304"/>
        <v>0</v>
      </c>
      <c r="MO6" s="14">
        <f t="shared" si="305"/>
        <v>0</v>
      </c>
      <c r="MP6" s="14">
        <f t="shared" si="306"/>
        <v>0</v>
      </c>
      <c r="MQ6" s="14">
        <f t="shared" si="307"/>
        <v>0</v>
      </c>
      <c r="MR6" s="14">
        <f t="shared" si="308"/>
        <v>0</v>
      </c>
      <c r="MS6" s="14">
        <f t="shared" si="309"/>
        <v>0</v>
      </c>
      <c r="MT6" s="14">
        <f t="shared" si="310"/>
        <v>0</v>
      </c>
      <c r="MU6" s="14">
        <f t="shared" si="311"/>
        <v>0</v>
      </c>
      <c r="MV6" s="14">
        <f t="shared" si="312"/>
        <v>0</v>
      </c>
      <c r="MW6" s="14">
        <f t="shared" si="313"/>
        <v>0</v>
      </c>
      <c r="MX6" s="14">
        <f t="shared" si="314"/>
        <v>0</v>
      </c>
      <c r="MY6" s="14">
        <f t="shared" si="315"/>
        <v>0</v>
      </c>
      <c r="MZ6" s="14">
        <f t="shared" si="316"/>
        <v>0</v>
      </c>
      <c r="NA6" s="14">
        <f t="shared" si="317"/>
        <v>0</v>
      </c>
      <c r="NB6" s="14">
        <f t="shared" si="318"/>
        <v>0</v>
      </c>
    </row>
    <row r="7">
      <c r="A7" s="2">
        <v>328.0</v>
      </c>
      <c r="B7" s="2" t="s">
        <v>467</v>
      </c>
      <c r="C7" s="2" t="s">
        <v>468</v>
      </c>
      <c r="D7" s="2" t="s">
        <v>469</v>
      </c>
      <c r="E7" s="2">
        <v>2018.0</v>
      </c>
      <c r="F7" s="2" t="s">
        <v>470</v>
      </c>
      <c r="G7" s="2" t="s">
        <v>471</v>
      </c>
      <c r="H7" s="2" t="s">
        <v>472</v>
      </c>
      <c r="I7" s="2" t="s">
        <v>473</v>
      </c>
      <c r="M7" s="2">
        <v>243.0</v>
      </c>
      <c r="N7" s="2" t="s">
        <v>474</v>
      </c>
      <c r="O7" s="2" t="s">
        <v>475</v>
      </c>
      <c r="P7" s="2" t="s">
        <v>476</v>
      </c>
      <c r="Q7" s="2" t="s">
        <v>477</v>
      </c>
      <c r="R7" s="2" t="s">
        <v>478</v>
      </c>
      <c r="S7" s="2" t="s">
        <v>479</v>
      </c>
      <c r="Y7" s="2" t="s">
        <v>480</v>
      </c>
      <c r="AB7" s="2" t="s">
        <v>481</v>
      </c>
      <c r="AG7" s="2" t="s">
        <v>482</v>
      </c>
      <c r="AK7" s="2" t="s">
        <v>483</v>
      </c>
      <c r="AL7" s="2" t="s">
        <v>384</v>
      </c>
      <c r="AM7" s="2" t="s">
        <v>484</v>
      </c>
      <c r="AN7" s="2" t="s">
        <v>386</v>
      </c>
      <c r="AO7" s="2" t="s">
        <v>485</v>
      </c>
      <c r="AP7" s="2" t="s">
        <v>386</v>
      </c>
      <c r="AQ7" s="2">
        <v>1284.0</v>
      </c>
      <c r="AR7" s="2" t="s">
        <v>486</v>
      </c>
      <c r="AS7" s="2" t="b">
        <v>1</v>
      </c>
      <c r="AT7" s="3">
        <v>0.0</v>
      </c>
      <c r="AU7" s="4"/>
      <c r="AV7" s="4"/>
      <c r="AW7" s="5">
        <f t="shared" si="3"/>
        <v>0</v>
      </c>
      <c r="AX7" s="5">
        <f t="shared" si="4"/>
        <v>0</v>
      </c>
      <c r="AY7" s="5">
        <f t="shared" si="5"/>
        <v>0</v>
      </c>
      <c r="AZ7" s="5">
        <f t="shared" si="6"/>
        <v>0</v>
      </c>
      <c r="BA7" s="5">
        <f t="shared" si="7"/>
        <v>0</v>
      </c>
      <c r="BB7" s="5">
        <f t="shared" si="8"/>
        <v>0</v>
      </c>
      <c r="BC7" s="5">
        <f t="shared" si="9"/>
        <v>0</v>
      </c>
      <c r="BD7" s="5">
        <f t="shared" si="10"/>
        <v>0</v>
      </c>
      <c r="BE7" s="5">
        <f t="shared" si="11"/>
        <v>0</v>
      </c>
      <c r="BF7" s="5">
        <f t="shared" si="12"/>
        <v>0</v>
      </c>
      <c r="BG7" s="5">
        <f t="shared" si="13"/>
        <v>0</v>
      </c>
      <c r="BH7" s="5">
        <f t="shared" si="14"/>
        <v>0</v>
      </c>
      <c r="BI7" s="5">
        <f t="shared" si="15"/>
        <v>0</v>
      </c>
      <c r="BJ7" s="5">
        <f t="shared" si="16"/>
        <v>0</v>
      </c>
      <c r="BK7" s="5">
        <f t="shared" si="17"/>
        <v>0</v>
      </c>
      <c r="BL7" s="5">
        <f t="shared" si="18"/>
        <v>0</v>
      </c>
      <c r="BM7" s="5">
        <f t="shared" si="19"/>
        <v>0</v>
      </c>
      <c r="BN7" s="5">
        <f t="shared" si="20"/>
        <v>0</v>
      </c>
      <c r="BO7" s="5">
        <f t="shared" si="21"/>
        <v>0</v>
      </c>
      <c r="BP7" s="5">
        <f t="shared" si="22"/>
        <v>0</v>
      </c>
      <c r="BQ7" s="5">
        <f t="shared" si="23"/>
        <v>0</v>
      </c>
      <c r="BR7" s="5">
        <f t="shared" si="24"/>
        <v>0</v>
      </c>
      <c r="BS7" s="5">
        <f t="shared" si="25"/>
        <v>0</v>
      </c>
      <c r="BT7" s="5">
        <f t="shared" si="26"/>
        <v>1</v>
      </c>
      <c r="BU7" s="5">
        <f t="shared" si="27"/>
        <v>0</v>
      </c>
      <c r="BV7" s="5">
        <f t="shared" ref="BV7:BW7" si="327">IF(OR(ISNUMBER(SEARCH("grit",$D7)),ISNUMBER(SEARCH("grit",$T7)),ISNUMBER(SEARCH("grit",$R7)),ISNUMBER(SEARCH("grit",$S7)),
ISNUMBER(SEARCH("determination",$D7)),ISNUMBER(SEARCH("determination",$T7)),ISNUMBER(SEARCH("determination",$R7)),ISNUMBER(SEARCH("determination",$S7)),
ISNUMBER(SEARCH("tenacity",$D7)),ISNUMBER(SEARCH("tenacity",$T7)),ISNUMBER(SEARCH("tenacity",$R7)),ISNUMBER(SEARCH("tenacity",$S7)),
ISNUMBER(SEARCH("endurance",$D7)),ISNUMBER(SEARCH("endurance",$T7)),ISNUMBER(SEARCH("endurance",$R7)),ISNUMBER(SEARCH("endurance",$S7)),
ISNUMBER(SEARCH("fortitude",$D7)),ISNUMBER(SEARCH("fortitude",$T7)),ISNUMBER(SEARCH("fortitude",$R7)),ISNUMBER(SEARCH("fortitude",$S7)),
ISNUMBER(SEARCH("resolve",$D7)),ISNUMBER(SEARCH("resolve",$T7)),ISNUMBER(SEARCH("resolve",$R7)),ISNUMBER(SEARCH("resolve",$S7)),
ISNUMBER(SEARCH("stamina",$D7)),ISNUMBER(SEARCH("stamina",$T7)),ISNUMBER(SEARCH("stamina",$R7)),ISNUMBER(SEARCH("stamina",$S7)),
ISNUMBER(SEARCH("guts",$D7)),ISNUMBER(SEARCH("guts",$T7)),ISNUMBER(SEARCH("guts",$R7)),ISNUMBER(SEARCH("guts",$S7)),
ISNUMBER(SEARCH("spunk",$D7)),ISNUMBER(SEARCH("spunk",$T7)),ISNUMBER(SEARCH("spunk",$R7)),ISNUMBER(SEARCH("spunk",$S7))), 1, 0)</f>
        <v>0</v>
      </c>
      <c r="BW7" s="5">
        <f t="shared" si="327"/>
        <v>0</v>
      </c>
      <c r="BX7" s="5">
        <f t="shared" si="29"/>
        <v>0</v>
      </c>
      <c r="BY7" s="5">
        <f t="shared" si="30"/>
        <v>0</v>
      </c>
      <c r="BZ7" s="5">
        <f t="shared" si="31"/>
        <v>0</v>
      </c>
      <c r="CA7" s="5">
        <f t="shared" si="32"/>
        <v>0</v>
      </c>
      <c r="CB7" s="5">
        <f t="shared" si="33"/>
        <v>0</v>
      </c>
      <c r="CC7" s="5">
        <f t="shared" si="34"/>
        <v>0</v>
      </c>
      <c r="CD7" s="5">
        <f t="shared" si="35"/>
        <v>1</v>
      </c>
      <c r="CE7" s="5">
        <f t="shared" si="36"/>
        <v>0</v>
      </c>
      <c r="CF7" s="5">
        <f t="shared" si="37"/>
        <v>0</v>
      </c>
      <c r="CG7" s="5">
        <f t="shared" si="38"/>
        <v>0</v>
      </c>
      <c r="CH7" s="5">
        <f t="shared" si="39"/>
        <v>0</v>
      </c>
      <c r="CI7" s="5">
        <f t="shared" si="40"/>
        <v>0</v>
      </c>
      <c r="CJ7" s="5">
        <f t="shared" si="41"/>
        <v>0</v>
      </c>
      <c r="CK7" s="5">
        <f t="shared" si="42"/>
        <v>0</v>
      </c>
      <c r="CL7" s="5">
        <f t="shared" si="43"/>
        <v>0</v>
      </c>
      <c r="CM7" s="5">
        <f t="shared" si="44"/>
        <v>0</v>
      </c>
      <c r="CN7" s="5">
        <f t="shared" si="45"/>
        <v>0</v>
      </c>
      <c r="CO7" s="5">
        <f t="shared" si="46"/>
        <v>0</v>
      </c>
      <c r="CP7" s="6">
        <f t="shared" si="47"/>
        <v>0</v>
      </c>
      <c r="CQ7" s="6">
        <f t="shared" si="48"/>
        <v>0</v>
      </c>
      <c r="CR7" s="6">
        <f t="shared" si="49"/>
        <v>0</v>
      </c>
      <c r="CS7" s="6">
        <f t="shared" si="50"/>
        <v>1</v>
      </c>
      <c r="CT7" s="6">
        <f t="shared" si="51"/>
        <v>0</v>
      </c>
      <c r="CU7" s="6">
        <f t="shared" si="52"/>
        <v>0</v>
      </c>
      <c r="CV7" s="6">
        <f t="shared" si="53"/>
        <v>0</v>
      </c>
      <c r="CW7" s="6">
        <f t="shared" si="54"/>
        <v>0</v>
      </c>
      <c r="CX7" s="6">
        <f t="shared" si="55"/>
        <v>0</v>
      </c>
      <c r="CY7" s="6">
        <f t="shared" si="56"/>
        <v>0</v>
      </c>
      <c r="CZ7" s="6">
        <f t="shared" si="57"/>
        <v>0</v>
      </c>
      <c r="DA7" s="6">
        <f t="shared" si="58"/>
        <v>0</v>
      </c>
      <c r="DB7" s="6">
        <f t="shared" si="59"/>
        <v>1</v>
      </c>
      <c r="DC7" s="6">
        <f t="shared" si="60"/>
        <v>1</v>
      </c>
      <c r="DD7" s="6">
        <f t="shared" si="61"/>
        <v>0</v>
      </c>
      <c r="DE7" s="6">
        <f t="shared" si="62"/>
        <v>0</v>
      </c>
      <c r="DF7" s="6">
        <f t="shared" si="63"/>
        <v>0</v>
      </c>
      <c r="DG7" s="6">
        <f t="shared" si="64"/>
        <v>0</v>
      </c>
      <c r="DH7" s="6">
        <f t="shared" si="322"/>
        <v>0</v>
      </c>
      <c r="DI7" s="6">
        <f t="shared" si="66"/>
        <v>0</v>
      </c>
      <c r="DJ7" s="6">
        <f t="shared" si="67"/>
        <v>0</v>
      </c>
      <c r="DK7" s="7">
        <f t="shared" si="68"/>
        <v>0</v>
      </c>
      <c r="DL7" s="7">
        <f t="shared" si="323"/>
        <v>0</v>
      </c>
      <c r="DM7" s="7">
        <f t="shared" si="70"/>
        <v>0</v>
      </c>
      <c r="DN7" s="7">
        <f t="shared" si="71"/>
        <v>0</v>
      </c>
      <c r="DO7" s="7">
        <f t="shared" si="72"/>
        <v>1</v>
      </c>
      <c r="DP7" s="8">
        <f t="shared" si="73"/>
        <v>0</v>
      </c>
      <c r="DQ7" s="8">
        <f t="shared" si="74"/>
        <v>1</v>
      </c>
      <c r="DR7" s="7">
        <f t="shared" si="75"/>
        <v>1</v>
      </c>
      <c r="DS7" s="7">
        <f t="shared" si="76"/>
        <v>0</v>
      </c>
      <c r="DT7" s="7">
        <f t="shared" si="77"/>
        <v>0</v>
      </c>
      <c r="DU7" s="9">
        <f t="shared" si="78"/>
        <v>0</v>
      </c>
      <c r="DV7" s="9">
        <f t="shared" si="79"/>
        <v>0</v>
      </c>
      <c r="DW7" s="9">
        <f t="shared" si="80"/>
        <v>0</v>
      </c>
      <c r="DX7" s="9">
        <f t="shared" si="81"/>
        <v>0</v>
      </c>
      <c r="DY7" s="9">
        <f t="shared" si="82"/>
        <v>0</v>
      </c>
      <c r="DZ7" s="9">
        <f t="shared" si="83"/>
        <v>0</v>
      </c>
      <c r="EA7" s="9">
        <f t="shared" si="84"/>
        <v>0</v>
      </c>
      <c r="EB7" s="9">
        <f t="shared" si="85"/>
        <v>0</v>
      </c>
      <c r="EC7" s="9">
        <f t="shared" si="86"/>
        <v>0</v>
      </c>
      <c r="ED7" s="9">
        <f t="shared" si="87"/>
        <v>0</v>
      </c>
      <c r="EE7" s="9">
        <f t="shared" si="88"/>
        <v>0</v>
      </c>
      <c r="EF7" s="9">
        <f t="shared" si="89"/>
        <v>0</v>
      </c>
      <c r="EG7" s="9">
        <f t="shared" si="90"/>
        <v>0</v>
      </c>
      <c r="EH7" s="9">
        <f t="shared" si="91"/>
        <v>0</v>
      </c>
      <c r="EI7" s="9">
        <f t="shared" si="92"/>
        <v>0</v>
      </c>
      <c r="EJ7" s="10">
        <f t="shared" si="93"/>
        <v>0</v>
      </c>
      <c r="EK7" s="10">
        <f t="shared" si="94"/>
        <v>0</v>
      </c>
      <c r="EL7" s="10">
        <f t="shared" ref="EL7:EM7" si="328">IF(OR(ISNUMBER(SEARCH("ai software toolkit", $D7)), ISNUMBER(SEARCH("ai software toolkit", $T7)), ISNUMBER(SEARCH("ai software toolkit", $R7)), ISNUMBER(SEARCH("ai software toolkit", $S7))), 1, 0)</f>
        <v>0</v>
      </c>
      <c r="EM7" s="10">
        <f t="shared" si="328"/>
        <v>0</v>
      </c>
      <c r="EN7" s="10">
        <f t="shared" si="96"/>
        <v>0</v>
      </c>
      <c r="EO7" s="10">
        <f t="shared" si="97"/>
        <v>0</v>
      </c>
      <c r="EP7" s="10">
        <f t="shared" si="98"/>
        <v>0</v>
      </c>
      <c r="EQ7" s="10">
        <f t="shared" si="99"/>
        <v>0</v>
      </c>
      <c r="ER7" s="10">
        <f t="shared" si="100"/>
        <v>0</v>
      </c>
      <c r="ES7" s="10">
        <f t="shared" si="101"/>
        <v>0</v>
      </c>
      <c r="ET7" s="10">
        <f t="shared" si="102"/>
        <v>0</v>
      </c>
      <c r="EU7" s="10">
        <f t="shared" si="103"/>
        <v>0</v>
      </c>
      <c r="EV7" s="10">
        <f t="shared" si="104"/>
        <v>0</v>
      </c>
      <c r="EW7" s="10">
        <f t="shared" si="105"/>
        <v>0</v>
      </c>
      <c r="EX7" s="10">
        <f t="shared" si="106"/>
        <v>0</v>
      </c>
      <c r="EY7" s="10">
        <f t="shared" si="107"/>
        <v>0</v>
      </c>
      <c r="EZ7" s="10">
        <f t="shared" si="108"/>
        <v>0</v>
      </c>
      <c r="FA7" s="10">
        <f t="shared" si="109"/>
        <v>0</v>
      </c>
      <c r="FB7" s="10">
        <f t="shared" si="110"/>
        <v>0</v>
      </c>
      <c r="FC7" s="10">
        <f t="shared" si="111"/>
        <v>0</v>
      </c>
      <c r="FD7" s="10">
        <f t="shared" si="112"/>
        <v>0</v>
      </c>
      <c r="FE7" s="10">
        <f t="shared" si="113"/>
        <v>0</v>
      </c>
      <c r="FF7" s="10">
        <f t="shared" si="114"/>
        <v>0</v>
      </c>
      <c r="FG7" s="10">
        <f t="shared" si="115"/>
        <v>0</v>
      </c>
      <c r="FH7" s="10">
        <f t="shared" si="116"/>
        <v>0</v>
      </c>
      <c r="FI7" s="10">
        <f t="shared" si="117"/>
        <v>0</v>
      </c>
      <c r="FJ7" s="10">
        <f t="shared" si="118"/>
        <v>0</v>
      </c>
      <c r="FK7" s="10">
        <f t="shared" si="119"/>
        <v>0</v>
      </c>
      <c r="FL7" s="10">
        <f t="shared" si="120"/>
        <v>0</v>
      </c>
      <c r="FM7" s="10">
        <f t="shared" si="121"/>
        <v>0</v>
      </c>
      <c r="FN7" s="10">
        <f t="shared" si="122"/>
        <v>0</v>
      </c>
      <c r="FO7" s="10">
        <f t="shared" si="123"/>
        <v>0</v>
      </c>
      <c r="FP7" s="10">
        <f t="shared" si="124"/>
        <v>0</v>
      </c>
      <c r="FQ7" s="10">
        <f t="shared" si="125"/>
        <v>0</v>
      </c>
      <c r="FR7" s="11">
        <f t="shared" si="126"/>
        <v>1</v>
      </c>
      <c r="FS7" s="11">
        <f t="shared" si="127"/>
        <v>0</v>
      </c>
      <c r="FT7" s="11">
        <f t="shared" si="128"/>
        <v>0</v>
      </c>
      <c r="FU7" s="11">
        <f t="shared" si="129"/>
        <v>0</v>
      </c>
      <c r="FV7" s="11">
        <f t="shared" si="130"/>
        <v>0</v>
      </c>
      <c r="FW7" s="11">
        <f t="shared" si="131"/>
        <v>0</v>
      </c>
      <c r="FX7" s="11">
        <f t="shared" si="132"/>
        <v>0</v>
      </c>
      <c r="FY7" s="11">
        <f t="shared" si="133"/>
        <v>0</v>
      </c>
      <c r="FZ7" s="11">
        <f t="shared" si="134"/>
        <v>0</v>
      </c>
      <c r="GA7" s="11">
        <f t="shared" si="135"/>
        <v>0</v>
      </c>
      <c r="GB7" s="11">
        <f t="shared" si="136"/>
        <v>0</v>
      </c>
      <c r="GC7" s="11">
        <f t="shared" si="137"/>
        <v>0</v>
      </c>
      <c r="GD7" s="11">
        <f t="shared" si="138"/>
        <v>0</v>
      </c>
      <c r="GE7" s="11">
        <f t="shared" si="139"/>
        <v>0</v>
      </c>
      <c r="GF7" s="11">
        <f t="shared" si="140"/>
        <v>0</v>
      </c>
      <c r="GG7" s="11">
        <f t="shared" si="141"/>
        <v>0</v>
      </c>
      <c r="GH7" s="11">
        <f t="shared" si="142"/>
        <v>0</v>
      </c>
      <c r="GI7" s="11">
        <f t="shared" si="143"/>
        <v>0</v>
      </c>
      <c r="GJ7" s="11">
        <f t="shared" si="144"/>
        <v>0</v>
      </c>
      <c r="GK7" s="11">
        <f t="shared" si="145"/>
        <v>0</v>
      </c>
      <c r="GL7" s="11">
        <f t="shared" si="146"/>
        <v>0</v>
      </c>
      <c r="GM7" s="11">
        <f t="shared" si="147"/>
        <v>0</v>
      </c>
      <c r="GN7" s="11">
        <f t="shared" si="148"/>
        <v>0</v>
      </c>
      <c r="GO7" s="11">
        <f t="shared" si="149"/>
        <v>0</v>
      </c>
      <c r="GP7" s="11">
        <f t="shared" si="150"/>
        <v>0</v>
      </c>
      <c r="GQ7" s="11">
        <f t="shared" si="151"/>
        <v>0</v>
      </c>
      <c r="GR7" s="11">
        <f t="shared" si="152"/>
        <v>0</v>
      </c>
      <c r="GS7" s="11">
        <f t="shared" si="153"/>
        <v>0</v>
      </c>
      <c r="GT7" s="11">
        <f t="shared" si="154"/>
        <v>0</v>
      </c>
      <c r="GU7" s="12">
        <f t="shared" si="155"/>
        <v>0</v>
      </c>
      <c r="GV7" s="12">
        <f t="shared" si="156"/>
        <v>0</v>
      </c>
      <c r="GW7" s="12">
        <f t="shared" si="157"/>
        <v>0</v>
      </c>
      <c r="GX7" s="12">
        <f t="shared" si="158"/>
        <v>0</v>
      </c>
      <c r="GY7" s="12">
        <f t="shared" si="159"/>
        <v>0</v>
      </c>
      <c r="GZ7" s="12">
        <f t="shared" si="160"/>
        <v>0</v>
      </c>
      <c r="HA7" s="12">
        <f t="shared" si="161"/>
        <v>0</v>
      </c>
      <c r="HB7" s="12">
        <f t="shared" si="162"/>
        <v>0</v>
      </c>
      <c r="HC7" s="12">
        <f t="shared" si="163"/>
        <v>0</v>
      </c>
      <c r="HD7" s="12">
        <f t="shared" si="164"/>
        <v>0</v>
      </c>
      <c r="HE7" s="12">
        <f t="shared" si="165"/>
        <v>0</v>
      </c>
      <c r="HF7" s="12">
        <f t="shared" si="166"/>
        <v>0</v>
      </c>
      <c r="HG7" s="12">
        <f t="shared" si="167"/>
        <v>0</v>
      </c>
      <c r="HH7" s="12">
        <f t="shared" si="168"/>
        <v>0</v>
      </c>
      <c r="HI7" s="12">
        <f t="shared" si="169"/>
        <v>0</v>
      </c>
      <c r="HJ7" s="12">
        <f t="shared" si="170"/>
        <v>0</v>
      </c>
      <c r="HK7" s="12">
        <f t="shared" si="171"/>
        <v>0</v>
      </c>
      <c r="HL7" s="12">
        <f t="shared" si="172"/>
        <v>0</v>
      </c>
      <c r="HM7" s="12">
        <f t="shared" si="173"/>
        <v>0</v>
      </c>
      <c r="HN7" s="12">
        <f t="shared" si="174"/>
        <v>0</v>
      </c>
      <c r="HO7" s="12">
        <f t="shared" si="175"/>
        <v>0</v>
      </c>
      <c r="HP7" s="12">
        <f t="shared" si="176"/>
        <v>0</v>
      </c>
      <c r="HQ7" s="12">
        <f t="shared" si="177"/>
        <v>0</v>
      </c>
      <c r="HR7" s="12">
        <f t="shared" si="178"/>
        <v>0</v>
      </c>
      <c r="HS7" s="12">
        <f t="shared" si="179"/>
        <v>0</v>
      </c>
      <c r="HT7" s="12">
        <f t="shared" si="180"/>
        <v>0</v>
      </c>
      <c r="HU7" s="12">
        <f t="shared" si="181"/>
        <v>0</v>
      </c>
      <c r="HV7" s="12">
        <f t="shared" si="182"/>
        <v>0</v>
      </c>
      <c r="HW7" s="12">
        <f t="shared" si="183"/>
        <v>0</v>
      </c>
      <c r="HX7" s="12">
        <f t="shared" si="184"/>
        <v>0</v>
      </c>
      <c r="HY7" s="12">
        <f t="shared" si="185"/>
        <v>0</v>
      </c>
      <c r="HZ7" s="12">
        <f t="shared" si="186"/>
        <v>0</v>
      </c>
      <c r="IA7" s="12">
        <f t="shared" si="187"/>
        <v>0</v>
      </c>
      <c r="IB7" s="12">
        <f t="shared" si="188"/>
        <v>0</v>
      </c>
      <c r="IC7" s="12">
        <f t="shared" si="189"/>
        <v>0</v>
      </c>
      <c r="ID7" s="12">
        <f t="shared" si="190"/>
        <v>0</v>
      </c>
      <c r="IE7" s="12">
        <f t="shared" si="191"/>
        <v>0</v>
      </c>
      <c r="IF7" s="12">
        <f t="shared" si="192"/>
        <v>0</v>
      </c>
      <c r="IG7" s="12">
        <f t="shared" si="193"/>
        <v>0</v>
      </c>
      <c r="IH7" s="12">
        <f t="shared" si="194"/>
        <v>0</v>
      </c>
      <c r="II7" s="12">
        <f t="shared" si="195"/>
        <v>0</v>
      </c>
      <c r="IJ7" s="12">
        <f t="shared" si="196"/>
        <v>0</v>
      </c>
      <c r="IK7" s="12">
        <f t="shared" si="197"/>
        <v>0</v>
      </c>
      <c r="IL7" s="12">
        <f t="shared" si="198"/>
        <v>0</v>
      </c>
      <c r="IM7" s="12">
        <f t="shared" si="199"/>
        <v>0</v>
      </c>
      <c r="IN7" s="12">
        <f t="shared" si="200"/>
        <v>0</v>
      </c>
      <c r="IO7" s="12">
        <f t="shared" si="201"/>
        <v>0</v>
      </c>
      <c r="IP7" s="12">
        <f t="shared" si="202"/>
        <v>0</v>
      </c>
      <c r="IQ7" s="12">
        <f t="shared" si="203"/>
        <v>0</v>
      </c>
      <c r="IR7" s="12">
        <f t="shared" si="204"/>
        <v>0</v>
      </c>
      <c r="IS7" s="12">
        <f t="shared" si="205"/>
        <v>0</v>
      </c>
      <c r="IT7" s="12">
        <f t="shared" si="206"/>
        <v>0</v>
      </c>
      <c r="IU7" s="12">
        <f t="shared" si="207"/>
        <v>0</v>
      </c>
      <c r="IV7" s="12">
        <f t="shared" si="208"/>
        <v>0</v>
      </c>
      <c r="IW7" s="12">
        <f t="shared" si="209"/>
        <v>0</v>
      </c>
      <c r="IX7" s="12">
        <f t="shared" si="210"/>
        <v>0</v>
      </c>
      <c r="IY7" s="12">
        <f t="shared" si="211"/>
        <v>0</v>
      </c>
      <c r="IZ7" s="12">
        <f t="shared" si="212"/>
        <v>1</v>
      </c>
      <c r="JA7" s="13">
        <f t="shared" si="213"/>
        <v>0</v>
      </c>
      <c r="JB7" s="13">
        <f t="shared" si="214"/>
        <v>0</v>
      </c>
      <c r="JC7" s="13">
        <f t="shared" si="215"/>
        <v>0</v>
      </c>
      <c r="JD7" s="13">
        <f t="shared" si="216"/>
        <v>0</v>
      </c>
      <c r="JE7" s="13">
        <f t="shared" si="217"/>
        <v>0</v>
      </c>
      <c r="JF7" s="13">
        <f t="shared" si="218"/>
        <v>0</v>
      </c>
      <c r="JG7" s="13">
        <f t="shared" si="219"/>
        <v>0</v>
      </c>
      <c r="JH7" s="13">
        <f t="shared" si="220"/>
        <v>0</v>
      </c>
      <c r="JI7" s="13">
        <f t="shared" si="221"/>
        <v>0</v>
      </c>
      <c r="JJ7" s="13">
        <f t="shared" si="222"/>
        <v>0</v>
      </c>
      <c r="JK7" s="13">
        <f t="shared" si="223"/>
        <v>0</v>
      </c>
      <c r="JL7" s="13">
        <f t="shared" si="224"/>
        <v>0</v>
      </c>
      <c r="JM7" s="13">
        <f t="shared" si="225"/>
        <v>0</v>
      </c>
      <c r="JN7" s="13">
        <f t="shared" si="226"/>
        <v>0</v>
      </c>
      <c r="JO7" s="13">
        <f t="shared" si="227"/>
        <v>0</v>
      </c>
      <c r="JP7" s="13">
        <f t="shared" si="228"/>
        <v>0</v>
      </c>
      <c r="JQ7" s="13">
        <f t="shared" si="229"/>
        <v>0</v>
      </c>
      <c r="JR7" s="13">
        <f t="shared" si="230"/>
        <v>0</v>
      </c>
      <c r="JS7" s="13">
        <f t="shared" si="231"/>
        <v>0</v>
      </c>
      <c r="JT7" s="13">
        <f t="shared" si="232"/>
        <v>0</v>
      </c>
      <c r="JU7" s="13">
        <f t="shared" si="233"/>
        <v>0</v>
      </c>
      <c r="JV7" s="12">
        <f t="shared" si="234"/>
        <v>0</v>
      </c>
      <c r="JW7" s="12">
        <f t="shared" si="235"/>
        <v>0</v>
      </c>
      <c r="JX7" s="12">
        <f t="shared" si="236"/>
        <v>0</v>
      </c>
      <c r="JY7" s="12">
        <f t="shared" si="237"/>
        <v>0</v>
      </c>
      <c r="JZ7" s="12">
        <f t="shared" si="238"/>
        <v>0</v>
      </c>
      <c r="KA7" s="12">
        <f t="shared" si="239"/>
        <v>0</v>
      </c>
      <c r="KB7" s="12">
        <f t="shared" si="240"/>
        <v>0</v>
      </c>
      <c r="KC7" s="12">
        <f t="shared" si="241"/>
        <v>0</v>
      </c>
      <c r="KD7" s="12">
        <f t="shared" si="242"/>
        <v>0</v>
      </c>
      <c r="KE7" s="12">
        <f t="shared" si="243"/>
        <v>0</v>
      </c>
      <c r="KF7" s="12">
        <f t="shared" si="244"/>
        <v>0</v>
      </c>
      <c r="KG7" s="12">
        <f t="shared" si="245"/>
        <v>0</v>
      </c>
      <c r="KH7" s="12">
        <f t="shared" si="246"/>
        <v>0</v>
      </c>
      <c r="KI7" s="12">
        <f t="shared" si="247"/>
        <v>0</v>
      </c>
      <c r="KJ7" s="12">
        <f t="shared" si="248"/>
        <v>0</v>
      </c>
      <c r="KK7" s="12">
        <f t="shared" si="249"/>
        <v>0</v>
      </c>
      <c r="KL7" s="12">
        <f t="shared" si="250"/>
        <v>0</v>
      </c>
      <c r="KM7" s="12">
        <f t="shared" si="251"/>
        <v>0</v>
      </c>
      <c r="KN7" s="12">
        <f t="shared" si="252"/>
        <v>0</v>
      </c>
      <c r="KO7" s="12">
        <f t="shared" si="253"/>
        <v>0</v>
      </c>
      <c r="KP7" s="12">
        <f t="shared" si="254"/>
        <v>0</v>
      </c>
      <c r="KQ7" s="12">
        <f t="shared" si="255"/>
        <v>0</v>
      </c>
      <c r="KR7" s="12">
        <f t="shared" si="256"/>
        <v>0</v>
      </c>
      <c r="KS7" s="12">
        <f t="shared" si="257"/>
        <v>0</v>
      </c>
      <c r="KT7" s="12">
        <f t="shared" si="258"/>
        <v>0</v>
      </c>
      <c r="KU7" s="12">
        <f t="shared" si="259"/>
        <v>0</v>
      </c>
      <c r="KV7" s="12">
        <f t="shared" si="260"/>
        <v>0</v>
      </c>
      <c r="KW7" s="12">
        <f t="shared" si="261"/>
        <v>0</v>
      </c>
      <c r="KX7" s="12">
        <f t="shared" si="262"/>
        <v>0</v>
      </c>
      <c r="KY7" s="12">
        <f t="shared" si="263"/>
        <v>0</v>
      </c>
      <c r="KZ7" s="12">
        <f t="shared" si="264"/>
        <v>0</v>
      </c>
      <c r="LA7" s="12">
        <f t="shared" si="265"/>
        <v>0</v>
      </c>
      <c r="LB7" s="12">
        <f t="shared" si="266"/>
        <v>0</v>
      </c>
      <c r="LC7" s="12">
        <f t="shared" si="267"/>
        <v>0</v>
      </c>
      <c r="LD7" s="12">
        <f t="shared" si="268"/>
        <v>0</v>
      </c>
      <c r="LE7" s="12">
        <f t="shared" si="269"/>
        <v>0</v>
      </c>
      <c r="LF7" s="12">
        <f t="shared" si="270"/>
        <v>0</v>
      </c>
      <c r="LG7" s="12">
        <f t="shared" si="271"/>
        <v>0</v>
      </c>
      <c r="LH7" s="12">
        <f t="shared" si="272"/>
        <v>0</v>
      </c>
      <c r="LI7" s="12">
        <f t="shared" si="273"/>
        <v>0</v>
      </c>
      <c r="LJ7" s="12">
        <f t="shared" si="274"/>
        <v>0</v>
      </c>
      <c r="LK7" s="12">
        <f t="shared" si="275"/>
        <v>0</v>
      </c>
      <c r="LL7" s="12">
        <f t="shared" si="276"/>
        <v>0</v>
      </c>
      <c r="LM7" s="12">
        <f t="shared" si="277"/>
        <v>0</v>
      </c>
      <c r="LN7" s="12">
        <f t="shared" si="278"/>
        <v>0</v>
      </c>
      <c r="LO7" s="12">
        <f t="shared" si="279"/>
        <v>0</v>
      </c>
      <c r="LP7" s="12">
        <f t="shared" si="280"/>
        <v>0</v>
      </c>
      <c r="LQ7" s="12">
        <f t="shared" si="281"/>
        <v>0</v>
      </c>
      <c r="LR7" s="12">
        <f t="shared" si="282"/>
        <v>0</v>
      </c>
      <c r="LS7" s="12">
        <f t="shared" si="283"/>
        <v>0</v>
      </c>
      <c r="LT7" s="13">
        <f t="shared" si="284"/>
        <v>0</v>
      </c>
      <c r="LU7" s="13">
        <f t="shared" si="285"/>
        <v>0</v>
      </c>
      <c r="LV7" s="13">
        <f t="shared" si="286"/>
        <v>0</v>
      </c>
      <c r="LW7" s="13">
        <f t="shared" si="287"/>
        <v>0</v>
      </c>
      <c r="LX7" s="13">
        <f t="shared" si="288"/>
        <v>0</v>
      </c>
      <c r="LY7" s="13">
        <f t="shared" si="289"/>
        <v>0</v>
      </c>
      <c r="LZ7" s="13">
        <f t="shared" si="290"/>
        <v>0</v>
      </c>
      <c r="MA7" s="13">
        <f t="shared" si="291"/>
        <v>0</v>
      </c>
      <c r="MB7" s="13">
        <f t="shared" si="292"/>
        <v>0</v>
      </c>
      <c r="MC7" s="13">
        <f t="shared" si="293"/>
        <v>0</v>
      </c>
      <c r="MD7" s="13">
        <f t="shared" si="294"/>
        <v>0</v>
      </c>
      <c r="ME7" s="13">
        <f t="shared" si="295"/>
        <v>0</v>
      </c>
      <c r="MF7" s="13">
        <f t="shared" si="296"/>
        <v>0</v>
      </c>
      <c r="MG7" s="13">
        <f t="shared" si="297"/>
        <v>0</v>
      </c>
      <c r="MH7" s="13">
        <f t="shared" si="298"/>
        <v>0</v>
      </c>
      <c r="MI7" s="13">
        <f t="shared" si="299"/>
        <v>0</v>
      </c>
      <c r="MJ7" s="13">
        <f t="shared" si="300"/>
        <v>0</v>
      </c>
      <c r="MK7" s="13">
        <f t="shared" si="301"/>
        <v>0</v>
      </c>
      <c r="ML7" s="14">
        <f t="shared" si="302"/>
        <v>0</v>
      </c>
      <c r="MM7" s="14">
        <f t="shared" si="303"/>
        <v>0</v>
      </c>
      <c r="MN7" s="14">
        <f t="shared" si="304"/>
        <v>0</v>
      </c>
      <c r="MO7" s="14">
        <f t="shared" si="305"/>
        <v>0</v>
      </c>
      <c r="MP7" s="14">
        <f t="shared" si="306"/>
        <v>1</v>
      </c>
      <c r="MQ7" s="14">
        <f t="shared" si="307"/>
        <v>0</v>
      </c>
      <c r="MR7" s="14">
        <f t="shared" si="308"/>
        <v>0</v>
      </c>
      <c r="MS7" s="14">
        <f t="shared" si="309"/>
        <v>0</v>
      </c>
      <c r="MT7" s="14">
        <f t="shared" si="310"/>
        <v>0</v>
      </c>
      <c r="MU7" s="14">
        <f t="shared" si="311"/>
        <v>0</v>
      </c>
      <c r="MV7" s="14">
        <f t="shared" si="312"/>
        <v>0</v>
      </c>
      <c r="MW7" s="14">
        <f t="shared" si="313"/>
        <v>0</v>
      </c>
      <c r="MX7" s="14">
        <f t="shared" si="314"/>
        <v>0</v>
      </c>
      <c r="MY7" s="14">
        <f t="shared" si="315"/>
        <v>0</v>
      </c>
      <c r="MZ7" s="14">
        <f t="shared" si="316"/>
        <v>0</v>
      </c>
      <c r="NA7" s="14">
        <f t="shared" si="317"/>
        <v>0</v>
      </c>
      <c r="NB7" s="14">
        <f t="shared" si="318"/>
        <v>0</v>
      </c>
    </row>
    <row r="8">
      <c r="A8" s="2">
        <v>433.0</v>
      </c>
      <c r="B8" s="2" t="s">
        <v>487</v>
      </c>
      <c r="C8" s="2" t="s">
        <v>488</v>
      </c>
      <c r="D8" s="2" t="s">
        <v>489</v>
      </c>
      <c r="E8" s="2">
        <v>2009.0</v>
      </c>
      <c r="F8" s="2" t="s">
        <v>490</v>
      </c>
      <c r="G8" s="2" t="s">
        <v>491</v>
      </c>
      <c r="H8" s="2" t="s">
        <v>492</v>
      </c>
      <c r="J8" s="2" t="s">
        <v>493</v>
      </c>
      <c r="K8" s="2" t="s">
        <v>494</v>
      </c>
      <c r="M8" s="2">
        <v>239.0</v>
      </c>
      <c r="N8" s="2" t="s">
        <v>495</v>
      </c>
      <c r="O8" s="2" t="s">
        <v>496</v>
      </c>
      <c r="P8" s="2" t="s">
        <v>497</v>
      </c>
      <c r="Q8" s="2" t="s">
        <v>498</v>
      </c>
      <c r="R8" s="2" t="s">
        <v>499</v>
      </c>
      <c r="T8" s="2" t="s">
        <v>500</v>
      </c>
      <c r="Y8" s="2" t="s">
        <v>501</v>
      </c>
      <c r="AG8" s="2" t="s">
        <v>502</v>
      </c>
      <c r="AI8" s="2" t="s">
        <v>503</v>
      </c>
      <c r="AJ8" s="2">
        <v>1.911922E7</v>
      </c>
      <c r="AK8" s="2" t="s">
        <v>490</v>
      </c>
      <c r="AL8" s="2" t="s">
        <v>384</v>
      </c>
      <c r="AN8" s="2" t="s">
        <v>386</v>
      </c>
      <c r="AO8" s="2" t="s">
        <v>504</v>
      </c>
      <c r="AP8" s="2" t="s">
        <v>386</v>
      </c>
      <c r="AQ8" s="2">
        <v>1709.0</v>
      </c>
      <c r="AR8" s="2" t="s">
        <v>505</v>
      </c>
      <c r="AS8" s="2" t="b">
        <v>0</v>
      </c>
      <c r="AT8" s="3">
        <v>0.0</v>
      </c>
      <c r="AU8" s="4"/>
      <c r="AV8" s="4"/>
      <c r="AW8" s="5">
        <f t="shared" si="3"/>
        <v>0</v>
      </c>
      <c r="AX8" s="5">
        <f t="shared" si="4"/>
        <v>0</v>
      </c>
      <c r="AY8" s="5">
        <f t="shared" si="5"/>
        <v>0</v>
      </c>
      <c r="AZ8" s="5">
        <f t="shared" si="6"/>
        <v>0</v>
      </c>
      <c r="BA8" s="5">
        <f t="shared" si="7"/>
        <v>0</v>
      </c>
      <c r="BB8" s="5">
        <f t="shared" si="8"/>
        <v>0</v>
      </c>
      <c r="BC8" s="5">
        <f t="shared" si="9"/>
        <v>0</v>
      </c>
      <c r="BD8" s="5">
        <f t="shared" si="10"/>
        <v>0</v>
      </c>
      <c r="BE8" s="5">
        <f t="shared" si="11"/>
        <v>0</v>
      </c>
      <c r="BF8" s="5">
        <f t="shared" si="12"/>
        <v>0</v>
      </c>
      <c r="BG8" s="5">
        <f t="shared" si="13"/>
        <v>0</v>
      </c>
      <c r="BH8" s="5">
        <f t="shared" si="14"/>
        <v>0</v>
      </c>
      <c r="BI8" s="5">
        <f t="shared" si="15"/>
        <v>0</v>
      </c>
      <c r="BJ8" s="5">
        <f t="shared" si="16"/>
        <v>0</v>
      </c>
      <c r="BK8" s="5">
        <f t="shared" si="17"/>
        <v>0</v>
      </c>
      <c r="BL8" s="5">
        <f t="shared" si="18"/>
        <v>0</v>
      </c>
      <c r="BM8" s="5">
        <f t="shared" si="19"/>
        <v>0</v>
      </c>
      <c r="BN8" s="5">
        <f t="shared" si="20"/>
        <v>0</v>
      </c>
      <c r="BO8" s="5">
        <f t="shared" si="21"/>
        <v>0</v>
      </c>
      <c r="BP8" s="5">
        <f t="shared" si="22"/>
        <v>0</v>
      </c>
      <c r="BQ8" s="5">
        <f t="shared" si="23"/>
        <v>0</v>
      </c>
      <c r="BR8" s="5">
        <f t="shared" si="24"/>
        <v>0</v>
      </c>
      <c r="BS8" s="5">
        <f t="shared" si="25"/>
        <v>0</v>
      </c>
      <c r="BT8" s="5">
        <f t="shared" si="26"/>
        <v>0</v>
      </c>
      <c r="BU8" s="5">
        <f t="shared" si="27"/>
        <v>0</v>
      </c>
      <c r="BV8" s="5">
        <f t="shared" ref="BV8:BW8" si="329">IF(OR(ISNUMBER(SEARCH("grit",$D8)),ISNUMBER(SEARCH("grit",$T8)),ISNUMBER(SEARCH("grit",$R8)),ISNUMBER(SEARCH("grit",$S8)),
ISNUMBER(SEARCH("determination",$D8)),ISNUMBER(SEARCH("determination",$T8)),ISNUMBER(SEARCH("determination",$R8)),ISNUMBER(SEARCH("determination",$S8)),
ISNUMBER(SEARCH("tenacity",$D8)),ISNUMBER(SEARCH("tenacity",$T8)),ISNUMBER(SEARCH("tenacity",$R8)),ISNUMBER(SEARCH("tenacity",$S8)),
ISNUMBER(SEARCH("endurance",$D8)),ISNUMBER(SEARCH("endurance",$T8)),ISNUMBER(SEARCH("endurance",$R8)),ISNUMBER(SEARCH("endurance",$S8)),
ISNUMBER(SEARCH("fortitude",$D8)),ISNUMBER(SEARCH("fortitude",$T8)),ISNUMBER(SEARCH("fortitude",$R8)),ISNUMBER(SEARCH("fortitude",$S8)),
ISNUMBER(SEARCH("resolve",$D8)),ISNUMBER(SEARCH("resolve",$T8)),ISNUMBER(SEARCH("resolve",$R8)),ISNUMBER(SEARCH("resolve",$S8)),
ISNUMBER(SEARCH("stamina",$D8)),ISNUMBER(SEARCH("stamina",$T8)),ISNUMBER(SEARCH("stamina",$R8)),ISNUMBER(SEARCH("stamina",$S8)),
ISNUMBER(SEARCH("guts",$D8)),ISNUMBER(SEARCH("guts",$T8)),ISNUMBER(SEARCH("guts",$R8)),ISNUMBER(SEARCH("guts",$S8)),
ISNUMBER(SEARCH("spunk",$D8)),ISNUMBER(SEARCH("spunk",$T8)),ISNUMBER(SEARCH("spunk",$R8)),ISNUMBER(SEARCH("spunk",$S8))), 1, 0)</f>
        <v>0</v>
      </c>
      <c r="BW8" s="5">
        <f t="shared" si="329"/>
        <v>0</v>
      </c>
      <c r="BX8" s="5">
        <f t="shared" si="29"/>
        <v>0</v>
      </c>
      <c r="BY8" s="5">
        <f t="shared" si="30"/>
        <v>0</v>
      </c>
      <c r="BZ8" s="5">
        <f t="shared" si="31"/>
        <v>0</v>
      </c>
      <c r="CA8" s="5">
        <f t="shared" si="32"/>
        <v>0</v>
      </c>
      <c r="CB8" s="5">
        <f t="shared" si="33"/>
        <v>0</v>
      </c>
      <c r="CC8" s="5">
        <f t="shared" si="34"/>
        <v>0</v>
      </c>
      <c r="CD8" s="5">
        <f t="shared" si="35"/>
        <v>0</v>
      </c>
      <c r="CE8" s="5">
        <f t="shared" si="36"/>
        <v>0</v>
      </c>
      <c r="CF8" s="5">
        <f t="shared" si="37"/>
        <v>0</v>
      </c>
      <c r="CG8" s="5">
        <f t="shared" si="38"/>
        <v>0</v>
      </c>
      <c r="CH8" s="5">
        <f t="shared" si="39"/>
        <v>0</v>
      </c>
      <c r="CI8" s="5">
        <f t="shared" si="40"/>
        <v>0</v>
      </c>
      <c r="CJ8" s="5">
        <f t="shared" si="41"/>
        <v>0</v>
      </c>
      <c r="CK8" s="5">
        <f t="shared" si="42"/>
        <v>0</v>
      </c>
      <c r="CL8" s="5">
        <f t="shared" si="43"/>
        <v>0</v>
      </c>
      <c r="CM8" s="5">
        <f t="shared" si="44"/>
        <v>0</v>
      </c>
      <c r="CN8" s="5">
        <f t="shared" si="45"/>
        <v>0</v>
      </c>
      <c r="CO8" s="5">
        <f t="shared" si="46"/>
        <v>0</v>
      </c>
      <c r="CP8" s="6">
        <f t="shared" si="47"/>
        <v>0</v>
      </c>
      <c r="CQ8" s="6">
        <f t="shared" si="48"/>
        <v>0</v>
      </c>
      <c r="CR8" s="6">
        <f t="shared" si="49"/>
        <v>0</v>
      </c>
      <c r="CS8" s="6">
        <f t="shared" si="50"/>
        <v>0</v>
      </c>
      <c r="CT8" s="6">
        <f t="shared" si="51"/>
        <v>0</v>
      </c>
      <c r="CU8" s="6">
        <f t="shared" si="52"/>
        <v>0</v>
      </c>
      <c r="CV8" s="6">
        <f t="shared" si="53"/>
        <v>0</v>
      </c>
      <c r="CW8" s="6">
        <f t="shared" si="54"/>
        <v>0</v>
      </c>
      <c r="CX8" s="6">
        <f t="shared" si="55"/>
        <v>0</v>
      </c>
      <c r="CY8" s="6">
        <f t="shared" si="56"/>
        <v>0</v>
      </c>
      <c r="CZ8" s="6">
        <f t="shared" si="57"/>
        <v>0</v>
      </c>
      <c r="DA8" s="6">
        <f t="shared" si="58"/>
        <v>0</v>
      </c>
      <c r="DB8" s="6">
        <f t="shared" si="59"/>
        <v>0</v>
      </c>
      <c r="DC8" s="6">
        <f t="shared" si="60"/>
        <v>0</v>
      </c>
      <c r="DD8" s="6">
        <f t="shared" si="61"/>
        <v>0</v>
      </c>
      <c r="DE8" s="6">
        <f t="shared" si="62"/>
        <v>0</v>
      </c>
      <c r="DF8" s="6">
        <f t="shared" si="63"/>
        <v>0</v>
      </c>
      <c r="DG8" s="6">
        <f t="shared" si="64"/>
        <v>0</v>
      </c>
      <c r="DH8" s="6">
        <f t="shared" si="322"/>
        <v>0</v>
      </c>
      <c r="DI8" s="6">
        <f t="shared" si="66"/>
        <v>0</v>
      </c>
      <c r="DJ8" s="6">
        <f t="shared" si="67"/>
        <v>0</v>
      </c>
      <c r="DK8" s="7">
        <f t="shared" si="68"/>
        <v>0</v>
      </c>
      <c r="DL8" s="7">
        <f t="shared" si="323"/>
        <v>0</v>
      </c>
      <c r="DM8" s="7">
        <f t="shared" si="70"/>
        <v>0</v>
      </c>
      <c r="DN8" s="7">
        <f t="shared" si="71"/>
        <v>0</v>
      </c>
      <c r="DO8" s="7">
        <f t="shared" si="72"/>
        <v>0</v>
      </c>
      <c r="DP8" s="8">
        <f t="shared" si="73"/>
        <v>0</v>
      </c>
      <c r="DQ8" s="8">
        <f t="shared" si="74"/>
        <v>1</v>
      </c>
      <c r="DR8" s="7">
        <f t="shared" si="75"/>
        <v>0</v>
      </c>
      <c r="DS8" s="7">
        <f t="shared" si="76"/>
        <v>0</v>
      </c>
      <c r="DT8" s="7">
        <f t="shared" si="77"/>
        <v>0</v>
      </c>
      <c r="DU8" s="9">
        <f t="shared" si="78"/>
        <v>0</v>
      </c>
      <c r="DV8" s="9">
        <f t="shared" si="79"/>
        <v>0</v>
      </c>
      <c r="DW8" s="9">
        <f t="shared" si="80"/>
        <v>0</v>
      </c>
      <c r="DX8" s="9">
        <f t="shared" si="81"/>
        <v>0</v>
      </c>
      <c r="DY8" s="9">
        <f t="shared" si="82"/>
        <v>0</v>
      </c>
      <c r="DZ8" s="9">
        <f t="shared" si="83"/>
        <v>0</v>
      </c>
      <c r="EA8" s="9">
        <f t="shared" si="84"/>
        <v>0</v>
      </c>
      <c r="EB8" s="9">
        <f t="shared" si="85"/>
        <v>0</v>
      </c>
      <c r="EC8" s="9">
        <f t="shared" si="86"/>
        <v>0</v>
      </c>
      <c r="ED8" s="9">
        <f t="shared" si="87"/>
        <v>0</v>
      </c>
      <c r="EE8" s="9">
        <f t="shared" si="88"/>
        <v>0</v>
      </c>
      <c r="EF8" s="9">
        <f t="shared" si="89"/>
        <v>0</v>
      </c>
      <c r="EG8" s="9">
        <f t="shared" si="90"/>
        <v>0</v>
      </c>
      <c r="EH8" s="9">
        <f t="shared" si="91"/>
        <v>0</v>
      </c>
      <c r="EI8" s="9">
        <f t="shared" si="92"/>
        <v>0</v>
      </c>
      <c r="EJ8" s="10">
        <f t="shared" si="93"/>
        <v>0</v>
      </c>
      <c r="EK8" s="10">
        <f t="shared" si="94"/>
        <v>0</v>
      </c>
      <c r="EL8" s="10">
        <f t="shared" ref="EL8:EM8" si="330">IF(OR(ISNUMBER(SEARCH("ai software toolkit", $D8)), ISNUMBER(SEARCH("ai software toolkit", $T8)), ISNUMBER(SEARCH("ai software toolkit", $R8)), ISNUMBER(SEARCH("ai software toolkit", $S8))), 1, 0)</f>
        <v>0</v>
      </c>
      <c r="EM8" s="10">
        <f t="shared" si="330"/>
        <v>0</v>
      </c>
      <c r="EN8" s="10">
        <f t="shared" si="96"/>
        <v>0</v>
      </c>
      <c r="EO8" s="10">
        <f t="shared" si="97"/>
        <v>0</v>
      </c>
      <c r="EP8" s="10">
        <f t="shared" si="98"/>
        <v>0</v>
      </c>
      <c r="EQ8" s="10">
        <f t="shared" si="99"/>
        <v>0</v>
      </c>
      <c r="ER8" s="10">
        <f t="shared" si="100"/>
        <v>0</v>
      </c>
      <c r="ES8" s="10">
        <f t="shared" si="101"/>
        <v>0</v>
      </c>
      <c r="ET8" s="10">
        <f t="shared" si="102"/>
        <v>0</v>
      </c>
      <c r="EU8" s="10">
        <f t="shared" si="103"/>
        <v>0</v>
      </c>
      <c r="EV8" s="10">
        <f t="shared" si="104"/>
        <v>0</v>
      </c>
      <c r="EW8" s="10">
        <f t="shared" si="105"/>
        <v>0</v>
      </c>
      <c r="EX8" s="10">
        <f t="shared" si="106"/>
        <v>0</v>
      </c>
      <c r="EY8" s="10">
        <f t="shared" si="107"/>
        <v>0</v>
      </c>
      <c r="EZ8" s="10">
        <f t="shared" si="108"/>
        <v>0</v>
      </c>
      <c r="FA8" s="10">
        <f t="shared" si="109"/>
        <v>0</v>
      </c>
      <c r="FB8" s="10">
        <f t="shared" si="110"/>
        <v>0</v>
      </c>
      <c r="FC8" s="10">
        <f t="shared" si="111"/>
        <v>0</v>
      </c>
      <c r="FD8" s="10">
        <f t="shared" si="112"/>
        <v>0</v>
      </c>
      <c r="FE8" s="10">
        <f t="shared" si="113"/>
        <v>0</v>
      </c>
      <c r="FF8" s="10">
        <f t="shared" si="114"/>
        <v>0</v>
      </c>
      <c r="FG8" s="10">
        <f t="shared" si="115"/>
        <v>0</v>
      </c>
      <c r="FH8" s="10">
        <f t="shared" si="116"/>
        <v>0</v>
      </c>
      <c r="FI8" s="10">
        <f t="shared" si="117"/>
        <v>0</v>
      </c>
      <c r="FJ8" s="10">
        <f t="shared" si="118"/>
        <v>0</v>
      </c>
      <c r="FK8" s="10">
        <f t="shared" si="119"/>
        <v>0</v>
      </c>
      <c r="FL8" s="10">
        <f t="shared" si="120"/>
        <v>0</v>
      </c>
      <c r="FM8" s="10">
        <f t="shared" si="121"/>
        <v>0</v>
      </c>
      <c r="FN8" s="10">
        <f t="shared" si="122"/>
        <v>0</v>
      </c>
      <c r="FO8" s="10">
        <f t="shared" si="123"/>
        <v>0</v>
      </c>
      <c r="FP8" s="10">
        <f t="shared" si="124"/>
        <v>0</v>
      </c>
      <c r="FQ8" s="10">
        <f t="shared" si="125"/>
        <v>0</v>
      </c>
      <c r="FR8" s="11">
        <f t="shared" si="126"/>
        <v>0</v>
      </c>
      <c r="FS8" s="11">
        <f t="shared" si="127"/>
        <v>0</v>
      </c>
      <c r="FT8" s="11">
        <f t="shared" si="128"/>
        <v>0</v>
      </c>
      <c r="FU8" s="11">
        <f t="shared" si="129"/>
        <v>0</v>
      </c>
      <c r="FV8" s="11">
        <f t="shared" si="130"/>
        <v>0</v>
      </c>
      <c r="FW8" s="11">
        <f t="shared" si="131"/>
        <v>0</v>
      </c>
      <c r="FX8" s="11">
        <f t="shared" si="132"/>
        <v>0</v>
      </c>
      <c r="FY8" s="11">
        <f t="shared" si="133"/>
        <v>0</v>
      </c>
      <c r="FZ8" s="11">
        <f t="shared" si="134"/>
        <v>0</v>
      </c>
      <c r="GA8" s="11">
        <f t="shared" si="135"/>
        <v>0</v>
      </c>
      <c r="GB8" s="11">
        <f t="shared" si="136"/>
        <v>0</v>
      </c>
      <c r="GC8" s="11">
        <f t="shared" si="137"/>
        <v>0</v>
      </c>
      <c r="GD8" s="11">
        <f t="shared" si="138"/>
        <v>0</v>
      </c>
      <c r="GE8" s="11">
        <f t="shared" si="139"/>
        <v>0</v>
      </c>
      <c r="GF8" s="11">
        <f t="shared" si="140"/>
        <v>0</v>
      </c>
      <c r="GG8" s="11">
        <f t="shared" si="141"/>
        <v>0</v>
      </c>
      <c r="GH8" s="11">
        <f t="shared" si="142"/>
        <v>0</v>
      </c>
      <c r="GI8" s="11">
        <f t="shared" si="143"/>
        <v>0</v>
      </c>
      <c r="GJ8" s="11">
        <f t="shared" si="144"/>
        <v>0</v>
      </c>
      <c r="GK8" s="11">
        <f t="shared" si="145"/>
        <v>0</v>
      </c>
      <c r="GL8" s="11">
        <f t="shared" si="146"/>
        <v>0</v>
      </c>
      <c r="GM8" s="11">
        <f t="shared" si="147"/>
        <v>0</v>
      </c>
      <c r="GN8" s="11">
        <f t="shared" si="148"/>
        <v>0</v>
      </c>
      <c r="GO8" s="11">
        <f t="shared" si="149"/>
        <v>0</v>
      </c>
      <c r="GP8" s="11">
        <f t="shared" si="150"/>
        <v>0</v>
      </c>
      <c r="GQ8" s="11">
        <f t="shared" si="151"/>
        <v>0</v>
      </c>
      <c r="GR8" s="11">
        <f t="shared" si="152"/>
        <v>0</v>
      </c>
      <c r="GS8" s="11">
        <f t="shared" si="153"/>
        <v>0</v>
      </c>
      <c r="GT8" s="11">
        <f t="shared" si="154"/>
        <v>0</v>
      </c>
      <c r="GU8" s="12">
        <f t="shared" si="155"/>
        <v>0</v>
      </c>
      <c r="GV8" s="12">
        <f t="shared" si="156"/>
        <v>0</v>
      </c>
      <c r="GW8" s="12">
        <f t="shared" si="157"/>
        <v>0</v>
      </c>
      <c r="GX8" s="12">
        <f t="shared" si="158"/>
        <v>0</v>
      </c>
      <c r="GY8" s="12">
        <f t="shared" si="159"/>
        <v>0</v>
      </c>
      <c r="GZ8" s="12">
        <f t="shared" si="160"/>
        <v>0</v>
      </c>
      <c r="HA8" s="12">
        <f t="shared" si="161"/>
        <v>0</v>
      </c>
      <c r="HB8" s="12">
        <f t="shared" si="162"/>
        <v>0</v>
      </c>
      <c r="HC8" s="12">
        <f t="shared" si="163"/>
        <v>0</v>
      </c>
      <c r="HD8" s="12">
        <f t="shared" si="164"/>
        <v>0</v>
      </c>
      <c r="HE8" s="12">
        <f t="shared" si="165"/>
        <v>0</v>
      </c>
      <c r="HF8" s="12">
        <f t="shared" si="166"/>
        <v>0</v>
      </c>
      <c r="HG8" s="12">
        <f t="shared" si="167"/>
        <v>0</v>
      </c>
      <c r="HH8" s="12">
        <f t="shared" si="168"/>
        <v>0</v>
      </c>
      <c r="HI8" s="12">
        <f t="shared" si="169"/>
        <v>0</v>
      </c>
      <c r="HJ8" s="12">
        <f t="shared" si="170"/>
        <v>0</v>
      </c>
      <c r="HK8" s="12">
        <f t="shared" si="171"/>
        <v>0</v>
      </c>
      <c r="HL8" s="12">
        <f t="shared" si="172"/>
        <v>0</v>
      </c>
      <c r="HM8" s="12">
        <f t="shared" si="173"/>
        <v>0</v>
      </c>
      <c r="HN8" s="12">
        <f t="shared" si="174"/>
        <v>0</v>
      </c>
      <c r="HO8" s="12">
        <f t="shared" si="175"/>
        <v>0</v>
      </c>
      <c r="HP8" s="12">
        <f t="shared" si="176"/>
        <v>0</v>
      </c>
      <c r="HQ8" s="12">
        <f t="shared" si="177"/>
        <v>0</v>
      </c>
      <c r="HR8" s="12">
        <f t="shared" si="178"/>
        <v>0</v>
      </c>
      <c r="HS8" s="12">
        <f t="shared" si="179"/>
        <v>0</v>
      </c>
      <c r="HT8" s="12">
        <f t="shared" si="180"/>
        <v>0</v>
      </c>
      <c r="HU8" s="12">
        <f t="shared" si="181"/>
        <v>0</v>
      </c>
      <c r="HV8" s="12">
        <f t="shared" si="182"/>
        <v>0</v>
      </c>
      <c r="HW8" s="12">
        <f t="shared" si="183"/>
        <v>0</v>
      </c>
      <c r="HX8" s="12">
        <f t="shared" si="184"/>
        <v>0</v>
      </c>
      <c r="HY8" s="12">
        <f t="shared" si="185"/>
        <v>0</v>
      </c>
      <c r="HZ8" s="12">
        <f t="shared" si="186"/>
        <v>0</v>
      </c>
      <c r="IA8" s="12">
        <f t="shared" si="187"/>
        <v>0</v>
      </c>
      <c r="IB8" s="12">
        <f t="shared" si="188"/>
        <v>0</v>
      </c>
      <c r="IC8" s="12">
        <f t="shared" si="189"/>
        <v>0</v>
      </c>
      <c r="ID8" s="12">
        <f t="shared" si="190"/>
        <v>0</v>
      </c>
      <c r="IE8" s="12">
        <f t="shared" si="191"/>
        <v>0</v>
      </c>
      <c r="IF8" s="12">
        <f t="shared" si="192"/>
        <v>0</v>
      </c>
      <c r="IG8" s="12">
        <f t="shared" si="193"/>
        <v>0</v>
      </c>
      <c r="IH8" s="12">
        <f t="shared" si="194"/>
        <v>0</v>
      </c>
      <c r="II8" s="12">
        <f t="shared" si="195"/>
        <v>0</v>
      </c>
      <c r="IJ8" s="12">
        <f t="shared" si="196"/>
        <v>0</v>
      </c>
      <c r="IK8" s="12">
        <f t="shared" si="197"/>
        <v>0</v>
      </c>
      <c r="IL8" s="12">
        <f t="shared" si="198"/>
        <v>0</v>
      </c>
      <c r="IM8" s="12">
        <f t="shared" si="199"/>
        <v>0</v>
      </c>
      <c r="IN8" s="12">
        <f t="shared" si="200"/>
        <v>0</v>
      </c>
      <c r="IO8" s="12">
        <f t="shared" si="201"/>
        <v>0</v>
      </c>
      <c r="IP8" s="12">
        <f t="shared" si="202"/>
        <v>0</v>
      </c>
      <c r="IQ8" s="12">
        <f t="shared" si="203"/>
        <v>0</v>
      </c>
      <c r="IR8" s="12">
        <f t="shared" si="204"/>
        <v>0</v>
      </c>
      <c r="IS8" s="12">
        <f t="shared" si="205"/>
        <v>0</v>
      </c>
      <c r="IT8" s="12">
        <f t="shared" si="206"/>
        <v>0</v>
      </c>
      <c r="IU8" s="12">
        <f t="shared" si="207"/>
        <v>0</v>
      </c>
      <c r="IV8" s="12">
        <f t="shared" si="208"/>
        <v>0</v>
      </c>
      <c r="IW8" s="12">
        <f t="shared" si="209"/>
        <v>0</v>
      </c>
      <c r="IX8" s="12">
        <f t="shared" si="210"/>
        <v>0</v>
      </c>
      <c r="IY8" s="12">
        <f t="shared" si="211"/>
        <v>0</v>
      </c>
      <c r="IZ8" s="12">
        <f t="shared" si="212"/>
        <v>0</v>
      </c>
      <c r="JA8" s="13">
        <f t="shared" si="213"/>
        <v>0</v>
      </c>
      <c r="JB8" s="13">
        <f t="shared" si="214"/>
        <v>0</v>
      </c>
      <c r="JC8" s="13">
        <f t="shared" si="215"/>
        <v>0</v>
      </c>
      <c r="JD8" s="13">
        <f t="shared" si="216"/>
        <v>0</v>
      </c>
      <c r="JE8" s="13">
        <f t="shared" si="217"/>
        <v>0</v>
      </c>
      <c r="JF8" s="13">
        <f t="shared" si="218"/>
        <v>0</v>
      </c>
      <c r="JG8" s="13">
        <f t="shared" si="219"/>
        <v>0</v>
      </c>
      <c r="JH8" s="13">
        <f t="shared" si="220"/>
        <v>0</v>
      </c>
      <c r="JI8" s="13">
        <f t="shared" si="221"/>
        <v>0</v>
      </c>
      <c r="JJ8" s="13">
        <f t="shared" si="222"/>
        <v>0</v>
      </c>
      <c r="JK8" s="13">
        <f t="shared" si="223"/>
        <v>0</v>
      </c>
      <c r="JL8" s="13">
        <f t="shared" si="224"/>
        <v>0</v>
      </c>
      <c r="JM8" s="13">
        <f t="shared" si="225"/>
        <v>0</v>
      </c>
      <c r="JN8" s="13">
        <f t="shared" si="226"/>
        <v>0</v>
      </c>
      <c r="JO8" s="13">
        <f t="shared" si="227"/>
        <v>0</v>
      </c>
      <c r="JP8" s="13">
        <f t="shared" si="228"/>
        <v>0</v>
      </c>
      <c r="JQ8" s="13">
        <f t="shared" si="229"/>
        <v>0</v>
      </c>
      <c r="JR8" s="13">
        <f t="shared" si="230"/>
        <v>0</v>
      </c>
      <c r="JS8" s="13">
        <f t="shared" si="231"/>
        <v>0</v>
      </c>
      <c r="JT8" s="13">
        <f t="shared" si="232"/>
        <v>0</v>
      </c>
      <c r="JU8" s="13">
        <f t="shared" si="233"/>
        <v>0</v>
      </c>
      <c r="JV8" s="12">
        <f t="shared" si="234"/>
        <v>0</v>
      </c>
      <c r="JW8" s="12">
        <f t="shared" si="235"/>
        <v>0</v>
      </c>
      <c r="JX8" s="12">
        <f t="shared" si="236"/>
        <v>0</v>
      </c>
      <c r="JY8" s="12">
        <f t="shared" si="237"/>
        <v>0</v>
      </c>
      <c r="JZ8" s="12">
        <f t="shared" si="238"/>
        <v>0</v>
      </c>
      <c r="KA8" s="12">
        <f t="shared" si="239"/>
        <v>0</v>
      </c>
      <c r="KB8" s="12">
        <f t="shared" si="240"/>
        <v>0</v>
      </c>
      <c r="KC8" s="12">
        <f t="shared" si="241"/>
        <v>0</v>
      </c>
      <c r="KD8" s="12">
        <f t="shared" si="242"/>
        <v>0</v>
      </c>
      <c r="KE8" s="12">
        <f t="shared" si="243"/>
        <v>0</v>
      </c>
      <c r="KF8" s="12">
        <f t="shared" si="244"/>
        <v>0</v>
      </c>
      <c r="KG8" s="12">
        <f t="shared" si="245"/>
        <v>0</v>
      </c>
      <c r="KH8" s="12">
        <f t="shared" si="246"/>
        <v>0</v>
      </c>
      <c r="KI8" s="12">
        <f t="shared" si="247"/>
        <v>0</v>
      </c>
      <c r="KJ8" s="12">
        <f t="shared" si="248"/>
        <v>0</v>
      </c>
      <c r="KK8" s="12">
        <f t="shared" si="249"/>
        <v>0</v>
      </c>
      <c r="KL8" s="12">
        <f t="shared" si="250"/>
        <v>0</v>
      </c>
      <c r="KM8" s="12">
        <f t="shared" si="251"/>
        <v>0</v>
      </c>
      <c r="KN8" s="12">
        <f t="shared" si="252"/>
        <v>0</v>
      </c>
      <c r="KO8" s="12">
        <f t="shared" si="253"/>
        <v>0</v>
      </c>
      <c r="KP8" s="12">
        <f t="shared" si="254"/>
        <v>0</v>
      </c>
      <c r="KQ8" s="12">
        <f t="shared" si="255"/>
        <v>0</v>
      </c>
      <c r="KR8" s="12">
        <f t="shared" si="256"/>
        <v>0</v>
      </c>
      <c r="KS8" s="12">
        <f t="shared" si="257"/>
        <v>0</v>
      </c>
      <c r="KT8" s="12">
        <f t="shared" si="258"/>
        <v>0</v>
      </c>
      <c r="KU8" s="12">
        <f t="shared" si="259"/>
        <v>0</v>
      </c>
      <c r="KV8" s="12">
        <f t="shared" si="260"/>
        <v>0</v>
      </c>
      <c r="KW8" s="12">
        <f t="shared" si="261"/>
        <v>0</v>
      </c>
      <c r="KX8" s="12">
        <f t="shared" si="262"/>
        <v>0</v>
      </c>
      <c r="KY8" s="12">
        <f t="shared" si="263"/>
        <v>0</v>
      </c>
      <c r="KZ8" s="12">
        <f t="shared" si="264"/>
        <v>0</v>
      </c>
      <c r="LA8" s="12">
        <f t="shared" si="265"/>
        <v>0</v>
      </c>
      <c r="LB8" s="12">
        <f t="shared" si="266"/>
        <v>0</v>
      </c>
      <c r="LC8" s="12">
        <f t="shared" si="267"/>
        <v>0</v>
      </c>
      <c r="LD8" s="12">
        <f t="shared" si="268"/>
        <v>0</v>
      </c>
      <c r="LE8" s="12">
        <f t="shared" si="269"/>
        <v>0</v>
      </c>
      <c r="LF8" s="12">
        <f t="shared" si="270"/>
        <v>0</v>
      </c>
      <c r="LG8" s="12">
        <f t="shared" si="271"/>
        <v>0</v>
      </c>
      <c r="LH8" s="12">
        <f t="shared" si="272"/>
        <v>0</v>
      </c>
      <c r="LI8" s="12">
        <f t="shared" si="273"/>
        <v>0</v>
      </c>
      <c r="LJ8" s="12">
        <f t="shared" si="274"/>
        <v>0</v>
      </c>
      <c r="LK8" s="12">
        <f t="shared" si="275"/>
        <v>0</v>
      </c>
      <c r="LL8" s="12">
        <f t="shared" si="276"/>
        <v>0</v>
      </c>
      <c r="LM8" s="12">
        <f t="shared" si="277"/>
        <v>0</v>
      </c>
      <c r="LN8" s="12">
        <f t="shared" si="278"/>
        <v>0</v>
      </c>
      <c r="LO8" s="12">
        <f t="shared" si="279"/>
        <v>0</v>
      </c>
      <c r="LP8" s="12">
        <f t="shared" si="280"/>
        <v>0</v>
      </c>
      <c r="LQ8" s="12">
        <f t="shared" si="281"/>
        <v>0</v>
      </c>
      <c r="LR8" s="12">
        <f t="shared" si="282"/>
        <v>0</v>
      </c>
      <c r="LS8" s="12">
        <f t="shared" si="283"/>
        <v>0</v>
      </c>
      <c r="LT8" s="13">
        <f t="shared" si="284"/>
        <v>0</v>
      </c>
      <c r="LU8" s="13">
        <f t="shared" si="285"/>
        <v>0</v>
      </c>
      <c r="LV8" s="13">
        <f t="shared" si="286"/>
        <v>0</v>
      </c>
      <c r="LW8" s="13">
        <f t="shared" si="287"/>
        <v>1</v>
      </c>
      <c r="LX8" s="13">
        <f t="shared" si="288"/>
        <v>0</v>
      </c>
      <c r="LY8" s="13">
        <f t="shared" si="289"/>
        <v>0</v>
      </c>
      <c r="LZ8" s="13">
        <f t="shared" si="290"/>
        <v>0</v>
      </c>
      <c r="MA8" s="13">
        <f t="shared" si="291"/>
        <v>0</v>
      </c>
      <c r="MB8" s="13">
        <f t="shared" si="292"/>
        <v>0</v>
      </c>
      <c r="MC8" s="13">
        <f t="shared" si="293"/>
        <v>0</v>
      </c>
      <c r="MD8" s="13">
        <f t="shared" si="294"/>
        <v>0</v>
      </c>
      <c r="ME8" s="13">
        <f t="shared" si="295"/>
        <v>0</v>
      </c>
      <c r="MF8" s="13">
        <f t="shared" si="296"/>
        <v>0</v>
      </c>
      <c r="MG8" s="13">
        <f t="shared" si="297"/>
        <v>0</v>
      </c>
      <c r="MH8" s="13">
        <f t="shared" si="298"/>
        <v>0</v>
      </c>
      <c r="MI8" s="13">
        <f t="shared" si="299"/>
        <v>0</v>
      </c>
      <c r="MJ8" s="13">
        <f t="shared" si="300"/>
        <v>0</v>
      </c>
      <c r="MK8" s="13">
        <f t="shared" si="301"/>
        <v>0</v>
      </c>
      <c r="ML8" s="14">
        <f t="shared" si="302"/>
        <v>0</v>
      </c>
      <c r="MM8" s="14">
        <f t="shared" si="303"/>
        <v>0</v>
      </c>
      <c r="MN8" s="14">
        <f t="shared" si="304"/>
        <v>0</v>
      </c>
      <c r="MO8" s="14">
        <f t="shared" si="305"/>
        <v>0</v>
      </c>
      <c r="MP8" s="14">
        <f t="shared" si="306"/>
        <v>0</v>
      </c>
      <c r="MQ8" s="14">
        <f t="shared" si="307"/>
        <v>0</v>
      </c>
      <c r="MR8" s="14">
        <f t="shared" si="308"/>
        <v>0</v>
      </c>
      <c r="MS8" s="14">
        <f t="shared" si="309"/>
        <v>0</v>
      </c>
      <c r="MT8" s="14">
        <f t="shared" si="310"/>
        <v>0</v>
      </c>
      <c r="MU8" s="14">
        <f t="shared" si="311"/>
        <v>0</v>
      </c>
      <c r="MV8" s="14">
        <f t="shared" si="312"/>
        <v>0</v>
      </c>
      <c r="MW8" s="14">
        <f t="shared" si="313"/>
        <v>0</v>
      </c>
      <c r="MX8" s="14">
        <f t="shared" si="314"/>
        <v>0</v>
      </c>
      <c r="MY8" s="14">
        <f t="shared" si="315"/>
        <v>0</v>
      </c>
      <c r="MZ8" s="14">
        <f t="shared" si="316"/>
        <v>0</v>
      </c>
      <c r="NA8" s="14">
        <f t="shared" si="317"/>
        <v>0</v>
      </c>
      <c r="NB8" s="14">
        <f t="shared" si="318"/>
        <v>0</v>
      </c>
    </row>
    <row r="9">
      <c r="A9" s="2">
        <v>417.0</v>
      </c>
      <c r="B9" s="2" t="s">
        <v>506</v>
      </c>
      <c r="C9" s="2" t="s">
        <v>507</v>
      </c>
      <c r="D9" s="2" t="s">
        <v>508</v>
      </c>
      <c r="E9" s="2">
        <v>2013.0</v>
      </c>
      <c r="F9" s="2" t="s">
        <v>509</v>
      </c>
      <c r="G9" s="2" t="s">
        <v>510</v>
      </c>
      <c r="H9" s="2" t="s">
        <v>432</v>
      </c>
      <c r="J9" s="2" t="s">
        <v>511</v>
      </c>
      <c r="K9" s="2" t="s">
        <v>512</v>
      </c>
      <c r="M9" s="2">
        <v>203.0</v>
      </c>
      <c r="N9" s="2" t="s">
        <v>513</v>
      </c>
      <c r="O9" s="2" t="s">
        <v>514</v>
      </c>
      <c r="P9" s="2" t="s">
        <v>515</v>
      </c>
      <c r="Q9" s="2" t="s">
        <v>516</v>
      </c>
      <c r="R9" s="2" t="s">
        <v>517</v>
      </c>
      <c r="S9" s="2" t="s">
        <v>518</v>
      </c>
      <c r="T9" s="2" t="s">
        <v>519</v>
      </c>
      <c r="Y9" s="2" t="s">
        <v>520</v>
      </c>
      <c r="AG9" s="2" t="s">
        <v>521</v>
      </c>
      <c r="AK9" s="2" t="s">
        <v>509</v>
      </c>
      <c r="AL9" s="2" t="s">
        <v>384</v>
      </c>
      <c r="AN9" s="2" t="s">
        <v>386</v>
      </c>
      <c r="AO9" s="2" t="s">
        <v>522</v>
      </c>
      <c r="AP9" s="2" t="s">
        <v>386</v>
      </c>
      <c r="AQ9" s="2">
        <v>1635.0</v>
      </c>
      <c r="AR9" s="2" t="s">
        <v>523</v>
      </c>
      <c r="AS9" s="2" t="b">
        <v>0</v>
      </c>
      <c r="AT9" s="3">
        <v>0.0</v>
      </c>
      <c r="AU9" s="4">
        <v>1.0</v>
      </c>
      <c r="AV9" s="4"/>
      <c r="AW9" s="5">
        <f t="shared" si="3"/>
        <v>0</v>
      </c>
      <c r="AX9" s="5">
        <f t="shared" si="4"/>
        <v>0</v>
      </c>
      <c r="AY9" s="5">
        <f t="shared" si="5"/>
        <v>0</v>
      </c>
      <c r="AZ9" s="5">
        <f t="shared" si="6"/>
        <v>0</v>
      </c>
      <c r="BA9" s="5">
        <f t="shared" si="7"/>
        <v>0</v>
      </c>
      <c r="BB9" s="5">
        <f t="shared" si="8"/>
        <v>0</v>
      </c>
      <c r="BC9" s="5">
        <f t="shared" si="9"/>
        <v>0</v>
      </c>
      <c r="BD9" s="5">
        <f t="shared" si="10"/>
        <v>0</v>
      </c>
      <c r="BE9" s="5">
        <f t="shared" si="11"/>
        <v>0</v>
      </c>
      <c r="BF9" s="5">
        <f t="shared" si="12"/>
        <v>0</v>
      </c>
      <c r="BG9" s="5">
        <f t="shared" si="13"/>
        <v>0</v>
      </c>
      <c r="BH9" s="5">
        <f t="shared" si="14"/>
        <v>0</v>
      </c>
      <c r="BI9" s="5">
        <f t="shared" si="15"/>
        <v>0</v>
      </c>
      <c r="BJ9" s="5">
        <f t="shared" si="16"/>
        <v>0</v>
      </c>
      <c r="BK9" s="5">
        <f t="shared" si="17"/>
        <v>0</v>
      </c>
      <c r="BL9" s="5">
        <f t="shared" si="18"/>
        <v>0</v>
      </c>
      <c r="BM9" s="5">
        <f t="shared" si="19"/>
        <v>0</v>
      </c>
      <c r="BN9" s="5">
        <f t="shared" si="20"/>
        <v>0</v>
      </c>
      <c r="BO9" s="5">
        <f t="shared" si="21"/>
        <v>0</v>
      </c>
      <c r="BP9" s="5">
        <f t="shared" si="22"/>
        <v>0</v>
      </c>
      <c r="BQ9" s="5">
        <f t="shared" si="23"/>
        <v>0</v>
      </c>
      <c r="BR9" s="5">
        <f t="shared" si="24"/>
        <v>0</v>
      </c>
      <c r="BS9" s="5">
        <f t="shared" si="25"/>
        <v>0</v>
      </c>
      <c r="BT9" s="5">
        <f t="shared" si="26"/>
        <v>0</v>
      </c>
      <c r="BU9" s="5">
        <f t="shared" si="27"/>
        <v>0</v>
      </c>
      <c r="BV9" s="5">
        <f t="shared" ref="BV9:BW9" si="331">IF(OR(ISNUMBER(SEARCH("grit",$D9)),ISNUMBER(SEARCH("grit",$T9)),ISNUMBER(SEARCH("grit",$R9)),ISNUMBER(SEARCH("grit",$S9)),
ISNUMBER(SEARCH("determination",$D9)),ISNUMBER(SEARCH("determination",$T9)),ISNUMBER(SEARCH("determination",$R9)),ISNUMBER(SEARCH("determination",$S9)),
ISNUMBER(SEARCH("tenacity",$D9)),ISNUMBER(SEARCH("tenacity",$T9)),ISNUMBER(SEARCH("tenacity",$R9)),ISNUMBER(SEARCH("tenacity",$S9)),
ISNUMBER(SEARCH("endurance",$D9)),ISNUMBER(SEARCH("endurance",$T9)),ISNUMBER(SEARCH("endurance",$R9)),ISNUMBER(SEARCH("endurance",$S9)),
ISNUMBER(SEARCH("fortitude",$D9)),ISNUMBER(SEARCH("fortitude",$T9)),ISNUMBER(SEARCH("fortitude",$R9)),ISNUMBER(SEARCH("fortitude",$S9)),
ISNUMBER(SEARCH("resolve",$D9)),ISNUMBER(SEARCH("resolve",$T9)),ISNUMBER(SEARCH("resolve",$R9)),ISNUMBER(SEARCH("resolve",$S9)),
ISNUMBER(SEARCH("stamina",$D9)),ISNUMBER(SEARCH("stamina",$T9)),ISNUMBER(SEARCH("stamina",$R9)),ISNUMBER(SEARCH("stamina",$S9)),
ISNUMBER(SEARCH("guts",$D9)),ISNUMBER(SEARCH("guts",$T9)),ISNUMBER(SEARCH("guts",$R9)),ISNUMBER(SEARCH("guts",$S9)),
ISNUMBER(SEARCH("spunk",$D9)),ISNUMBER(SEARCH("spunk",$T9)),ISNUMBER(SEARCH("spunk",$R9)),ISNUMBER(SEARCH("spunk",$S9))), 1, 0)</f>
        <v>0</v>
      </c>
      <c r="BW9" s="5">
        <f t="shared" si="331"/>
        <v>0</v>
      </c>
      <c r="BX9" s="5">
        <f t="shared" si="29"/>
        <v>0</v>
      </c>
      <c r="BY9" s="5">
        <f t="shared" si="30"/>
        <v>0</v>
      </c>
      <c r="BZ9" s="5">
        <f t="shared" si="31"/>
        <v>0</v>
      </c>
      <c r="CA9" s="5">
        <f t="shared" si="32"/>
        <v>0</v>
      </c>
      <c r="CB9" s="5">
        <f t="shared" si="33"/>
        <v>0</v>
      </c>
      <c r="CC9" s="5">
        <f t="shared" si="34"/>
        <v>0</v>
      </c>
      <c r="CD9" s="5">
        <f t="shared" si="35"/>
        <v>0</v>
      </c>
      <c r="CE9" s="5">
        <f t="shared" si="36"/>
        <v>0</v>
      </c>
      <c r="CF9" s="5">
        <f t="shared" si="37"/>
        <v>0</v>
      </c>
      <c r="CG9" s="5">
        <f t="shared" si="38"/>
        <v>0</v>
      </c>
      <c r="CH9" s="5">
        <f t="shared" si="39"/>
        <v>0</v>
      </c>
      <c r="CI9" s="5">
        <f t="shared" si="40"/>
        <v>0</v>
      </c>
      <c r="CJ9" s="5">
        <f t="shared" si="41"/>
        <v>0</v>
      </c>
      <c r="CK9" s="5">
        <f t="shared" si="42"/>
        <v>0</v>
      </c>
      <c r="CL9" s="5">
        <f t="shared" si="43"/>
        <v>0</v>
      </c>
      <c r="CM9" s="5">
        <f t="shared" si="44"/>
        <v>0</v>
      </c>
      <c r="CN9" s="5">
        <f t="shared" si="45"/>
        <v>0</v>
      </c>
      <c r="CO9" s="5">
        <f t="shared" si="46"/>
        <v>0</v>
      </c>
      <c r="CP9" s="6">
        <f t="shared" si="47"/>
        <v>0</v>
      </c>
      <c r="CQ9" s="6">
        <f t="shared" si="48"/>
        <v>0</v>
      </c>
      <c r="CR9" s="6">
        <f t="shared" si="49"/>
        <v>0</v>
      </c>
      <c r="CS9" s="6">
        <f t="shared" si="50"/>
        <v>0</v>
      </c>
      <c r="CT9" s="6">
        <f t="shared" si="51"/>
        <v>0</v>
      </c>
      <c r="CU9" s="6">
        <f t="shared" si="52"/>
        <v>0</v>
      </c>
      <c r="CV9" s="6">
        <f t="shared" si="53"/>
        <v>0</v>
      </c>
      <c r="CW9" s="6">
        <f t="shared" si="54"/>
        <v>0</v>
      </c>
      <c r="CX9" s="6">
        <f t="shared" si="55"/>
        <v>0</v>
      </c>
      <c r="CY9" s="6">
        <f t="shared" si="56"/>
        <v>0</v>
      </c>
      <c r="CZ9" s="6">
        <f t="shared" si="57"/>
        <v>0</v>
      </c>
      <c r="DA9" s="6">
        <f t="shared" si="58"/>
        <v>0</v>
      </c>
      <c r="DB9" s="6">
        <f t="shared" si="59"/>
        <v>0</v>
      </c>
      <c r="DC9" s="6">
        <f t="shared" si="60"/>
        <v>0</v>
      </c>
      <c r="DD9" s="6">
        <f t="shared" si="61"/>
        <v>0</v>
      </c>
      <c r="DE9" s="6">
        <f t="shared" si="62"/>
        <v>0</v>
      </c>
      <c r="DF9" s="6">
        <f t="shared" si="63"/>
        <v>0</v>
      </c>
      <c r="DG9" s="6">
        <f t="shared" si="64"/>
        <v>0</v>
      </c>
      <c r="DH9" s="6">
        <f t="shared" si="322"/>
        <v>0</v>
      </c>
      <c r="DI9" s="6">
        <f t="shared" si="66"/>
        <v>0</v>
      </c>
      <c r="DJ9" s="6">
        <f t="shared" si="67"/>
        <v>0</v>
      </c>
      <c r="DK9" s="7">
        <f t="shared" si="68"/>
        <v>0</v>
      </c>
      <c r="DL9" s="7">
        <f t="shared" si="323"/>
        <v>0</v>
      </c>
      <c r="DM9" s="7">
        <f t="shared" si="70"/>
        <v>0</v>
      </c>
      <c r="DN9" s="7">
        <f t="shared" si="71"/>
        <v>0</v>
      </c>
      <c r="DO9" s="7">
        <f t="shared" si="72"/>
        <v>1</v>
      </c>
      <c r="DP9" s="8">
        <f t="shared" si="73"/>
        <v>0</v>
      </c>
      <c r="DQ9" s="8">
        <f t="shared" si="74"/>
        <v>1</v>
      </c>
      <c r="DR9" s="7">
        <f t="shared" si="75"/>
        <v>0</v>
      </c>
      <c r="DS9" s="7">
        <f t="shared" si="76"/>
        <v>0</v>
      </c>
      <c r="DT9" s="7">
        <f t="shared" si="77"/>
        <v>0</v>
      </c>
      <c r="DU9" s="9">
        <f t="shared" si="78"/>
        <v>0</v>
      </c>
      <c r="DV9" s="9">
        <f t="shared" si="79"/>
        <v>0</v>
      </c>
      <c r="DW9" s="9">
        <f t="shared" si="80"/>
        <v>0</v>
      </c>
      <c r="DX9" s="9">
        <f t="shared" si="81"/>
        <v>0</v>
      </c>
      <c r="DY9" s="9">
        <f t="shared" si="82"/>
        <v>0</v>
      </c>
      <c r="DZ9" s="9">
        <f t="shared" si="83"/>
        <v>0</v>
      </c>
      <c r="EA9" s="9">
        <f t="shared" si="84"/>
        <v>0</v>
      </c>
      <c r="EB9" s="9">
        <f t="shared" si="85"/>
        <v>0</v>
      </c>
      <c r="EC9" s="9">
        <f t="shared" si="86"/>
        <v>0</v>
      </c>
      <c r="ED9" s="9">
        <f t="shared" si="87"/>
        <v>0</v>
      </c>
      <c r="EE9" s="9">
        <f t="shared" si="88"/>
        <v>0</v>
      </c>
      <c r="EF9" s="9">
        <f t="shared" si="89"/>
        <v>0</v>
      </c>
      <c r="EG9" s="9">
        <f t="shared" si="90"/>
        <v>0</v>
      </c>
      <c r="EH9" s="9">
        <f t="shared" si="91"/>
        <v>0</v>
      </c>
      <c r="EI9" s="9">
        <f t="shared" si="92"/>
        <v>0</v>
      </c>
      <c r="EJ9" s="10">
        <f t="shared" si="93"/>
        <v>0</v>
      </c>
      <c r="EK9" s="10">
        <f t="shared" si="94"/>
        <v>0</v>
      </c>
      <c r="EL9" s="10">
        <f t="shared" ref="EL9:EM9" si="332">IF(OR(ISNUMBER(SEARCH("ai software toolkit", $D9)), ISNUMBER(SEARCH("ai software toolkit", $T9)), ISNUMBER(SEARCH("ai software toolkit", $R9)), ISNUMBER(SEARCH("ai software toolkit", $S9))), 1, 0)</f>
        <v>0</v>
      </c>
      <c r="EM9" s="10">
        <f t="shared" si="332"/>
        <v>0</v>
      </c>
      <c r="EN9" s="10">
        <f t="shared" si="96"/>
        <v>0</v>
      </c>
      <c r="EO9" s="10">
        <f t="shared" si="97"/>
        <v>0</v>
      </c>
      <c r="EP9" s="10">
        <f t="shared" si="98"/>
        <v>0</v>
      </c>
      <c r="EQ9" s="10">
        <f t="shared" si="99"/>
        <v>0</v>
      </c>
      <c r="ER9" s="10">
        <f t="shared" si="100"/>
        <v>0</v>
      </c>
      <c r="ES9" s="10">
        <f t="shared" si="101"/>
        <v>0</v>
      </c>
      <c r="ET9" s="10">
        <f t="shared" si="102"/>
        <v>0</v>
      </c>
      <c r="EU9" s="10">
        <f t="shared" si="103"/>
        <v>0</v>
      </c>
      <c r="EV9" s="10">
        <f t="shared" si="104"/>
        <v>0</v>
      </c>
      <c r="EW9" s="10">
        <f t="shared" si="105"/>
        <v>0</v>
      </c>
      <c r="EX9" s="10">
        <f t="shared" si="106"/>
        <v>0</v>
      </c>
      <c r="EY9" s="10">
        <f t="shared" si="107"/>
        <v>0</v>
      </c>
      <c r="EZ9" s="10">
        <f t="shared" si="108"/>
        <v>0</v>
      </c>
      <c r="FA9" s="10">
        <f t="shared" si="109"/>
        <v>0</v>
      </c>
      <c r="FB9" s="10">
        <f t="shared" si="110"/>
        <v>0</v>
      </c>
      <c r="FC9" s="10">
        <f t="shared" si="111"/>
        <v>0</v>
      </c>
      <c r="FD9" s="10">
        <f t="shared" si="112"/>
        <v>0</v>
      </c>
      <c r="FE9" s="10">
        <f t="shared" si="113"/>
        <v>0</v>
      </c>
      <c r="FF9" s="10">
        <f t="shared" si="114"/>
        <v>0</v>
      </c>
      <c r="FG9" s="10">
        <f t="shared" si="115"/>
        <v>0</v>
      </c>
      <c r="FH9" s="10">
        <f t="shared" si="116"/>
        <v>0</v>
      </c>
      <c r="FI9" s="10">
        <f t="shared" si="117"/>
        <v>0</v>
      </c>
      <c r="FJ9" s="10">
        <f t="shared" si="118"/>
        <v>0</v>
      </c>
      <c r="FK9" s="10">
        <f t="shared" si="119"/>
        <v>0</v>
      </c>
      <c r="FL9" s="10">
        <f t="shared" si="120"/>
        <v>0</v>
      </c>
      <c r="FM9" s="10">
        <f t="shared" si="121"/>
        <v>0</v>
      </c>
      <c r="FN9" s="10">
        <f t="shared" si="122"/>
        <v>0</v>
      </c>
      <c r="FO9" s="10">
        <f t="shared" si="123"/>
        <v>0</v>
      </c>
      <c r="FP9" s="10">
        <f t="shared" si="124"/>
        <v>0</v>
      </c>
      <c r="FQ9" s="10">
        <f t="shared" si="125"/>
        <v>0</v>
      </c>
      <c r="FR9" s="11">
        <f t="shared" si="126"/>
        <v>0</v>
      </c>
      <c r="FS9" s="11">
        <f t="shared" si="127"/>
        <v>0</v>
      </c>
      <c r="FT9" s="11">
        <f t="shared" si="128"/>
        <v>0</v>
      </c>
      <c r="FU9" s="11">
        <f t="shared" si="129"/>
        <v>0</v>
      </c>
      <c r="FV9" s="11">
        <f t="shared" si="130"/>
        <v>0</v>
      </c>
      <c r="FW9" s="11">
        <f t="shared" si="131"/>
        <v>0</v>
      </c>
      <c r="FX9" s="11">
        <f t="shared" si="132"/>
        <v>0</v>
      </c>
      <c r="FY9" s="11">
        <f t="shared" si="133"/>
        <v>0</v>
      </c>
      <c r="FZ9" s="11">
        <f t="shared" si="134"/>
        <v>0</v>
      </c>
      <c r="GA9" s="11">
        <f t="shared" si="135"/>
        <v>0</v>
      </c>
      <c r="GB9" s="11">
        <f t="shared" si="136"/>
        <v>0</v>
      </c>
      <c r="GC9" s="11">
        <f t="shared" si="137"/>
        <v>0</v>
      </c>
      <c r="GD9" s="11">
        <f t="shared" si="138"/>
        <v>0</v>
      </c>
      <c r="GE9" s="11">
        <f t="shared" si="139"/>
        <v>0</v>
      </c>
      <c r="GF9" s="11">
        <f t="shared" si="140"/>
        <v>0</v>
      </c>
      <c r="GG9" s="11">
        <f t="shared" si="141"/>
        <v>0</v>
      </c>
      <c r="GH9" s="11">
        <f t="shared" si="142"/>
        <v>0</v>
      </c>
      <c r="GI9" s="11">
        <f t="shared" si="143"/>
        <v>0</v>
      </c>
      <c r="GJ9" s="11">
        <f t="shared" si="144"/>
        <v>0</v>
      </c>
      <c r="GK9" s="11">
        <f t="shared" si="145"/>
        <v>1</v>
      </c>
      <c r="GL9" s="11">
        <f t="shared" si="146"/>
        <v>0</v>
      </c>
      <c r="GM9" s="11">
        <f t="shared" si="147"/>
        <v>0</v>
      </c>
      <c r="GN9" s="11">
        <f t="shared" si="148"/>
        <v>0</v>
      </c>
      <c r="GO9" s="11">
        <f t="shared" si="149"/>
        <v>0</v>
      </c>
      <c r="GP9" s="11">
        <f t="shared" si="150"/>
        <v>0</v>
      </c>
      <c r="GQ9" s="11">
        <f t="shared" si="151"/>
        <v>0</v>
      </c>
      <c r="GR9" s="11">
        <f t="shared" si="152"/>
        <v>0</v>
      </c>
      <c r="GS9" s="11">
        <f t="shared" si="153"/>
        <v>0</v>
      </c>
      <c r="GT9" s="11">
        <f t="shared" si="154"/>
        <v>0</v>
      </c>
      <c r="GU9" s="12">
        <f t="shared" si="155"/>
        <v>0</v>
      </c>
      <c r="GV9" s="12">
        <f t="shared" si="156"/>
        <v>0</v>
      </c>
      <c r="GW9" s="12">
        <f t="shared" si="157"/>
        <v>0</v>
      </c>
      <c r="GX9" s="12">
        <f t="shared" si="158"/>
        <v>0</v>
      </c>
      <c r="GY9" s="12">
        <f t="shared" si="159"/>
        <v>0</v>
      </c>
      <c r="GZ9" s="12">
        <f t="shared" si="160"/>
        <v>0</v>
      </c>
      <c r="HA9" s="12">
        <f t="shared" si="161"/>
        <v>0</v>
      </c>
      <c r="HB9" s="12">
        <f t="shared" si="162"/>
        <v>0</v>
      </c>
      <c r="HC9" s="12">
        <f t="shared" si="163"/>
        <v>0</v>
      </c>
      <c r="HD9" s="12">
        <f t="shared" si="164"/>
        <v>0</v>
      </c>
      <c r="HE9" s="12">
        <f t="shared" si="165"/>
        <v>0</v>
      </c>
      <c r="HF9" s="12">
        <f t="shared" si="166"/>
        <v>0</v>
      </c>
      <c r="HG9" s="12">
        <f t="shared" si="167"/>
        <v>0</v>
      </c>
      <c r="HH9" s="12">
        <f t="shared" si="168"/>
        <v>0</v>
      </c>
      <c r="HI9" s="12">
        <f t="shared" si="169"/>
        <v>0</v>
      </c>
      <c r="HJ9" s="12">
        <f t="shared" si="170"/>
        <v>0</v>
      </c>
      <c r="HK9" s="12">
        <f t="shared" si="171"/>
        <v>0</v>
      </c>
      <c r="HL9" s="12">
        <f t="shared" si="172"/>
        <v>0</v>
      </c>
      <c r="HM9" s="12">
        <f t="shared" si="173"/>
        <v>0</v>
      </c>
      <c r="HN9" s="12">
        <f t="shared" si="174"/>
        <v>0</v>
      </c>
      <c r="HO9" s="12">
        <f t="shared" si="175"/>
        <v>0</v>
      </c>
      <c r="HP9" s="12">
        <f t="shared" si="176"/>
        <v>0</v>
      </c>
      <c r="HQ9" s="12">
        <f t="shared" si="177"/>
        <v>0</v>
      </c>
      <c r="HR9" s="12">
        <f t="shared" si="178"/>
        <v>0</v>
      </c>
      <c r="HS9" s="12">
        <f t="shared" si="179"/>
        <v>0</v>
      </c>
      <c r="HT9" s="12">
        <f t="shared" si="180"/>
        <v>0</v>
      </c>
      <c r="HU9" s="12">
        <f t="shared" si="181"/>
        <v>0</v>
      </c>
      <c r="HV9" s="12">
        <f t="shared" si="182"/>
        <v>0</v>
      </c>
      <c r="HW9" s="12">
        <f t="shared" si="183"/>
        <v>0</v>
      </c>
      <c r="HX9" s="12">
        <f t="shared" si="184"/>
        <v>0</v>
      </c>
      <c r="HY9" s="12">
        <f t="shared" si="185"/>
        <v>0</v>
      </c>
      <c r="HZ9" s="12">
        <f t="shared" si="186"/>
        <v>0</v>
      </c>
      <c r="IA9" s="12">
        <f t="shared" si="187"/>
        <v>0</v>
      </c>
      <c r="IB9" s="12">
        <f t="shared" si="188"/>
        <v>0</v>
      </c>
      <c r="IC9" s="12">
        <f t="shared" si="189"/>
        <v>0</v>
      </c>
      <c r="ID9" s="12">
        <f t="shared" si="190"/>
        <v>0</v>
      </c>
      <c r="IE9" s="12">
        <f t="shared" si="191"/>
        <v>0</v>
      </c>
      <c r="IF9" s="12">
        <f t="shared" si="192"/>
        <v>0</v>
      </c>
      <c r="IG9" s="12">
        <f t="shared" si="193"/>
        <v>0</v>
      </c>
      <c r="IH9" s="12">
        <f t="shared" si="194"/>
        <v>0</v>
      </c>
      <c r="II9" s="12">
        <f t="shared" si="195"/>
        <v>0</v>
      </c>
      <c r="IJ9" s="12">
        <f t="shared" si="196"/>
        <v>0</v>
      </c>
      <c r="IK9" s="12">
        <f t="shared" si="197"/>
        <v>0</v>
      </c>
      <c r="IL9" s="12">
        <f t="shared" si="198"/>
        <v>0</v>
      </c>
      <c r="IM9" s="12">
        <f t="shared" si="199"/>
        <v>0</v>
      </c>
      <c r="IN9" s="12">
        <f t="shared" si="200"/>
        <v>0</v>
      </c>
      <c r="IO9" s="12">
        <f t="shared" si="201"/>
        <v>0</v>
      </c>
      <c r="IP9" s="12">
        <f t="shared" si="202"/>
        <v>0</v>
      </c>
      <c r="IQ9" s="12">
        <f t="shared" si="203"/>
        <v>0</v>
      </c>
      <c r="IR9" s="12">
        <f t="shared" si="204"/>
        <v>0</v>
      </c>
      <c r="IS9" s="12">
        <f t="shared" si="205"/>
        <v>0</v>
      </c>
      <c r="IT9" s="12">
        <f t="shared" si="206"/>
        <v>0</v>
      </c>
      <c r="IU9" s="12">
        <f t="shared" si="207"/>
        <v>0</v>
      </c>
      <c r="IV9" s="12">
        <f t="shared" si="208"/>
        <v>0</v>
      </c>
      <c r="IW9" s="12">
        <f t="shared" si="209"/>
        <v>0</v>
      </c>
      <c r="IX9" s="12">
        <f t="shared" si="210"/>
        <v>0</v>
      </c>
      <c r="IY9" s="12">
        <f t="shared" si="211"/>
        <v>0</v>
      </c>
      <c r="IZ9" s="12">
        <f t="shared" si="212"/>
        <v>0</v>
      </c>
      <c r="JA9" s="13">
        <f t="shared" si="213"/>
        <v>0</v>
      </c>
      <c r="JB9" s="13">
        <f t="shared" si="214"/>
        <v>0</v>
      </c>
      <c r="JC9" s="13">
        <f t="shared" si="215"/>
        <v>0</v>
      </c>
      <c r="JD9" s="13">
        <f t="shared" si="216"/>
        <v>0</v>
      </c>
      <c r="JE9" s="13">
        <f t="shared" si="217"/>
        <v>0</v>
      </c>
      <c r="JF9" s="13">
        <f t="shared" si="218"/>
        <v>0</v>
      </c>
      <c r="JG9" s="13">
        <f t="shared" si="219"/>
        <v>0</v>
      </c>
      <c r="JH9" s="13">
        <f t="shared" si="220"/>
        <v>0</v>
      </c>
      <c r="JI9" s="13">
        <f t="shared" si="221"/>
        <v>0</v>
      </c>
      <c r="JJ9" s="13">
        <f t="shared" si="222"/>
        <v>0</v>
      </c>
      <c r="JK9" s="13">
        <f t="shared" si="223"/>
        <v>0</v>
      </c>
      <c r="JL9" s="13">
        <f t="shared" si="224"/>
        <v>0</v>
      </c>
      <c r="JM9" s="13">
        <f t="shared" si="225"/>
        <v>0</v>
      </c>
      <c r="JN9" s="13">
        <f t="shared" si="226"/>
        <v>0</v>
      </c>
      <c r="JO9" s="13">
        <f t="shared" si="227"/>
        <v>0</v>
      </c>
      <c r="JP9" s="13">
        <f t="shared" si="228"/>
        <v>0</v>
      </c>
      <c r="JQ9" s="13">
        <f t="shared" si="229"/>
        <v>0</v>
      </c>
      <c r="JR9" s="13">
        <f t="shared" si="230"/>
        <v>0</v>
      </c>
      <c r="JS9" s="13">
        <f t="shared" si="231"/>
        <v>0</v>
      </c>
      <c r="JT9" s="13">
        <f t="shared" si="232"/>
        <v>0</v>
      </c>
      <c r="JU9" s="13">
        <f t="shared" si="233"/>
        <v>0</v>
      </c>
      <c r="JV9" s="12">
        <f t="shared" si="234"/>
        <v>0</v>
      </c>
      <c r="JW9" s="12">
        <f t="shared" si="235"/>
        <v>0</v>
      </c>
      <c r="JX9" s="12">
        <f t="shared" si="236"/>
        <v>0</v>
      </c>
      <c r="JY9" s="12">
        <f t="shared" si="237"/>
        <v>0</v>
      </c>
      <c r="JZ9" s="12">
        <f t="shared" si="238"/>
        <v>0</v>
      </c>
      <c r="KA9" s="12">
        <f t="shared" si="239"/>
        <v>0</v>
      </c>
      <c r="KB9" s="12">
        <f t="shared" si="240"/>
        <v>0</v>
      </c>
      <c r="KC9" s="12">
        <f t="shared" si="241"/>
        <v>0</v>
      </c>
      <c r="KD9" s="12">
        <f t="shared" si="242"/>
        <v>0</v>
      </c>
      <c r="KE9" s="12">
        <f t="shared" si="243"/>
        <v>0</v>
      </c>
      <c r="KF9" s="12">
        <f t="shared" si="244"/>
        <v>0</v>
      </c>
      <c r="KG9" s="12">
        <f t="shared" si="245"/>
        <v>0</v>
      </c>
      <c r="KH9" s="12">
        <f t="shared" si="246"/>
        <v>0</v>
      </c>
      <c r="KI9" s="12">
        <f t="shared" si="247"/>
        <v>0</v>
      </c>
      <c r="KJ9" s="12">
        <f t="shared" si="248"/>
        <v>0</v>
      </c>
      <c r="KK9" s="12">
        <f t="shared" si="249"/>
        <v>0</v>
      </c>
      <c r="KL9" s="12">
        <f t="shared" si="250"/>
        <v>0</v>
      </c>
      <c r="KM9" s="12">
        <f t="shared" si="251"/>
        <v>0</v>
      </c>
      <c r="KN9" s="12">
        <f t="shared" si="252"/>
        <v>0</v>
      </c>
      <c r="KO9" s="12">
        <f t="shared" si="253"/>
        <v>0</v>
      </c>
      <c r="KP9" s="12">
        <f t="shared" si="254"/>
        <v>0</v>
      </c>
      <c r="KQ9" s="12">
        <f t="shared" si="255"/>
        <v>0</v>
      </c>
      <c r="KR9" s="12">
        <f t="shared" si="256"/>
        <v>0</v>
      </c>
      <c r="KS9" s="12">
        <f t="shared" si="257"/>
        <v>0</v>
      </c>
      <c r="KT9" s="12">
        <f t="shared" si="258"/>
        <v>0</v>
      </c>
      <c r="KU9" s="12">
        <f t="shared" si="259"/>
        <v>0</v>
      </c>
      <c r="KV9" s="12">
        <f t="shared" si="260"/>
        <v>0</v>
      </c>
      <c r="KW9" s="12">
        <f t="shared" si="261"/>
        <v>0</v>
      </c>
      <c r="KX9" s="12">
        <f t="shared" si="262"/>
        <v>0</v>
      </c>
      <c r="KY9" s="12">
        <f t="shared" si="263"/>
        <v>0</v>
      </c>
      <c r="KZ9" s="12">
        <f t="shared" si="264"/>
        <v>0</v>
      </c>
      <c r="LA9" s="12">
        <f t="shared" si="265"/>
        <v>0</v>
      </c>
      <c r="LB9" s="12">
        <f t="shared" si="266"/>
        <v>0</v>
      </c>
      <c r="LC9" s="12">
        <f t="shared" si="267"/>
        <v>0</v>
      </c>
      <c r="LD9" s="12">
        <f t="shared" si="268"/>
        <v>0</v>
      </c>
      <c r="LE9" s="12">
        <f t="shared" si="269"/>
        <v>0</v>
      </c>
      <c r="LF9" s="12">
        <f t="shared" si="270"/>
        <v>0</v>
      </c>
      <c r="LG9" s="12">
        <f t="shared" si="271"/>
        <v>0</v>
      </c>
      <c r="LH9" s="12">
        <f t="shared" si="272"/>
        <v>0</v>
      </c>
      <c r="LI9" s="12">
        <f t="shared" si="273"/>
        <v>0</v>
      </c>
      <c r="LJ9" s="12">
        <f t="shared" si="274"/>
        <v>0</v>
      </c>
      <c r="LK9" s="12">
        <f t="shared" si="275"/>
        <v>0</v>
      </c>
      <c r="LL9" s="12">
        <f t="shared" si="276"/>
        <v>0</v>
      </c>
      <c r="LM9" s="12">
        <f t="shared" si="277"/>
        <v>0</v>
      </c>
      <c r="LN9" s="12">
        <f t="shared" si="278"/>
        <v>0</v>
      </c>
      <c r="LO9" s="12">
        <f t="shared" si="279"/>
        <v>0</v>
      </c>
      <c r="LP9" s="12">
        <f t="shared" si="280"/>
        <v>0</v>
      </c>
      <c r="LQ9" s="12">
        <f t="shared" si="281"/>
        <v>0</v>
      </c>
      <c r="LR9" s="12">
        <f t="shared" si="282"/>
        <v>0</v>
      </c>
      <c r="LS9" s="12">
        <f t="shared" si="283"/>
        <v>0</v>
      </c>
      <c r="LT9" s="13">
        <f t="shared" si="284"/>
        <v>0</v>
      </c>
      <c r="LU9" s="13">
        <f t="shared" si="285"/>
        <v>0</v>
      </c>
      <c r="LV9" s="13">
        <f t="shared" si="286"/>
        <v>0</v>
      </c>
      <c r="LW9" s="13">
        <f t="shared" si="287"/>
        <v>0</v>
      </c>
      <c r="LX9" s="13">
        <f t="shared" si="288"/>
        <v>0</v>
      </c>
      <c r="LY9" s="13">
        <f t="shared" si="289"/>
        <v>0</v>
      </c>
      <c r="LZ9" s="13">
        <f t="shared" si="290"/>
        <v>0</v>
      </c>
      <c r="MA9" s="13">
        <f t="shared" si="291"/>
        <v>1</v>
      </c>
      <c r="MB9" s="13">
        <f t="shared" si="292"/>
        <v>0</v>
      </c>
      <c r="MC9" s="13">
        <f t="shared" si="293"/>
        <v>1</v>
      </c>
      <c r="MD9" s="13">
        <f t="shared" si="294"/>
        <v>0</v>
      </c>
      <c r="ME9" s="13">
        <f t="shared" si="295"/>
        <v>0</v>
      </c>
      <c r="MF9" s="13">
        <f t="shared" si="296"/>
        <v>0</v>
      </c>
      <c r="MG9" s="13">
        <f t="shared" si="297"/>
        <v>0</v>
      </c>
      <c r="MH9" s="13">
        <f t="shared" si="298"/>
        <v>0</v>
      </c>
      <c r="MI9" s="13">
        <f t="shared" si="299"/>
        <v>0</v>
      </c>
      <c r="MJ9" s="13">
        <f t="shared" si="300"/>
        <v>0</v>
      </c>
      <c r="MK9" s="13">
        <f t="shared" si="301"/>
        <v>0</v>
      </c>
      <c r="ML9" s="14">
        <f t="shared" si="302"/>
        <v>0</v>
      </c>
      <c r="MM9" s="14">
        <f t="shared" si="303"/>
        <v>0</v>
      </c>
      <c r="MN9" s="14">
        <f t="shared" si="304"/>
        <v>0</v>
      </c>
      <c r="MO9" s="14">
        <f t="shared" si="305"/>
        <v>0</v>
      </c>
      <c r="MP9" s="14">
        <f t="shared" si="306"/>
        <v>0</v>
      </c>
      <c r="MQ9" s="14">
        <f t="shared" si="307"/>
        <v>0</v>
      </c>
      <c r="MR9" s="14">
        <f t="shared" si="308"/>
        <v>0</v>
      </c>
      <c r="MS9" s="14">
        <f t="shared" si="309"/>
        <v>0</v>
      </c>
      <c r="MT9" s="14">
        <f t="shared" si="310"/>
        <v>0</v>
      </c>
      <c r="MU9" s="14">
        <f t="shared" si="311"/>
        <v>0</v>
      </c>
      <c r="MV9" s="14">
        <f t="shared" si="312"/>
        <v>0</v>
      </c>
      <c r="MW9" s="14">
        <f t="shared" si="313"/>
        <v>0</v>
      </c>
      <c r="MX9" s="14">
        <f t="shared" si="314"/>
        <v>0</v>
      </c>
      <c r="MY9" s="14">
        <f t="shared" si="315"/>
        <v>0</v>
      </c>
      <c r="MZ9" s="14">
        <f t="shared" si="316"/>
        <v>0</v>
      </c>
      <c r="NA9" s="14">
        <f t="shared" si="317"/>
        <v>0</v>
      </c>
      <c r="NB9" s="14">
        <f t="shared" si="318"/>
        <v>0</v>
      </c>
    </row>
    <row r="10">
      <c r="A10" s="2">
        <v>371.0</v>
      </c>
      <c r="B10" s="2" t="s">
        <v>524</v>
      </c>
      <c r="C10" s="2" t="s">
        <v>525</v>
      </c>
      <c r="D10" s="2" t="s">
        <v>526</v>
      </c>
      <c r="E10" s="2">
        <v>2017.0</v>
      </c>
      <c r="F10" s="2" t="s">
        <v>527</v>
      </c>
      <c r="G10" s="2" t="s">
        <v>528</v>
      </c>
      <c r="I10" s="2" t="s">
        <v>529</v>
      </c>
      <c r="M10" s="2">
        <v>110.0</v>
      </c>
      <c r="N10" s="2" t="s">
        <v>530</v>
      </c>
      <c r="O10" s="2" t="s">
        <v>531</v>
      </c>
      <c r="P10" s="2" t="s">
        <v>532</v>
      </c>
      <c r="Q10" s="2" t="s">
        <v>533</v>
      </c>
      <c r="R10" s="2" t="s">
        <v>534</v>
      </c>
      <c r="Y10" s="2" t="s">
        <v>535</v>
      </c>
      <c r="AB10" s="2" t="s">
        <v>536</v>
      </c>
      <c r="AG10" s="2" t="s">
        <v>537</v>
      </c>
      <c r="AJ10" s="2">
        <v>2.8327593E7</v>
      </c>
      <c r="AK10" s="2" t="s">
        <v>538</v>
      </c>
      <c r="AL10" s="2" t="s">
        <v>384</v>
      </c>
      <c r="AM10" s="2" t="s">
        <v>484</v>
      </c>
      <c r="AN10" s="2" t="s">
        <v>386</v>
      </c>
      <c r="AO10" s="2" t="s">
        <v>539</v>
      </c>
      <c r="AP10" s="2" t="s">
        <v>386</v>
      </c>
      <c r="AQ10" s="2">
        <v>1451.0</v>
      </c>
      <c r="AR10" s="2" t="s">
        <v>540</v>
      </c>
      <c r="AS10" s="2" t="b">
        <v>1</v>
      </c>
      <c r="AT10" s="3">
        <v>0.0</v>
      </c>
      <c r="AU10" s="4">
        <v>1.0</v>
      </c>
      <c r="AV10" s="4"/>
      <c r="AW10" s="5">
        <f t="shared" si="3"/>
        <v>0</v>
      </c>
      <c r="AX10" s="5">
        <f t="shared" si="4"/>
        <v>0</v>
      </c>
      <c r="AY10" s="5">
        <f t="shared" si="5"/>
        <v>0</v>
      </c>
      <c r="AZ10" s="5">
        <f t="shared" si="6"/>
        <v>0</v>
      </c>
      <c r="BA10" s="5">
        <f t="shared" si="7"/>
        <v>0</v>
      </c>
      <c r="BB10" s="5">
        <f t="shared" si="8"/>
        <v>0</v>
      </c>
      <c r="BC10" s="5">
        <f t="shared" si="9"/>
        <v>0</v>
      </c>
      <c r="BD10" s="5">
        <f t="shared" si="10"/>
        <v>0</v>
      </c>
      <c r="BE10" s="5">
        <f t="shared" si="11"/>
        <v>0</v>
      </c>
      <c r="BF10" s="5">
        <f t="shared" si="12"/>
        <v>0</v>
      </c>
      <c r="BG10" s="5">
        <f t="shared" si="13"/>
        <v>0</v>
      </c>
      <c r="BH10" s="5">
        <f t="shared" si="14"/>
        <v>0</v>
      </c>
      <c r="BI10" s="5">
        <f t="shared" si="15"/>
        <v>0</v>
      </c>
      <c r="BJ10" s="5">
        <f t="shared" si="16"/>
        <v>0</v>
      </c>
      <c r="BK10" s="5">
        <f t="shared" si="17"/>
        <v>0</v>
      </c>
      <c r="BL10" s="5">
        <f t="shared" si="18"/>
        <v>0</v>
      </c>
      <c r="BM10" s="5">
        <f t="shared" si="19"/>
        <v>0</v>
      </c>
      <c r="BN10" s="5">
        <f t="shared" si="20"/>
        <v>0</v>
      </c>
      <c r="BO10" s="5">
        <f t="shared" si="21"/>
        <v>0</v>
      </c>
      <c r="BP10" s="5">
        <f t="shared" si="22"/>
        <v>0</v>
      </c>
      <c r="BQ10" s="5">
        <f t="shared" si="23"/>
        <v>0</v>
      </c>
      <c r="BR10" s="5">
        <f t="shared" si="24"/>
        <v>0</v>
      </c>
      <c r="BS10" s="5">
        <f t="shared" si="25"/>
        <v>0</v>
      </c>
      <c r="BT10" s="5">
        <f t="shared" si="26"/>
        <v>0</v>
      </c>
      <c r="BU10" s="5">
        <f t="shared" si="27"/>
        <v>0</v>
      </c>
      <c r="BV10" s="5">
        <f t="shared" ref="BV10:BW10" si="333">IF(OR(ISNUMBER(SEARCH("grit",$D10)),ISNUMBER(SEARCH("grit",$T10)),ISNUMBER(SEARCH("grit",$R10)),ISNUMBER(SEARCH("grit",$S10)),
ISNUMBER(SEARCH("determination",$D10)),ISNUMBER(SEARCH("determination",$T10)),ISNUMBER(SEARCH("determination",$R10)),ISNUMBER(SEARCH("determination",$S10)),
ISNUMBER(SEARCH("tenacity",$D10)),ISNUMBER(SEARCH("tenacity",$T10)),ISNUMBER(SEARCH("tenacity",$R10)),ISNUMBER(SEARCH("tenacity",$S10)),
ISNUMBER(SEARCH("endurance",$D10)),ISNUMBER(SEARCH("endurance",$T10)),ISNUMBER(SEARCH("endurance",$R10)),ISNUMBER(SEARCH("endurance",$S10)),
ISNUMBER(SEARCH("fortitude",$D10)),ISNUMBER(SEARCH("fortitude",$T10)),ISNUMBER(SEARCH("fortitude",$R10)),ISNUMBER(SEARCH("fortitude",$S10)),
ISNUMBER(SEARCH("resolve",$D10)),ISNUMBER(SEARCH("resolve",$T10)),ISNUMBER(SEARCH("resolve",$R10)),ISNUMBER(SEARCH("resolve",$S10)),
ISNUMBER(SEARCH("stamina",$D10)),ISNUMBER(SEARCH("stamina",$T10)),ISNUMBER(SEARCH("stamina",$R10)),ISNUMBER(SEARCH("stamina",$S10)),
ISNUMBER(SEARCH("guts",$D10)),ISNUMBER(SEARCH("guts",$T10)),ISNUMBER(SEARCH("guts",$R10)),ISNUMBER(SEARCH("guts",$S10)),
ISNUMBER(SEARCH("spunk",$D10)),ISNUMBER(SEARCH("spunk",$T10)),ISNUMBER(SEARCH("spunk",$R10)),ISNUMBER(SEARCH("spunk",$S10))), 1, 0)</f>
        <v>0</v>
      </c>
      <c r="BW10" s="5">
        <f t="shared" si="333"/>
        <v>0</v>
      </c>
      <c r="BX10" s="5">
        <f t="shared" si="29"/>
        <v>0</v>
      </c>
      <c r="BY10" s="5">
        <f t="shared" si="30"/>
        <v>0</v>
      </c>
      <c r="BZ10" s="5">
        <f t="shared" si="31"/>
        <v>0</v>
      </c>
      <c r="CA10" s="5">
        <f t="shared" si="32"/>
        <v>0</v>
      </c>
      <c r="CB10" s="5">
        <f t="shared" si="33"/>
        <v>0</v>
      </c>
      <c r="CC10" s="5">
        <f t="shared" si="34"/>
        <v>0</v>
      </c>
      <c r="CD10" s="5">
        <f t="shared" si="35"/>
        <v>0</v>
      </c>
      <c r="CE10" s="5">
        <f t="shared" si="36"/>
        <v>0</v>
      </c>
      <c r="CF10" s="5">
        <f t="shared" si="37"/>
        <v>0</v>
      </c>
      <c r="CG10" s="5">
        <f t="shared" si="38"/>
        <v>0</v>
      </c>
      <c r="CH10" s="5">
        <f t="shared" si="39"/>
        <v>0</v>
      </c>
      <c r="CI10" s="5">
        <f t="shared" si="40"/>
        <v>0</v>
      </c>
      <c r="CJ10" s="5">
        <f t="shared" si="41"/>
        <v>0</v>
      </c>
      <c r="CK10" s="5">
        <f t="shared" si="42"/>
        <v>0</v>
      </c>
      <c r="CL10" s="5">
        <f t="shared" si="43"/>
        <v>0</v>
      </c>
      <c r="CM10" s="5">
        <f t="shared" si="44"/>
        <v>0</v>
      </c>
      <c r="CN10" s="5">
        <f t="shared" si="45"/>
        <v>0</v>
      </c>
      <c r="CO10" s="5">
        <f t="shared" si="46"/>
        <v>0</v>
      </c>
      <c r="CP10" s="6">
        <f t="shared" si="47"/>
        <v>0</v>
      </c>
      <c r="CQ10" s="6">
        <f t="shared" si="48"/>
        <v>0</v>
      </c>
      <c r="CR10" s="6">
        <f t="shared" si="49"/>
        <v>0</v>
      </c>
      <c r="CS10" s="6">
        <f t="shared" si="50"/>
        <v>0</v>
      </c>
      <c r="CT10" s="6">
        <f t="shared" si="51"/>
        <v>0</v>
      </c>
      <c r="CU10" s="6">
        <f t="shared" si="52"/>
        <v>0</v>
      </c>
      <c r="CV10" s="6">
        <f t="shared" si="53"/>
        <v>0</v>
      </c>
      <c r="CW10" s="6">
        <f t="shared" si="54"/>
        <v>0</v>
      </c>
      <c r="CX10" s="6">
        <f t="shared" si="55"/>
        <v>0</v>
      </c>
      <c r="CY10" s="6">
        <f t="shared" si="56"/>
        <v>1</v>
      </c>
      <c r="CZ10" s="6">
        <f t="shared" si="57"/>
        <v>0</v>
      </c>
      <c r="DA10" s="6">
        <f t="shared" si="58"/>
        <v>0</v>
      </c>
      <c r="DB10" s="6">
        <f t="shared" si="59"/>
        <v>0</v>
      </c>
      <c r="DC10" s="6">
        <f t="shared" si="60"/>
        <v>0</v>
      </c>
      <c r="DD10" s="6">
        <f t="shared" si="61"/>
        <v>0</v>
      </c>
      <c r="DE10" s="6">
        <f t="shared" si="62"/>
        <v>0</v>
      </c>
      <c r="DF10" s="6">
        <f t="shared" si="63"/>
        <v>0</v>
      </c>
      <c r="DG10" s="6">
        <f t="shared" si="64"/>
        <v>0</v>
      </c>
      <c r="DH10" s="6">
        <f t="shared" si="322"/>
        <v>0</v>
      </c>
      <c r="DI10" s="6">
        <f t="shared" si="66"/>
        <v>0</v>
      </c>
      <c r="DJ10" s="6">
        <f t="shared" si="67"/>
        <v>0</v>
      </c>
      <c r="DK10" s="7">
        <f t="shared" si="68"/>
        <v>0</v>
      </c>
      <c r="DL10" s="7">
        <f t="shared" si="323"/>
        <v>0</v>
      </c>
      <c r="DM10" s="7">
        <f t="shared" si="70"/>
        <v>0</v>
      </c>
      <c r="DN10" s="7">
        <f t="shared" si="71"/>
        <v>0</v>
      </c>
      <c r="DO10" s="7">
        <f t="shared" si="72"/>
        <v>0</v>
      </c>
      <c r="DP10" s="8">
        <f t="shared" si="73"/>
        <v>0</v>
      </c>
      <c r="DQ10" s="8">
        <f t="shared" si="74"/>
        <v>1</v>
      </c>
      <c r="DR10" s="7">
        <f t="shared" si="75"/>
        <v>0</v>
      </c>
      <c r="DS10" s="7">
        <f t="shared" si="76"/>
        <v>0</v>
      </c>
      <c r="DT10" s="7">
        <f t="shared" si="77"/>
        <v>0</v>
      </c>
      <c r="DU10" s="9">
        <f t="shared" si="78"/>
        <v>0</v>
      </c>
      <c r="DV10" s="9">
        <f t="shared" si="79"/>
        <v>0</v>
      </c>
      <c r="DW10" s="9">
        <f t="shared" si="80"/>
        <v>0</v>
      </c>
      <c r="DX10" s="9">
        <f t="shared" si="81"/>
        <v>0</v>
      </c>
      <c r="DY10" s="9">
        <f t="shared" si="82"/>
        <v>0</v>
      </c>
      <c r="DZ10" s="9">
        <f t="shared" si="83"/>
        <v>0</v>
      </c>
      <c r="EA10" s="9">
        <f t="shared" si="84"/>
        <v>0</v>
      </c>
      <c r="EB10" s="9">
        <f t="shared" si="85"/>
        <v>0</v>
      </c>
      <c r="EC10" s="9">
        <f t="shared" si="86"/>
        <v>0</v>
      </c>
      <c r="ED10" s="9">
        <f t="shared" si="87"/>
        <v>0</v>
      </c>
      <c r="EE10" s="9">
        <f t="shared" si="88"/>
        <v>0</v>
      </c>
      <c r="EF10" s="9">
        <f t="shared" si="89"/>
        <v>0</v>
      </c>
      <c r="EG10" s="9">
        <f t="shared" si="90"/>
        <v>0</v>
      </c>
      <c r="EH10" s="9">
        <f t="shared" si="91"/>
        <v>0</v>
      </c>
      <c r="EI10" s="9">
        <f t="shared" si="92"/>
        <v>0</v>
      </c>
      <c r="EJ10" s="10">
        <f t="shared" si="93"/>
        <v>0</v>
      </c>
      <c r="EK10" s="10">
        <f t="shared" si="94"/>
        <v>0</v>
      </c>
      <c r="EL10" s="10">
        <f t="shared" ref="EL10:EM10" si="334">IF(OR(ISNUMBER(SEARCH("ai software toolkit", $D10)), ISNUMBER(SEARCH("ai software toolkit", $T10)), ISNUMBER(SEARCH("ai software toolkit", $R10)), ISNUMBER(SEARCH("ai software toolkit", $S10))), 1, 0)</f>
        <v>0</v>
      </c>
      <c r="EM10" s="10">
        <f t="shared" si="334"/>
        <v>0</v>
      </c>
      <c r="EN10" s="10">
        <f t="shared" si="96"/>
        <v>0</v>
      </c>
      <c r="EO10" s="10">
        <f t="shared" si="97"/>
        <v>0</v>
      </c>
      <c r="EP10" s="10">
        <f t="shared" si="98"/>
        <v>0</v>
      </c>
      <c r="EQ10" s="10">
        <f t="shared" si="99"/>
        <v>0</v>
      </c>
      <c r="ER10" s="10">
        <f t="shared" si="100"/>
        <v>0</v>
      </c>
      <c r="ES10" s="10">
        <f t="shared" si="101"/>
        <v>0</v>
      </c>
      <c r="ET10" s="10">
        <f t="shared" si="102"/>
        <v>0</v>
      </c>
      <c r="EU10" s="10">
        <f t="shared" si="103"/>
        <v>0</v>
      </c>
      <c r="EV10" s="10">
        <f t="shared" si="104"/>
        <v>0</v>
      </c>
      <c r="EW10" s="10">
        <f t="shared" si="105"/>
        <v>0</v>
      </c>
      <c r="EX10" s="10">
        <f t="shared" si="106"/>
        <v>0</v>
      </c>
      <c r="EY10" s="10">
        <f t="shared" si="107"/>
        <v>0</v>
      </c>
      <c r="EZ10" s="10">
        <f t="shared" si="108"/>
        <v>0</v>
      </c>
      <c r="FA10" s="10">
        <f t="shared" si="109"/>
        <v>0</v>
      </c>
      <c r="FB10" s="10">
        <f t="shared" si="110"/>
        <v>0</v>
      </c>
      <c r="FC10" s="10">
        <f t="shared" si="111"/>
        <v>0</v>
      </c>
      <c r="FD10" s="10">
        <f t="shared" si="112"/>
        <v>0</v>
      </c>
      <c r="FE10" s="10">
        <f t="shared" si="113"/>
        <v>0</v>
      </c>
      <c r="FF10" s="10">
        <f t="shared" si="114"/>
        <v>0</v>
      </c>
      <c r="FG10" s="10">
        <f t="shared" si="115"/>
        <v>0</v>
      </c>
      <c r="FH10" s="10">
        <f t="shared" si="116"/>
        <v>0</v>
      </c>
      <c r="FI10" s="10">
        <f t="shared" si="117"/>
        <v>0</v>
      </c>
      <c r="FJ10" s="10">
        <f t="shared" si="118"/>
        <v>0</v>
      </c>
      <c r="FK10" s="10">
        <f t="shared" si="119"/>
        <v>0</v>
      </c>
      <c r="FL10" s="10">
        <f t="shared" si="120"/>
        <v>0</v>
      </c>
      <c r="FM10" s="10">
        <f t="shared" si="121"/>
        <v>0</v>
      </c>
      <c r="FN10" s="10">
        <f t="shared" si="122"/>
        <v>0</v>
      </c>
      <c r="FO10" s="10">
        <f t="shared" si="123"/>
        <v>0</v>
      </c>
      <c r="FP10" s="10">
        <f t="shared" si="124"/>
        <v>0</v>
      </c>
      <c r="FQ10" s="10">
        <f t="shared" si="125"/>
        <v>0</v>
      </c>
      <c r="FR10" s="11">
        <f t="shared" si="126"/>
        <v>0</v>
      </c>
      <c r="FS10" s="11">
        <f t="shared" si="127"/>
        <v>0</v>
      </c>
      <c r="FT10" s="11">
        <f t="shared" si="128"/>
        <v>0</v>
      </c>
      <c r="FU10" s="11">
        <f t="shared" si="129"/>
        <v>0</v>
      </c>
      <c r="FV10" s="11">
        <f t="shared" si="130"/>
        <v>0</v>
      </c>
      <c r="FW10" s="11">
        <f t="shared" si="131"/>
        <v>0</v>
      </c>
      <c r="FX10" s="11">
        <f t="shared" si="132"/>
        <v>0</v>
      </c>
      <c r="FY10" s="11">
        <f t="shared" si="133"/>
        <v>0</v>
      </c>
      <c r="FZ10" s="11">
        <f t="shared" si="134"/>
        <v>0</v>
      </c>
      <c r="GA10" s="11">
        <f t="shared" si="135"/>
        <v>0</v>
      </c>
      <c r="GB10" s="11">
        <f t="shared" si="136"/>
        <v>0</v>
      </c>
      <c r="GC10" s="11">
        <f t="shared" si="137"/>
        <v>0</v>
      </c>
      <c r="GD10" s="11">
        <f t="shared" si="138"/>
        <v>0</v>
      </c>
      <c r="GE10" s="11">
        <f t="shared" si="139"/>
        <v>0</v>
      </c>
      <c r="GF10" s="11">
        <f t="shared" si="140"/>
        <v>0</v>
      </c>
      <c r="GG10" s="11">
        <f t="shared" si="141"/>
        <v>0</v>
      </c>
      <c r="GH10" s="11">
        <f t="shared" si="142"/>
        <v>0</v>
      </c>
      <c r="GI10" s="11">
        <f t="shared" si="143"/>
        <v>0</v>
      </c>
      <c r="GJ10" s="11">
        <f t="shared" si="144"/>
        <v>0</v>
      </c>
      <c r="GK10" s="11">
        <f t="shared" si="145"/>
        <v>0</v>
      </c>
      <c r="GL10" s="11">
        <f t="shared" si="146"/>
        <v>0</v>
      </c>
      <c r="GM10" s="11">
        <f t="shared" si="147"/>
        <v>0</v>
      </c>
      <c r="GN10" s="11">
        <f t="shared" si="148"/>
        <v>0</v>
      </c>
      <c r="GO10" s="11">
        <f t="shared" si="149"/>
        <v>0</v>
      </c>
      <c r="GP10" s="11">
        <f t="shared" si="150"/>
        <v>0</v>
      </c>
      <c r="GQ10" s="11">
        <f t="shared" si="151"/>
        <v>0</v>
      </c>
      <c r="GR10" s="11">
        <f t="shared" si="152"/>
        <v>0</v>
      </c>
      <c r="GS10" s="11">
        <f t="shared" si="153"/>
        <v>0</v>
      </c>
      <c r="GT10" s="11">
        <f t="shared" si="154"/>
        <v>0</v>
      </c>
      <c r="GU10" s="12">
        <f t="shared" si="155"/>
        <v>0</v>
      </c>
      <c r="GV10" s="12">
        <f t="shared" si="156"/>
        <v>0</v>
      </c>
      <c r="GW10" s="12">
        <f t="shared" si="157"/>
        <v>0</v>
      </c>
      <c r="GX10" s="12">
        <f t="shared" si="158"/>
        <v>0</v>
      </c>
      <c r="GY10" s="12">
        <f t="shared" si="159"/>
        <v>0</v>
      </c>
      <c r="GZ10" s="12">
        <f t="shared" si="160"/>
        <v>0</v>
      </c>
      <c r="HA10" s="12">
        <f t="shared" si="161"/>
        <v>0</v>
      </c>
      <c r="HB10" s="12">
        <f t="shared" si="162"/>
        <v>0</v>
      </c>
      <c r="HC10" s="12">
        <f t="shared" si="163"/>
        <v>0</v>
      </c>
      <c r="HD10" s="12">
        <f t="shared" si="164"/>
        <v>0</v>
      </c>
      <c r="HE10" s="12">
        <f t="shared" si="165"/>
        <v>0</v>
      </c>
      <c r="HF10" s="12">
        <f t="shared" si="166"/>
        <v>0</v>
      </c>
      <c r="HG10" s="12">
        <f t="shared" si="167"/>
        <v>0</v>
      </c>
      <c r="HH10" s="12">
        <f t="shared" si="168"/>
        <v>0</v>
      </c>
      <c r="HI10" s="12">
        <f t="shared" si="169"/>
        <v>0</v>
      </c>
      <c r="HJ10" s="12">
        <f t="shared" si="170"/>
        <v>0</v>
      </c>
      <c r="HK10" s="12">
        <f t="shared" si="171"/>
        <v>0</v>
      </c>
      <c r="HL10" s="12">
        <f t="shared" si="172"/>
        <v>0</v>
      </c>
      <c r="HM10" s="12">
        <f t="shared" si="173"/>
        <v>0</v>
      </c>
      <c r="HN10" s="12">
        <f t="shared" si="174"/>
        <v>0</v>
      </c>
      <c r="HO10" s="12">
        <f t="shared" si="175"/>
        <v>0</v>
      </c>
      <c r="HP10" s="12">
        <f t="shared" si="176"/>
        <v>0</v>
      </c>
      <c r="HQ10" s="12">
        <f t="shared" si="177"/>
        <v>0</v>
      </c>
      <c r="HR10" s="12">
        <f t="shared" si="178"/>
        <v>0</v>
      </c>
      <c r="HS10" s="12">
        <f t="shared" si="179"/>
        <v>0</v>
      </c>
      <c r="HT10" s="12">
        <f t="shared" si="180"/>
        <v>0</v>
      </c>
      <c r="HU10" s="12">
        <f t="shared" si="181"/>
        <v>0</v>
      </c>
      <c r="HV10" s="12">
        <f t="shared" si="182"/>
        <v>0</v>
      </c>
      <c r="HW10" s="12">
        <f t="shared" si="183"/>
        <v>0</v>
      </c>
      <c r="HX10" s="12">
        <f t="shared" si="184"/>
        <v>0</v>
      </c>
      <c r="HY10" s="12">
        <f t="shared" si="185"/>
        <v>0</v>
      </c>
      <c r="HZ10" s="12">
        <f t="shared" si="186"/>
        <v>0</v>
      </c>
      <c r="IA10" s="12">
        <f t="shared" si="187"/>
        <v>0</v>
      </c>
      <c r="IB10" s="12">
        <f t="shared" si="188"/>
        <v>0</v>
      </c>
      <c r="IC10" s="12">
        <f t="shared" si="189"/>
        <v>0</v>
      </c>
      <c r="ID10" s="12">
        <f t="shared" si="190"/>
        <v>0</v>
      </c>
      <c r="IE10" s="12">
        <f t="shared" si="191"/>
        <v>0</v>
      </c>
      <c r="IF10" s="12">
        <f t="shared" si="192"/>
        <v>0</v>
      </c>
      <c r="IG10" s="12">
        <f t="shared" si="193"/>
        <v>0</v>
      </c>
      <c r="IH10" s="12">
        <f t="shared" si="194"/>
        <v>0</v>
      </c>
      <c r="II10" s="12">
        <f t="shared" si="195"/>
        <v>0</v>
      </c>
      <c r="IJ10" s="12">
        <f t="shared" si="196"/>
        <v>0</v>
      </c>
      <c r="IK10" s="12">
        <f t="shared" si="197"/>
        <v>0</v>
      </c>
      <c r="IL10" s="12">
        <f t="shared" si="198"/>
        <v>0</v>
      </c>
      <c r="IM10" s="12">
        <f t="shared" si="199"/>
        <v>0</v>
      </c>
      <c r="IN10" s="12">
        <f t="shared" si="200"/>
        <v>0</v>
      </c>
      <c r="IO10" s="12">
        <f t="shared" si="201"/>
        <v>0</v>
      </c>
      <c r="IP10" s="12">
        <f t="shared" si="202"/>
        <v>0</v>
      </c>
      <c r="IQ10" s="12">
        <f t="shared" si="203"/>
        <v>0</v>
      </c>
      <c r="IR10" s="12">
        <f t="shared" si="204"/>
        <v>0</v>
      </c>
      <c r="IS10" s="12">
        <f t="shared" si="205"/>
        <v>0</v>
      </c>
      <c r="IT10" s="12">
        <f t="shared" si="206"/>
        <v>0</v>
      </c>
      <c r="IU10" s="12">
        <f t="shared" si="207"/>
        <v>0</v>
      </c>
      <c r="IV10" s="12">
        <f t="shared" si="208"/>
        <v>0</v>
      </c>
      <c r="IW10" s="12">
        <f t="shared" si="209"/>
        <v>0</v>
      </c>
      <c r="IX10" s="12">
        <f t="shared" si="210"/>
        <v>0</v>
      </c>
      <c r="IY10" s="12">
        <f t="shared" si="211"/>
        <v>0</v>
      </c>
      <c r="IZ10" s="12">
        <f t="shared" si="212"/>
        <v>1</v>
      </c>
      <c r="JA10" s="13">
        <f t="shared" si="213"/>
        <v>0</v>
      </c>
      <c r="JB10" s="13">
        <f t="shared" si="214"/>
        <v>0</v>
      </c>
      <c r="JC10" s="13">
        <f t="shared" si="215"/>
        <v>0</v>
      </c>
      <c r="JD10" s="13">
        <f t="shared" si="216"/>
        <v>0</v>
      </c>
      <c r="JE10" s="13">
        <f t="shared" si="217"/>
        <v>0</v>
      </c>
      <c r="JF10" s="13">
        <f t="shared" si="218"/>
        <v>0</v>
      </c>
      <c r="JG10" s="13">
        <f t="shared" si="219"/>
        <v>0</v>
      </c>
      <c r="JH10" s="13">
        <f t="shared" si="220"/>
        <v>0</v>
      </c>
      <c r="JI10" s="13">
        <f t="shared" si="221"/>
        <v>0</v>
      </c>
      <c r="JJ10" s="13">
        <f t="shared" si="222"/>
        <v>0</v>
      </c>
      <c r="JK10" s="13">
        <f t="shared" si="223"/>
        <v>0</v>
      </c>
      <c r="JL10" s="13">
        <f t="shared" si="224"/>
        <v>0</v>
      </c>
      <c r="JM10" s="13">
        <f t="shared" si="225"/>
        <v>0</v>
      </c>
      <c r="JN10" s="13">
        <f t="shared" si="226"/>
        <v>0</v>
      </c>
      <c r="JO10" s="13">
        <f t="shared" si="227"/>
        <v>0</v>
      </c>
      <c r="JP10" s="13">
        <f t="shared" si="228"/>
        <v>0</v>
      </c>
      <c r="JQ10" s="13">
        <f t="shared" si="229"/>
        <v>0</v>
      </c>
      <c r="JR10" s="13">
        <f t="shared" si="230"/>
        <v>0</v>
      </c>
      <c r="JS10" s="13">
        <f t="shared" si="231"/>
        <v>0</v>
      </c>
      <c r="JT10" s="13">
        <f t="shared" si="232"/>
        <v>0</v>
      </c>
      <c r="JU10" s="13">
        <f t="shared" si="233"/>
        <v>0</v>
      </c>
      <c r="JV10" s="12">
        <f t="shared" si="234"/>
        <v>0</v>
      </c>
      <c r="JW10" s="12">
        <f t="shared" si="235"/>
        <v>0</v>
      </c>
      <c r="JX10" s="12">
        <f t="shared" si="236"/>
        <v>0</v>
      </c>
      <c r="JY10" s="12">
        <f t="shared" si="237"/>
        <v>0</v>
      </c>
      <c r="JZ10" s="12">
        <f t="shared" si="238"/>
        <v>0</v>
      </c>
      <c r="KA10" s="12">
        <f t="shared" si="239"/>
        <v>0</v>
      </c>
      <c r="KB10" s="12">
        <f t="shared" si="240"/>
        <v>0</v>
      </c>
      <c r="KC10" s="12">
        <f t="shared" si="241"/>
        <v>0</v>
      </c>
      <c r="KD10" s="12">
        <f t="shared" si="242"/>
        <v>0</v>
      </c>
      <c r="KE10" s="12">
        <f t="shared" si="243"/>
        <v>0</v>
      </c>
      <c r="KF10" s="12">
        <f t="shared" si="244"/>
        <v>0</v>
      </c>
      <c r="KG10" s="12">
        <f t="shared" si="245"/>
        <v>0</v>
      </c>
      <c r="KH10" s="12">
        <f t="shared" si="246"/>
        <v>0</v>
      </c>
      <c r="KI10" s="12">
        <f t="shared" si="247"/>
        <v>0</v>
      </c>
      <c r="KJ10" s="12">
        <f t="shared" si="248"/>
        <v>0</v>
      </c>
      <c r="KK10" s="12">
        <f t="shared" si="249"/>
        <v>0</v>
      </c>
      <c r="KL10" s="12">
        <f t="shared" si="250"/>
        <v>0</v>
      </c>
      <c r="KM10" s="12">
        <f t="shared" si="251"/>
        <v>0</v>
      </c>
      <c r="KN10" s="12">
        <f t="shared" si="252"/>
        <v>0</v>
      </c>
      <c r="KO10" s="12">
        <f t="shared" si="253"/>
        <v>0</v>
      </c>
      <c r="KP10" s="12">
        <f t="shared" si="254"/>
        <v>0</v>
      </c>
      <c r="KQ10" s="12">
        <f t="shared" si="255"/>
        <v>0</v>
      </c>
      <c r="KR10" s="12">
        <f t="shared" si="256"/>
        <v>0</v>
      </c>
      <c r="KS10" s="12">
        <f t="shared" si="257"/>
        <v>0</v>
      </c>
      <c r="KT10" s="12">
        <f t="shared" si="258"/>
        <v>0</v>
      </c>
      <c r="KU10" s="12">
        <f t="shared" si="259"/>
        <v>0</v>
      </c>
      <c r="KV10" s="12">
        <f t="shared" si="260"/>
        <v>0</v>
      </c>
      <c r="KW10" s="12">
        <f t="shared" si="261"/>
        <v>0</v>
      </c>
      <c r="KX10" s="12">
        <f t="shared" si="262"/>
        <v>0</v>
      </c>
      <c r="KY10" s="12">
        <f t="shared" si="263"/>
        <v>0</v>
      </c>
      <c r="KZ10" s="12">
        <f t="shared" si="264"/>
        <v>0</v>
      </c>
      <c r="LA10" s="12">
        <f t="shared" si="265"/>
        <v>0</v>
      </c>
      <c r="LB10" s="12">
        <f t="shared" si="266"/>
        <v>0</v>
      </c>
      <c r="LC10" s="12">
        <f t="shared" si="267"/>
        <v>0</v>
      </c>
      <c r="LD10" s="12">
        <f t="shared" si="268"/>
        <v>0</v>
      </c>
      <c r="LE10" s="12">
        <f t="shared" si="269"/>
        <v>0</v>
      </c>
      <c r="LF10" s="12">
        <f t="shared" si="270"/>
        <v>0</v>
      </c>
      <c r="LG10" s="12">
        <f t="shared" si="271"/>
        <v>0</v>
      </c>
      <c r="LH10" s="12">
        <f t="shared" si="272"/>
        <v>0</v>
      </c>
      <c r="LI10" s="12">
        <f t="shared" si="273"/>
        <v>0</v>
      </c>
      <c r="LJ10" s="12">
        <f t="shared" si="274"/>
        <v>0</v>
      </c>
      <c r="LK10" s="12">
        <f t="shared" si="275"/>
        <v>0</v>
      </c>
      <c r="LL10" s="12">
        <f t="shared" si="276"/>
        <v>0</v>
      </c>
      <c r="LM10" s="12">
        <f t="shared" si="277"/>
        <v>0</v>
      </c>
      <c r="LN10" s="12">
        <f t="shared" si="278"/>
        <v>0</v>
      </c>
      <c r="LO10" s="12">
        <f t="shared" si="279"/>
        <v>0</v>
      </c>
      <c r="LP10" s="12">
        <f t="shared" si="280"/>
        <v>0</v>
      </c>
      <c r="LQ10" s="12">
        <f t="shared" si="281"/>
        <v>0</v>
      </c>
      <c r="LR10" s="12">
        <f t="shared" si="282"/>
        <v>0</v>
      </c>
      <c r="LS10" s="12">
        <f t="shared" si="283"/>
        <v>0</v>
      </c>
      <c r="LT10" s="13">
        <f t="shared" si="284"/>
        <v>0</v>
      </c>
      <c r="LU10" s="13">
        <f t="shared" si="285"/>
        <v>0</v>
      </c>
      <c r="LV10" s="13">
        <f t="shared" si="286"/>
        <v>0</v>
      </c>
      <c r="LW10" s="13">
        <f t="shared" si="287"/>
        <v>0</v>
      </c>
      <c r="LX10" s="13">
        <f t="shared" si="288"/>
        <v>0</v>
      </c>
      <c r="LY10" s="13">
        <f t="shared" si="289"/>
        <v>0</v>
      </c>
      <c r="LZ10" s="13">
        <f t="shared" si="290"/>
        <v>0</v>
      </c>
      <c r="MA10" s="13">
        <f t="shared" si="291"/>
        <v>0</v>
      </c>
      <c r="MB10" s="13">
        <f t="shared" si="292"/>
        <v>0</v>
      </c>
      <c r="MC10" s="13">
        <f t="shared" si="293"/>
        <v>0</v>
      </c>
      <c r="MD10" s="13">
        <f t="shared" si="294"/>
        <v>0</v>
      </c>
      <c r="ME10" s="13">
        <f t="shared" si="295"/>
        <v>0</v>
      </c>
      <c r="MF10" s="13">
        <f t="shared" si="296"/>
        <v>0</v>
      </c>
      <c r="MG10" s="13">
        <f t="shared" si="297"/>
        <v>0</v>
      </c>
      <c r="MH10" s="13">
        <f t="shared" si="298"/>
        <v>0</v>
      </c>
      <c r="MI10" s="13">
        <f t="shared" si="299"/>
        <v>0</v>
      </c>
      <c r="MJ10" s="13">
        <f t="shared" si="300"/>
        <v>0</v>
      </c>
      <c r="MK10" s="13">
        <f t="shared" si="301"/>
        <v>0</v>
      </c>
      <c r="ML10" s="14">
        <f t="shared" si="302"/>
        <v>0</v>
      </c>
      <c r="MM10" s="14">
        <f t="shared" si="303"/>
        <v>0</v>
      </c>
      <c r="MN10" s="14">
        <f t="shared" si="304"/>
        <v>0</v>
      </c>
      <c r="MO10" s="14">
        <f t="shared" si="305"/>
        <v>0</v>
      </c>
      <c r="MP10" s="14">
        <f t="shared" si="306"/>
        <v>0</v>
      </c>
      <c r="MQ10" s="14">
        <f t="shared" si="307"/>
        <v>0</v>
      </c>
      <c r="MR10" s="14">
        <f t="shared" si="308"/>
        <v>0</v>
      </c>
      <c r="MS10" s="14">
        <f t="shared" si="309"/>
        <v>0</v>
      </c>
      <c r="MT10" s="14">
        <f t="shared" si="310"/>
        <v>0</v>
      </c>
      <c r="MU10" s="14">
        <f t="shared" si="311"/>
        <v>0</v>
      </c>
      <c r="MV10" s="14">
        <f t="shared" si="312"/>
        <v>0</v>
      </c>
      <c r="MW10" s="14">
        <f t="shared" si="313"/>
        <v>0</v>
      </c>
      <c r="MX10" s="14">
        <f t="shared" si="314"/>
        <v>0</v>
      </c>
      <c r="MY10" s="14">
        <f t="shared" si="315"/>
        <v>0</v>
      </c>
      <c r="MZ10" s="14">
        <f t="shared" si="316"/>
        <v>0</v>
      </c>
      <c r="NA10" s="14">
        <f t="shared" si="317"/>
        <v>0</v>
      </c>
      <c r="NB10" s="14">
        <f t="shared" si="318"/>
        <v>0</v>
      </c>
    </row>
    <row r="11">
      <c r="A11" s="2">
        <v>605.0</v>
      </c>
      <c r="B11" s="2" t="s">
        <v>541</v>
      </c>
      <c r="C11" s="2" t="s">
        <v>542</v>
      </c>
      <c r="D11" s="2" t="s">
        <v>543</v>
      </c>
      <c r="E11" s="2">
        <v>2022.0</v>
      </c>
      <c r="F11" s="2" t="s">
        <v>544</v>
      </c>
      <c r="G11" s="2">
        <v>71.0</v>
      </c>
      <c r="H11" s="2" t="s">
        <v>452</v>
      </c>
      <c r="J11" s="2" t="s">
        <v>545</v>
      </c>
      <c r="K11" s="2" t="s">
        <v>546</v>
      </c>
      <c r="M11" s="2">
        <v>105.0</v>
      </c>
      <c r="N11" s="2" t="s">
        <v>547</v>
      </c>
      <c r="O11" s="2" t="s">
        <v>548</v>
      </c>
      <c r="P11" s="2" t="s">
        <v>549</v>
      </c>
      <c r="Q11" s="2" t="s">
        <v>550</v>
      </c>
      <c r="R11" s="2" t="s">
        <v>551</v>
      </c>
      <c r="T11" s="2" t="s">
        <v>552</v>
      </c>
      <c r="Y11" s="2" t="s">
        <v>553</v>
      </c>
      <c r="AB11" s="2" t="s">
        <v>554</v>
      </c>
      <c r="AG11" s="2" t="s">
        <v>555</v>
      </c>
      <c r="AK11" s="2" t="s">
        <v>556</v>
      </c>
      <c r="AL11" s="2" t="s">
        <v>384</v>
      </c>
      <c r="AM11" s="2" t="s">
        <v>385</v>
      </c>
      <c r="AN11" s="2" t="s">
        <v>386</v>
      </c>
      <c r="AO11" s="2" t="s">
        <v>557</v>
      </c>
      <c r="AP11" s="2" t="s">
        <v>386</v>
      </c>
      <c r="AQ11" s="2">
        <v>2351.0</v>
      </c>
      <c r="AR11" s="2" t="s">
        <v>558</v>
      </c>
      <c r="AS11" s="2" t="b">
        <v>1</v>
      </c>
      <c r="AT11" s="3">
        <v>0.0</v>
      </c>
      <c r="AU11" s="4"/>
      <c r="AV11" s="4"/>
      <c r="AW11" s="5">
        <f t="shared" si="3"/>
        <v>0</v>
      </c>
      <c r="AX11" s="5">
        <f t="shared" si="4"/>
        <v>0</v>
      </c>
      <c r="AY11" s="5">
        <f t="shared" si="5"/>
        <v>0</v>
      </c>
      <c r="AZ11" s="5">
        <f t="shared" si="6"/>
        <v>0</v>
      </c>
      <c r="BA11" s="5">
        <f t="shared" si="7"/>
        <v>0</v>
      </c>
      <c r="BB11" s="5">
        <f t="shared" si="8"/>
        <v>0</v>
      </c>
      <c r="BC11" s="5">
        <f t="shared" si="9"/>
        <v>0</v>
      </c>
      <c r="BD11" s="5">
        <f t="shared" si="10"/>
        <v>0</v>
      </c>
      <c r="BE11" s="5">
        <f t="shared" si="11"/>
        <v>0</v>
      </c>
      <c r="BF11" s="5">
        <f t="shared" si="12"/>
        <v>0</v>
      </c>
      <c r="BG11" s="5">
        <f t="shared" si="13"/>
        <v>0</v>
      </c>
      <c r="BH11" s="5">
        <f t="shared" si="14"/>
        <v>0</v>
      </c>
      <c r="BI11" s="5">
        <f t="shared" si="15"/>
        <v>0</v>
      </c>
      <c r="BJ11" s="5">
        <f t="shared" si="16"/>
        <v>0</v>
      </c>
      <c r="BK11" s="5">
        <f t="shared" si="17"/>
        <v>0</v>
      </c>
      <c r="BL11" s="5">
        <f t="shared" si="18"/>
        <v>0</v>
      </c>
      <c r="BM11" s="5">
        <f t="shared" si="19"/>
        <v>0</v>
      </c>
      <c r="BN11" s="5">
        <f t="shared" si="20"/>
        <v>0</v>
      </c>
      <c r="BO11" s="5">
        <f t="shared" si="21"/>
        <v>0</v>
      </c>
      <c r="BP11" s="5">
        <f t="shared" si="22"/>
        <v>0</v>
      </c>
      <c r="BQ11" s="5">
        <f t="shared" si="23"/>
        <v>0</v>
      </c>
      <c r="BR11" s="5">
        <f t="shared" si="24"/>
        <v>0</v>
      </c>
      <c r="BS11" s="5">
        <f t="shared" si="25"/>
        <v>0</v>
      </c>
      <c r="BT11" s="5">
        <f t="shared" si="26"/>
        <v>0</v>
      </c>
      <c r="BU11" s="5">
        <f t="shared" si="27"/>
        <v>0</v>
      </c>
      <c r="BV11" s="5">
        <f t="shared" ref="BV11:BW11" si="335">IF(OR(ISNUMBER(SEARCH("grit",$D11)),ISNUMBER(SEARCH("grit",$T11)),ISNUMBER(SEARCH("grit",$R11)),ISNUMBER(SEARCH("grit",$S11)),
ISNUMBER(SEARCH("determination",$D11)),ISNUMBER(SEARCH("determination",$T11)),ISNUMBER(SEARCH("determination",$R11)),ISNUMBER(SEARCH("determination",$S11)),
ISNUMBER(SEARCH("tenacity",$D11)),ISNUMBER(SEARCH("tenacity",$T11)),ISNUMBER(SEARCH("tenacity",$R11)),ISNUMBER(SEARCH("tenacity",$S11)),
ISNUMBER(SEARCH("endurance",$D11)),ISNUMBER(SEARCH("endurance",$T11)),ISNUMBER(SEARCH("endurance",$R11)),ISNUMBER(SEARCH("endurance",$S11)),
ISNUMBER(SEARCH("fortitude",$D11)),ISNUMBER(SEARCH("fortitude",$T11)),ISNUMBER(SEARCH("fortitude",$R11)),ISNUMBER(SEARCH("fortitude",$S11)),
ISNUMBER(SEARCH("resolve",$D11)),ISNUMBER(SEARCH("resolve",$T11)),ISNUMBER(SEARCH("resolve",$R11)),ISNUMBER(SEARCH("resolve",$S11)),
ISNUMBER(SEARCH("stamina",$D11)),ISNUMBER(SEARCH("stamina",$T11)),ISNUMBER(SEARCH("stamina",$R11)),ISNUMBER(SEARCH("stamina",$S11)),
ISNUMBER(SEARCH("guts",$D11)),ISNUMBER(SEARCH("guts",$T11)),ISNUMBER(SEARCH("guts",$R11)),ISNUMBER(SEARCH("guts",$S11)),
ISNUMBER(SEARCH("spunk",$D11)),ISNUMBER(SEARCH("spunk",$T11)),ISNUMBER(SEARCH("spunk",$R11)),ISNUMBER(SEARCH("spunk",$S11))), 1, 0)</f>
        <v>0</v>
      </c>
      <c r="BW11" s="5">
        <f t="shared" si="335"/>
        <v>0</v>
      </c>
      <c r="BX11" s="5">
        <f t="shared" si="29"/>
        <v>0</v>
      </c>
      <c r="BY11" s="5">
        <f t="shared" si="30"/>
        <v>0</v>
      </c>
      <c r="BZ11" s="5">
        <f t="shared" si="31"/>
        <v>0</v>
      </c>
      <c r="CA11" s="5">
        <f t="shared" si="32"/>
        <v>0</v>
      </c>
      <c r="CB11" s="5">
        <f t="shared" si="33"/>
        <v>0</v>
      </c>
      <c r="CC11" s="5">
        <f t="shared" si="34"/>
        <v>0</v>
      </c>
      <c r="CD11" s="5">
        <f t="shared" si="35"/>
        <v>0</v>
      </c>
      <c r="CE11" s="5">
        <f t="shared" si="36"/>
        <v>0</v>
      </c>
      <c r="CF11" s="5">
        <f t="shared" si="37"/>
        <v>0</v>
      </c>
      <c r="CG11" s="5">
        <f t="shared" si="38"/>
        <v>0</v>
      </c>
      <c r="CH11" s="5">
        <f t="shared" si="39"/>
        <v>0</v>
      </c>
      <c r="CI11" s="5">
        <f t="shared" si="40"/>
        <v>0</v>
      </c>
      <c r="CJ11" s="5">
        <f t="shared" si="41"/>
        <v>0</v>
      </c>
      <c r="CK11" s="5">
        <f t="shared" si="42"/>
        <v>0</v>
      </c>
      <c r="CL11" s="5">
        <f t="shared" si="43"/>
        <v>0</v>
      </c>
      <c r="CM11" s="5">
        <f t="shared" si="44"/>
        <v>0</v>
      </c>
      <c r="CN11" s="5">
        <f t="shared" si="45"/>
        <v>0</v>
      </c>
      <c r="CO11" s="5">
        <f t="shared" si="46"/>
        <v>0</v>
      </c>
      <c r="CP11" s="6">
        <f t="shared" si="47"/>
        <v>0</v>
      </c>
      <c r="CQ11" s="6">
        <f t="shared" si="48"/>
        <v>0</v>
      </c>
      <c r="CR11" s="6">
        <f t="shared" si="49"/>
        <v>0</v>
      </c>
      <c r="CS11" s="6">
        <f t="shared" si="50"/>
        <v>0</v>
      </c>
      <c r="CT11" s="6">
        <f t="shared" si="51"/>
        <v>0</v>
      </c>
      <c r="CU11" s="6">
        <f t="shared" si="52"/>
        <v>0</v>
      </c>
      <c r="CV11" s="6">
        <f t="shared" si="53"/>
        <v>0</v>
      </c>
      <c r="CW11" s="6">
        <f t="shared" si="54"/>
        <v>0</v>
      </c>
      <c r="CX11" s="6">
        <f t="shared" si="55"/>
        <v>0</v>
      </c>
      <c r="CY11" s="6">
        <f t="shared" si="56"/>
        <v>0</v>
      </c>
      <c r="CZ11" s="6">
        <f t="shared" si="57"/>
        <v>0</v>
      </c>
      <c r="DA11" s="6">
        <f t="shared" si="58"/>
        <v>0</v>
      </c>
      <c r="DB11" s="6">
        <f t="shared" si="59"/>
        <v>0</v>
      </c>
      <c r="DC11" s="6">
        <f t="shared" si="60"/>
        <v>0</v>
      </c>
      <c r="DD11" s="6">
        <f t="shared" si="61"/>
        <v>0</v>
      </c>
      <c r="DE11" s="6">
        <f t="shared" si="62"/>
        <v>0</v>
      </c>
      <c r="DF11" s="6">
        <f t="shared" si="63"/>
        <v>0</v>
      </c>
      <c r="DG11" s="6">
        <f t="shared" si="64"/>
        <v>0</v>
      </c>
      <c r="DH11" s="6">
        <f t="shared" si="322"/>
        <v>0</v>
      </c>
      <c r="DI11" s="6">
        <f t="shared" si="66"/>
        <v>0</v>
      </c>
      <c r="DJ11" s="6">
        <f t="shared" si="67"/>
        <v>0</v>
      </c>
      <c r="DK11" s="7">
        <f t="shared" si="68"/>
        <v>0</v>
      </c>
      <c r="DL11" s="7">
        <f t="shared" si="323"/>
        <v>0</v>
      </c>
      <c r="DM11" s="7">
        <f t="shared" si="70"/>
        <v>0</v>
      </c>
      <c r="DN11" s="7">
        <f t="shared" si="71"/>
        <v>0</v>
      </c>
      <c r="DO11" s="7">
        <f t="shared" si="72"/>
        <v>0</v>
      </c>
      <c r="DP11" s="8">
        <f t="shared" si="73"/>
        <v>0</v>
      </c>
      <c r="DQ11" s="8">
        <f t="shared" si="74"/>
        <v>1</v>
      </c>
      <c r="DR11" s="7">
        <f t="shared" si="75"/>
        <v>0</v>
      </c>
      <c r="DS11" s="7">
        <f t="shared" si="76"/>
        <v>0</v>
      </c>
      <c r="DT11" s="7">
        <f t="shared" si="77"/>
        <v>0</v>
      </c>
      <c r="DU11" s="9">
        <f t="shared" si="78"/>
        <v>0</v>
      </c>
      <c r="DV11" s="9">
        <f t="shared" si="79"/>
        <v>0</v>
      </c>
      <c r="DW11" s="9">
        <f t="shared" si="80"/>
        <v>0</v>
      </c>
      <c r="DX11" s="9">
        <f t="shared" si="81"/>
        <v>0</v>
      </c>
      <c r="DY11" s="9">
        <f t="shared" si="82"/>
        <v>0</v>
      </c>
      <c r="DZ11" s="9">
        <f t="shared" si="83"/>
        <v>0</v>
      </c>
      <c r="EA11" s="9">
        <f t="shared" si="84"/>
        <v>0</v>
      </c>
      <c r="EB11" s="9">
        <f t="shared" si="85"/>
        <v>0</v>
      </c>
      <c r="EC11" s="9">
        <f t="shared" si="86"/>
        <v>0</v>
      </c>
      <c r="ED11" s="9">
        <f t="shared" si="87"/>
        <v>0</v>
      </c>
      <c r="EE11" s="9">
        <f t="shared" si="88"/>
        <v>0</v>
      </c>
      <c r="EF11" s="9">
        <f t="shared" si="89"/>
        <v>0</v>
      </c>
      <c r="EG11" s="9">
        <f t="shared" si="90"/>
        <v>0</v>
      </c>
      <c r="EH11" s="9">
        <f t="shared" si="91"/>
        <v>0</v>
      </c>
      <c r="EI11" s="9">
        <f t="shared" si="92"/>
        <v>0</v>
      </c>
      <c r="EJ11" s="10">
        <f t="shared" si="93"/>
        <v>0</v>
      </c>
      <c r="EK11" s="10">
        <f t="shared" si="94"/>
        <v>0</v>
      </c>
      <c r="EL11" s="10">
        <f t="shared" ref="EL11:EM11" si="336">IF(OR(ISNUMBER(SEARCH("ai software toolkit", $D11)), ISNUMBER(SEARCH("ai software toolkit", $T11)), ISNUMBER(SEARCH("ai software toolkit", $R11)), ISNUMBER(SEARCH("ai software toolkit", $S11))), 1, 0)</f>
        <v>0</v>
      </c>
      <c r="EM11" s="10">
        <f t="shared" si="336"/>
        <v>0</v>
      </c>
      <c r="EN11" s="10">
        <f t="shared" si="96"/>
        <v>0</v>
      </c>
      <c r="EO11" s="10">
        <f t="shared" si="97"/>
        <v>0</v>
      </c>
      <c r="EP11" s="10">
        <f t="shared" si="98"/>
        <v>0</v>
      </c>
      <c r="EQ11" s="10">
        <f t="shared" si="99"/>
        <v>0</v>
      </c>
      <c r="ER11" s="10">
        <f t="shared" si="100"/>
        <v>0</v>
      </c>
      <c r="ES11" s="10">
        <f t="shared" si="101"/>
        <v>0</v>
      </c>
      <c r="ET11" s="10">
        <f t="shared" si="102"/>
        <v>0</v>
      </c>
      <c r="EU11" s="10">
        <f t="shared" si="103"/>
        <v>0</v>
      </c>
      <c r="EV11" s="10">
        <f t="shared" si="104"/>
        <v>0</v>
      </c>
      <c r="EW11" s="10">
        <f t="shared" si="105"/>
        <v>0</v>
      </c>
      <c r="EX11" s="10">
        <f t="shared" si="106"/>
        <v>0</v>
      </c>
      <c r="EY11" s="10">
        <f t="shared" si="107"/>
        <v>0</v>
      </c>
      <c r="EZ11" s="10">
        <f t="shared" si="108"/>
        <v>0</v>
      </c>
      <c r="FA11" s="10">
        <f t="shared" si="109"/>
        <v>0</v>
      </c>
      <c r="FB11" s="10">
        <f t="shared" si="110"/>
        <v>0</v>
      </c>
      <c r="FC11" s="10">
        <f t="shared" si="111"/>
        <v>0</v>
      </c>
      <c r="FD11" s="10">
        <f t="shared" si="112"/>
        <v>0</v>
      </c>
      <c r="FE11" s="10">
        <f t="shared" si="113"/>
        <v>1</v>
      </c>
      <c r="FF11" s="10">
        <f t="shared" si="114"/>
        <v>0</v>
      </c>
      <c r="FG11" s="10">
        <f t="shared" si="115"/>
        <v>0</v>
      </c>
      <c r="FH11" s="10">
        <f t="shared" si="116"/>
        <v>0</v>
      </c>
      <c r="FI11" s="10">
        <f t="shared" si="117"/>
        <v>0</v>
      </c>
      <c r="FJ11" s="10">
        <f t="shared" si="118"/>
        <v>0</v>
      </c>
      <c r="FK11" s="10">
        <f t="shared" si="119"/>
        <v>0</v>
      </c>
      <c r="FL11" s="10">
        <f t="shared" si="120"/>
        <v>0</v>
      </c>
      <c r="FM11" s="10">
        <f t="shared" si="121"/>
        <v>0</v>
      </c>
      <c r="FN11" s="10">
        <f t="shared" si="122"/>
        <v>0</v>
      </c>
      <c r="FO11" s="10">
        <f t="shared" si="123"/>
        <v>0</v>
      </c>
      <c r="FP11" s="10">
        <f t="shared" si="124"/>
        <v>0</v>
      </c>
      <c r="FQ11" s="10">
        <f t="shared" si="125"/>
        <v>0</v>
      </c>
      <c r="FR11" s="11">
        <f t="shared" si="126"/>
        <v>0</v>
      </c>
      <c r="FS11" s="11">
        <f t="shared" si="127"/>
        <v>0</v>
      </c>
      <c r="FT11" s="11">
        <f t="shared" si="128"/>
        <v>0</v>
      </c>
      <c r="FU11" s="11">
        <f t="shared" si="129"/>
        <v>0</v>
      </c>
      <c r="FV11" s="11">
        <f t="shared" si="130"/>
        <v>0</v>
      </c>
      <c r="FW11" s="11">
        <f t="shared" si="131"/>
        <v>0</v>
      </c>
      <c r="FX11" s="11">
        <f t="shared" si="132"/>
        <v>0</v>
      </c>
      <c r="FY11" s="11">
        <f t="shared" si="133"/>
        <v>0</v>
      </c>
      <c r="FZ11" s="11">
        <f t="shared" si="134"/>
        <v>0</v>
      </c>
      <c r="GA11" s="11">
        <f t="shared" si="135"/>
        <v>0</v>
      </c>
      <c r="GB11" s="11">
        <f t="shared" si="136"/>
        <v>0</v>
      </c>
      <c r="GC11" s="11">
        <f t="shared" si="137"/>
        <v>0</v>
      </c>
      <c r="GD11" s="11">
        <f t="shared" si="138"/>
        <v>0</v>
      </c>
      <c r="GE11" s="11">
        <f t="shared" si="139"/>
        <v>0</v>
      </c>
      <c r="GF11" s="11">
        <f t="shared" si="140"/>
        <v>0</v>
      </c>
      <c r="GG11" s="11">
        <f t="shared" si="141"/>
        <v>0</v>
      </c>
      <c r="GH11" s="11">
        <f t="shared" si="142"/>
        <v>0</v>
      </c>
      <c r="GI11" s="11">
        <f t="shared" si="143"/>
        <v>0</v>
      </c>
      <c r="GJ11" s="11">
        <f t="shared" si="144"/>
        <v>0</v>
      </c>
      <c r="GK11" s="11">
        <f t="shared" si="145"/>
        <v>0</v>
      </c>
      <c r="GL11" s="11">
        <f t="shared" si="146"/>
        <v>0</v>
      </c>
      <c r="GM11" s="11">
        <f t="shared" si="147"/>
        <v>0</v>
      </c>
      <c r="GN11" s="11">
        <f t="shared" si="148"/>
        <v>0</v>
      </c>
      <c r="GO11" s="11">
        <f t="shared" si="149"/>
        <v>0</v>
      </c>
      <c r="GP11" s="11">
        <f t="shared" si="150"/>
        <v>0</v>
      </c>
      <c r="GQ11" s="11">
        <f t="shared" si="151"/>
        <v>0</v>
      </c>
      <c r="GR11" s="11">
        <f t="shared" si="152"/>
        <v>0</v>
      </c>
      <c r="GS11" s="11">
        <f t="shared" si="153"/>
        <v>0</v>
      </c>
      <c r="GT11" s="11">
        <f t="shared" si="154"/>
        <v>0</v>
      </c>
      <c r="GU11" s="12">
        <f t="shared" si="155"/>
        <v>0</v>
      </c>
      <c r="GV11" s="12">
        <f t="shared" si="156"/>
        <v>0</v>
      </c>
      <c r="GW11" s="12">
        <f t="shared" si="157"/>
        <v>0</v>
      </c>
      <c r="GX11" s="12">
        <f t="shared" si="158"/>
        <v>0</v>
      </c>
      <c r="GY11" s="12">
        <f t="shared" si="159"/>
        <v>0</v>
      </c>
      <c r="GZ11" s="12">
        <f t="shared" si="160"/>
        <v>0</v>
      </c>
      <c r="HA11" s="12">
        <f t="shared" si="161"/>
        <v>0</v>
      </c>
      <c r="HB11" s="12">
        <f t="shared" si="162"/>
        <v>0</v>
      </c>
      <c r="HC11" s="12">
        <f t="shared" si="163"/>
        <v>0</v>
      </c>
      <c r="HD11" s="12">
        <f t="shared" si="164"/>
        <v>0</v>
      </c>
      <c r="HE11" s="12">
        <f t="shared" si="165"/>
        <v>0</v>
      </c>
      <c r="HF11" s="12">
        <f t="shared" si="166"/>
        <v>0</v>
      </c>
      <c r="HG11" s="12">
        <f t="shared" si="167"/>
        <v>0</v>
      </c>
      <c r="HH11" s="12">
        <f t="shared" si="168"/>
        <v>0</v>
      </c>
      <c r="HI11" s="12">
        <f t="shared" si="169"/>
        <v>0</v>
      </c>
      <c r="HJ11" s="12">
        <f t="shared" si="170"/>
        <v>0</v>
      </c>
      <c r="HK11" s="12">
        <f t="shared" si="171"/>
        <v>0</v>
      </c>
      <c r="HL11" s="12">
        <f t="shared" si="172"/>
        <v>0</v>
      </c>
      <c r="HM11" s="12">
        <f t="shared" si="173"/>
        <v>0</v>
      </c>
      <c r="HN11" s="12">
        <f t="shared" si="174"/>
        <v>0</v>
      </c>
      <c r="HO11" s="12">
        <f t="shared" si="175"/>
        <v>0</v>
      </c>
      <c r="HP11" s="12">
        <f t="shared" si="176"/>
        <v>0</v>
      </c>
      <c r="HQ11" s="12">
        <f t="shared" si="177"/>
        <v>0</v>
      </c>
      <c r="HR11" s="12">
        <f t="shared" si="178"/>
        <v>0</v>
      </c>
      <c r="HS11" s="12">
        <f t="shared" si="179"/>
        <v>0</v>
      </c>
      <c r="HT11" s="12">
        <f t="shared" si="180"/>
        <v>0</v>
      </c>
      <c r="HU11" s="12">
        <f t="shared" si="181"/>
        <v>0</v>
      </c>
      <c r="HV11" s="12">
        <f t="shared" si="182"/>
        <v>0</v>
      </c>
      <c r="HW11" s="12">
        <f t="shared" si="183"/>
        <v>0</v>
      </c>
      <c r="HX11" s="12">
        <f t="shared" si="184"/>
        <v>0</v>
      </c>
      <c r="HY11" s="12">
        <f t="shared" si="185"/>
        <v>0</v>
      </c>
      <c r="HZ11" s="12">
        <f t="shared" si="186"/>
        <v>0</v>
      </c>
      <c r="IA11" s="12">
        <f t="shared" si="187"/>
        <v>0</v>
      </c>
      <c r="IB11" s="12">
        <f t="shared" si="188"/>
        <v>0</v>
      </c>
      <c r="IC11" s="12">
        <f t="shared" si="189"/>
        <v>0</v>
      </c>
      <c r="ID11" s="12">
        <f t="shared" si="190"/>
        <v>0</v>
      </c>
      <c r="IE11" s="12">
        <f t="shared" si="191"/>
        <v>0</v>
      </c>
      <c r="IF11" s="12">
        <f t="shared" si="192"/>
        <v>0</v>
      </c>
      <c r="IG11" s="12">
        <f t="shared" si="193"/>
        <v>0</v>
      </c>
      <c r="IH11" s="12">
        <f t="shared" si="194"/>
        <v>0</v>
      </c>
      <c r="II11" s="12">
        <f t="shared" si="195"/>
        <v>0</v>
      </c>
      <c r="IJ11" s="12">
        <f t="shared" si="196"/>
        <v>0</v>
      </c>
      <c r="IK11" s="12">
        <f t="shared" si="197"/>
        <v>0</v>
      </c>
      <c r="IL11" s="12">
        <f t="shared" si="198"/>
        <v>0</v>
      </c>
      <c r="IM11" s="12">
        <f t="shared" si="199"/>
        <v>0</v>
      </c>
      <c r="IN11" s="12">
        <f t="shared" si="200"/>
        <v>0</v>
      </c>
      <c r="IO11" s="12">
        <f t="shared" si="201"/>
        <v>0</v>
      </c>
      <c r="IP11" s="12">
        <f t="shared" si="202"/>
        <v>0</v>
      </c>
      <c r="IQ11" s="12">
        <f t="shared" si="203"/>
        <v>0</v>
      </c>
      <c r="IR11" s="12">
        <f t="shared" si="204"/>
        <v>0</v>
      </c>
      <c r="IS11" s="12">
        <f t="shared" si="205"/>
        <v>0</v>
      </c>
      <c r="IT11" s="12">
        <f t="shared" si="206"/>
        <v>0</v>
      </c>
      <c r="IU11" s="12">
        <f t="shared" si="207"/>
        <v>0</v>
      </c>
      <c r="IV11" s="12">
        <f t="shared" si="208"/>
        <v>0</v>
      </c>
      <c r="IW11" s="12">
        <f t="shared" si="209"/>
        <v>0</v>
      </c>
      <c r="IX11" s="12">
        <f t="shared" si="210"/>
        <v>0</v>
      </c>
      <c r="IY11" s="12">
        <f t="shared" si="211"/>
        <v>0</v>
      </c>
      <c r="IZ11" s="12">
        <f t="shared" si="212"/>
        <v>0</v>
      </c>
      <c r="JA11" s="13">
        <f t="shared" si="213"/>
        <v>0</v>
      </c>
      <c r="JB11" s="13">
        <f t="shared" si="214"/>
        <v>0</v>
      </c>
      <c r="JC11" s="13">
        <f t="shared" si="215"/>
        <v>0</v>
      </c>
      <c r="JD11" s="13">
        <f t="shared" si="216"/>
        <v>0</v>
      </c>
      <c r="JE11" s="13">
        <f t="shared" si="217"/>
        <v>0</v>
      </c>
      <c r="JF11" s="13">
        <f t="shared" si="218"/>
        <v>0</v>
      </c>
      <c r="JG11" s="13">
        <f t="shared" si="219"/>
        <v>0</v>
      </c>
      <c r="JH11" s="13">
        <f t="shared" si="220"/>
        <v>0</v>
      </c>
      <c r="JI11" s="13">
        <f t="shared" si="221"/>
        <v>0</v>
      </c>
      <c r="JJ11" s="13">
        <f t="shared" si="222"/>
        <v>0</v>
      </c>
      <c r="JK11" s="13">
        <f t="shared" si="223"/>
        <v>0</v>
      </c>
      <c r="JL11" s="13">
        <f t="shared" si="224"/>
        <v>0</v>
      </c>
      <c r="JM11" s="13">
        <f t="shared" si="225"/>
        <v>0</v>
      </c>
      <c r="JN11" s="13">
        <f t="shared" si="226"/>
        <v>0</v>
      </c>
      <c r="JO11" s="13">
        <f t="shared" si="227"/>
        <v>0</v>
      </c>
      <c r="JP11" s="13">
        <f t="shared" si="228"/>
        <v>0</v>
      </c>
      <c r="JQ11" s="13">
        <f t="shared" si="229"/>
        <v>0</v>
      </c>
      <c r="JR11" s="13">
        <f t="shared" si="230"/>
        <v>0</v>
      </c>
      <c r="JS11" s="13">
        <f t="shared" si="231"/>
        <v>0</v>
      </c>
      <c r="JT11" s="13">
        <f t="shared" si="232"/>
        <v>0</v>
      </c>
      <c r="JU11" s="13">
        <f t="shared" si="233"/>
        <v>0</v>
      </c>
      <c r="JV11" s="12">
        <f t="shared" si="234"/>
        <v>0</v>
      </c>
      <c r="JW11" s="12">
        <f t="shared" si="235"/>
        <v>0</v>
      </c>
      <c r="JX11" s="12">
        <f t="shared" si="236"/>
        <v>0</v>
      </c>
      <c r="JY11" s="12">
        <f t="shared" si="237"/>
        <v>0</v>
      </c>
      <c r="JZ11" s="12">
        <f t="shared" si="238"/>
        <v>0</v>
      </c>
      <c r="KA11" s="12">
        <f t="shared" si="239"/>
        <v>0</v>
      </c>
      <c r="KB11" s="12">
        <f t="shared" si="240"/>
        <v>0</v>
      </c>
      <c r="KC11" s="12">
        <f t="shared" si="241"/>
        <v>0</v>
      </c>
      <c r="KD11" s="12">
        <f t="shared" si="242"/>
        <v>0</v>
      </c>
      <c r="KE11" s="12">
        <f t="shared" si="243"/>
        <v>0</v>
      </c>
      <c r="KF11" s="12">
        <f t="shared" si="244"/>
        <v>0</v>
      </c>
      <c r="KG11" s="12">
        <f t="shared" si="245"/>
        <v>0</v>
      </c>
      <c r="KH11" s="12">
        <f t="shared" si="246"/>
        <v>0</v>
      </c>
      <c r="KI11" s="12">
        <f t="shared" si="247"/>
        <v>0</v>
      </c>
      <c r="KJ11" s="12">
        <f t="shared" si="248"/>
        <v>0</v>
      </c>
      <c r="KK11" s="12">
        <f t="shared" si="249"/>
        <v>0</v>
      </c>
      <c r="KL11" s="12">
        <f t="shared" si="250"/>
        <v>0</v>
      </c>
      <c r="KM11" s="12">
        <f t="shared" si="251"/>
        <v>0</v>
      </c>
      <c r="KN11" s="12">
        <f t="shared" si="252"/>
        <v>0</v>
      </c>
      <c r="KO11" s="12">
        <f t="shared" si="253"/>
        <v>0</v>
      </c>
      <c r="KP11" s="12">
        <f t="shared" si="254"/>
        <v>0</v>
      </c>
      <c r="KQ11" s="12">
        <f t="shared" si="255"/>
        <v>0</v>
      </c>
      <c r="KR11" s="12">
        <f t="shared" si="256"/>
        <v>0</v>
      </c>
      <c r="KS11" s="12">
        <f t="shared" si="257"/>
        <v>0</v>
      </c>
      <c r="KT11" s="12">
        <f t="shared" si="258"/>
        <v>0</v>
      </c>
      <c r="KU11" s="12">
        <f t="shared" si="259"/>
        <v>0</v>
      </c>
      <c r="KV11" s="12">
        <f t="shared" si="260"/>
        <v>0</v>
      </c>
      <c r="KW11" s="12">
        <f t="shared" si="261"/>
        <v>0</v>
      </c>
      <c r="KX11" s="12">
        <f t="shared" si="262"/>
        <v>0</v>
      </c>
      <c r="KY11" s="12">
        <f t="shared" si="263"/>
        <v>0</v>
      </c>
      <c r="KZ11" s="12">
        <f t="shared" si="264"/>
        <v>0</v>
      </c>
      <c r="LA11" s="12">
        <f t="shared" si="265"/>
        <v>0</v>
      </c>
      <c r="LB11" s="12">
        <f t="shared" si="266"/>
        <v>0</v>
      </c>
      <c r="LC11" s="12">
        <f t="shared" si="267"/>
        <v>0</v>
      </c>
      <c r="LD11" s="12">
        <f t="shared" si="268"/>
        <v>0</v>
      </c>
      <c r="LE11" s="12">
        <f t="shared" si="269"/>
        <v>0</v>
      </c>
      <c r="LF11" s="12">
        <f t="shared" si="270"/>
        <v>0</v>
      </c>
      <c r="LG11" s="12">
        <f t="shared" si="271"/>
        <v>0</v>
      </c>
      <c r="LH11" s="12">
        <f t="shared" si="272"/>
        <v>0</v>
      </c>
      <c r="LI11" s="12">
        <f t="shared" si="273"/>
        <v>0</v>
      </c>
      <c r="LJ11" s="12">
        <f t="shared" si="274"/>
        <v>0</v>
      </c>
      <c r="LK11" s="12">
        <f t="shared" si="275"/>
        <v>0</v>
      </c>
      <c r="LL11" s="12">
        <f t="shared" si="276"/>
        <v>0</v>
      </c>
      <c r="LM11" s="12">
        <f t="shared" si="277"/>
        <v>0</v>
      </c>
      <c r="LN11" s="12">
        <f t="shared" si="278"/>
        <v>0</v>
      </c>
      <c r="LO11" s="12">
        <f t="shared" si="279"/>
        <v>0</v>
      </c>
      <c r="LP11" s="12">
        <f t="shared" si="280"/>
        <v>0</v>
      </c>
      <c r="LQ11" s="12">
        <f t="shared" si="281"/>
        <v>0</v>
      </c>
      <c r="LR11" s="12">
        <f t="shared" si="282"/>
        <v>0</v>
      </c>
      <c r="LS11" s="12">
        <f t="shared" si="283"/>
        <v>0</v>
      </c>
      <c r="LT11" s="13">
        <f t="shared" si="284"/>
        <v>0</v>
      </c>
      <c r="LU11" s="13">
        <f t="shared" si="285"/>
        <v>0</v>
      </c>
      <c r="LV11" s="13">
        <f t="shared" si="286"/>
        <v>0</v>
      </c>
      <c r="LW11" s="13">
        <f t="shared" si="287"/>
        <v>0</v>
      </c>
      <c r="LX11" s="13">
        <f t="shared" si="288"/>
        <v>0</v>
      </c>
      <c r="LY11" s="13">
        <f t="shared" si="289"/>
        <v>0</v>
      </c>
      <c r="LZ11" s="13">
        <f t="shared" si="290"/>
        <v>0</v>
      </c>
      <c r="MA11" s="13">
        <f t="shared" si="291"/>
        <v>0</v>
      </c>
      <c r="MB11" s="13">
        <f t="shared" si="292"/>
        <v>0</v>
      </c>
      <c r="MC11" s="13">
        <f t="shared" si="293"/>
        <v>0</v>
      </c>
      <c r="MD11" s="13">
        <f t="shared" si="294"/>
        <v>0</v>
      </c>
      <c r="ME11" s="13">
        <f t="shared" si="295"/>
        <v>0</v>
      </c>
      <c r="MF11" s="13">
        <f t="shared" si="296"/>
        <v>0</v>
      </c>
      <c r="MG11" s="13">
        <f t="shared" si="297"/>
        <v>0</v>
      </c>
      <c r="MH11" s="13">
        <f t="shared" si="298"/>
        <v>0</v>
      </c>
      <c r="MI11" s="13">
        <f t="shared" si="299"/>
        <v>0</v>
      </c>
      <c r="MJ11" s="13">
        <f t="shared" si="300"/>
        <v>0</v>
      </c>
      <c r="MK11" s="13">
        <f t="shared" si="301"/>
        <v>0</v>
      </c>
      <c r="ML11" s="14">
        <f t="shared" si="302"/>
        <v>0</v>
      </c>
      <c r="MM11" s="14">
        <f t="shared" si="303"/>
        <v>0</v>
      </c>
      <c r="MN11" s="14">
        <f t="shared" si="304"/>
        <v>0</v>
      </c>
      <c r="MO11" s="14">
        <f t="shared" si="305"/>
        <v>0</v>
      </c>
      <c r="MP11" s="14">
        <f t="shared" si="306"/>
        <v>0</v>
      </c>
      <c r="MQ11" s="14">
        <f t="shared" si="307"/>
        <v>0</v>
      </c>
      <c r="MR11" s="14">
        <f t="shared" si="308"/>
        <v>0</v>
      </c>
      <c r="MS11" s="14">
        <f t="shared" si="309"/>
        <v>0</v>
      </c>
      <c r="MT11" s="14">
        <f t="shared" si="310"/>
        <v>0</v>
      </c>
      <c r="MU11" s="14">
        <f t="shared" si="311"/>
        <v>0</v>
      </c>
      <c r="MV11" s="14">
        <f t="shared" si="312"/>
        <v>0</v>
      </c>
      <c r="MW11" s="14">
        <f t="shared" si="313"/>
        <v>0</v>
      </c>
      <c r="MX11" s="14">
        <f t="shared" si="314"/>
        <v>0</v>
      </c>
      <c r="MY11" s="14">
        <f t="shared" si="315"/>
        <v>0</v>
      </c>
      <c r="MZ11" s="14">
        <f t="shared" si="316"/>
        <v>0</v>
      </c>
      <c r="NA11" s="14">
        <f t="shared" si="317"/>
        <v>0</v>
      </c>
      <c r="NB11" s="14">
        <f t="shared" si="318"/>
        <v>0</v>
      </c>
    </row>
    <row r="12">
      <c r="A12" s="2">
        <v>206.0</v>
      </c>
      <c r="B12" s="2" t="s">
        <v>559</v>
      </c>
      <c r="C12" s="2" t="s">
        <v>560</v>
      </c>
      <c r="D12" s="2" t="s">
        <v>561</v>
      </c>
      <c r="E12" s="2">
        <v>2020.0</v>
      </c>
      <c r="F12" s="2" t="s">
        <v>562</v>
      </c>
      <c r="G12" s="2" t="s">
        <v>563</v>
      </c>
      <c r="H12" s="2" t="s">
        <v>564</v>
      </c>
      <c r="J12" s="2" t="s">
        <v>565</v>
      </c>
      <c r="K12" s="2" t="s">
        <v>566</v>
      </c>
      <c r="M12" s="2">
        <v>99.0</v>
      </c>
      <c r="N12" s="2" t="s">
        <v>567</v>
      </c>
      <c r="O12" s="2" t="s">
        <v>568</v>
      </c>
      <c r="P12" s="2" t="s">
        <v>569</v>
      </c>
      <c r="Q12" s="2" t="s">
        <v>570</v>
      </c>
      <c r="R12" s="2" t="s">
        <v>571</v>
      </c>
      <c r="S12" s="2" t="s">
        <v>572</v>
      </c>
      <c r="T12" s="2" t="s">
        <v>573</v>
      </c>
      <c r="Y12" s="2" t="s">
        <v>574</v>
      </c>
      <c r="AB12" s="2" t="s">
        <v>575</v>
      </c>
      <c r="AG12" s="2" t="s">
        <v>576</v>
      </c>
      <c r="AI12" s="2" t="s">
        <v>577</v>
      </c>
      <c r="AJ12" s="2">
        <v>3.2229555E7</v>
      </c>
      <c r="AK12" s="2" t="s">
        <v>578</v>
      </c>
      <c r="AL12" s="2" t="s">
        <v>384</v>
      </c>
      <c r="AM12" s="2" t="s">
        <v>579</v>
      </c>
      <c r="AN12" s="2" t="s">
        <v>386</v>
      </c>
      <c r="AO12" s="2" t="s">
        <v>580</v>
      </c>
      <c r="AP12" s="2" t="s">
        <v>386</v>
      </c>
      <c r="AQ12" s="2">
        <v>854.0</v>
      </c>
      <c r="AR12" s="2" t="s">
        <v>561</v>
      </c>
      <c r="AS12" s="2" t="b">
        <v>1</v>
      </c>
      <c r="AT12" s="3">
        <v>0.0</v>
      </c>
      <c r="AU12" s="4"/>
      <c r="AV12" s="4"/>
      <c r="AW12" s="5">
        <f t="shared" si="3"/>
        <v>0</v>
      </c>
      <c r="AX12" s="5">
        <f t="shared" si="4"/>
        <v>0</v>
      </c>
      <c r="AY12" s="5">
        <f t="shared" si="5"/>
        <v>0</v>
      </c>
      <c r="AZ12" s="5">
        <f t="shared" si="6"/>
        <v>0</v>
      </c>
      <c r="BA12" s="5">
        <f t="shared" si="7"/>
        <v>0</v>
      </c>
      <c r="BB12" s="5">
        <f t="shared" si="8"/>
        <v>0</v>
      </c>
      <c r="BC12" s="5">
        <f t="shared" si="9"/>
        <v>0</v>
      </c>
      <c r="BD12" s="5">
        <f t="shared" si="10"/>
        <v>0</v>
      </c>
      <c r="BE12" s="5">
        <f t="shared" si="11"/>
        <v>0</v>
      </c>
      <c r="BF12" s="5">
        <f t="shared" si="12"/>
        <v>0</v>
      </c>
      <c r="BG12" s="5">
        <f t="shared" si="13"/>
        <v>0</v>
      </c>
      <c r="BH12" s="5">
        <f t="shared" si="14"/>
        <v>0</v>
      </c>
      <c r="BI12" s="5">
        <f t="shared" si="15"/>
        <v>0</v>
      </c>
      <c r="BJ12" s="5">
        <f t="shared" si="16"/>
        <v>0</v>
      </c>
      <c r="BK12" s="5">
        <f t="shared" si="17"/>
        <v>0</v>
      </c>
      <c r="BL12" s="5">
        <f t="shared" si="18"/>
        <v>0</v>
      </c>
      <c r="BM12" s="5">
        <f t="shared" si="19"/>
        <v>0</v>
      </c>
      <c r="BN12" s="5">
        <f t="shared" si="20"/>
        <v>0</v>
      </c>
      <c r="BO12" s="5">
        <f t="shared" si="21"/>
        <v>0</v>
      </c>
      <c r="BP12" s="5">
        <f t="shared" si="22"/>
        <v>0</v>
      </c>
      <c r="BQ12" s="5">
        <f t="shared" si="23"/>
        <v>0</v>
      </c>
      <c r="BR12" s="5">
        <f t="shared" si="24"/>
        <v>0</v>
      </c>
      <c r="BS12" s="5">
        <f t="shared" si="25"/>
        <v>0</v>
      </c>
      <c r="BT12" s="5">
        <f t="shared" si="26"/>
        <v>0</v>
      </c>
      <c r="BU12" s="5">
        <f t="shared" si="27"/>
        <v>0</v>
      </c>
      <c r="BV12" s="5">
        <f t="shared" ref="BV12:BW12" si="337">IF(OR(ISNUMBER(SEARCH("grit",$D12)),ISNUMBER(SEARCH("grit",$T12)),ISNUMBER(SEARCH("grit",$R12)),ISNUMBER(SEARCH("grit",$S12)),
ISNUMBER(SEARCH("determination",$D12)),ISNUMBER(SEARCH("determination",$T12)),ISNUMBER(SEARCH("determination",$R12)),ISNUMBER(SEARCH("determination",$S12)),
ISNUMBER(SEARCH("tenacity",$D12)),ISNUMBER(SEARCH("tenacity",$T12)),ISNUMBER(SEARCH("tenacity",$R12)),ISNUMBER(SEARCH("tenacity",$S12)),
ISNUMBER(SEARCH("endurance",$D12)),ISNUMBER(SEARCH("endurance",$T12)),ISNUMBER(SEARCH("endurance",$R12)),ISNUMBER(SEARCH("endurance",$S12)),
ISNUMBER(SEARCH("fortitude",$D12)),ISNUMBER(SEARCH("fortitude",$T12)),ISNUMBER(SEARCH("fortitude",$R12)),ISNUMBER(SEARCH("fortitude",$S12)),
ISNUMBER(SEARCH("resolve",$D12)),ISNUMBER(SEARCH("resolve",$T12)),ISNUMBER(SEARCH("resolve",$R12)),ISNUMBER(SEARCH("resolve",$S12)),
ISNUMBER(SEARCH("stamina",$D12)),ISNUMBER(SEARCH("stamina",$T12)),ISNUMBER(SEARCH("stamina",$R12)),ISNUMBER(SEARCH("stamina",$S12)),
ISNUMBER(SEARCH("guts",$D12)),ISNUMBER(SEARCH("guts",$T12)),ISNUMBER(SEARCH("guts",$R12)),ISNUMBER(SEARCH("guts",$S12)),
ISNUMBER(SEARCH("spunk",$D12)),ISNUMBER(SEARCH("spunk",$T12)),ISNUMBER(SEARCH("spunk",$R12)),ISNUMBER(SEARCH("spunk",$S12))), 1, 0)</f>
        <v>0</v>
      </c>
      <c r="BW12" s="5">
        <f t="shared" si="337"/>
        <v>0</v>
      </c>
      <c r="BX12" s="5">
        <f t="shared" si="29"/>
        <v>0</v>
      </c>
      <c r="BY12" s="5">
        <f t="shared" si="30"/>
        <v>0</v>
      </c>
      <c r="BZ12" s="5">
        <f t="shared" si="31"/>
        <v>0</v>
      </c>
      <c r="CA12" s="5">
        <f t="shared" si="32"/>
        <v>0</v>
      </c>
      <c r="CB12" s="5">
        <f t="shared" si="33"/>
        <v>1</v>
      </c>
      <c r="CC12" s="5">
        <f t="shared" si="34"/>
        <v>0</v>
      </c>
      <c r="CD12" s="5">
        <f t="shared" si="35"/>
        <v>0</v>
      </c>
      <c r="CE12" s="5">
        <f t="shared" si="36"/>
        <v>0</v>
      </c>
      <c r="CF12" s="5">
        <f t="shared" si="37"/>
        <v>0</v>
      </c>
      <c r="CG12" s="5">
        <f t="shared" si="38"/>
        <v>0</v>
      </c>
      <c r="CH12" s="5">
        <f t="shared" si="39"/>
        <v>0</v>
      </c>
      <c r="CI12" s="5">
        <f t="shared" si="40"/>
        <v>0</v>
      </c>
      <c r="CJ12" s="5">
        <f t="shared" si="41"/>
        <v>0</v>
      </c>
      <c r="CK12" s="5">
        <f t="shared" si="42"/>
        <v>0</v>
      </c>
      <c r="CL12" s="5">
        <f t="shared" si="43"/>
        <v>0</v>
      </c>
      <c r="CM12" s="5">
        <f t="shared" si="44"/>
        <v>0</v>
      </c>
      <c r="CN12" s="5">
        <f t="shared" si="45"/>
        <v>0</v>
      </c>
      <c r="CO12" s="5">
        <f t="shared" si="46"/>
        <v>0</v>
      </c>
      <c r="CP12" s="6">
        <f t="shared" si="47"/>
        <v>0</v>
      </c>
      <c r="CQ12" s="6">
        <f t="shared" si="48"/>
        <v>0</v>
      </c>
      <c r="CR12" s="6">
        <f t="shared" si="49"/>
        <v>0</v>
      </c>
      <c r="CS12" s="6">
        <f t="shared" si="50"/>
        <v>0</v>
      </c>
      <c r="CT12" s="6">
        <f t="shared" si="51"/>
        <v>0</v>
      </c>
      <c r="CU12" s="6">
        <f t="shared" si="52"/>
        <v>0</v>
      </c>
      <c r="CV12" s="6">
        <f t="shared" si="53"/>
        <v>0</v>
      </c>
      <c r="CW12" s="6">
        <f t="shared" si="54"/>
        <v>0</v>
      </c>
      <c r="CX12" s="6">
        <f t="shared" si="55"/>
        <v>0</v>
      </c>
      <c r="CY12" s="6">
        <f t="shared" si="56"/>
        <v>0</v>
      </c>
      <c r="CZ12" s="6">
        <f t="shared" si="57"/>
        <v>0</v>
      </c>
      <c r="DA12" s="6">
        <f t="shared" si="58"/>
        <v>0</v>
      </c>
      <c r="DB12" s="6">
        <f t="shared" si="59"/>
        <v>0</v>
      </c>
      <c r="DC12" s="6">
        <f t="shared" si="60"/>
        <v>0</v>
      </c>
      <c r="DD12" s="6">
        <f t="shared" si="61"/>
        <v>0</v>
      </c>
      <c r="DE12" s="6">
        <f t="shared" si="62"/>
        <v>0</v>
      </c>
      <c r="DF12" s="6">
        <f t="shared" si="63"/>
        <v>0</v>
      </c>
      <c r="DG12" s="6">
        <f t="shared" si="64"/>
        <v>0</v>
      </c>
      <c r="DH12" s="6">
        <f t="shared" si="322"/>
        <v>0</v>
      </c>
      <c r="DI12" s="6">
        <f t="shared" si="66"/>
        <v>0</v>
      </c>
      <c r="DJ12" s="6">
        <f t="shared" si="67"/>
        <v>0</v>
      </c>
      <c r="DK12" s="7">
        <f t="shared" si="68"/>
        <v>0</v>
      </c>
      <c r="DL12" s="7">
        <f t="shared" si="323"/>
        <v>0</v>
      </c>
      <c r="DM12" s="7">
        <f t="shared" si="70"/>
        <v>0</v>
      </c>
      <c r="DN12" s="7">
        <f t="shared" si="71"/>
        <v>0</v>
      </c>
      <c r="DO12" s="7">
        <f t="shared" si="72"/>
        <v>0</v>
      </c>
      <c r="DP12" s="8">
        <f t="shared" si="73"/>
        <v>0</v>
      </c>
      <c r="DQ12" s="8">
        <f t="shared" si="74"/>
        <v>1</v>
      </c>
      <c r="DR12" s="7">
        <f t="shared" si="75"/>
        <v>0</v>
      </c>
      <c r="DS12" s="7">
        <f t="shared" si="76"/>
        <v>0</v>
      </c>
      <c r="DT12" s="7">
        <f t="shared" si="77"/>
        <v>0</v>
      </c>
      <c r="DU12" s="9">
        <f t="shared" si="78"/>
        <v>0</v>
      </c>
      <c r="DV12" s="9">
        <f t="shared" si="79"/>
        <v>0</v>
      </c>
      <c r="DW12" s="9">
        <f t="shared" si="80"/>
        <v>0</v>
      </c>
      <c r="DX12" s="9">
        <f t="shared" si="81"/>
        <v>0</v>
      </c>
      <c r="DY12" s="9">
        <f t="shared" si="82"/>
        <v>0</v>
      </c>
      <c r="DZ12" s="9">
        <f t="shared" si="83"/>
        <v>0</v>
      </c>
      <c r="EA12" s="9">
        <f t="shared" si="84"/>
        <v>0</v>
      </c>
      <c r="EB12" s="9">
        <f t="shared" si="85"/>
        <v>0</v>
      </c>
      <c r="EC12" s="9">
        <f t="shared" si="86"/>
        <v>0</v>
      </c>
      <c r="ED12" s="9">
        <f t="shared" si="87"/>
        <v>0</v>
      </c>
      <c r="EE12" s="9">
        <f t="shared" si="88"/>
        <v>0</v>
      </c>
      <c r="EF12" s="9">
        <f t="shared" si="89"/>
        <v>0</v>
      </c>
      <c r="EG12" s="9">
        <f t="shared" si="90"/>
        <v>0</v>
      </c>
      <c r="EH12" s="9">
        <f t="shared" si="91"/>
        <v>0</v>
      </c>
      <c r="EI12" s="9">
        <f t="shared" si="92"/>
        <v>0</v>
      </c>
      <c r="EJ12" s="10">
        <f t="shared" si="93"/>
        <v>0</v>
      </c>
      <c r="EK12" s="10">
        <f t="shared" si="94"/>
        <v>0</v>
      </c>
      <c r="EL12" s="10">
        <f t="shared" ref="EL12:EM12" si="338">IF(OR(ISNUMBER(SEARCH("ai software toolkit", $D12)), ISNUMBER(SEARCH("ai software toolkit", $T12)), ISNUMBER(SEARCH("ai software toolkit", $R12)), ISNUMBER(SEARCH("ai software toolkit", $S12))), 1, 0)</f>
        <v>0</v>
      </c>
      <c r="EM12" s="10">
        <f t="shared" si="338"/>
        <v>0</v>
      </c>
      <c r="EN12" s="10">
        <f t="shared" si="96"/>
        <v>0</v>
      </c>
      <c r="EO12" s="10">
        <f t="shared" si="97"/>
        <v>0</v>
      </c>
      <c r="EP12" s="10">
        <f t="shared" si="98"/>
        <v>0</v>
      </c>
      <c r="EQ12" s="10">
        <f t="shared" si="99"/>
        <v>0</v>
      </c>
      <c r="ER12" s="10">
        <f t="shared" si="100"/>
        <v>0</v>
      </c>
      <c r="ES12" s="10">
        <f t="shared" si="101"/>
        <v>0</v>
      </c>
      <c r="ET12" s="10">
        <f t="shared" si="102"/>
        <v>0</v>
      </c>
      <c r="EU12" s="10">
        <f t="shared" si="103"/>
        <v>0</v>
      </c>
      <c r="EV12" s="10">
        <f t="shared" si="104"/>
        <v>0</v>
      </c>
      <c r="EW12" s="10">
        <f t="shared" si="105"/>
        <v>0</v>
      </c>
      <c r="EX12" s="10">
        <f t="shared" si="106"/>
        <v>0</v>
      </c>
      <c r="EY12" s="10">
        <f t="shared" si="107"/>
        <v>0</v>
      </c>
      <c r="EZ12" s="10">
        <f t="shared" si="108"/>
        <v>0</v>
      </c>
      <c r="FA12" s="10">
        <f t="shared" si="109"/>
        <v>0</v>
      </c>
      <c r="FB12" s="10">
        <f t="shared" si="110"/>
        <v>0</v>
      </c>
      <c r="FC12" s="10">
        <f t="shared" si="111"/>
        <v>0</v>
      </c>
      <c r="FD12" s="10">
        <f t="shared" si="112"/>
        <v>0</v>
      </c>
      <c r="FE12" s="10">
        <f t="shared" si="113"/>
        <v>0</v>
      </c>
      <c r="FF12" s="10">
        <f t="shared" si="114"/>
        <v>0</v>
      </c>
      <c r="FG12" s="10">
        <f t="shared" si="115"/>
        <v>0</v>
      </c>
      <c r="FH12" s="10">
        <f t="shared" si="116"/>
        <v>0</v>
      </c>
      <c r="FI12" s="10">
        <f t="shared" si="117"/>
        <v>0</v>
      </c>
      <c r="FJ12" s="10">
        <f t="shared" si="118"/>
        <v>0</v>
      </c>
      <c r="FK12" s="10">
        <f t="shared" si="119"/>
        <v>0</v>
      </c>
      <c r="FL12" s="10">
        <f t="shared" si="120"/>
        <v>0</v>
      </c>
      <c r="FM12" s="10">
        <f t="shared" si="121"/>
        <v>0</v>
      </c>
      <c r="FN12" s="10">
        <f t="shared" si="122"/>
        <v>0</v>
      </c>
      <c r="FO12" s="10">
        <f t="shared" si="123"/>
        <v>0</v>
      </c>
      <c r="FP12" s="10">
        <f t="shared" si="124"/>
        <v>0</v>
      </c>
      <c r="FQ12" s="10">
        <f t="shared" si="125"/>
        <v>0</v>
      </c>
      <c r="FR12" s="11">
        <f t="shared" si="126"/>
        <v>0</v>
      </c>
      <c r="FS12" s="11">
        <f t="shared" si="127"/>
        <v>0</v>
      </c>
      <c r="FT12" s="11">
        <f t="shared" si="128"/>
        <v>0</v>
      </c>
      <c r="FU12" s="11">
        <f t="shared" si="129"/>
        <v>0</v>
      </c>
      <c r="FV12" s="11">
        <f t="shared" si="130"/>
        <v>0</v>
      </c>
      <c r="FW12" s="11">
        <f t="shared" si="131"/>
        <v>0</v>
      </c>
      <c r="FX12" s="11">
        <f t="shared" si="132"/>
        <v>0</v>
      </c>
      <c r="FY12" s="11">
        <f t="shared" si="133"/>
        <v>0</v>
      </c>
      <c r="FZ12" s="11">
        <f t="shared" si="134"/>
        <v>0</v>
      </c>
      <c r="GA12" s="11">
        <f t="shared" si="135"/>
        <v>0</v>
      </c>
      <c r="GB12" s="11">
        <f t="shared" si="136"/>
        <v>0</v>
      </c>
      <c r="GC12" s="11">
        <f t="shared" si="137"/>
        <v>0</v>
      </c>
      <c r="GD12" s="11">
        <f t="shared" si="138"/>
        <v>0</v>
      </c>
      <c r="GE12" s="11">
        <f t="shared" si="139"/>
        <v>0</v>
      </c>
      <c r="GF12" s="11">
        <f t="shared" si="140"/>
        <v>0</v>
      </c>
      <c r="GG12" s="11">
        <f t="shared" si="141"/>
        <v>0</v>
      </c>
      <c r="GH12" s="11">
        <f t="shared" si="142"/>
        <v>0</v>
      </c>
      <c r="GI12" s="11">
        <f t="shared" si="143"/>
        <v>0</v>
      </c>
      <c r="GJ12" s="11">
        <f t="shared" si="144"/>
        <v>0</v>
      </c>
      <c r="GK12" s="11">
        <f t="shared" si="145"/>
        <v>0</v>
      </c>
      <c r="GL12" s="11">
        <f t="shared" si="146"/>
        <v>0</v>
      </c>
      <c r="GM12" s="11">
        <f t="shared" si="147"/>
        <v>0</v>
      </c>
      <c r="GN12" s="11">
        <f t="shared" si="148"/>
        <v>0</v>
      </c>
      <c r="GO12" s="11">
        <f t="shared" si="149"/>
        <v>0</v>
      </c>
      <c r="GP12" s="11">
        <f t="shared" si="150"/>
        <v>0</v>
      </c>
      <c r="GQ12" s="11">
        <f t="shared" si="151"/>
        <v>0</v>
      </c>
      <c r="GR12" s="11">
        <f t="shared" si="152"/>
        <v>0</v>
      </c>
      <c r="GS12" s="11">
        <f t="shared" si="153"/>
        <v>0</v>
      </c>
      <c r="GT12" s="11">
        <f t="shared" si="154"/>
        <v>0</v>
      </c>
      <c r="GU12" s="12">
        <f t="shared" si="155"/>
        <v>0</v>
      </c>
      <c r="GV12" s="12">
        <f t="shared" si="156"/>
        <v>0</v>
      </c>
      <c r="GW12" s="12">
        <f t="shared" si="157"/>
        <v>0</v>
      </c>
      <c r="GX12" s="12">
        <f t="shared" si="158"/>
        <v>0</v>
      </c>
      <c r="GY12" s="12">
        <f t="shared" si="159"/>
        <v>0</v>
      </c>
      <c r="GZ12" s="12">
        <f t="shared" si="160"/>
        <v>0</v>
      </c>
      <c r="HA12" s="12">
        <f t="shared" si="161"/>
        <v>0</v>
      </c>
      <c r="HB12" s="12">
        <f t="shared" si="162"/>
        <v>0</v>
      </c>
      <c r="HC12" s="12">
        <f t="shared" si="163"/>
        <v>0</v>
      </c>
      <c r="HD12" s="12">
        <f t="shared" si="164"/>
        <v>0</v>
      </c>
      <c r="HE12" s="12">
        <f t="shared" si="165"/>
        <v>0</v>
      </c>
      <c r="HF12" s="12">
        <f t="shared" si="166"/>
        <v>0</v>
      </c>
      <c r="HG12" s="12">
        <f t="shared" si="167"/>
        <v>0</v>
      </c>
      <c r="HH12" s="12">
        <f t="shared" si="168"/>
        <v>0</v>
      </c>
      <c r="HI12" s="12">
        <f t="shared" si="169"/>
        <v>0</v>
      </c>
      <c r="HJ12" s="12">
        <f t="shared" si="170"/>
        <v>0</v>
      </c>
      <c r="HK12" s="12">
        <f t="shared" si="171"/>
        <v>0</v>
      </c>
      <c r="HL12" s="12">
        <f t="shared" si="172"/>
        <v>0</v>
      </c>
      <c r="HM12" s="12">
        <f t="shared" si="173"/>
        <v>0</v>
      </c>
      <c r="HN12" s="12">
        <f t="shared" si="174"/>
        <v>0</v>
      </c>
      <c r="HO12" s="12">
        <f t="shared" si="175"/>
        <v>0</v>
      </c>
      <c r="HP12" s="12">
        <f t="shared" si="176"/>
        <v>0</v>
      </c>
      <c r="HQ12" s="12">
        <f t="shared" si="177"/>
        <v>0</v>
      </c>
      <c r="HR12" s="12">
        <f t="shared" si="178"/>
        <v>0</v>
      </c>
      <c r="HS12" s="12">
        <f t="shared" si="179"/>
        <v>0</v>
      </c>
      <c r="HT12" s="12">
        <f t="shared" si="180"/>
        <v>0</v>
      </c>
      <c r="HU12" s="12">
        <f t="shared" si="181"/>
        <v>0</v>
      </c>
      <c r="HV12" s="12">
        <f t="shared" si="182"/>
        <v>0</v>
      </c>
      <c r="HW12" s="12">
        <f t="shared" si="183"/>
        <v>0</v>
      </c>
      <c r="HX12" s="12">
        <f t="shared" si="184"/>
        <v>0</v>
      </c>
      <c r="HY12" s="12">
        <f t="shared" si="185"/>
        <v>0</v>
      </c>
      <c r="HZ12" s="12">
        <f t="shared" si="186"/>
        <v>0</v>
      </c>
      <c r="IA12" s="12">
        <f t="shared" si="187"/>
        <v>0</v>
      </c>
      <c r="IB12" s="12">
        <f t="shared" si="188"/>
        <v>0</v>
      </c>
      <c r="IC12" s="12">
        <f t="shared" si="189"/>
        <v>0</v>
      </c>
      <c r="ID12" s="12">
        <f t="shared" si="190"/>
        <v>0</v>
      </c>
      <c r="IE12" s="12">
        <f t="shared" si="191"/>
        <v>0</v>
      </c>
      <c r="IF12" s="12">
        <f t="shared" si="192"/>
        <v>0</v>
      </c>
      <c r="IG12" s="12">
        <f t="shared" si="193"/>
        <v>0</v>
      </c>
      <c r="IH12" s="12">
        <f t="shared" si="194"/>
        <v>0</v>
      </c>
      <c r="II12" s="12">
        <f t="shared" si="195"/>
        <v>0</v>
      </c>
      <c r="IJ12" s="12">
        <f t="shared" si="196"/>
        <v>0</v>
      </c>
      <c r="IK12" s="12">
        <f t="shared" si="197"/>
        <v>0</v>
      </c>
      <c r="IL12" s="12">
        <f t="shared" si="198"/>
        <v>0</v>
      </c>
      <c r="IM12" s="12">
        <f t="shared" si="199"/>
        <v>0</v>
      </c>
      <c r="IN12" s="12">
        <f t="shared" si="200"/>
        <v>0</v>
      </c>
      <c r="IO12" s="12">
        <f t="shared" si="201"/>
        <v>0</v>
      </c>
      <c r="IP12" s="12">
        <f t="shared" si="202"/>
        <v>0</v>
      </c>
      <c r="IQ12" s="12">
        <f t="shared" si="203"/>
        <v>0</v>
      </c>
      <c r="IR12" s="12">
        <f t="shared" si="204"/>
        <v>0</v>
      </c>
      <c r="IS12" s="12">
        <f t="shared" si="205"/>
        <v>0</v>
      </c>
      <c r="IT12" s="12">
        <f t="shared" si="206"/>
        <v>0</v>
      </c>
      <c r="IU12" s="12">
        <f t="shared" si="207"/>
        <v>0</v>
      </c>
      <c r="IV12" s="12">
        <f t="shared" si="208"/>
        <v>0</v>
      </c>
      <c r="IW12" s="12">
        <f t="shared" si="209"/>
        <v>0</v>
      </c>
      <c r="IX12" s="12">
        <f t="shared" si="210"/>
        <v>0</v>
      </c>
      <c r="IY12" s="12">
        <f t="shared" si="211"/>
        <v>0</v>
      </c>
      <c r="IZ12" s="12">
        <f t="shared" si="212"/>
        <v>1</v>
      </c>
      <c r="JA12" s="13">
        <f t="shared" si="213"/>
        <v>0</v>
      </c>
      <c r="JB12" s="13">
        <f t="shared" si="214"/>
        <v>0</v>
      </c>
      <c r="JC12" s="13">
        <f t="shared" si="215"/>
        <v>0</v>
      </c>
      <c r="JD12" s="13">
        <f t="shared" si="216"/>
        <v>0</v>
      </c>
      <c r="JE12" s="13">
        <f t="shared" si="217"/>
        <v>0</v>
      </c>
      <c r="JF12" s="13">
        <f t="shared" si="218"/>
        <v>0</v>
      </c>
      <c r="JG12" s="13">
        <f t="shared" si="219"/>
        <v>0</v>
      </c>
      <c r="JH12" s="13">
        <f t="shared" si="220"/>
        <v>0</v>
      </c>
      <c r="JI12" s="13">
        <f t="shared" si="221"/>
        <v>0</v>
      </c>
      <c r="JJ12" s="13">
        <f t="shared" si="222"/>
        <v>0</v>
      </c>
      <c r="JK12" s="13">
        <f t="shared" si="223"/>
        <v>0</v>
      </c>
      <c r="JL12" s="13">
        <f t="shared" si="224"/>
        <v>0</v>
      </c>
      <c r="JM12" s="13">
        <f t="shared" si="225"/>
        <v>0</v>
      </c>
      <c r="JN12" s="13">
        <f t="shared" si="226"/>
        <v>0</v>
      </c>
      <c r="JO12" s="13">
        <f t="shared" si="227"/>
        <v>0</v>
      </c>
      <c r="JP12" s="13">
        <f t="shared" si="228"/>
        <v>0</v>
      </c>
      <c r="JQ12" s="13">
        <f t="shared" si="229"/>
        <v>0</v>
      </c>
      <c r="JR12" s="13">
        <f t="shared" si="230"/>
        <v>0</v>
      </c>
      <c r="JS12" s="13">
        <f t="shared" si="231"/>
        <v>0</v>
      </c>
      <c r="JT12" s="13">
        <f t="shared" si="232"/>
        <v>0</v>
      </c>
      <c r="JU12" s="13">
        <f t="shared" si="233"/>
        <v>0</v>
      </c>
      <c r="JV12" s="12">
        <f t="shared" si="234"/>
        <v>0</v>
      </c>
      <c r="JW12" s="12">
        <f t="shared" si="235"/>
        <v>0</v>
      </c>
      <c r="JX12" s="12">
        <f t="shared" si="236"/>
        <v>0</v>
      </c>
      <c r="JY12" s="12">
        <f t="shared" si="237"/>
        <v>0</v>
      </c>
      <c r="JZ12" s="12">
        <f t="shared" si="238"/>
        <v>0</v>
      </c>
      <c r="KA12" s="12">
        <f t="shared" si="239"/>
        <v>0</v>
      </c>
      <c r="KB12" s="12">
        <f t="shared" si="240"/>
        <v>0</v>
      </c>
      <c r="KC12" s="12">
        <f t="shared" si="241"/>
        <v>0</v>
      </c>
      <c r="KD12" s="12">
        <f t="shared" si="242"/>
        <v>0</v>
      </c>
      <c r="KE12" s="12">
        <f t="shared" si="243"/>
        <v>0</v>
      </c>
      <c r="KF12" s="12">
        <f t="shared" si="244"/>
        <v>0</v>
      </c>
      <c r="KG12" s="12">
        <f t="shared" si="245"/>
        <v>0</v>
      </c>
      <c r="KH12" s="12">
        <f t="shared" si="246"/>
        <v>0</v>
      </c>
      <c r="KI12" s="12">
        <f t="shared" si="247"/>
        <v>0</v>
      </c>
      <c r="KJ12" s="12">
        <f t="shared" si="248"/>
        <v>0</v>
      </c>
      <c r="KK12" s="12">
        <f t="shared" si="249"/>
        <v>0</v>
      </c>
      <c r="KL12" s="12">
        <f t="shared" si="250"/>
        <v>0</v>
      </c>
      <c r="KM12" s="12">
        <f t="shared" si="251"/>
        <v>0</v>
      </c>
      <c r="KN12" s="12">
        <f t="shared" si="252"/>
        <v>0</v>
      </c>
      <c r="KO12" s="12">
        <f t="shared" si="253"/>
        <v>0</v>
      </c>
      <c r="KP12" s="12">
        <f t="shared" si="254"/>
        <v>0</v>
      </c>
      <c r="KQ12" s="12">
        <f t="shared" si="255"/>
        <v>0</v>
      </c>
      <c r="KR12" s="12">
        <f t="shared" si="256"/>
        <v>0</v>
      </c>
      <c r="KS12" s="12">
        <f t="shared" si="257"/>
        <v>0</v>
      </c>
      <c r="KT12" s="12">
        <f t="shared" si="258"/>
        <v>0</v>
      </c>
      <c r="KU12" s="12">
        <f t="shared" si="259"/>
        <v>0</v>
      </c>
      <c r="KV12" s="12">
        <f t="shared" si="260"/>
        <v>0</v>
      </c>
      <c r="KW12" s="12">
        <f t="shared" si="261"/>
        <v>0</v>
      </c>
      <c r="KX12" s="12">
        <f t="shared" si="262"/>
        <v>0</v>
      </c>
      <c r="KY12" s="12">
        <f t="shared" si="263"/>
        <v>0</v>
      </c>
      <c r="KZ12" s="12">
        <f t="shared" si="264"/>
        <v>0</v>
      </c>
      <c r="LA12" s="12">
        <f t="shared" si="265"/>
        <v>0</v>
      </c>
      <c r="LB12" s="12">
        <f t="shared" si="266"/>
        <v>0</v>
      </c>
      <c r="LC12" s="12">
        <f t="shared" si="267"/>
        <v>0</v>
      </c>
      <c r="LD12" s="12">
        <f t="shared" si="268"/>
        <v>0</v>
      </c>
      <c r="LE12" s="12">
        <f t="shared" si="269"/>
        <v>0</v>
      </c>
      <c r="LF12" s="12">
        <f t="shared" si="270"/>
        <v>0</v>
      </c>
      <c r="LG12" s="12">
        <f t="shared" si="271"/>
        <v>0</v>
      </c>
      <c r="LH12" s="12">
        <f t="shared" si="272"/>
        <v>0</v>
      </c>
      <c r="LI12" s="12">
        <f t="shared" si="273"/>
        <v>0</v>
      </c>
      <c r="LJ12" s="12">
        <f t="shared" si="274"/>
        <v>0</v>
      </c>
      <c r="LK12" s="12">
        <f t="shared" si="275"/>
        <v>0</v>
      </c>
      <c r="LL12" s="12">
        <f t="shared" si="276"/>
        <v>0</v>
      </c>
      <c r="LM12" s="12">
        <f t="shared" si="277"/>
        <v>0</v>
      </c>
      <c r="LN12" s="12">
        <f t="shared" si="278"/>
        <v>0</v>
      </c>
      <c r="LO12" s="12">
        <f t="shared" si="279"/>
        <v>0</v>
      </c>
      <c r="LP12" s="12">
        <f t="shared" si="280"/>
        <v>0</v>
      </c>
      <c r="LQ12" s="12">
        <f t="shared" si="281"/>
        <v>0</v>
      </c>
      <c r="LR12" s="12">
        <f t="shared" si="282"/>
        <v>0</v>
      </c>
      <c r="LS12" s="12">
        <f t="shared" si="283"/>
        <v>0</v>
      </c>
      <c r="LT12" s="13">
        <f t="shared" si="284"/>
        <v>0</v>
      </c>
      <c r="LU12" s="13">
        <f t="shared" si="285"/>
        <v>0</v>
      </c>
      <c r="LV12" s="13">
        <f t="shared" si="286"/>
        <v>0</v>
      </c>
      <c r="LW12" s="13">
        <f t="shared" si="287"/>
        <v>0</v>
      </c>
      <c r="LX12" s="13">
        <f t="shared" si="288"/>
        <v>0</v>
      </c>
      <c r="LY12" s="13">
        <f t="shared" si="289"/>
        <v>0</v>
      </c>
      <c r="LZ12" s="13">
        <f t="shared" si="290"/>
        <v>0</v>
      </c>
      <c r="MA12" s="13">
        <f t="shared" si="291"/>
        <v>0</v>
      </c>
      <c r="MB12" s="13">
        <f t="shared" si="292"/>
        <v>0</v>
      </c>
      <c r="MC12" s="13">
        <f t="shared" si="293"/>
        <v>0</v>
      </c>
      <c r="MD12" s="13">
        <f t="shared" si="294"/>
        <v>0</v>
      </c>
      <c r="ME12" s="13">
        <f t="shared" si="295"/>
        <v>0</v>
      </c>
      <c r="MF12" s="13">
        <f t="shared" si="296"/>
        <v>0</v>
      </c>
      <c r="MG12" s="13">
        <f t="shared" si="297"/>
        <v>0</v>
      </c>
      <c r="MH12" s="13">
        <f t="shared" si="298"/>
        <v>0</v>
      </c>
      <c r="MI12" s="13">
        <f t="shared" si="299"/>
        <v>0</v>
      </c>
      <c r="MJ12" s="13">
        <f t="shared" si="300"/>
        <v>0</v>
      </c>
      <c r="MK12" s="13">
        <f t="shared" si="301"/>
        <v>0</v>
      </c>
      <c r="ML12" s="14">
        <f t="shared" si="302"/>
        <v>0</v>
      </c>
      <c r="MM12" s="14">
        <f t="shared" si="303"/>
        <v>0</v>
      </c>
      <c r="MN12" s="14">
        <f t="shared" si="304"/>
        <v>0</v>
      </c>
      <c r="MO12" s="14">
        <f t="shared" si="305"/>
        <v>0</v>
      </c>
      <c r="MP12" s="14">
        <f t="shared" si="306"/>
        <v>0</v>
      </c>
      <c r="MQ12" s="14">
        <f t="shared" si="307"/>
        <v>0</v>
      </c>
      <c r="MR12" s="14">
        <f t="shared" si="308"/>
        <v>0</v>
      </c>
      <c r="MS12" s="14">
        <f t="shared" si="309"/>
        <v>0</v>
      </c>
      <c r="MT12" s="14">
        <f t="shared" si="310"/>
        <v>0</v>
      </c>
      <c r="MU12" s="14">
        <f t="shared" si="311"/>
        <v>0</v>
      </c>
      <c r="MV12" s="14">
        <f t="shared" si="312"/>
        <v>0</v>
      </c>
      <c r="MW12" s="14">
        <f t="shared" si="313"/>
        <v>0</v>
      </c>
      <c r="MX12" s="14">
        <f t="shared" si="314"/>
        <v>0</v>
      </c>
      <c r="MY12" s="14">
        <f t="shared" si="315"/>
        <v>0</v>
      </c>
      <c r="MZ12" s="14">
        <f t="shared" si="316"/>
        <v>0</v>
      </c>
      <c r="NA12" s="14">
        <f t="shared" si="317"/>
        <v>0</v>
      </c>
      <c r="NB12" s="14">
        <f t="shared" si="318"/>
        <v>0</v>
      </c>
    </row>
    <row r="13">
      <c r="A13" s="2">
        <v>378.0</v>
      </c>
      <c r="B13" s="2" t="s">
        <v>581</v>
      </c>
      <c r="C13" s="2" t="s">
        <v>582</v>
      </c>
      <c r="D13" s="2" t="s">
        <v>583</v>
      </c>
      <c r="E13" s="2">
        <v>2016.0</v>
      </c>
      <c r="F13" s="2" t="s">
        <v>584</v>
      </c>
      <c r="G13" s="2" t="s">
        <v>585</v>
      </c>
      <c r="H13" s="2" t="s">
        <v>510</v>
      </c>
      <c r="J13" s="2" t="s">
        <v>586</v>
      </c>
      <c r="K13" s="2" t="s">
        <v>587</v>
      </c>
      <c r="M13" s="2">
        <v>98.0</v>
      </c>
      <c r="N13" s="2" t="s">
        <v>588</v>
      </c>
      <c r="O13" s="2" t="s">
        <v>589</v>
      </c>
      <c r="P13" s="2" t="s">
        <v>590</v>
      </c>
      <c r="Q13" s="2" t="s">
        <v>591</v>
      </c>
      <c r="R13" s="2" t="s">
        <v>592</v>
      </c>
      <c r="S13" s="2" t="s">
        <v>593</v>
      </c>
      <c r="Y13" s="2" t="s">
        <v>594</v>
      </c>
      <c r="AB13" s="2" t="s">
        <v>595</v>
      </c>
      <c r="AG13" s="2" t="s">
        <v>596</v>
      </c>
      <c r="AK13" s="2" t="s">
        <v>597</v>
      </c>
      <c r="AL13" s="2" t="s">
        <v>384</v>
      </c>
      <c r="AM13" s="2" t="s">
        <v>385</v>
      </c>
      <c r="AN13" s="2" t="s">
        <v>386</v>
      </c>
      <c r="AO13" s="2" t="s">
        <v>598</v>
      </c>
      <c r="AP13" s="2" t="s">
        <v>386</v>
      </c>
      <c r="AQ13" s="2">
        <v>1499.0</v>
      </c>
      <c r="AR13" s="2" t="s">
        <v>583</v>
      </c>
      <c r="AS13" s="2" t="b">
        <v>1</v>
      </c>
      <c r="AT13" s="3">
        <v>0.0</v>
      </c>
      <c r="AU13" s="4"/>
      <c r="AV13" s="4"/>
      <c r="AW13" s="5">
        <f t="shared" si="3"/>
        <v>0</v>
      </c>
      <c r="AX13" s="5">
        <f t="shared" si="4"/>
        <v>0</v>
      </c>
      <c r="AY13" s="5">
        <f t="shared" si="5"/>
        <v>0</v>
      </c>
      <c r="AZ13" s="5">
        <f t="shared" si="6"/>
        <v>0</v>
      </c>
      <c r="BA13" s="5">
        <f t="shared" si="7"/>
        <v>0</v>
      </c>
      <c r="BB13" s="5">
        <f t="shared" si="8"/>
        <v>0</v>
      </c>
      <c r="BC13" s="5">
        <f t="shared" si="9"/>
        <v>0</v>
      </c>
      <c r="BD13" s="5">
        <f t="shared" si="10"/>
        <v>0</v>
      </c>
      <c r="BE13" s="5">
        <f t="shared" si="11"/>
        <v>0</v>
      </c>
      <c r="BF13" s="5">
        <f t="shared" si="12"/>
        <v>0</v>
      </c>
      <c r="BG13" s="5">
        <f t="shared" si="13"/>
        <v>0</v>
      </c>
      <c r="BH13" s="5">
        <f t="shared" si="14"/>
        <v>0</v>
      </c>
      <c r="BI13" s="5">
        <f t="shared" si="15"/>
        <v>0</v>
      </c>
      <c r="BJ13" s="5">
        <f t="shared" si="16"/>
        <v>0</v>
      </c>
      <c r="BK13" s="5">
        <f t="shared" si="17"/>
        <v>0</v>
      </c>
      <c r="BL13" s="5">
        <f t="shared" si="18"/>
        <v>0</v>
      </c>
      <c r="BM13" s="5">
        <f t="shared" si="19"/>
        <v>0</v>
      </c>
      <c r="BN13" s="5">
        <f t="shared" si="20"/>
        <v>0</v>
      </c>
      <c r="BO13" s="5">
        <f t="shared" si="21"/>
        <v>0</v>
      </c>
      <c r="BP13" s="5">
        <f t="shared" si="22"/>
        <v>0</v>
      </c>
      <c r="BQ13" s="5">
        <f t="shared" si="23"/>
        <v>0</v>
      </c>
      <c r="BR13" s="5">
        <f t="shared" si="24"/>
        <v>0</v>
      </c>
      <c r="BS13" s="5">
        <f t="shared" si="25"/>
        <v>0</v>
      </c>
      <c r="BT13" s="5">
        <f t="shared" si="26"/>
        <v>0</v>
      </c>
      <c r="BU13" s="5">
        <f t="shared" si="27"/>
        <v>0</v>
      </c>
      <c r="BV13" s="5">
        <f t="shared" ref="BV13:BW13" si="339">IF(OR(ISNUMBER(SEARCH("grit",$D13)),ISNUMBER(SEARCH("grit",$T13)),ISNUMBER(SEARCH("grit",$R13)),ISNUMBER(SEARCH("grit",$S13)),
ISNUMBER(SEARCH("determination",$D13)),ISNUMBER(SEARCH("determination",$T13)),ISNUMBER(SEARCH("determination",$R13)),ISNUMBER(SEARCH("determination",$S13)),
ISNUMBER(SEARCH("tenacity",$D13)),ISNUMBER(SEARCH("tenacity",$T13)),ISNUMBER(SEARCH("tenacity",$R13)),ISNUMBER(SEARCH("tenacity",$S13)),
ISNUMBER(SEARCH("endurance",$D13)),ISNUMBER(SEARCH("endurance",$T13)),ISNUMBER(SEARCH("endurance",$R13)),ISNUMBER(SEARCH("endurance",$S13)),
ISNUMBER(SEARCH("fortitude",$D13)),ISNUMBER(SEARCH("fortitude",$T13)),ISNUMBER(SEARCH("fortitude",$R13)),ISNUMBER(SEARCH("fortitude",$S13)),
ISNUMBER(SEARCH("resolve",$D13)),ISNUMBER(SEARCH("resolve",$T13)),ISNUMBER(SEARCH("resolve",$R13)),ISNUMBER(SEARCH("resolve",$S13)),
ISNUMBER(SEARCH("stamina",$D13)),ISNUMBER(SEARCH("stamina",$T13)),ISNUMBER(SEARCH("stamina",$R13)),ISNUMBER(SEARCH("stamina",$S13)),
ISNUMBER(SEARCH("guts",$D13)),ISNUMBER(SEARCH("guts",$T13)),ISNUMBER(SEARCH("guts",$R13)),ISNUMBER(SEARCH("guts",$S13)),
ISNUMBER(SEARCH("spunk",$D13)),ISNUMBER(SEARCH("spunk",$T13)),ISNUMBER(SEARCH("spunk",$R13)),ISNUMBER(SEARCH("spunk",$S13))), 1, 0)</f>
        <v>0</v>
      </c>
      <c r="BW13" s="5">
        <f t="shared" si="339"/>
        <v>0</v>
      </c>
      <c r="BX13" s="5">
        <f t="shared" si="29"/>
        <v>0</v>
      </c>
      <c r="BY13" s="5">
        <f t="shared" si="30"/>
        <v>0</v>
      </c>
      <c r="BZ13" s="5">
        <f t="shared" si="31"/>
        <v>0</v>
      </c>
      <c r="CA13" s="5">
        <f t="shared" si="32"/>
        <v>0</v>
      </c>
      <c r="CB13" s="5">
        <f t="shared" si="33"/>
        <v>1</v>
      </c>
      <c r="CC13" s="5">
        <f t="shared" si="34"/>
        <v>0</v>
      </c>
      <c r="CD13" s="5">
        <f t="shared" si="35"/>
        <v>0</v>
      </c>
      <c r="CE13" s="5">
        <f t="shared" si="36"/>
        <v>0</v>
      </c>
      <c r="CF13" s="5">
        <f t="shared" si="37"/>
        <v>0</v>
      </c>
      <c r="CG13" s="5">
        <f t="shared" si="38"/>
        <v>0</v>
      </c>
      <c r="CH13" s="5">
        <f t="shared" si="39"/>
        <v>0</v>
      </c>
      <c r="CI13" s="5">
        <f t="shared" si="40"/>
        <v>0</v>
      </c>
      <c r="CJ13" s="5">
        <f t="shared" si="41"/>
        <v>0</v>
      </c>
      <c r="CK13" s="5">
        <f t="shared" si="42"/>
        <v>0</v>
      </c>
      <c r="CL13" s="5">
        <f t="shared" si="43"/>
        <v>0</v>
      </c>
      <c r="CM13" s="5">
        <f t="shared" si="44"/>
        <v>0</v>
      </c>
      <c r="CN13" s="5">
        <f t="shared" si="45"/>
        <v>0</v>
      </c>
      <c r="CO13" s="5">
        <f t="shared" si="46"/>
        <v>0</v>
      </c>
      <c r="CP13" s="6">
        <f t="shared" si="47"/>
        <v>0</v>
      </c>
      <c r="CQ13" s="6">
        <f t="shared" si="48"/>
        <v>0</v>
      </c>
      <c r="CR13" s="6">
        <f t="shared" si="49"/>
        <v>0</v>
      </c>
      <c r="CS13" s="6">
        <f t="shared" si="50"/>
        <v>0</v>
      </c>
      <c r="CT13" s="6">
        <f t="shared" si="51"/>
        <v>0</v>
      </c>
      <c r="CU13" s="6">
        <f t="shared" si="52"/>
        <v>0</v>
      </c>
      <c r="CV13" s="6">
        <f t="shared" si="53"/>
        <v>0</v>
      </c>
      <c r="CW13" s="6">
        <f t="shared" si="54"/>
        <v>0</v>
      </c>
      <c r="CX13" s="6">
        <f t="shared" si="55"/>
        <v>0</v>
      </c>
      <c r="CY13" s="6">
        <f t="shared" si="56"/>
        <v>0</v>
      </c>
      <c r="CZ13" s="6">
        <f t="shared" si="57"/>
        <v>0</v>
      </c>
      <c r="DA13" s="6">
        <f t="shared" si="58"/>
        <v>0</v>
      </c>
      <c r="DB13" s="6">
        <f t="shared" si="59"/>
        <v>0</v>
      </c>
      <c r="DC13" s="6">
        <f t="shared" si="60"/>
        <v>0</v>
      </c>
      <c r="DD13" s="6">
        <f t="shared" si="61"/>
        <v>0</v>
      </c>
      <c r="DE13" s="6">
        <f t="shared" si="62"/>
        <v>0</v>
      </c>
      <c r="DF13" s="6">
        <f t="shared" si="63"/>
        <v>0</v>
      </c>
      <c r="DG13" s="6">
        <f t="shared" si="64"/>
        <v>0</v>
      </c>
      <c r="DH13" s="6">
        <f t="shared" si="322"/>
        <v>0</v>
      </c>
      <c r="DI13" s="6">
        <f t="shared" si="66"/>
        <v>0</v>
      </c>
      <c r="DJ13" s="6">
        <f t="shared" si="67"/>
        <v>0</v>
      </c>
      <c r="DK13" s="7">
        <f t="shared" si="68"/>
        <v>0</v>
      </c>
      <c r="DL13" s="7">
        <f t="shared" si="323"/>
        <v>0</v>
      </c>
      <c r="DM13" s="7">
        <f t="shared" si="70"/>
        <v>0</v>
      </c>
      <c r="DN13" s="7">
        <f t="shared" si="71"/>
        <v>0</v>
      </c>
      <c r="DO13" s="7">
        <f t="shared" si="72"/>
        <v>1</v>
      </c>
      <c r="DP13" s="8">
        <f t="shared" si="73"/>
        <v>0</v>
      </c>
      <c r="DQ13" s="8">
        <f t="shared" si="74"/>
        <v>0</v>
      </c>
      <c r="DR13" s="7">
        <f t="shared" si="75"/>
        <v>0</v>
      </c>
      <c r="DS13" s="7">
        <f t="shared" si="76"/>
        <v>0</v>
      </c>
      <c r="DT13" s="7">
        <f t="shared" si="77"/>
        <v>0</v>
      </c>
      <c r="DU13" s="9">
        <f t="shared" si="78"/>
        <v>0</v>
      </c>
      <c r="DV13" s="9">
        <f t="shared" si="79"/>
        <v>0</v>
      </c>
      <c r="DW13" s="9">
        <f t="shared" si="80"/>
        <v>0</v>
      </c>
      <c r="DX13" s="9">
        <f t="shared" si="81"/>
        <v>0</v>
      </c>
      <c r="DY13" s="9">
        <f t="shared" si="82"/>
        <v>0</v>
      </c>
      <c r="DZ13" s="9">
        <f t="shared" si="83"/>
        <v>0</v>
      </c>
      <c r="EA13" s="9">
        <f t="shared" si="84"/>
        <v>0</v>
      </c>
      <c r="EB13" s="9">
        <f t="shared" si="85"/>
        <v>0</v>
      </c>
      <c r="EC13" s="9">
        <f t="shared" si="86"/>
        <v>0</v>
      </c>
      <c r="ED13" s="9">
        <f t="shared" si="87"/>
        <v>0</v>
      </c>
      <c r="EE13" s="9">
        <f t="shared" si="88"/>
        <v>0</v>
      </c>
      <c r="EF13" s="9">
        <f t="shared" si="89"/>
        <v>0</v>
      </c>
      <c r="EG13" s="9">
        <f t="shared" si="90"/>
        <v>0</v>
      </c>
      <c r="EH13" s="9">
        <f t="shared" si="91"/>
        <v>0</v>
      </c>
      <c r="EI13" s="9">
        <f t="shared" si="92"/>
        <v>0</v>
      </c>
      <c r="EJ13" s="10">
        <f t="shared" si="93"/>
        <v>0</v>
      </c>
      <c r="EK13" s="10">
        <f t="shared" si="94"/>
        <v>0</v>
      </c>
      <c r="EL13" s="10">
        <f t="shared" ref="EL13:EM13" si="340">IF(OR(ISNUMBER(SEARCH("ai software toolkit", $D13)), ISNUMBER(SEARCH("ai software toolkit", $T13)), ISNUMBER(SEARCH("ai software toolkit", $R13)), ISNUMBER(SEARCH("ai software toolkit", $S13))), 1, 0)</f>
        <v>0</v>
      </c>
      <c r="EM13" s="10">
        <f t="shared" si="340"/>
        <v>0</v>
      </c>
      <c r="EN13" s="10">
        <f t="shared" si="96"/>
        <v>0</v>
      </c>
      <c r="EO13" s="10">
        <f t="shared" si="97"/>
        <v>1</v>
      </c>
      <c r="EP13" s="10">
        <f t="shared" si="98"/>
        <v>0</v>
      </c>
      <c r="EQ13" s="10">
        <f t="shared" si="99"/>
        <v>0</v>
      </c>
      <c r="ER13" s="10">
        <f t="shared" si="100"/>
        <v>0</v>
      </c>
      <c r="ES13" s="10">
        <f t="shared" si="101"/>
        <v>0</v>
      </c>
      <c r="ET13" s="10">
        <f t="shared" si="102"/>
        <v>0</v>
      </c>
      <c r="EU13" s="10">
        <f t="shared" si="103"/>
        <v>0</v>
      </c>
      <c r="EV13" s="10">
        <f t="shared" si="104"/>
        <v>0</v>
      </c>
      <c r="EW13" s="10">
        <f t="shared" si="105"/>
        <v>0</v>
      </c>
      <c r="EX13" s="10">
        <f t="shared" si="106"/>
        <v>0</v>
      </c>
      <c r="EY13" s="10">
        <f t="shared" si="107"/>
        <v>0</v>
      </c>
      <c r="EZ13" s="10">
        <f t="shared" si="108"/>
        <v>0</v>
      </c>
      <c r="FA13" s="10">
        <f t="shared" si="109"/>
        <v>0</v>
      </c>
      <c r="FB13" s="10">
        <f t="shared" si="110"/>
        <v>0</v>
      </c>
      <c r="FC13" s="10">
        <f t="shared" si="111"/>
        <v>0</v>
      </c>
      <c r="FD13" s="10">
        <f t="shared" si="112"/>
        <v>0</v>
      </c>
      <c r="FE13" s="10">
        <f t="shared" si="113"/>
        <v>0</v>
      </c>
      <c r="FF13" s="10">
        <f t="shared" si="114"/>
        <v>0</v>
      </c>
      <c r="FG13" s="10">
        <f t="shared" si="115"/>
        <v>0</v>
      </c>
      <c r="FH13" s="10">
        <f t="shared" si="116"/>
        <v>0</v>
      </c>
      <c r="FI13" s="10">
        <f t="shared" si="117"/>
        <v>0</v>
      </c>
      <c r="FJ13" s="10">
        <f t="shared" si="118"/>
        <v>0</v>
      </c>
      <c r="FK13" s="10">
        <f t="shared" si="119"/>
        <v>0</v>
      </c>
      <c r="FL13" s="10">
        <f t="shared" si="120"/>
        <v>0</v>
      </c>
      <c r="FM13" s="10">
        <f t="shared" si="121"/>
        <v>0</v>
      </c>
      <c r="FN13" s="10">
        <f t="shared" si="122"/>
        <v>0</v>
      </c>
      <c r="FO13" s="10">
        <f t="shared" si="123"/>
        <v>0</v>
      </c>
      <c r="FP13" s="10">
        <f t="shared" si="124"/>
        <v>0</v>
      </c>
      <c r="FQ13" s="10">
        <f t="shared" si="125"/>
        <v>0</v>
      </c>
      <c r="FR13" s="11">
        <f t="shared" si="126"/>
        <v>0</v>
      </c>
      <c r="FS13" s="11">
        <f t="shared" si="127"/>
        <v>0</v>
      </c>
      <c r="FT13" s="11">
        <f t="shared" si="128"/>
        <v>0</v>
      </c>
      <c r="FU13" s="11">
        <f t="shared" si="129"/>
        <v>0</v>
      </c>
      <c r="FV13" s="11">
        <f t="shared" si="130"/>
        <v>0</v>
      </c>
      <c r="FW13" s="11">
        <f t="shared" si="131"/>
        <v>0</v>
      </c>
      <c r="FX13" s="11">
        <f t="shared" si="132"/>
        <v>0</v>
      </c>
      <c r="FY13" s="11">
        <f t="shared" si="133"/>
        <v>0</v>
      </c>
      <c r="FZ13" s="11">
        <f t="shared" si="134"/>
        <v>0</v>
      </c>
      <c r="GA13" s="11">
        <f t="shared" si="135"/>
        <v>0</v>
      </c>
      <c r="GB13" s="11">
        <f t="shared" si="136"/>
        <v>0</v>
      </c>
      <c r="GC13" s="11">
        <f t="shared" si="137"/>
        <v>0</v>
      </c>
      <c r="GD13" s="11">
        <f t="shared" si="138"/>
        <v>0</v>
      </c>
      <c r="GE13" s="11">
        <f t="shared" si="139"/>
        <v>0</v>
      </c>
      <c r="GF13" s="11">
        <f t="shared" si="140"/>
        <v>0</v>
      </c>
      <c r="GG13" s="11">
        <f t="shared" si="141"/>
        <v>0</v>
      </c>
      <c r="GH13" s="11">
        <f t="shared" si="142"/>
        <v>0</v>
      </c>
      <c r="GI13" s="11">
        <f t="shared" si="143"/>
        <v>0</v>
      </c>
      <c r="GJ13" s="11">
        <f t="shared" si="144"/>
        <v>0</v>
      </c>
      <c r="GK13" s="11">
        <f t="shared" si="145"/>
        <v>0</v>
      </c>
      <c r="GL13" s="11">
        <f t="shared" si="146"/>
        <v>0</v>
      </c>
      <c r="GM13" s="11">
        <f t="shared" si="147"/>
        <v>0</v>
      </c>
      <c r="GN13" s="11">
        <f t="shared" si="148"/>
        <v>0</v>
      </c>
      <c r="GO13" s="11">
        <f t="shared" si="149"/>
        <v>0</v>
      </c>
      <c r="GP13" s="11">
        <f t="shared" si="150"/>
        <v>0</v>
      </c>
      <c r="GQ13" s="11">
        <f t="shared" si="151"/>
        <v>0</v>
      </c>
      <c r="GR13" s="11">
        <f t="shared" si="152"/>
        <v>0</v>
      </c>
      <c r="GS13" s="11">
        <f t="shared" si="153"/>
        <v>0</v>
      </c>
      <c r="GT13" s="11">
        <f t="shared" si="154"/>
        <v>0</v>
      </c>
      <c r="GU13" s="12">
        <f t="shared" si="155"/>
        <v>0</v>
      </c>
      <c r="GV13" s="12">
        <f t="shared" si="156"/>
        <v>0</v>
      </c>
      <c r="GW13" s="12">
        <f t="shared" si="157"/>
        <v>0</v>
      </c>
      <c r="GX13" s="12">
        <f t="shared" si="158"/>
        <v>0</v>
      </c>
      <c r="GY13" s="12">
        <f t="shared" si="159"/>
        <v>0</v>
      </c>
      <c r="GZ13" s="12">
        <f t="shared" si="160"/>
        <v>0</v>
      </c>
      <c r="HA13" s="12">
        <f t="shared" si="161"/>
        <v>0</v>
      </c>
      <c r="HB13" s="12">
        <f t="shared" si="162"/>
        <v>0</v>
      </c>
      <c r="HC13" s="12">
        <f t="shared" si="163"/>
        <v>0</v>
      </c>
      <c r="HD13" s="12">
        <f t="shared" si="164"/>
        <v>0</v>
      </c>
      <c r="HE13" s="12">
        <f t="shared" si="165"/>
        <v>0</v>
      </c>
      <c r="HF13" s="12">
        <f t="shared" si="166"/>
        <v>0</v>
      </c>
      <c r="HG13" s="12">
        <f t="shared" si="167"/>
        <v>0</v>
      </c>
      <c r="HH13" s="12">
        <f t="shared" si="168"/>
        <v>0</v>
      </c>
      <c r="HI13" s="12">
        <f t="shared" si="169"/>
        <v>0</v>
      </c>
      <c r="HJ13" s="12">
        <f t="shared" si="170"/>
        <v>0</v>
      </c>
      <c r="HK13" s="12">
        <f t="shared" si="171"/>
        <v>0</v>
      </c>
      <c r="HL13" s="12">
        <f t="shared" si="172"/>
        <v>0</v>
      </c>
      <c r="HM13" s="12">
        <f t="shared" si="173"/>
        <v>0</v>
      </c>
      <c r="HN13" s="12">
        <f t="shared" si="174"/>
        <v>0</v>
      </c>
      <c r="HO13" s="12">
        <f t="shared" si="175"/>
        <v>0</v>
      </c>
      <c r="HP13" s="12">
        <f t="shared" si="176"/>
        <v>0</v>
      </c>
      <c r="HQ13" s="12">
        <f t="shared" si="177"/>
        <v>0</v>
      </c>
      <c r="HR13" s="12">
        <f t="shared" si="178"/>
        <v>0</v>
      </c>
      <c r="HS13" s="12">
        <f t="shared" si="179"/>
        <v>0</v>
      </c>
      <c r="HT13" s="12">
        <f t="shared" si="180"/>
        <v>0</v>
      </c>
      <c r="HU13" s="12">
        <f t="shared" si="181"/>
        <v>0</v>
      </c>
      <c r="HV13" s="12">
        <f t="shared" si="182"/>
        <v>0</v>
      </c>
      <c r="HW13" s="12">
        <f t="shared" si="183"/>
        <v>0</v>
      </c>
      <c r="HX13" s="12">
        <f t="shared" si="184"/>
        <v>0</v>
      </c>
      <c r="HY13" s="12">
        <f t="shared" si="185"/>
        <v>0</v>
      </c>
      <c r="HZ13" s="12">
        <f t="shared" si="186"/>
        <v>0</v>
      </c>
      <c r="IA13" s="12">
        <f t="shared" si="187"/>
        <v>0</v>
      </c>
      <c r="IB13" s="12">
        <f t="shared" si="188"/>
        <v>0</v>
      </c>
      <c r="IC13" s="12">
        <f t="shared" si="189"/>
        <v>0</v>
      </c>
      <c r="ID13" s="12">
        <f t="shared" si="190"/>
        <v>0</v>
      </c>
      <c r="IE13" s="12">
        <f t="shared" si="191"/>
        <v>0</v>
      </c>
      <c r="IF13" s="12">
        <f t="shared" si="192"/>
        <v>0</v>
      </c>
      <c r="IG13" s="12">
        <f t="shared" si="193"/>
        <v>0</v>
      </c>
      <c r="IH13" s="12">
        <f t="shared" si="194"/>
        <v>0</v>
      </c>
      <c r="II13" s="12">
        <f t="shared" si="195"/>
        <v>0</v>
      </c>
      <c r="IJ13" s="12">
        <f t="shared" si="196"/>
        <v>0</v>
      </c>
      <c r="IK13" s="12">
        <f t="shared" si="197"/>
        <v>0</v>
      </c>
      <c r="IL13" s="12">
        <f t="shared" si="198"/>
        <v>0</v>
      </c>
      <c r="IM13" s="12">
        <f t="shared" si="199"/>
        <v>0</v>
      </c>
      <c r="IN13" s="12">
        <f t="shared" si="200"/>
        <v>0</v>
      </c>
      <c r="IO13" s="12">
        <f t="shared" si="201"/>
        <v>0</v>
      </c>
      <c r="IP13" s="12">
        <f t="shared" si="202"/>
        <v>0</v>
      </c>
      <c r="IQ13" s="12">
        <f t="shared" si="203"/>
        <v>0</v>
      </c>
      <c r="IR13" s="12">
        <f t="shared" si="204"/>
        <v>0</v>
      </c>
      <c r="IS13" s="12">
        <f t="shared" si="205"/>
        <v>0</v>
      </c>
      <c r="IT13" s="12">
        <f t="shared" si="206"/>
        <v>0</v>
      </c>
      <c r="IU13" s="12">
        <f t="shared" si="207"/>
        <v>0</v>
      </c>
      <c r="IV13" s="12">
        <f t="shared" si="208"/>
        <v>0</v>
      </c>
      <c r="IW13" s="12">
        <f t="shared" si="209"/>
        <v>0</v>
      </c>
      <c r="IX13" s="12">
        <f t="shared" si="210"/>
        <v>0</v>
      </c>
      <c r="IY13" s="12">
        <f t="shared" si="211"/>
        <v>0</v>
      </c>
      <c r="IZ13" s="12">
        <f t="shared" si="212"/>
        <v>1</v>
      </c>
      <c r="JA13" s="13">
        <f t="shared" si="213"/>
        <v>0</v>
      </c>
      <c r="JB13" s="13">
        <f t="shared" si="214"/>
        <v>0</v>
      </c>
      <c r="JC13" s="13">
        <f t="shared" si="215"/>
        <v>0</v>
      </c>
      <c r="JD13" s="13">
        <f t="shared" si="216"/>
        <v>0</v>
      </c>
      <c r="JE13" s="13">
        <f t="shared" si="217"/>
        <v>0</v>
      </c>
      <c r="JF13" s="13">
        <f t="shared" si="218"/>
        <v>0</v>
      </c>
      <c r="JG13" s="13">
        <f t="shared" si="219"/>
        <v>0</v>
      </c>
      <c r="JH13" s="13">
        <f t="shared" si="220"/>
        <v>0</v>
      </c>
      <c r="JI13" s="13">
        <f t="shared" si="221"/>
        <v>0</v>
      </c>
      <c r="JJ13" s="13">
        <f t="shared" si="222"/>
        <v>0</v>
      </c>
      <c r="JK13" s="13">
        <f t="shared" si="223"/>
        <v>0</v>
      </c>
      <c r="JL13" s="13">
        <f t="shared" si="224"/>
        <v>0</v>
      </c>
      <c r="JM13" s="13">
        <f t="shared" si="225"/>
        <v>0</v>
      </c>
      <c r="JN13" s="13">
        <f t="shared" si="226"/>
        <v>0</v>
      </c>
      <c r="JO13" s="13">
        <f t="shared" si="227"/>
        <v>0</v>
      </c>
      <c r="JP13" s="13">
        <f t="shared" si="228"/>
        <v>0</v>
      </c>
      <c r="JQ13" s="13">
        <f t="shared" si="229"/>
        <v>0</v>
      </c>
      <c r="JR13" s="13">
        <f t="shared" si="230"/>
        <v>0</v>
      </c>
      <c r="JS13" s="13">
        <f t="shared" si="231"/>
        <v>0</v>
      </c>
      <c r="JT13" s="13">
        <f t="shared" si="232"/>
        <v>0</v>
      </c>
      <c r="JU13" s="13">
        <f t="shared" si="233"/>
        <v>0</v>
      </c>
      <c r="JV13" s="12">
        <f t="shared" si="234"/>
        <v>0</v>
      </c>
      <c r="JW13" s="12">
        <f t="shared" si="235"/>
        <v>0</v>
      </c>
      <c r="JX13" s="12">
        <f t="shared" si="236"/>
        <v>0</v>
      </c>
      <c r="JY13" s="12">
        <f t="shared" si="237"/>
        <v>0</v>
      </c>
      <c r="JZ13" s="12">
        <f t="shared" si="238"/>
        <v>0</v>
      </c>
      <c r="KA13" s="12">
        <f t="shared" si="239"/>
        <v>0</v>
      </c>
      <c r="KB13" s="12">
        <f t="shared" si="240"/>
        <v>0</v>
      </c>
      <c r="KC13" s="12">
        <f t="shared" si="241"/>
        <v>0</v>
      </c>
      <c r="KD13" s="12">
        <f t="shared" si="242"/>
        <v>0</v>
      </c>
      <c r="KE13" s="12">
        <f t="shared" si="243"/>
        <v>0</v>
      </c>
      <c r="KF13" s="12">
        <f t="shared" si="244"/>
        <v>0</v>
      </c>
      <c r="KG13" s="12">
        <f t="shared" si="245"/>
        <v>0</v>
      </c>
      <c r="KH13" s="12">
        <f t="shared" si="246"/>
        <v>0</v>
      </c>
      <c r="KI13" s="12">
        <f t="shared" si="247"/>
        <v>0</v>
      </c>
      <c r="KJ13" s="12">
        <f t="shared" si="248"/>
        <v>0</v>
      </c>
      <c r="KK13" s="12">
        <f t="shared" si="249"/>
        <v>0</v>
      </c>
      <c r="KL13" s="12">
        <f t="shared" si="250"/>
        <v>0</v>
      </c>
      <c r="KM13" s="12">
        <f t="shared" si="251"/>
        <v>0</v>
      </c>
      <c r="KN13" s="12">
        <f t="shared" si="252"/>
        <v>0</v>
      </c>
      <c r="KO13" s="12">
        <f t="shared" si="253"/>
        <v>0</v>
      </c>
      <c r="KP13" s="12">
        <f t="shared" si="254"/>
        <v>0</v>
      </c>
      <c r="KQ13" s="12">
        <f t="shared" si="255"/>
        <v>0</v>
      </c>
      <c r="KR13" s="12">
        <f t="shared" si="256"/>
        <v>0</v>
      </c>
      <c r="KS13" s="12">
        <f t="shared" si="257"/>
        <v>0</v>
      </c>
      <c r="KT13" s="12">
        <f t="shared" si="258"/>
        <v>0</v>
      </c>
      <c r="KU13" s="12">
        <f t="shared" si="259"/>
        <v>0</v>
      </c>
      <c r="KV13" s="12">
        <f t="shared" si="260"/>
        <v>0</v>
      </c>
      <c r="KW13" s="12">
        <f t="shared" si="261"/>
        <v>0</v>
      </c>
      <c r="KX13" s="12">
        <f t="shared" si="262"/>
        <v>0</v>
      </c>
      <c r="KY13" s="12">
        <f t="shared" si="263"/>
        <v>0</v>
      </c>
      <c r="KZ13" s="12">
        <f t="shared" si="264"/>
        <v>0</v>
      </c>
      <c r="LA13" s="12">
        <f t="shared" si="265"/>
        <v>0</v>
      </c>
      <c r="LB13" s="12">
        <f t="shared" si="266"/>
        <v>0</v>
      </c>
      <c r="LC13" s="12">
        <f t="shared" si="267"/>
        <v>0</v>
      </c>
      <c r="LD13" s="12">
        <f t="shared" si="268"/>
        <v>0</v>
      </c>
      <c r="LE13" s="12">
        <f t="shared" si="269"/>
        <v>0</v>
      </c>
      <c r="LF13" s="12">
        <f t="shared" si="270"/>
        <v>0</v>
      </c>
      <c r="LG13" s="12">
        <f t="shared" si="271"/>
        <v>0</v>
      </c>
      <c r="LH13" s="12">
        <f t="shared" si="272"/>
        <v>0</v>
      </c>
      <c r="LI13" s="12">
        <f t="shared" si="273"/>
        <v>0</v>
      </c>
      <c r="LJ13" s="12">
        <f t="shared" si="274"/>
        <v>0</v>
      </c>
      <c r="LK13" s="12">
        <f t="shared" si="275"/>
        <v>0</v>
      </c>
      <c r="LL13" s="12">
        <f t="shared" si="276"/>
        <v>0</v>
      </c>
      <c r="LM13" s="12">
        <f t="shared" si="277"/>
        <v>0</v>
      </c>
      <c r="LN13" s="12">
        <f t="shared" si="278"/>
        <v>0</v>
      </c>
      <c r="LO13" s="12">
        <f t="shared" si="279"/>
        <v>0</v>
      </c>
      <c r="LP13" s="12">
        <f t="shared" si="280"/>
        <v>0</v>
      </c>
      <c r="LQ13" s="12">
        <f t="shared" si="281"/>
        <v>0</v>
      </c>
      <c r="LR13" s="12">
        <f t="shared" si="282"/>
        <v>0</v>
      </c>
      <c r="LS13" s="12">
        <f t="shared" si="283"/>
        <v>0</v>
      </c>
      <c r="LT13" s="13">
        <f t="shared" si="284"/>
        <v>0</v>
      </c>
      <c r="LU13" s="13">
        <f t="shared" si="285"/>
        <v>0</v>
      </c>
      <c r="LV13" s="13">
        <f t="shared" si="286"/>
        <v>0</v>
      </c>
      <c r="LW13" s="13">
        <f t="shared" si="287"/>
        <v>0</v>
      </c>
      <c r="LX13" s="13">
        <f t="shared" si="288"/>
        <v>0</v>
      </c>
      <c r="LY13" s="13">
        <f t="shared" si="289"/>
        <v>0</v>
      </c>
      <c r="LZ13" s="13">
        <f t="shared" si="290"/>
        <v>0</v>
      </c>
      <c r="MA13" s="13">
        <f t="shared" si="291"/>
        <v>0</v>
      </c>
      <c r="MB13" s="13">
        <f t="shared" si="292"/>
        <v>0</v>
      </c>
      <c r="MC13" s="13">
        <f t="shared" si="293"/>
        <v>0</v>
      </c>
      <c r="MD13" s="13">
        <f t="shared" si="294"/>
        <v>0</v>
      </c>
      <c r="ME13" s="13">
        <f t="shared" si="295"/>
        <v>0</v>
      </c>
      <c r="MF13" s="13">
        <f t="shared" si="296"/>
        <v>0</v>
      </c>
      <c r="MG13" s="13">
        <f t="shared" si="297"/>
        <v>0</v>
      </c>
      <c r="MH13" s="13">
        <f t="shared" si="298"/>
        <v>0</v>
      </c>
      <c r="MI13" s="13">
        <f t="shared" si="299"/>
        <v>0</v>
      </c>
      <c r="MJ13" s="13">
        <f t="shared" si="300"/>
        <v>0</v>
      </c>
      <c r="MK13" s="13">
        <f t="shared" si="301"/>
        <v>0</v>
      </c>
      <c r="ML13" s="14">
        <f t="shared" si="302"/>
        <v>0</v>
      </c>
      <c r="MM13" s="14">
        <f t="shared" si="303"/>
        <v>1</v>
      </c>
      <c r="MN13" s="14">
        <f t="shared" si="304"/>
        <v>0</v>
      </c>
      <c r="MO13" s="14">
        <f t="shared" si="305"/>
        <v>1</v>
      </c>
      <c r="MP13" s="14">
        <f t="shared" si="306"/>
        <v>0</v>
      </c>
      <c r="MQ13" s="14">
        <f t="shared" si="307"/>
        <v>0</v>
      </c>
      <c r="MR13" s="14">
        <f t="shared" si="308"/>
        <v>0</v>
      </c>
      <c r="MS13" s="14">
        <f t="shared" si="309"/>
        <v>0</v>
      </c>
      <c r="MT13" s="14">
        <f t="shared" si="310"/>
        <v>0</v>
      </c>
      <c r="MU13" s="14">
        <f t="shared" si="311"/>
        <v>0</v>
      </c>
      <c r="MV13" s="14">
        <f t="shared" si="312"/>
        <v>0</v>
      </c>
      <c r="MW13" s="14">
        <f t="shared" si="313"/>
        <v>0</v>
      </c>
      <c r="MX13" s="14">
        <f t="shared" si="314"/>
        <v>0</v>
      </c>
      <c r="MY13" s="14">
        <f t="shared" si="315"/>
        <v>0</v>
      </c>
      <c r="MZ13" s="14">
        <f t="shared" si="316"/>
        <v>0</v>
      </c>
      <c r="NA13" s="14">
        <f t="shared" si="317"/>
        <v>0</v>
      </c>
      <c r="NB13" s="14">
        <f t="shared" si="318"/>
        <v>0</v>
      </c>
    </row>
    <row r="14">
      <c r="A14" s="2">
        <v>447.0</v>
      </c>
      <c r="B14" s="2" t="s">
        <v>599</v>
      </c>
      <c r="C14" s="2" t="s">
        <v>600</v>
      </c>
      <c r="D14" s="2" t="s">
        <v>601</v>
      </c>
      <c r="E14" s="2">
        <v>1999.0</v>
      </c>
      <c r="F14" s="2" t="s">
        <v>602</v>
      </c>
      <c r="G14" s="2" t="s">
        <v>393</v>
      </c>
      <c r="H14" s="2" t="s">
        <v>603</v>
      </c>
      <c r="J14" s="2" t="s">
        <v>604</v>
      </c>
      <c r="K14" s="2" t="s">
        <v>453</v>
      </c>
      <c r="M14" s="2">
        <v>97.0</v>
      </c>
      <c r="N14" s="2" t="s">
        <v>605</v>
      </c>
      <c r="O14" s="2" t="s">
        <v>606</v>
      </c>
      <c r="P14" s="2" t="s">
        <v>607</v>
      </c>
      <c r="Q14" s="2" t="s">
        <v>608</v>
      </c>
      <c r="R14" s="2" t="s">
        <v>609</v>
      </c>
      <c r="S14" s="2" t="s">
        <v>610</v>
      </c>
      <c r="Y14" s="2" t="s">
        <v>611</v>
      </c>
      <c r="AG14" s="2" t="s">
        <v>612</v>
      </c>
      <c r="AK14" s="2" t="s">
        <v>613</v>
      </c>
      <c r="AL14" s="2" t="s">
        <v>384</v>
      </c>
      <c r="AN14" s="2" t="s">
        <v>386</v>
      </c>
      <c r="AO14" s="2" t="s">
        <v>614</v>
      </c>
      <c r="AP14" s="2" t="s">
        <v>386</v>
      </c>
      <c r="AQ14" s="2">
        <v>1760.0</v>
      </c>
      <c r="AR14" s="2" t="s">
        <v>601</v>
      </c>
      <c r="AS14" s="2" t="b">
        <v>0</v>
      </c>
      <c r="AT14" s="3">
        <v>0.0</v>
      </c>
      <c r="AU14" s="4"/>
      <c r="AV14" s="4">
        <v>1.0</v>
      </c>
      <c r="AW14" s="5">
        <f t="shared" si="3"/>
        <v>0</v>
      </c>
      <c r="AX14" s="5">
        <f t="shared" si="4"/>
        <v>0</v>
      </c>
      <c r="AY14" s="5">
        <f t="shared" si="5"/>
        <v>0</v>
      </c>
      <c r="AZ14" s="5">
        <f t="shared" si="6"/>
        <v>0</v>
      </c>
      <c r="BA14" s="5">
        <f t="shared" si="7"/>
        <v>0</v>
      </c>
      <c r="BB14" s="5">
        <f t="shared" si="8"/>
        <v>0</v>
      </c>
      <c r="BC14" s="5">
        <f t="shared" si="9"/>
        <v>0</v>
      </c>
      <c r="BD14" s="5">
        <f t="shared" si="10"/>
        <v>0</v>
      </c>
      <c r="BE14" s="5">
        <f t="shared" si="11"/>
        <v>0</v>
      </c>
      <c r="BF14" s="5">
        <f t="shared" si="12"/>
        <v>0</v>
      </c>
      <c r="BG14" s="5">
        <f t="shared" si="13"/>
        <v>0</v>
      </c>
      <c r="BH14" s="5">
        <f t="shared" si="14"/>
        <v>0</v>
      </c>
      <c r="BI14" s="5">
        <f t="shared" si="15"/>
        <v>0</v>
      </c>
      <c r="BJ14" s="5">
        <f t="shared" si="16"/>
        <v>0</v>
      </c>
      <c r="BK14" s="5">
        <f t="shared" si="17"/>
        <v>0</v>
      </c>
      <c r="BL14" s="5">
        <f t="shared" si="18"/>
        <v>0</v>
      </c>
      <c r="BM14" s="5">
        <f t="shared" si="19"/>
        <v>0</v>
      </c>
      <c r="BN14" s="5">
        <f t="shared" si="20"/>
        <v>0</v>
      </c>
      <c r="BO14" s="5">
        <f t="shared" si="21"/>
        <v>0</v>
      </c>
      <c r="BP14" s="5">
        <f t="shared" si="22"/>
        <v>0</v>
      </c>
      <c r="BQ14" s="5">
        <f t="shared" si="23"/>
        <v>0</v>
      </c>
      <c r="BR14" s="5">
        <f t="shared" si="24"/>
        <v>0</v>
      </c>
      <c r="BS14" s="5">
        <f t="shared" si="25"/>
        <v>1</v>
      </c>
      <c r="BT14" s="5">
        <f t="shared" si="26"/>
        <v>1</v>
      </c>
      <c r="BU14" s="5">
        <f t="shared" si="27"/>
        <v>1</v>
      </c>
      <c r="BV14" s="5">
        <f t="shared" ref="BV14:BW14" si="341">IF(OR(ISNUMBER(SEARCH("grit",$D14)),ISNUMBER(SEARCH("grit",$T14)),ISNUMBER(SEARCH("grit",$R14)),ISNUMBER(SEARCH("grit",$S14)),
ISNUMBER(SEARCH("determination",$D14)),ISNUMBER(SEARCH("determination",$T14)),ISNUMBER(SEARCH("determination",$R14)),ISNUMBER(SEARCH("determination",$S14)),
ISNUMBER(SEARCH("tenacity",$D14)),ISNUMBER(SEARCH("tenacity",$T14)),ISNUMBER(SEARCH("tenacity",$R14)),ISNUMBER(SEARCH("tenacity",$S14)),
ISNUMBER(SEARCH("endurance",$D14)),ISNUMBER(SEARCH("endurance",$T14)),ISNUMBER(SEARCH("endurance",$R14)),ISNUMBER(SEARCH("endurance",$S14)),
ISNUMBER(SEARCH("fortitude",$D14)),ISNUMBER(SEARCH("fortitude",$T14)),ISNUMBER(SEARCH("fortitude",$R14)),ISNUMBER(SEARCH("fortitude",$S14)),
ISNUMBER(SEARCH("resolve",$D14)),ISNUMBER(SEARCH("resolve",$T14)),ISNUMBER(SEARCH("resolve",$R14)),ISNUMBER(SEARCH("resolve",$S14)),
ISNUMBER(SEARCH("stamina",$D14)),ISNUMBER(SEARCH("stamina",$T14)),ISNUMBER(SEARCH("stamina",$R14)),ISNUMBER(SEARCH("stamina",$S14)),
ISNUMBER(SEARCH("guts",$D14)),ISNUMBER(SEARCH("guts",$T14)),ISNUMBER(SEARCH("guts",$R14)),ISNUMBER(SEARCH("guts",$S14)),
ISNUMBER(SEARCH("spunk",$D14)),ISNUMBER(SEARCH("spunk",$T14)),ISNUMBER(SEARCH("spunk",$R14)),ISNUMBER(SEARCH("spunk",$S14))), 1, 0)</f>
        <v>1</v>
      </c>
      <c r="BW14" s="5">
        <f t="shared" si="341"/>
        <v>1</v>
      </c>
      <c r="BX14" s="5">
        <f t="shared" si="29"/>
        <v>0</v>
      </c>
      <c r="BY14" s="5">
        <f t="shared" si="30"/>
        <v>0</v>
      </c>
      <c r="BZ14" s="5">
        <f t="shared" si="31"/>
        <v>0</v>
      </c>
      <c r="CA14" s="5">
        <f t="shared" si="32"/>
        <v>0</v>
      </c>
      <c r="CB14" s="5">
        <f t="shared" si="33"/>
        <v>0</v>
      </c>
      <c r="CC14" s="5">
        <f t="shared" si="34"/>
        <v>0</v>
      </c>
      <c r="CD14" s="5">
        <f t="shared" si="35"/>
        <v>0</v>
      </c>
      <c r="CE14" s="5">
        <f t="shared" si="36"/>
        <v>0</v>
      </c>
      <c r="CF14" s="5">
        <f t="shared" si="37"/>
        <v>0</v>
      </c>
      <c r="CG14" s="5">
        <f t="shared" si="38"/>
        <v>0</v>
      </c>
      <c r="CH14" s="5">
        <f t="shared" si="39"/>
        <v>0</v>
      </c>
      <c r="CI14" s="5">
        <f t="shared" si="40"/>
        <v>1</v>
      </c>
      <c r="CJ14" s="5">
        <f t="shared" si="41"/>
        <v>0</v>
      </c>
      <c r="CK14" s="5">
        <f t="shared" si="42"/>
        <v>0</v>
      </c>
      <c r="CL14" s="5">
        <f t="shared" si="43"/>
        <v>0</v>
      </c>
      <c r="CM14" s="5">
        <f t="shared" si="44"/>
        <v>0</v>
      </c>
      <c r="CN14" s="5">
        <f t="shared" si="45"/>
        <v>0</v>
      </c>
      <c r="CO14" s="5">
        <f t="shared" si="46"/>
        <v>0</v>
      </c>
      <c r="CP14" s="6">
        <f t="shared" si="47"/>
        <v>0</v>
      </c>
      <c r="CQ14" s="6">
        <f t="shared" si="48"/>
        <v>0</v>
      </c>
      <c r="CR14" s="6">
        <f t="shared" si="49"/>
        <v>1</v>
      </c>
      <c r="CS14" s="6">
        <f t="shared" si="50"/>
        <v>0</v>
      </c>
      <c r="CT14" s="6">
        <f t="shared" si="51"/>
        <v>0</v>
      </c>
      <c r="CU14" s="6">
        <f t="shared" si="52"/>
        <v>0</v>
      </c>
      <c r="CV14" s="6">
        <f t="shared" si="53"/>
        <v>0</v>
      </c>
      <c r="CW14" s="6">
        <f t="shared" si="54"/>
        <v>0</v>
      </c>
      <c r="CX14" s="6">
        <f t="shared" si="55"/>
        <v>0</v>
      </c>
      <c r="CY14" s="6">
        <f t="shared" si="56"/>
        <v>0</v>
      </c>
      <c r="CZ14" s="6">
        <f t="shared" si="57"/>
        <v>0</v>
      </c>
      <c r="DA14" s="6">
        <f t="shared" si="58"/>
        <v>0</v>
      </c>
      <c r="DB14" s="6">
        <f t="shared" si="59"/>
        <v>1</v>
      </c>
      <c r="DC14" s="6">
        <f t="shared" si="60"/>
        <v>0</v>
      </c>
      <c r="DD14" s="6">
        <f t="shared" si="61"/>
        <v>0</v>
      </c>
      <c r="DE14" s="6">
        <f t="shared" si="62"/>
        <v>0</v>
      </c>
      <c r="DF14" s="6">
        <f t="shared" si="63"/>
        <v>0</v>
      </c>
      <c r="DG14" s="6">
        <f t="shared" si="64"/>
        <v>0</v>
      </c>
      <c r="DH14" s="6">
        <f t="shared" si="322"/>
        <v>0</v>
      </c>
      <c r="DI14" s="6">
        <f t="shared" si="66"/>
        <v>0</v>
      </c>
      <c r="DJ14" s="6">
        <f t="shared" si="67"/>
        <v>0</v>
      </c>
      <c r="DK14" s="7">
        <f t="shared" si="68"/>
        <v>1</v>
      </c>
      <c r="DL14" s="7">
        <f t="shared" si="323"/>
        <v>0</v>
      </c>
      <c r="DM14" s="7">
        <f t="shared" si="70"/>
        <v>0</v>
      </c>
      <c r="DN14" s="7">
        <f t="shared" si="71"/>
        <v>0</v>
      </c>
      <c r="DO14" s="7">
        <f t="shared" si="72"/>
        <v>1</v>
      </c>
      <c r="DP14" s="8">
        <f t="shared" si="73"/>
        <v>0</v>
      </c>
      <c r="DQ14" s="8">
        <f t="shared" si="74"/>
        <v>0</v>
      </c>
      <c r="DR14" s="7">
        <f t="shared" si="75"/>
        <v>0</v>
      </c>
      <c r="DS14" s="7">
        <f t="shared" si="76"/>
        <v>0</v>
      </c>
      <c r="DT14" s="7">
        <f t="shared" si="77"/>
        <v>0</v>
      </c>
      <c r="DU14" s="9">
        <f t="shared" si="78"/>
        <v>0</v>
      </c>
      <c r="DV14" s="9">
        <f t="shared" si="79"/>
        <v>0</v>
      </c>
      <c r="DW14" s="9">
        <f t="shared" si="80"/>
        <v>0</v>
      </c>
      <c r="DX14" s="9">
        <f t="shared" si="81"/>
        <v>0</v>
      </c>
      <c r="DY14" s="9">
        <f t="shared" si="82"/>
        <v>0</v>
      </c>
      <c r="DZ14" s="9">
        <f t="shared" si="83"/>
        <v>0</v>
      </c>
      <c r="EA14" s="9">
        <f t="shared" si="84"/>
        <v>0</v>
      </c>
      <c r="EB14" s="9">
        <f t="shared" si="85"/>
        <v>0</v>
      </c>
      <c r="EC14" s="9">
        <f t="shared" si="86"/>
        <v>0</v>
      </c>
      <c r="ED14" s="9">
        <f t="shared" si="87"/>
        <v>0</v>
      </c>
      <c r="EE14" s="9">
        <f t="shared" si="88"/>
        <v>0</v>
      </c>
      <c r="EF14" s="9">
        <f t="shared" si="89"/>
        <v>0</v>
      </c>
      <c r="EG14" s="9">
        <f t="shared" si="90"/>
        <v>0</v>
      </c>
      <c r="EH14" s="9">
        <f t="shared" si="91"/>
        <v>0</v>
      </c>
      <c r="EI14" s="9">
        <f t="shared" si="92"/>
        <v>0</v>
      </c>
      <c r="EJ14" s="10">
        <f t="shared" si="93"/>
        <v>0</v>
      </c>
      <c r="EK14" s="10">
        <f t="shared" si="94"/>
        <v>0</v>
      </c>
      <c r="EL14" s="10">
        <f t="shared" ref="EL14:EM14" si="342">IF(OR(ISNUMBER(SEARCH("ai software toolkit", $D14)), ISNUMBER(SEARCH("ai software toolkit", $T14)), ISNUMBER(SEARCH("ai software toolkit", $R14)), ISNUMBER(SEARCH("ai software toolkit", $S14))), 1, 0)</f>
        <v>0</v>
      </c>
      <c r="EM14" s="10">
        <f t="shared" si="342"/>
        <v>0</v>
      </c>
      <c r="EN14" s="10">
        <f t="shared" si="96"/>
        <v>0</v>
      </c>
      <c r="EO14" s="10">
        <f t="shared" si="97"/>
        <v>0</v>
      </c>
      <c r="EP14" s="10">
        <f t="shared" si="98"/>
        <v>0</v>
      </c>
      <c r="EQ14" s="10">
        <f t="shared" si="99"/>
        <v>0</v>
      </c>
      <c r="ER14" s="10">
        <f t="shared" si="100"/>
        <v>0</v>
      </c>
      <c r="ES14" s="10">
        <f t="shared" si="101"/>
        <v>0</v>
      </c>
      <c r="ET14" s="10">
        <f t="shared" si="102"/>
        <v>0</v>
      </c>
      <c r="EU14" s="10">
        <f t="shared" si="103"/>
        <v>0</v>
      </c>
      <c r="EV14" s="10">
        <f t="shared" si="104"/>
        <v>0</v>
      </c>
      <c r="EW14" s="10">
        <f t="shared" si="105"/>
        <v>0</v>
      </c>
      <c r="EX14" s="10">
        <f t="shared" si="106"/>
        <v>0</v>
      </c>
      <c r="EY14" s="10">
        <f t="shared" si="107"/>
        <v>0</v>
      </c>
      <c r="EZ14" s="10">
        <f t="shared" si="108"/>
        <v>0</v>
      </c>
      <c r="FA14" s="10">
        <f t="shared" si="109"/>
        <v>0</v>
      </c>
      <c r="FB14" s="10">
        <f t="shared" si="110"/>
        <v>0</v>
      </c>
      <c r="FC14" s="10">
        <f t="shared" si="111"/>
        <v>0</v>
      </c>
      <c r="FD14" s="10">
        <f t="shared" si="112"/>
        <v>0</v>
      </c>
      <c r="FE14" s="10">
        <f t="shared" si="113"/>
        <v>0</v>
      </c>
      <c r="FF14" s="10">
        <f t="shared" si="114"/>
        <v>0</v>
      </c>
      <c r="FG14" s="10">
        <f t="shared" si="115"/>
        <v>0</v>
      </c>
      <c r="FH14" s="10">
        <f t="shared" si="116"/>
        <v>0</v>
      </c>
      <c r="FI14" s="10">
        <f t="shared" si="117"/>
        <v>0</v>
      </c>
      <c r="FJ14" s="10">
        <f t="shared" si="118"/>
        <v>0</v>
      </c>
      <c r="FK14" s="10">
        <f t="shared" si="119"/>
        <v>0</v>
      </c>
      <c r="FL14" s="10">
        <f t="shared" si="120"/>
        <v>0</v>
      </c>
      <c r="FM14" s="10">
        <f t="shared" si="121"/>
        <v>0</v>
      </c>
      <c r="FN14" s="10">
        <f t="shared" si="122"/>
        <v>0</v>
      </c>
      <c r="FO14" s="10">
        <f t="shared" si="123"/>
        <v>0</v>
      </c>
      <c r="FP14" s="10">
        <f t="shared" si="124"/>
        <v>0</v>
      </c>
      <c r="FQ14" s="10">
        <f t="shared" si="125"/>
        <v>0</v>
      </c>
      <c r="FR14" s="11">
        <f t="shared" si="126"/>
        <v>0</v>
      </c>
      <c r="FS14" s="11">
        <f t="shared" si="127"/>
        <v>0</v>
      </c>
      <c r="FT14" s="11">
        <f t="shared" si="128"/>
        <v>0</v>
      </c>
      <c r="FU14" s="11">
        <f t="shared" si="129"/>
        <v>0</v>
      </c>
      <c r="FV14" s="11">
        <f t="shared" si="130"/>
        <v>0</v>
      </c>
      <c r="FW14" s="11">
        <f t="shared" si="131"/>
        <v>0</v>
      </c>
      <c r="FX14" s="11">
        <f t="shared" si="132"/>
        <v>0</v>
      </c>
      <c r="FY14" s="11">
        <f t="shared" si="133"/>
        <v>0</v>
      </c>
      <c r="FZ14" s="11">
        <f t="shared" si="134"/>
        <v>0</v>
      </c>
      <c r="GA14" s="11">
        <f t="shared" si="135"/>
        <v>0</v>
      </c>
      <c r="GB14" s="11">
        <f t="shared" si="136"/>
        <v>0</v>
      </c>
      <c r="GC14" s="11">
        <f t="shared" si="137"/>
        <v>0</v>
      </c>
      <c r="GD14" s="11">
        <f t="shared" si="138"/>
        <v>0</v>
      </c>
      <c r="GE14" s="11">
        <f t="shared" si="139"/>
        <v>0</v>
      </c>
      <c r="GF14" s="11">
        <f t="shared" si="140"/>
        <v>0</v>
      </c>
      <c r="GG14" s="11">
        <f t="shared" si="141"/>
        <v>0</v>
      </c>
      <c r="GH14" s="11">
        <f t="shared" si="142"/>
        <v>0</v>
      </c>
      <c r="GI14" s="11">
        <f t="shared" si="143"/>
        <v>0</v>
      </c>
      <c r="GJ14" s="11">
        <f t="shared" si="144"/>
        <v>0</v>
      </c>
      <c r="GK14" s="11">
        <f t="shared" si="145"/>
        <v>0</v>
      </c>
      <c r="GL14" s="11">
        <f t="shared" si="146"/>
        <v>0</v>
      </c>
      <c r="GM14" s="11">
        <f t="shared" si="147"/>
        <v>0</v>
      </c>
      <c r="GN14" s="11">
        <f t="shared" si="148"/>
        <v>0</v>
      </c>
      <c r="GO14" s="11">
        <f t="shared" si="149"/>
        <v>0</v>
      </c>
      <c r="GP14" s="11">
        <f t="shared" si="150"/>
        <v>0</v>
      </c>
      <c r="GQ14" s="11">
        <f t="shared" si="151"/>
        <v>0</v>
      </c>
      <c r="GR14" s="11">
        <f t="shared" si="152"/>
        <v>0</v>
      </c>
      <c r="GS14" s="11">
        <f t="shared" si="153"/>
        <v>1</v>
      </c>
      <c r="GT14" s="11">
        <f t="shared" si="154"/>
        <v>0</v>
      </c>
      <c r="GU14" s="12">
        <f t="shared" si="155"/>
        <v>0</v>
      </c>
      <c r="GV14" s="12">
        <f t="shared" si="156"/>
        <v>0</v>
      </c>
      <c r="GW14" s="12">
        <f t="shared" si="157"/>
        <v>0</v>
      </c>
      <c r="GX14" s="12">
        <f t="shared" si="158"/>
        <v>0</v>
      </c>
      <c r="GY14" s="12">
        <f t="shared" si="159"/>
        <v>0</v>
      </c>
      <c r="GZ14" s="12">
        <f t="shared" si="160"/>
        <v>0</v>
      </c>
      <c r="HA14" s="12">
        <f t="shared" si="161"/>
        <v>0</v>
      </c>
      <c r="HB14" s="12">
        <f t="shared" si="162"/>
        <v>0</v>
      </c>
      <c r="HC14" s="12">
        <f t="shared" si="163"/>
        <v>0</v>
      </c>
      <c r="HD14" s="12">
        <f t="shared" si="164"/>
        <v>0</v>
      </c>
      <c r="HE14" s="12">
        <f t="shared" si="165"/>
        <v>0</v>
      </c>
      <c r="HF14" s="12">
        <f t="shared" si="166"/>
        <v>0</v>
      </c>
      <c r="HG14" s="12">
        <f t="shared" si="167"/>
        <v>0</v>
      </c>
      <c r="HH14" s="12">
        <f t="shared" si="168"/>
        <v>0</v>
      </c>
      <c r="HI14" s="12">
        <f t="shared" si="169"/>
        <v>0</v>
      </c>
      <c r="HJ14" s="12">
        <f t="shared" si="170"/>
        <v>0</v>
      </c>
      <c r="HK14" s="12">
        <f t="shared" si="171"/>
        <v>0</v>
      </c>
      <c r="HL14" s="12">
        <f t="shared" si="172"/>
        <v>0</v>
      </c>
      <c r="HM14" s="12">
        <f t="shared" si="173"/>
        <v>0</v>
      </c>
      <c r="HN14" s="12">
        <f t="shared" si="174"/>
        <v>0</v>
      </c>
      <c r="HO14" s="12">
        <f t="shared" si="175"/>
        <v>0</v>
      </c>
      <c r="HP14" s="12">
        <f t="shared" si="176"/>
        <v>0</v>
      </c>
      <c r="HQ14" s="12">
        <f t="shared" si="177"/>
        <v>0</v>
      </c>
      <c r="HR14" s="12">
        <f t="shared" si="178"/>
        <v>0</v>
      </c>
      <c r="HS14" s="12">
        <f t="shared" si="179"/>
        <v>0</v>
      </c>
      <c r="HT14" s="12">
        <f t="shared" si="180"/>
        <v>0</v>
      </c>
      <c r="HU14" s="12">
        <f t="shared" si="181"/>
        <v>0</v>
      </c>
      <c r="HV14" s="12">
        <f t="shared" si="182"/>
        <v>1</v>
      </c>
      <c r="HW14" s="12">
        <f t="shared" si="183"/>
        <v>0</v>
      </c>
      <c r="HX14" s="12">
        <f t="shared" si="184"/>
        <v>0</v>
      </c>
      <c r="HY14" s="12">
        <f t="shared" si="185"/>
        <v>0</v>
      </c>
      <c r="HZ14" s="12">
        <f t="shared" si="186"/>
        <v>0</v>
      </c>
      <c r="IA14" s="12">
        <f t="shared" si="187"/>
        <v>0</v>
      </c>
      <c r="IB14" s="12">
        <f t="shared" si="188"/>
        <v>0</v>
      </c>
      <c r="IC14" s="12">
        <f t="shared" si="189"/>
        <v>0</v>
      </c>
      <c r="ID14" s="12">
        <f t="shared" si="190"/>
        <v>0</v>
      </c>
      <c r="IE14" s="12">
        <f t="shared" si="191"/>
        <v>0</v>
      </c>
      <c r="IF14" s="12">
        <f t="shared" si="192"/>
        <v>0</v>
      </c>
      <c r="IG14" s="12">
        <f t="shared" si="193"/>
        <v>0</v>
      </c>
      <c r="IH14" s="12">
        <f t="shared" si="194"/>
        <v>0</v>
      </c>
      <c r="II14" s="12">
        <f t="shared" si="195"/>
        <v>0</v>
      </c>
      <c r="IJ14" s="12">
        <f t="shared" si="196"/>
        <v>0</v>
      </c>
      <c r="IK14" s="12">
        <f t="shared" si="197"/>
        <v>0</v>
      </c>
      <c r="IL14" s="12">
        <f t="shared" si="198"/>
        <v>0</v>
      </c>
      <c r="IM14" s="12">
        <f t="shared" si="199"/>
        <v>0</v>
      </c>
      <c r="IN14" s="12">
        <f t="shared" si="200"/>
        <v>0</v>
      </c>
      <c r="IO14" s="12">
        <f t="shared" si="201"/>
        <v>0</v>
      </c>
      <c r="IP14" s="12">
        <f t="shared" si="202"/>
        <v>0</v>
      </c>
      <c r="IQ14" s="12">
        <f t="shared" si="203"/>
        <v>0</v>
      </c>
      <c r="IR14" s="12">
        <f t="shared" si="204"/>
        <v>0</v>
      </c>
      <c r="IS14" s="12">
        <f t="shared" si="205"/>
        <v>0</v>
      </c>
      <c r="IT14" s="12">
        <f t="shared" si="206"/>
        <v>0</v>
      </c>
      <c r="IU14" s="12">
        <f t="shared" si="207"/>
        <v>0</v>
      </c>
      <c r="IV14" s="12">
        <f t="shared" si="208"/>
        <v>0</v>
      </c>
      <c r="IW14" s="12">
        <f t="shared" si="209"/>
        <v>0</v>
      </c>
      <c r="IX14" s="12">
        <f t="shared" si="210"/>
        <v>0</v>
      </c>
      <c r="IY14" s="12">
        <f t="shared" si="211"/>
        <v>0</v>
      </c>
      <c r="IZ14" s="12">
        <f t="shared" si="212"/>
        <v>1</v>
      </c>
      <c r="JA14" s="13">
        <f t="shared" si="213"/>
        <v>0</v>
      </c>
      <c r="JB14" s="13">
        <f t="shared" si="214"/>
        <v>0</v>
      </c>
      <c r="JC14" s="13">
        <f t="shared" si="215"/>
        <v>0</v>
      </c>
      <c r="JD14" s="13">
        <f t="shared" si="216"/>
        <v>0</v>
      </c>
      <c r="JE14" s="13">
        <f t="shared" si="217"/>
        <v>0</v>
      </c>
      <c r="JF14" s="13">
        <f t="shared" si="218"/>
        <v>0</v>
      </c>
      <c r="JG14" s="13">
        <f t="shared" si="219"/>
        <v>0</v>
      </c>
      <c r="JH14" s="13">
        <f t="shared" si="220"/>
        <v>0</v>
      </c>
      <c r="JI14" s="13">
        <f t="shared" si="221"/>
        <v>0</v>
      </c>
      <c r="JJ14" s="13">
        <f t="shared" si="222"/>
        <v>0</v>
      </c>
      <c r="JK14" s="13">
        <f t="shared" si="223"/>
        <v>0</v>
      </c>
      <c r="JL14" s="13">
        <f t="shared" si="224"/>
        <v>0</v>
      </c>
      <c r="JM14" s="13">
        <f t="shared" si="225"/>
        <v>0</v>
      </c>
      <c r="JN14" s="13">
        <f t="shared" si="226"/>
        <v>0</v>
      </c>
      <c r="JO14" s="13">
        <f t="shared" si="227"/>
        <v>0</v>
      </c>
      <c r="JP14" s="13">
        <f t="shared" si="228"/>
        <v>0</v>
      </c>
      <c r="JQ14" s="13">
        <f t="shared" si="229"/>
        <v>0</v>
      </c>
      <c r="JR14" s="13">
        <f t="shared" si="230"/>
        <v>0</v>
      </c>
      <c r="JS14" s="13">
        <f t="shared" si="231"/>
        <v>0</v>
      </c>
      <c r="JT14" s="13">
        <f t="shared" si="232"/>
        <v>0</v>
      </c>
      <c r="JU14" s="13">
        <f t="shared" si="233"/>
        <v>0</v>
      </c>
      <c r="JV14" s="12">
        <f t="shared" si="234"/>
        <v>0</v>
      </c>
      <c r="JW14" s="12">
        <f t="shared" si="235"/>
        <v>0</v>
      </c>
      <c r="JX14" s="12">
        <f t="shared" si="236"/>
        <v>0</v>
      </c>
      <c r="JY14" s="12">
        <f t="shared" si="237"/>
        <v>0</v>
      </c>
      <c r="JZ14" s="12">
        <f t="shared" si="238"/>
        <v>0</v>
      </c>
      <c r="KA14" s="12">
        <f t="shared" si="239"/>
        <v>0</v>
      </c>
      <c r="KB14" s="12">
        <f t="shared" si="240"/>
        <v>0</v>
      </c>
      <c r="KC14" s="12">
        <f t="shared" si="241"/>
        <v>0</v>
      </c>
      <c r="KD14" s="12">
        <f t="shared" si="242"/>
        <v>0</v>
      </c>
      <c r="KE14" s="12">
        <f t="shared" si="243"/>
        <v>0</v>
      </c>
      <c r="KF14" s="12">
        <f t="shared" si="244"/>
        <v>0</v>
      </c>
      <c r="KG14" s="12">
        <f t="shared" si="245"/>
        <v>0</v>
      </c>
      <c r="KH14" s="12">
        <f t="shared" si="246"/>
        <v>0</v>
      </c>
      <c r="KI14" s="12">
        <f t="shared" si="247"/>
        <v>0</v>
      </c>
      <c r="KJ14" s="12">
        <f t="shared" si="248"/>
        <v>0</v>
      </c>
      <c r="KK14" s="12">
        <f t="shared" si="249"/>
        <v>0</v>
      </c>
      <c r="KL14" s="12">
        <f t="shared" si="250"/>
        <v>0</v>
      </c>
      <c r="KM14" s="12">
        <f t="shared" si="251"/>
        <v>0</v>
      </c>
      <c r="KN14" s="12">
        <f t="shared" si="252"/>
        <v>0</v>
      </c>
      <c r="KO14" s="12">
        <f t="shared" si="253"/>
        <v>0</v>
      </c>
      <c r="KP14" s="12">
        <f t="shared" si="254"/>
        <v>0</v>
      </c>
      <c r="KQ14" s="12">
        <f t="shared" si="255"/>
        <v>0</v>
      </c>
      <c r="KR14" s="12">
        <f t="shared" si="256"/>
        <v>0</v>
      </c>
      <c r="KS14" s="12">
        <f t="shared" si="257"/>
        <v>0</v>
      </c>
      <c r="KT14" s="12">
        <f t="shared" si="258"/>
        <v>0</v>
      </c>
      <c r="KU14" s="12">
        <f t="shared" si="259"/>
        <v>0</v>
      </c>
      <c r="KV14" s="12">
        <f t="shared" si="260"/>
        <v>0</v>
      </c>
      <c r="KW14" s="12">
        <f t="shared" si="261"/>
        <v>0</v>
      </c>
      <c r="KX14" s="12">
        <f t="shared" si="262"/>
        <v>0</v>
      </c>
      <c r="KY14" s="12">
        <f t="shared" si="263"/>
        <v>0</v>
      </c>
      <c r="KZ14" s="12">
        <f t="shared" si="264"/>
        <v>0</v>
      </c>
      <c r="LA14" s="12">
        <f t="shared" si="265"/>
        <v>0</v>
      </c>
      <c r="LB14" s="12">
        <f t="shared" si="266"/>
        <v>0</v>
      </c>
      <c r="LC14" s="12">
        <f t="shared" si="267"/>
        <v>0</v>
      </c>
      <c r="LD14" s="12">
        <f t="shared" si="268"/>
        <v>0</v>
      </c>
      <c r="LE14" s="12">
        <f t="shared" si="269"/>
        <v>0</v>
      </c>
      <c r="LF14" s="12">
        <f t="shared" si="270"/>
        <v>0</v>
      </c>
      <c r="LG14" s="12">
        <f t="shared" si="271"/>
        <v>0</v>
      </c>
      <c r="LH14" s="12">
        <f t="shared" si="272"/>
        <v>0</v>
      </c>
      <c r="LI14" s="12">
        <f t="shared" si="273"/>
        <v>0</v>
      </c>
      <c r="LJ14" s="12">
        <f t="shared" si="274"/>
        <v>0</v>
      </c>
      <c r="LK14" s="12">
        <f t="shared" si="275"/>
        <v>0</v>
      </c>
      <c r="LL14" s="12">
        <f t="shared" si="276"/>
        <v>0</v>
      </c>
      <c r="LM14" s="12">
        <f t="shared" si="277"/>
        <v>0</v>
      </c>
      <c r="LN14" s="12">
        <f t="shared" si="278"/>
        <v>0</v>
      </c>
      <c r="LO14" s="12">
        <f t="shared" si="279"/>
        <v>0</v>
      </c>
      <c r="LP14" s="12">
        <f t="shared" si="280"/>
        <v>0</v>
      </c>
      <c r="LQ14" s="12">
        <f t="shared" si="281"/>
        <v>0</v>
      </c>
      <c r="LR14" s="12">
        <f t="shared" si="282"/>
        <v>0</v>
      </c>
      <c r="LS14" s="12">
        <f t="shared" si="283"/>
        <v>0</v>
      </c>
      <c r="LT14" s="13">
        <f t="shared" si="284"/>
        <v>0</v>
      </c>
      <c r="LU14" s="13">
        <f t="shared" si="285"/>
        <v>0</v>
      </c>
      <c r="LV14" s="13">
        <f t="shared" si="286"/>
        <v>0</v>
      </c>
      <c r="LW14" s="13">
        <f t="shared" si="287"/>
        <v>0</v>
      </c>
      <c r="LX14" s="13">
        <f t="shared" si="288"/>
        <v>0</v>
      </c>
      <c r="LY14" s="13">
        <f t="shared" si="289"/>
        <v>0</v>
      </c>
      <c r="LZ14" s="13">
        <f t="shared" si="290"/>
        <v>0</v>
      </c>
      <c r="MA14" s="13">
        <f t="shared" si="291"/>
        <v>0</v>
      </c>
      <c r="MB14" s="13">
        <f t="shared" si="292"/>
        <v>0</v>
      </c>
      <c r="MC14" s="13">
        <f t="shared" si="293"/>
        <v>0</v>
      </c>
      <c r="MD14" s="13">
        <f t="shared" si="294"/>
        <v>0</v>
      </c>
      <c r="ME14" s="13">
        <f t="shared" si="295"/>
        <v>0</v>
      </c>
      <c r="MF14" s="13">
        <f t="shared" si="296"/>
        <v>0</v>
      </c>
      <c r="MG14" s="13">
        <f t="shared" si="297"/>
        <v>0</v>
      </c>
      <c r="MH14" s="13">
        <f t="shared" si="298"/>
        <v>0</v>
      </c>
      <c r="MI14" s="13">
        <f t="shared" si="299"/>
        <v>0</v>
      </c>
      <c r="MJ14" s="13">
        <f t="shared" si="300"/>
        <v>0</v>
      </c>
      <c r="MK14" s="13">
        <f t="shared" si="301"/>
        <v>0</v>
      </c>
      <c r="ML14" s="14">
        <f t="shared" si="302"/>
        <v>0</v>
      </c>
      <c r="MM14" s="14">
        <f t="shared" si="303"/>
        <v>0</v>
      </c>
      <c r="MN14" s="14">
        <f t="shared" si="304"/>
        <v>0</v>
      </c>
      <c r="MO14" s="14">
        <f t="shared" si="305"/>
        <v>0</v>
      </c>
      <c r="MP14" s="14">
        <f t="shared" si="306"/>
        <v>0</v>
      </c>
      <c r="MQ14" s="14">
        <f t="shared" si="307"/>
        <v>0</v>
      </c>
      <c r="MR14" s="14">
        <f t="shared" si="308"/>
        <v>0</v>
      </c>
      <c r="MS14" s="14">
        <f t="shared" si="309"/>
        <v>0</v>
      </c>
      <c r="MT14" s="14">
        <f t="shared" si="310"/>
        <v>0</v>
      </c>
      <c r="MU14" s="14">
        <f t="shared" si="311"/>
        <v>0</v>
      </c>
      <c r="MV14" s="14">
        <f t="shared" si="312"/>
        <v>0</v>
      </c>
      <c r="MW14" s="14">
        <f t="shared" si="313"/>
        <v>0</v>
      </c>
      <c r="MX14" s="14">
        <f t="shared" si="314"/>
        <v>0</v>
      </c>
      <c r="MY14" s="14">
        <f t="shared" si="315"/>
        <v>0</v>
      </c>
      <c r="MZ14" s="14">
        <f t="shared" si="316"/>
        <v>0</v>
      </c>
      <c r="NA14" s="14">
        <f t="shared" si="317"/>
        <v>0</v>
      </c>
      <c r="NB14" s="14">
        <f t="shared" si="318"/>
        <v>0</v>
      </c>
    </row>
    <row r="15">
      <c r="A15" s="2">
        <v>386.0</v>
      </c>
      <c r="B15" s="2" t="s">
        <v>615</v>
      </c>
      <c r="C15" s="2" t="s">
        <v>616</v>
      </c>
      <c r="D15" s="2" t="s">
        <v>617</v>
      </c>
      <c r="E15" s="2">
        <v>2015.0</v>
      </c>
      <c r="F15" s="2" t="s">
        <v>410</v>
      </c>
      <c r="G15" s="2" t="s">
        <v>618</v>
      </c>
      <c r="J15" s="2" t="s">
        <v>619</v>
      </c>
      <c r="K15" s="2" t="s">
        <v>620</v>
      </c>
      <c r="M15" s="2">
        <v>93.0</v>
      </c>
      <c r="N15" s="2" t="s">
        <v>621</v>
      </c>
      <c r="O15" s="2" t="s">
        <v>622</v>
      </c>
      <c r="P15" s="2" t="s">
        <v>623</v>
      </c>
      <c r="Q15" s="2" t="s">
        <v>624</v>
      </c>
      <c r="R15" s="2" t="s">
        <v>625</v>
      </c>
      <c r="S15" s="2" t="s">
        <v>626</v>
      </c>
      <c r="T15" s="2" t="s">
        <v>627</v>
      </c>
      <c r="W15" s="2" t="s">
        <v>628</v>
      </c>
      <c r="Y15" s="2" t="s">
        <v>629</v>
      </c>
      <c r="AB15" s="2" t="s">
        <v>422</v>
      </c>
      <c r="AG15" s="2" t="s">
        <v>423</v>
      </c>
      <c r="AI15" s="2" t="s">
        <v>424</v>
      </c>
      <c r="AJ15" s="2">
        <v>2.6279212E7</v>
      </c>
      <c r="AK15" s="2" t="s">
        <v>410</v>
      </c>
      <c r="AL15" s="2" t="s">
        <v>384</v>
      </c>
      <c r="AN15" s="2" t="s">
        <v>386</v>
      </c>
      <c r="AO15" s="2" t="s">
        <v>630</v>
      </c>
      <c r="AP15" s="2" t="s">
        <v>386</v>
      </c>
      <c r="AQ15" s="2">
        <v>1523.0</v>
      </c>
      <c r="AR15" s="2" t="s">
        <v>617</v>
      </c>
      <c r="AS15" s="2" t="b">
        <v>0</v>
      </c>
      <c r="AT15" s="3">
        <v>0.0</v>
      </c>
      <c r="AU15" s="4"/>
      <c r="AV15" s="4"/>
      <c r="AW15" s="5">
        <f t="shared" si="3"/>
        <v>0</v>
      </c>
      <c r="AX15" s="5">
        <f t="shared" si="4"/>
        <v>0</v>
      </c>
      <c r="AY15" s="5">
        <f t="shared" si="5"/>
        <v>0</v>
      </c>
      <c r="AZ15" s="5">
        <f t="shared" si="6"/>
        <v>0</v>
      </c>
      <c r="BA15" s="5">
        <f t="shared" si="7"/>
        <v>0</v>
      </c>
      <c r="BB15" s="5">
        <f t="shared" si="8"/>
        <v>0</v>
      </c>
      <c r="BC15" s="5">
        <f t="shared" si="9"/>
        <v>0</v>
      </c>
      <c r="BD15" s="5">
        <f t="shared" si="10"/>
        <v>0</v>
      </c>
      <c r="BE15" s="5">
        <f t="shared" si="11"/>
        <v>0</v>
      </c>
      <c r="BF15" s="5">
        <f t="shared" si="12"/>
        <v>0</v>
      </c>
      <c r="BG15" s="5">
        <f t="shared" si="13"/>
        <v>0</v>
      </c>
      <c r="BH15" s="5">
        <f t="shared" si="14"/>
        <v>0</v>
      </c>
      <c r="BI15" s="5">
        <f t="shared" si="15"/>
        <v>0</v>
      </c>
      <c r="BJ15" s="5">
        <f t="shared" si="16"/>
        <v>0</v>
      </c>
      <c r="BK15" s="5">
        <f t="shared" si="17"/>
        <v>0</v>
      </c>
      <c r="BL15" s="5">
        <f t="shared" si="18"/>
        <v>0</v>
      </c>
      <c r="BM15" s="5">
        <f t="shared" si="19"/>
        <v>0</v>
      </c>
      <c r="BN15" s="5">
        <f t="shared" si="20"/>
        <v>0</v>
      </c>
      <c r="BO15" s="5">
        <f t="shared" si="21"/>
        <v>0</v>
      </c>
      <c r="BP15" s="5">
        <f t="shared" si="22"/>
        <v>0</v>
      </c>
      <c r="BQ15" s="5">
        <f t="shared" si="23"/>
        <v>0</v>
      </c>
      <c r="BR15" s="5">
        <f t="shared" si="24"/>
        <v>0</v>
      </c>
      <c r="BS15" s="5">
        <f t="shared" si="25"/>
        <v>1</v>
      </c>
      <c r="BT15" s="5">
        <f t="shared" si="26"/>
        <v>1</v>
      </c>
      <c r="BU15" s="5">
        <f t="shared" si="27"/>
        <v>0</v>
      </c>
      <c r="BV15" s="5">
        <f t="shared" ref="BV15:BW15" si="343">IF(OR(ISNUMBER(SEARCH("grit",$D15)),ISNUMBER(SEARCH("grit",$T15)),ISNUMBER(SEARCH("grit",$R15)),ISNUMBER(SEARCH("grit",$S15)),
ISNUMBER(SEARCH("determination",$D15)),ISNUMBER(SEARCH("determination",$T15)),ISNUMBER(SEARCH("determination",$R15)),ISNUMBER(SEARCH("determination",$S15)),
ISNUMBER(SEARCH("tenacity",$D15)),ISNUMBER(SEARCH("tenacity",$T15)),ISNUMBER(SEARCH("tenacity",$R15)),ISNUMBER(SEARCH("tenacity",$S15)),
ISNUMBER(SEARCH("endurance",$D15)),ISNUMBER(SEARCH("endurance",$T15)),ISNUMBER(SEARCH("endurance",$R15)),ISNUMBER(SEARCH("endurance",$S15)),
ISNUMBER(SEARCH("fortitude",$D15)),ISNUMBER(SEARCH("fortitude",$T15)),ISNUMBER(SEARCH("fortitude",$R15)),ISNUMBER(SEARCH("fortitude",$S15)),
ISNUMBER(SEARCH("resolve",$D15)),ISNUMBER(SEARCH("resolve",$T15)),ISNUMBER(SEARCH("resolve",$R15)),ISNUMBER(SEARCH("resolve",$S15)),
ISNUMBER(SEARCH("stamina",$D15)),ISNUMBER(SEARCH("stamina",$T15)),ISNUMBER(SEARCH("stamina",$R15)),ISNUMBER(SEARCH("stamina",$S15)),
ISNUMBER(SEARCH("guts",$D15)),ISNUMBER(SEARCH("guts",$T15)),ISNUMBER(SEARCH("guts",$R15)),ISNUMBER(SEARCH("guts",$S15)),
ISNUMBER(SEARCH("spunk",$D15)),ISNUMBER(SEARCH("spunk",$T15)),ISNUMBER(SEARCH("spunk",$R15)),ISNUMBER(SEARCH("spunk",$S15))), 1, 0)</f>
        <v>0</v>
      </c>
      <c r="BW15" s="5">
        <f t="shared" si="343"/>
        <v>0</v>
      </c>
      <c r="BX15" s="5">
        <f t="shared" si="29"/>
        <v>0</v>
      </c>
      <c r="BY15" s="5">
        <f t="shared" si="30"/>
        <v>0</v>
      </c>
      <c r="BZ15" s="5">
        <f t="shared" si="31"/>
        <v>0</v>
      </c>
      <c r="CA15" s="5">
        <f t="shared" si="32"/>
        <v>0</v>
      </c>
      <c r="CB15" s="5">
        <f t="shared" si="33"/>
        <v>0</v>
      </c>
      <c r="CC15" s="5">
        <f t="shared" si="34"/>
        <v>0</v>
      </c>
      <c r="CD15" s="5">
        <f t="shared" si="35"/>
        <v>0</v>
      </c>
      <c r="CE15" s="5">
        <f t="shared" si="36"/>
        <v>0</v>
      </c>
      <c r="CF15" s="5">
        <f t="shared" si="37"/>
        <v>0</v>
      </c>
      <c r="CG15" s="5">
        <f t="shared" si="38"/>
        <v>0</v>
      </c>
      <c r="CH15" s="5">
        <f t="shared" si="39"/>
        <v>0</v>
      </c>
      <c r="CI15" s="5">
        <f t="shared" si="40"/>
        <v>0</v>
      </c>
      <c r="CJ15" s="5">
        <f t="shared" si="41"/>
        <v>0</v>
      </c>
      <c r="CK15" s="5">
        <f t="shared" si="42"/>
        <v>0</v>
      </c>
      <c r="CL15" s="5">
        <f t="shared" si="43"/>
        <v>0</v>
      </c>
      <c r="CM15" s="5">
        <f t="shared" si="44"/>
        <v>0</v>
      </c>
      <c r="CN15" s="5">
        <f t="shared" si="45"/>
        <v>0</v>
      </c>
      <c r="CO15" s="5">
        <f t="shared" si="46"/>
        <v>0</v>
      </c>
      <c r="CP15" s="6">
        <f t="shared" si="47"/>
        <v>1</v>
      </c>
      <c r="CQ15" s="6">
        <f t="shared" si="48"/>
        <v>1</v>
      </c>
      <c r="CR15" s="6">
        <f t="shared" si="49"/>
        <v>0</v>
      </c>
      <c r="CS15" s="6">
        <f t="shared" si="50"/>
        <v>0</v>
      </c>
      <c r="CT15" s="6">
        <f t="shared" si="51"/>
        <v>0</v>
      </c>
      <c r="CU15" s="6">
        <f t="shared" si="52"/>
        <v>0</v>
      </c>
      <c r="CV15" s="6">
        <f t="shared" si="53"/>
        <v>1</v>
      </c>
      <c r="CW15" s="6">
        <f t="shared" si="54"/>
        <v>0</v>
      </c>
      <c r="CX15" s="6">
        <f t="shared" si="55"/>
        <v>0</v>
      </c>
      <c r="CY15" s="6">
        <f t="shared" si="56"/>
        <v>0</v>
      </c>
      <c r="CZ15" s="6">
        <f t="shared" si="57"/>
        <v>0</v>
      </c>
      <c r="DA15" s="6">
        <f t="shared" si="58"/>
        <v>0</v>
      </c>
      <c r="DB15" s="6">
        <f t="shared" si="59"/>
        <v>1</v>
      </c>
      <c r="DC15" s="6">
        <f t="shared" si="60"/>
        <v>0</v>
      </c>
      <c r="DD15" s="6">
        <f t="shared" si="61"/>
        <v>0</v>
      </c>
      <c r="DE15" s="6">
        <f t="shared" si="62"/>
        <v>0</v>
      </c>
      <c r="DF15" s="6">
        <f t="shared" si="63"/>
        <v>0</v>
      </c>
      <c r="DG15" s="6">
        <f t="shared" si="64"/>
        <v>0</v>
      </c>
      <c r="DH15" s="6">
        <f t="shared" si="322"/>
        <v>0</v>
      </c>
      <c r="DI15" s="6">
        <f t="shared" si="66"/>
        <v>0</v>
      </c>
      <c r="DJ15" s="6">
        <f t="shared" si="67"/>
        <v>0</v>
      </c>
      <c r="DK15" s="7">
        <f t="shared" si="68"/>
        <v>0</v>
      </c>
      <c r="DL15" s="7">
        <f t="shared" si="323"/>
        <v>0</v>
      </c>
      <c r="DM15" s="7">
        <f t="shared" si="70"/>
        <v>0</v>
      </c>
      <c r="DN15" s="7">
        <f t="shared" si="71"/>
        <v>0</v>
      </c>
      <c r="DO15" s="7">
        <f t="shared" si="72"/>
        <v>1</v>
      </c>
      <c r="DP15" s="8">
        <f t="shared" si="73"/>
        <v>0</v>
      </c>
      <c r="DQ15" s="8">
        <f t="shared" si="74"/>
        <v>1</v>
      </c>
      <c r="DR15" s="7">
        <f t="shared" si="75"/>
        <v>0</v>
      </c>
      <c r="DS15" s="7">
        <f t="shared" si="76"/>
        <v>0</v>
      </c>
      <c r="DT15" s="7">
        <f t="shared" si="77"/>
        <v>0</v>
      </c>
      <c r="DU15" s="9">
        <f t="shared" si="78"/>
        <v>0</v>
      </c>
      <c r="DV15" s="9">
        <f t="shared" si="79"/>
        <v>0</v>
      </c>
      <c r="DW15" s="9">
        <f t="shared" si="80"/>
        <v>0</v>
      </c>
      <c r="DX15" s="9">
        <f t="shared" si="81"/>
        <v>0</v>
      </c>
      <c r="DY15" s="9">
        <f t="shared" si="82"/>
        <v>0</v>
      </c>
      <c r="DZ15" s="9">
        <f t="shared" si="83"/>
        <v>0</v>
      </c>
      <c r="EA15" s="9">
        <f t="shared" si="84"/>
        <v>0</v>
      </c>
      <c r="EB15" s="9">
        <f t="shared" si="85"/>
        <v>0</v>
      </c>
      <c r="EC15" s="9">
        <f t="shared" si="86"/>
        <v>0</v>
      </c>
      <c r="ED15" s="9">
        <f t="shared" si="87"/>
        <v>0</v>
      </c>
      <c r="EE15" s="9">
        <f t="shared" si="88"/>
        <v>0</v>
      </c>
      <c r="EF15" s="9">
        <f t="shared" si="89"/>
        <v>0</v>
      </c>
      <c r="EG15" s="9">
        <f t="shared" si="90"/>
        <v>0</v>
      </c>
      <c r="EH15" s="9">
        <f t="shared" si="91"/>
        <v>0</v>
      </c>
      <c r="EI15" s="9">
        <f t="shared" si="92"/>
        <v>0</v>
      </c>
      <c r="EJ15" s="10">
        <f t="shared" si="93"/>
        <v>0</v>
      </c>
      <c r="EK15" s="10">
        <f t="shared" si="94"/>
        <v>0</v>
      </c>
      <c r="EL15" s="10">
        <f t="shared" ref="EL15:EM15" si="344">IF(OR(ISNUMBER(SEARCH("ai software toolkit", $D15)), ISNUMBER(SEARCH("ai software toolkit", $T15)), ISNUMBER(SEARCH("ai software toolkit", $R15)), ISNUMBER(SEARCH("ai software toolkit", $S15))), 1, 0)</f>
        <v>0</v>
      </c>
      <c r="EM15" s="10">
        <f t="shared" si="344"/>
        <v>0</v>
      </c>
      <c r="EN15" s="10">
        <f t="shared" si="96"/>
        <v>0</v>
      </c>
      <c r="EO15" s="10">
        <f t="shared" si="97"/>
        <v>0</v>
      </c>
      <c r="EP15" s="10">
        <f t="shared" si="98"/>
        <v>0</v>
      </c>
      <c r="EQ15" s="10">
        <f t="shared" si="99"/>
        <v>0</v>
      </c>
      <c r="ER15" s="10">
        <f t="shared" si="100"/>
        <v>0</v>
      </c>
      <c r="ES15" s="10">
        <f t="shared" si="101"/>
        <v>0</v>
      </c>
      <c r="ET15" s="10">
        <f t="shared" si="102"/>
        <v>0</v>
      </c>
      <c r="EU15" s="10">
        <f t="shared" si="103"/>
        <v>0</v>
      </c>
      <c r="EV15" s="10">
        <f t="shared" si="104"/>
        <v>0</v>
      </c>
      <c r="EW15" s="10">
        <f t="shared" si="105"/>
        <v>0</v>
      </c>
      <c r="EX15" s="10">
        <f t="shared" si="106"/>
        <v>0</v>
      </c>
      <c r="EY15" s="10">
        <f t="shared" si="107"/>
        <v>0</v>
      </c>
      <c r="EZ15" s="10">
        <f t="shared" si="108"/>
        <v>0</v>
      </c>
      <c r="FA15" s="10">
        <f t="shared" si="109"/>
        <v>0</v>
      </c>
      <c r="FB15" s="10">
        <f t="shared" si="110"/>
        <v>0</v>
      </c>
      <c r="FC15" s="10">
        <f t="shared" si="111"/>
        <v>0</v>
      </c>
      <c r="FD15" s="10">
        <f t="shared" si="112"/>
        <v>0</v>
      </c>
      <c r="FE15" s="10">
        <f t="shared" si="113"/>
        <v>0</v>
      </c>
      <c r="FF15" s="10">
        <f t="shared" si="114"/>
        <v>0</v>
      </c>
      <c r="FG15" s="10">
        <f t="shared" si="115"/>
        <v>0</v>
      </c>
      <c r="FH15" s="10">
        <f t="shared" si="116"/>
        <v>0</v>
      </c>
      <c r="FI15" s="10">
        <f t="shared" si="117"/>
        <v>0</v>
      </c>
      <c r="FJ15" s="10">
        <f t="shared" si="118"/>
        <v>0</v>
      </c>
      <c r="FK15" s="10">
        <f t="shared" si="119"/>
        <v>0</v>
      </c>
      <c r="FL15" s="10">
        <f t="shared" si="120"/>
        <v>0</v>
      </c>
      <c r="FM15" s="10">
        <f t="shared" si="121"/>
        <v>0</v>
      </c>
      <c r="FN15" s="10">
        <f t="shared" si="122"/>
        <v>0</v>
      </c>
      <c r="FO15" s="10">
        <f t="shared" si="123"/>
        <v>0</v>
      </c>
      <c r="FP15" s="10">
        <f t="shared" si="124"/>
        <v>0</v>
      </c>
      <c r="FQ15" s="10">
        <f t="shared" si="125"/>
        <v>0</v>
      </c>
      <c r="FR15" s="11">
        <f t="shared" si="126"/>
        <v>0</v>
      </c>
      <c r="FS15" s="11">
        <f t="shared" si="127"/>
        <v>0</v>
      </c>
      <c r="FT15" s="11">
        <f t="shared" si="128"/>
        <v>0</v>
      </c>
      <c r="FU15" s="11">
        <f t="shared" si="129"/>
        <v>0</v>
      </c>
      <c r="FV15" s="11">
        <f t="shared" si="130"/>
        <v>0</v>
      </c>
      <c r="FW15" s="11">
        <f t="shared" si="131"/>
        <v>0</v>
      </c>
      <c r="FX15" s="11">
        <f t="shared" si="132"/>
        <v>0</v>
      </c>
      <c r="FY15" s="11">
        <f t="shared" si="133"/>
        <v>0</v>
      </c>
      <c r="FZ15" s="11">
        <f t="shared" si="134"/>
        <v>0</v>
      </c>
      <c r="GA15" s="11">
        <f t="shared" si="135"/>
        <v>0</v>
      </c>
      <c r="GB15" s="11">
        <f t="shared" si="136"/>
        <v>0</v>
      </c>
      <c r="GC15" s="11">
        <f t="shared" si="137"/>
        <v>0</v>
      </c>
      <c r="GD15" s="11">
        <f t="shared" si="138"/>
        <v>0</v>
      </c>
      <c r="GE15" s="11">
        <f t="shared" si="139"/>
        <v>0</v>
      </c>
      <c r="GF15" s="11">
        <f t="shared" si="140"/>
        <v>0</v>
      </c>
      <c r="GG15" s="11">
        <f t="shared" si="141"/>
        <v>0</v>
      </c>
      <c r="GH15" s="11">
        <f t="shared" si="142"/>
        <v>0</v>
      </c>
      <c r="GI15" s="11">
        <f t="shared" si="143"/>
        <v>0</v>
      </c>
      <c r="GJ15" s="11">
        <f t="shared" si="144"/>
        <v>0</v>
      </c>
      <c r="GK15" s="11">
        <f t="shared" si="145"/>
        <v>0</v>
      </c>
      <c r="GL15" s="11">
        <f t="shared" si="146"/>
        <v>0</v>
      </c>
      <c r="GM15" s="11">
        <f t="shared" si="147"/>
        <v>0</v>
      </c>
      <c r="GN15" s="11">
        <f t="shared" si="148"/>
        <v>0</v>
      </c>
      <c r="GO15" s="11">
        <f t="shared" si="149"/>
        <v>0</v>
      </c>
      <c r="GP15" s="11">
        <f t="shared" si="150"/>
        <v>0</v>
      </c>
      <c r="GQ15" s="11">
        <f t="shared" si="151"/>
        <v>0</v>
      </c>
      <c r="GR15" s="11">
        <f t="shared" si="152"/>
        <v>0</v>
      </c>
      <c r="GS15" s="11">
        <f t="shared" si="153"/>
        <v>0</v>
      </c>
      <c r="GT15" s="11">
        <f t="shared" si="154"/>
        <v>0</v>
      </c>
      <c r="GU15" s="12">
        <f t="shared" si="155"/>
        <v>0</v>
      </c>
      <c r="GV15" s="12">
        <f t="shared" si="156"/>
        <v>0</v>
      </c>
      <c r="GW15" s="12">
        <f t="shared" si="157"/>
        <v>0</v>
      </c>
      <c r="GX15" s="12">
        <f t="shared" si="158"/>
        <v>0</v>
      </c>
      <c r="GY15" s="12">
        <f t="shared" si="159"/>
        <v>0</v>
      </c>
      <c r="GZ15" s="12">
        <f t="shared" si="160"/>
        <v>0</v>
      </c>
      <c r="HA15" s="12">
        <f t="shared" si="161"/>
        <v>0</v>
      </c>
      <c r="HB15" s="12">
        <f t="shared" si="162"/>
        <v>0</v>
      </c>
      <c r="HC15" s="12">
        <f t="shared" si="163"/>
        <v>0</v>
      </c>
      <c r="HD15" s="12">
        <f t="shared" si="164"/>
        <v>1</v>
      </c>
      <c r="HE15" s="12">
        <f t="shared" si="165"/>
        <v>0</v>
      </c>
      <c r="HF15" s="12">
        <f t="shared" si="166"/>
        <v>0</v>
      </c>
      <c r="HG15" s="12">
        <f t="shared" si="167"/>
        <v>0</v>
      </c>
      <c r="HH15" s="12">
        <f t="shared" si="168"/>
        <v>0</v>
      </c>
      <c r="HI15" s="12">
        <f t="shared" si="169"/>
        <v>0</v>
      </c>
      <c r="HJ15" s="12">
        <f t="shared" si="170"/>
        <v>0</v>
      </c>
      <c r="HK15" s="12">
        <f t="shared" si="171"/>
        <v>0</v>
      </c>
      <c r="HL15" s="12">
        <f t="shared" si="172"/>
        <v>0</v>
      </c>
      <c r="HM15" s="12">
        <f t="shared" si="173"/>
        <v>0</v>
      </c>
      <c r="HN15" s="12">
        <f t="shared" si="174"/>
        <v>0</v>
      </c>
      <c r="HO15" s="12">
        <f t="shared" si="175"/>
        <v>0</v>
      </c>
      <c r="HP15" s="12">
        <f t="shared" si="176"/>
        <v>0</v>
      </c>
      <c r="HQ15" s="12">
        <f t="shared" si="177"/>
        <v>0</v>
      </c>
      <c r="HR15" s="12">
        <f t="shared" si="178"/>
        <v>0</v>
      </c>
      <c r="HS15" s="12">
        <f t="shared" si="179"/>
        <v>0</v>
      </c>
      <c r="HT15" s="12">
        <f t="shared" si="180"/>
        <v>0</v>
      </c>
      <c r="HU15" s="12">
        <f t="shared" si="181"/>
        <v>0</v>
      </c>
      <c r="HV15" s="12">
        <f t="shared" si="182"/>
        <v>1</v>
      </c>
      <c r="HW15" s="12">
        <f t="shared" si="183"/>
        <v>0</v>
      </c>
      <c r="HX15" s="12">
        <f t="shared" si="184"/>
        <v>0</v>
      </c>
      <c r="HY15" s="12">
        <f t="shared" si="185"/>
        <v>0</v>
      </c>
      <c r="HZ15" s="12">
        <f t="shared" si="186"/>
        <v>0</v>
      </c>
      <c r="IA15" s="12">
        <f t="shared" si="187"/>
        <v>0</v>
      </c>
      <c r="IB15" s="12">
        <f t="shared" si="188"/>
        <v>0</v>
      </c>
      <c r="IC15" s="12">
        <f t="shared" si="189"/>
        <v>0</v>
      </c>
      <c r="ID15" s="12">
        <f t="shared" si="190"/>
        <v>0</v>
      </c>
      <c r="IE15" s="12">
        <f t="shared" si="191"/>
        <v>0</v>
      </c>
      <c r="IF15" s="12">
        <f t="shared" si="192"/>
        <v>0</v>
      </c>
      <c r="IG15" s="12">
        <f t="shared" si="193"/>
        <v>0</v>
      </c>
      <c r="IH15" s="12">
        <f t="shared" si="194"/>
        <v>0</v>
      </c>
      <c r="II15" s="12">
        <f t="shared" si="195"/>
        <v>0</v>
      </c>
      <c r="IJ15" s="12">
        <f t="shared" si="196"/>
        <v>0</v>
      </c>
      <c r="IK15" s="12">
        <f t="shared" si="197"/>
        <v>0</v>
      </c>
      <c r="IL15" s="12">
        <f t="shared" si="198"/>
        <v>0</v>
      </c>
      <c r="IM15" s="12">
        <f t="shared" si="199"/>
        <v>0</v>
      </c>
      <c r="IN15" s="12">
        <f t="shared" si="200"/>
        <v>0</v>
      </c>
      <c r="IO15" s="12">
        <f t="shared" si="201"/>
        <v>0</v>
      </c>
      <c r="IP15" s="12">
        <f t="shared" si="202"/>
        <v>0</v>
      </c>
      <c r="IQ15" s="12">
        <f t="shared" si="203"/>
        <v>0</v>
      </c>
      <c r="IR15" s="12">
        <f t="shared" si="204"/>
        <v>0</v>
      </c>
      <c r="IS15" s="12">
        <f t="shared" si="205"/>
        <v>0</v>
      </c>
      <c r="IT15" s="12">
        <f t="shared" si="206"/>
        <v>0</v>
      </c>
      <c r="IU15" s="12">
        <f t="shared" si="207"/>
        <v>0</v>
      </c>
      <c r="IV15" s="12">
        <f t="shared" si="208"/>
        <v>0</v>
      </c>
      <c r="IW15" s="12">
        <f t="shared" si="209"/>
        <v>0</v>
      </c>
      <c r="IX15" s="12">
        <f t="shared" si="210"/>
        <v>0</v>
      </c>
      <c r="IY15" s="12">
        <f t="shared" si="211"/>
        <v>0</v>
      </c>
      <c r="IZ15" s="12">
        <f t="shared" si="212"/>
        <v>1</v>
      </c>
      <c r="JA15" s="13">
        <f t="shared" si="213"/>
        <v>0</v>
      </c>
      <c r="JB15" s="13">
        <f t="shared" si="214"/>
        <v>0</v>
      </c>
      <c r="JC15" s="13">
        <f t="shared" si="215"/>
        <v>0</v>
      </c>
      <c r="JD15" s="13">
        <f t="shared" si="216"/>
        <v>0</v>
      </c>
      <c r="JE15" s="13">
        <f t="shared" si="217"/>
        <v>0</v>
      </c>
      <c r="JF15" s="13">
        <f t="shared" si="218"/>
        <v>1</v>
      </c>
      <c r="JG15" s="13">
        <f t="shared" si="219"/>
        <v>0</v>
      </c>
      <c r="JH15" s="13">
        <f t="shared" si="220"/>
        <v>1</v>
      </c>
      <c r="JI15" s="13">
        <f t="shared" si="221"/>
        <v>0</v>
      </c>
      <c r="JJ15" s="13">
        <f t="shared" si="222"/>
        <v>0</v>
      </c>
      <c r="JK15" s="13">
        <f t="shared" si="223"/>
        <v>0</v>
      </c>
      <c r="JL15" s="13">
        <f t="shared" si="224"/>
        <v>0</v>
      </c>
      <c r="JM15" s="13">
        <f t="shared" si="225"/>
        <v>0</v>
      </c>
      <c r="JN15" s="13">
        <f t="shared" si="226"/>
        <v>0</v>
      </c>
      <c r="JO15" s="13">
        <f t="shared" si="227"/>
        <v>0</v>
      </c>
      <c r="JP15" s="13">
        <f t="shared" si="228"/>
        <v>0</v>
      </c>
      <c r="JQ15" s="13">
        <f t="shared" si="229"/>
        <v>0</v>
      </c>
      <c r="JR15" s="13">
        <f t="shared" si="230"/>
        <v>0</v>
      </c>
      <c r="JS15" s="13">
        <f t="shared" si="231"/>
        <v>0</v>
      </c>
      <c r="JT15" s="13">
        <f t="shared" si="232"/>
        <v>0</v>
      </c>
      <c r="JU15" s="13">
        <f t="shared" si="233"/>
        <v>0</v>
      </c>
      <c r="JV15" s="12">
        <f t="shared" si="234"/>
        <v>0</v>
      </c>
      <c r="JW15" s="12">
        <f t="shared" si="235"/>
        <v>0</v>
      </c>
      <c r="JX15" s="12">
        <f t="shared" si="236"/>
        <v>0</v>
      </c>
      <c r="JY15" s="12">
        <f t="shared" si="237"/>
        <v>0</v>
      </c>
      <c r="JZ15" s="12">
        <f t="shared" si="238"/>
        <v>0</v>
      </c>
      <c r="KA15" s="12">
        <f t="shared" si="239"/>
        <v>0</v>
      </c>
      <c r="KB15" s="12">
        <f t="shared" si="240"/>
        <v>0</v>
      </c>
      <c r="KC15" s="12">
        <f t="shared" si="241"/>
        <v>0</v>
      </c>
      <c r="KD15" s="12">
        <f t="shared" si="242"/>
        <v>0</v>
      </c>
      <c r="KE15" s="12">
        <f t="shared" si="243"/>
        <v>0</v>
      </c>
      <c r="KF15" s="12">
        <f t="shared" si="244"/>
        <v>0</v>
      </c>
      <c r="KG15" s="12">
        <f t="shared" si="245"/>
        <v>0</v>
      </c>
      <c r="KH15" s="12">
        <f t="shared" si="246"/>
        <v>0</v>
      </c>
      <c r="KI15" s="12">
        <f t="shared" si="247"/>
        <v>0</v>
      </c>
      <c r="KJ15" s="12">
        <f t="shared" si="248"/>
        <v>0</v>
      </c>
      <c r="KK15" s="12">
        <f t="shared" si="249"/>
        <v>0</v>
      </c>
      <c r="KL15" s="12">
        <f t="shared" si="250"/>
        <v>0</v>
      </c>
      <c r="KM15" s="12">
        <f t="shared" si="251"/>
        <v>0</v>
      </c>
      <c r="KN15" s="12">
        <f t="shared" si="252"/>
        <v>0</v>
      </c>
      <c r="KO15" s="12">
        <f t="shared" si="253"/>
        <v>1</v>
      </c>
      <c r="KP15" s="12">
        <f t="shared" si="254"/>
        <v>0</v>
      </c>
      <c r="KQ15" s="12">
        <f t="shared" si="255"/>
        <v>0</v>
      </c>
      <c r="KR15" s="12">
        <f t="shared" si="256"/>
        <v>0</v>
      </c>
      <c r="KS15" s="12">
        <f t="shared" si="257"/>
        <v>0</v>
      </c>
      <c r="KT15" s="12">
        <f t="shared" si="258"/>
        <v>0</v>
      </c>
      <c r="KU15" s="12">
        <f t="shared" si="259"/>
        <v>0</v>
      </c>
      <c r="KV15" s="12">
        <f t="shared" si="260"/>
        <v>0</v>
      </c>
      <c r="KW15" s="12">
        <f t="shared" si="261"/>
        <v>0</v>
      </c>
      <c r="KX15" s="12">
        <f t="shared" si="262"/>
        <v>0</v>
      </c>
      <c r="KY15" s="12">
        <f t="shared" si="263"/>
        <v>0</v>
      </c>
      <c r="KZ15" s="12">
        <f t="shared" si="264"/>
        <v>0</v>
      </c>
      <c r="LA15" s="12">
        <f t="shared" si="265"/>
        <v>0</v>
      </c>
      <c r="LB15" s="12">
        <f t="shared" si="266"/>
        <v>0</v>
      </c>
      <c r="LC15" s="12">
        <f t="shared" si="267"/>
        <v>0</v>
      </c>
      <c r="LD15" s="12">
        <f t="shared" si="268"/>
        <v>0</v>
      </c>
      <c r="LE15" s="12">
        <f t="shared" si="269"/>
        <v>0</v>
      </c>
      <c r="LF15" s="12">
        <f t="shared" si="270"/>
        <v>0</v>
      </c>
      <c r="LG15" s="12">
        <f t="shared" si="271"/>
        <v>0</v>
      </c>
      <c r="LH15" s="12">
        <f t="shared" si="272"/>
        <v>0</v>
      </c>
      <c r="LI15" s="12">
        <f t="shared" si="273"/>
        <v>0</v>
      </c>
      <c r="LJ15" s="12">
        <f t="shared" si="274"/>
        <v>0</v>
      </c>
      <c r="LK15" s="12">
        <f t="shared" si="275"/>
        <v>0</v>
      </c>
      <c r="LL15" s="12">
        <f t="shared" si="276"/>
        <v>0</v>
      </c>
      <c r="LM15" s="12">
        <f t="shared" si="277"/>
        <v>0</v>
      </c>
      <c r="LN15" s="12">
        <f t="shared" si="278"/>
        <v>0</v>
      </c>
      <c r="LO15" s="12">
        <f t="shared" si="279"/>
        <v>0</v>
      </c>
      <c r="LP15" s="12">
        <f t="shared" si="280"/>
        <v>0</v>
      </c>
      <c r="LQ15" s="12">
        <f t="shared" si="281"/>
        <v>0</v>
      </c>
      <c r="LR15" s="12">
        <f t="shared" si="282"/>
        <v>0</v>
      </c>
      <c r="LS15" s="12">
        <f t="shared" si="283"/>
        <v>0</v>
      </c>
      <c r="LT15" s="13">
        <f t="shared" si="284"/>
        <v>0</v>
      </c>
      <c r="LU15" s="13">
        <f t="shared" si="285"/>
        <v>0</v>
      </c>
      <c r="LV15" s="13">
        <f t="shared" si="286"/>
        <v>0</v>
      </c>
      <c r="LW15" s="13">
        <f t="shared" si="287"/>
        <v>0</v>
      </c>
      <c r="LX15" s="13">
        <f t="shared" si="288"/>
        <v>0</v>
      </c>
      <c r="LY15" s="13">
        <f t="shared" si="289"/>
        <v>0</v>
      </c>
      <c r="LZ15" s="13">
        <f t="shared" si="290"/>
        <v>0</v>
      </c>
      <c r="MA15" s="13">
        <f t="shared" si="291"/>
        <v>0</v>
      </c>
      <c r="MB15" s="13">
        <f t="shared" si="292"/>
        <v>0</v>
      </c>
      <c r="MC15" s="13">
        <f t="shared" si="293"/>
        <v>0</v>
      </c>
      <c r="MD15" s="13">
        <f t="shared" si="294"/>
        <v>0</v>
      </c>
      <c r="ME15" s="13">
        <f t="shared" si="295"/>
        <v>0</v>
      </c>
      <c r="MF15" s="13">
        <f t="shared" si="296"/>
        <v>0</v>
      </c>
      <c r="MG15" s="13">
        <f t="shared" si="297"/>
        <v>0</v>
      </c>
      <c r="MH15" s="13">
        <f t="shared" si="298"/>
        <v>0</v>
      </c>
      <c r="MI15" s="13">
        <f t="shared" si="299"/>
        <v>0</v>
      </c>
      <c r="MJ15" s="13">
        <f t="shared" si="300"/>
        <v>0</v>
      </c>
      <c r="MK15" s="13">
        <f t="shared" si="301"/>
        <v>0</v>
      </c>
      <c r="ML15" s="14">
        <f t="shared" si="302"/>
        <v>0</v>
      </c>
      <c r="MM15" s="14">
        <f t="shared" si="303"/>
        <v>0</v>
      </c>
      <c r="MN15" s="14">
        <f t="shared" si="304"/>
        <v>0</v>
      </c>
      <c r="MO15" s="14">
        <f t="shared" si="305"/>
        <v>0</v>
      </c>
      <c r="MP15" s="14">
        <f t="shared" si="306"/>
        <v>0</v>
      </c>
      <c r="MQ15" s="14">
        <f t="shared" si="307"/>
        <v>0</v>
      </c>
      <c r="MR15" s="14">
        <f t="shared" si="308"/>
        <v>0</v>
      </c>
      <c r="MS15" s="14">
        <f t="shared" si="309"/>
        <v>0</v>
      </c>
      <c r="MT15" s="14">
        <f t="shared" si="310"/>
        <v>0</v>
      </c>
      <c r="MU15" s="14">
        <f t="shared" si="311"/>
        <v>0</v>
      </c>
      <c r="MV15" s="14">
        <f t="shared" si="312"/>
        <v>0</v>
      </c>
      <c r="MW15" s="14">
        <f t="shared" si="313"/>
        <v>0</v>
      </c>
      <c r="MX15" s="14">
        <f t="shared" si="314"/>
        <v>0</v>
      </c>
      <c r="MY15" s="14">
        <f t="shared" si="315"/>
        <v>0</v>
      </c>
      <c r="MZ15" s="14">
        <f t="shared" si="316"/>
        <v>0</v>
      </c>
      <c r="NA15" s="14">
        <f t="shared" si="317"/>
        <v>0</v>
      </c>
      <c r="NB15" s="14">
        <f t="shared" si="318"/>
        <v>0</v>
      </c>
    </row>
    <row r="16">
      <c r="A16" s="2">
        <v>147.0</v>
      </c>
      <c r="B16" s="2" t="s">
        <v>631</v>
      </c>
      <c r="C16" s="2" t="s">
        <v>632</v>
      </c>
      <c r="D16" s="2" t="s">
        <v>633</v>
      </c>
      <c r="E16" s="2">
        <v>2017.0</v>
      </c>
      <c r="F16" s="2" t="s">
        <v>634</v>
      </c>
      <c r="G16" s="2" t="s">
        <v>635</v>
      </c>
      <c r="J16" s="2" t="s">
        <v>636</v>
      </c>
      <c r="K16" s="2" t="s">
        <v>637</v>
      </c>
      <c r="M16" s="2">
        <v>92.0</v>
      </c>
      <c r="N16" s="2" t="s">
        <v>638</v>
      </c>
      <c r="O16" s="2" t="s">
        <v>639</v>
      </c>
      <c r="P16" s="2" t="s">
        <v>640</v>
      </c>
      <c r="Q16" s="2" t="s">
        <v>641</v>
      </c>
      <c r="R16" s="2" t="s">
        <v>642</v>
      </c>
      <c r="S16" s="2" t="s">
        <v>643</v>
      </c>
      <c r="T16" s="2" t="s">
        <v>644</v>
      </c>
      <c r="Y16" s="2" t="s">
        <v>645</v>
      </c>
      <c r="AB16" s="2" t="s">
        <v>646</v>
      </c>
      <c r="AG16" s="2" t="s">
        <v>647</v>
      </c>
      <c r="AI16" s="2" t="s">
        <v>648</v>
      </c>
      <c r="AK16" s="2" t="s">
        <v>649</v>
      </c>
      <c r="AL16" s="2" t="s">
        <v>384</v>
      </c>
      <c r="AM16" s="2" t="s">
        <v>650</v>
      </c>
      <c r="AN16" s="2" t="s">
        <v>386</v>
      </c>
      <c r="AO16" s="2" t="s">
        <v>651</v>
      </c>
      <c r="AP16" s="2" t="s">
        <v>386</v>
      </c>
      <c r="AQ16" s="2">
        <v>1422.0</v>
      </c>
      <c r="AR16" s="2" t="s">
        <v>633</v>
      </c>
      <c r="AS16" s="2" t="b">
        <v>1</v>
      </c>
      <c r="AT16" s="3">
        <v>0.0</v>
      </c>
      <c r="AU16" s="4"/>
      <c r="AV16" s="4"/>
      <c r="AW16" s="5">
        <f t="shared" si="3"/>
        <v>0</v>
      </c>
      <c r="AX16" s="5">
        <f t="shared" si="4"/>
        <v>0</v>
      </c>
      <c r="AY16" s="5">
        <f t="shared" si="5"/>
        <v>0</v>
      </c>
      <c r="AZ16" s="5">
        <f t="shared" si="6"/>
        <v>0</v>
      </c>
      <c r="BA16" s="5">
        <f t="shared" si="7"/>
        <v>0</v>
      </c>
      <c r="BB16" s="5">
        <f t="shared" si="8"/>
        <v>1</v>
      </c>
      <c r="BC16" s="5">
        <f t="shared" si="9"/>
        <v>0</v>
      </c>
      <c r="BD16" s="5">
        <f t="shared" si="10"/>
        <v>0</v>
      </c>
      <c r="BE16" s="5">
        <f t="shared" si="11"/>
        <v>0</v>
      </c>
      <c r="BF16" s="5">
        <f t="shared" si="12"/>
        <v>0</v>
      </c>
      <c r="BG16" s="5">
        <f t="shared" si="13"/>
        <v>0</v>
      </c>
      <c r="BH16" s="5">
        <f t="shared" si="14"/>
        <v>0</v>
      </c>
      <c r="BI16" s="5">
        <f t="shared" si="15"/>
        <v>0</v>
      </c>
      <c r="BJ16" s="5">
        <f t="shared" si="16"/>
        <v>0</v>
      </c>
      <c r="BK16" s="5">
        <f t="shared" si="17"/>
        <v>0</v>
      </c>
      <c r="BL16" s="5">
        <f t="shared" si="18"/>
        <v>0</v>
      </c>
      <c r="BM16" s="5">
        <f t="shared" si="19"/>
        <v>0</v>
      </c>
      <c r="BN16" s="5">
        <f t="shared" si="20"/>
        <v>0</v>
      </c>
      <c r="BO16" s="5">
        <f t="shared" si="21"/>
        <v>0</v>
      </c>
      <c r="BP16" s="5">
        <f t="shared" si="22"/>
        <v>0</v>
      </c>
      <c r="BQ16" s="5">
        <f t="shared" si="23"/>
        <v>0</v>
      </c>
      <c r="BR16" s="5">
        <f t="shared" si="24"/>
        <v>0</v>
      </c>
      <c r="BS16" s="5">
        <f t="shared" si="25"/>
        <v>0</v>
      </c>
      <c r="BT16" s="5">
        <f t="shared" si="26"/>
        <v>0</v>
      </c>
      <c r="BU16" s="5">
        <f t="shared" si="27"/>
        <v>0</v>
      </c>
      <c r="BV16" s="5">
        <f t="shared" ref="BV16:BW16" si="345">IF(OR(ISNUMBER(SEARCH("grit",$D16)),ISNUMBER(SEARCH("grit",$T16)),ISNUMBER(SEARCH("grit",$R16)),ISNUMBER(SEARCH("grit",$S16)),
ISNUMBER(SEARCH("determination",$D16)),ISNUMBER(SEARCH("determination",$T16)),ISNUMBER(SEARCH("determination",$R16)),ISNUMBER(SEARCH("determination",$S16)),
ISNUMBER(SEARCH("tenacity",$D16)),ISNUMBER(SEARCH("tenacity",$T16)),ISNUMBER(SEARCH("tenacity",$R16)),ISNUMBER(SEARCH("tenacity",$S16)),
ISNUMBER(SEARCH("endurance",$D16)),ISNUMBER(SEARCH("endurance",$T16)),ISNUMBER(SEARCH("endurance",$R16)),ISNUMBER(SEARCH("endurance",$S16)),
ISNUMBER(SEARCH("fortitude",$D16)),ISNUMBER(SEARCH("fortitude",$T16)),ISNUMBER(SEARCH("fortitude",$R16)),ISNUMBER(SEARCH("fortitude",$S16)),
ISNUMBER(SEARCH("resolve",$D16)),ISNUMBER(SEARCH("resolve",$T16)),ISNUMBER(SEARCH("resolve",$R16)),ISNUMBER(SEARCH("resolve",$S16)),
ISNUMBER(SEARCH("stamina",$D16)),ISNUMBER(SEARCH("stamina",$T16)),ISNUMBER(SEARCH("stamina",$R16)),ISNUMBER(SEARCH("stamina",$S16)),
ISNUMBER(SEARCH("guts",$D16)),ISNUMBER(SEARCH("guts",$T16)),ISNUMBER(SEARCH("guts",$R16)),ISNUMBER(SEARCH("guts",$S16)),
ISNUMBER(SEARCH("spunk",$D16)),ISNUMBER(SEARCH("spunk",$T16)),ISNUMBER(SEARCH("spunk",$R16)),ISNUMBER(SEARCH("spunk",$S16))), 1, 0)</f>
        <v>0</v>
      </c>
      <c r="BW16" s="5">
        <f t="shared" si="345"/>
        <v>0</v>
      </c>
      <c r="BX16" s="5">
        <f t="shared" si="29"/>
        <v>0</v>
      </c>
      <c r="BY16" s="5">
        <f t="shared" si="30"/>
        <v>0</v>
      </c>
      <c r="BZ16" s="5">
        <f t="shared" si="31"/>
        <v>0</v>
      </c>
      <c r="CA16" s="5">
        <f t="shared" si="32"/>
        <v>0</v>
      </c>
      <c r="CB16" s="5">
        <f t="shared" si="33"/>
        <v>1</v>
      </c>
      <c r="CC16" s="5">
        <f t="shared" si="34"/>
        <v>0</v>
      </c>
      <c r="CD16" s="5">
        <f t="shared" si="35"/>
        <v>0</v>
      </c>
      <c r="CE16" s="5">
        <f t="shared" si="36"/>
        <v>0</v>
      </c>
      <c r="CF16" s="5">
        <f t="shared" si="37"/>
        <v>0</v>
      </c>
      <c r="CG16" s="5">
        <f t="shared" si="38"/>
        <v>0</v>
      </c>
      <c r="CH16" s="5">
        <f t="shared" si="39"/>
        <v>0</v>
      </c>
      <c r="CI16" s="5">
        <f t="shared" si="40"/>
        <v>0</v>
      </c>
      <c r="CJ16" s="5">
        <f t="shared" si="41"/>
        <v>0</v>
      </c>
      <c r="CK16" s="5">
        <f t="shared" si="42"/>
        <v>0</v>
      </c>
      <c r="CL16" s="5">
        <f t="shared" si="43"/>
        <v>0</v>
      </c>
      <c r="CM16" s="5">
        <f t="shared" si="44"/>
        <v>0</v>
      </c>
      <c r="CN16" s="5">
        <f t="shared" si="45"/>
        <v>0</v>
      </c>
      <c r="CO16" s="5">
        <f t="shared" si="46"/>
        <v>0</v>
      </c>
      <c r="CP16" s="6">
        <f t="shared" si="47"/>
        <v>0</v>
      </c>
      <c r="CQ16" s="6">
        <f t="shared" si="48"/>
        <v>0</v>
      </c>
      <c r="CR16" s="6">
        <f t="shared" si="49"/>
        <v>0</v>
      </c>
      <c r="CS16" s="6">
        <f t="shared" si="50"/>
        <v>0</v>
      </c>
      <c r="CT16" s="6">
        <f t="shared" si="51"/>
        <v>0</v>
      </c>
      <c r="CU16" s="6">
        <f t="shared" si="52"/>
        <v>0</v>
      </c>
      <c r="CV16" s="6">
        <f t="shared" si="53"/>
        <v>0</v>
      </c>
      <c r="CW16" s="6">
        <f t="shared" si="54"/>
        <v>0</v>
      </c>
      <c r="CX16" s="6">
        <f t="shared" si="55"/>
        <v>0</v>
      </c>
      <c r="CY16" s="6">
        <f t="shared" si="56"/>
        <v>0</v>
      </c>
      <c r="CZ16" s="6">
        <f t="shared" si="57"/>
        <v>0</v>
      </c>
      <c r="DA16" s="6">
        <f t="shared" si="58"/>
        <v>1</v>
      </c>
      <c r="DB16" s="6">
        <f t="shared" si="59"/>
        <v>0</v>
      </c>
      <c r="DC16" s="6">
        <f t="shared" si="60"/>
        <v>0</v>
      </c>
      <c r="DD16" s="6">
        <f t="shared" si="61"/>
        <v>0</v>
      </c>
      <c r="DE16" s="6">
        <f t="shared" si="62"/>
        <v>0</v>
      </c>
      <c r="DF16" s="6">
        <f t="shared" si="63"/>
        <v>0</v>
      </c>
      <c r="DG16" s="6">
        <f t="shared" si="64"/>
        <v>0</v>
      </c>
      <c r="DH16" s="6">
        <f t="shared" si="322"/>
        <v>0</v>
      </c>
      <c r="DI16" s="6">
        <f t="shared" si="66"/>
        <v>0</v>
      </c>
      <c r="DJ16" s="6">
        <f t="shared" si="67"/>
        <v>0</v>
      </c>
      <c r="DK16" s="7">
        <f t="shared" si="68"/>
        <v>0</v>
      </c>
      <c r="DL16" s="7">
        <f>IF(
OR(
ISNUMBER(SEARCH("common-sense reasoning",$D16)),ISNUMBER(SEARCH("common-sense reasoning",$T16)),ISNUMBER(SEARCH("common-sense reasoning",$R14)),ISNUMBER(SEARCH("common-sense reasoning",$S16)),
ISNUMBER(SEARCH("latent variable models",$D16)),ISNUMBER(SEARCH("latent variable models",$T16)),ISNUMBER(SEARCH("latent variable models",$R16)),ISNUMBER(SEARCH("latent variable models",$S16))), 1, 0)</f>
        <v>0</v>
      </c>
      <c r="DM16" s="7">
        <f t="shared" si="70"/>
        <v>0</v>
      </c>
      <c r="DN16" s="7">
        <f t="shared" si="71"/>
        <v>0</v>
      </c>
      <c r="DO16" s="7">
        <f t="shared" si="72"/>
        <v>1</v>
      </c>
      <c r="DP16" s="8">
        <f t="shared" si="73"/>
        <v>0</v>
      </c>
      <c r="DQ16" s="8">
        <f t="shared" si="74"/>
        <v>1</v>
      </c>
      <c r="DR16" s="7">
        <f t="shared" si="75"/>
        <v>0</v>
      </c>
      <c r="DS16" s="7">
        <f t="shared" si="76"/>
        <v>0</v>
      </c>
      <c r="DT16" s="7">
        <f t="shared" si="77"/>
        <v>0</v>
      </c>
      <c r="DU16" s="9">
        <f t="shared" si="78"/>
        <v>0</v>
      </c>
      <c r="DV16" s="9">
        <f t="shared" si="79"/>
        <v>0</v>
      </c>
      <c r="DW16" s="9">
        <f t="shared" si="80"/>
        <v>0</v>
      </c>
      <c r="DX16" s="9">
        <f t="shared" si="81"/>
        <v>0</v>
      </c>
      <c r="DY16" s="9">
        <f t="shared" si="82"/>
        <v>0</v>
      </c>
      <c r="DZ16" s="9">
        <f t="shared" si="83"/>
        <v>0</v>
      </c>
      <c r="EA16" s="9">
        <f t="shared" si="84"/>
        <v>0</v>
      </c>
      <c r="EB16" s="9">
        <f t="shared" si="85"/>
        <v>0</v>
      </c>
      <c r="EC16" s="9">
        <f t="shared" si="86"/>
        <v>0</v>
      </c>
      <c r="ED16" s="9">
        <f t="shared" si="87"/>
        <v>0</v>
      </c>
      <c r="EE16" s="9">
        <f t="shared" si="88"/>
        <v>0</v>
      </c>
      <c r="EF16" s="9">
        <f t="shared" si="89"/>
        <v>0</v>
      </c>
      <c r="EG16" s="9">
        <f t="shared" si="90"/>
        <v>0</v>
      </c>
      <c r="EH16" s="9">
        <f t="shared" si="91"/>
        <v>0</v>
      </c>
      <c r="EI16" s="9">
        <f t="shared" si="92"/>
        <v>0</v>
      </c>
      <c r="EJ16" s="10">
        <f t="shared" si="93"/>
        <v>0</v>
      </c>
      <c r="EK16" s="10">
        <f t="shared" si="94"/>
        <v>0</v>
      </c>
      <c r="EL16" s="10">
        <f t="shared" ref="EL16:EM16" si="346">IF(OR(ISNUMBER(SEARCH("ai software toolkit", $D16)), ISNUMBER(SEARCH("ai software toolkit", $T16)), ISNUMBER(SEARCH("ai software toolkit", $R16)), ISNUMBER(SEARCH("ai software toolkit", $S16))), 1, 0)</f>
        <v>0</v>
      </c>
      <c r="EM16" s="10">
        <f t="shared" si="346"/>
        <v>0</v>
      </c>
      <c r="EN16" s="10">
        <f t="shared" si="96"/>
        <v>0</v>
      </c>
      <c r="EO16" s="10">
        <f t="shared" si="97"/>
        <v>0</v>
      </c>
      <c r="EP16" s="10">
        <f t="shared" si="98"/>
        <v>0</v>
      </c>
      <c r="EQ16" s="10">
        <f t="shared" si="99"/>
        <v>0</v>
      </c>
      <c r="ER16" s="10">
        <f t="shared" si="100"/>
        <v>0</v>
      </c>
      <c r="ES16" s="10">
        <f t="shared" si="101"/>
        <v>0</v>
      </c>
      <c r="ET16" s="10">
        <f t="shared" si="102"/>
        <v>0</v>
      </c>
      <c r="EU16" s="10">
        <f t="shared" si="103"/>
        <v>0</v>
      </c>
      <c r="EV16" s="10">
        <f t="shared" si="104"/>
        <v>0</v>
      </c>
      <c r="EW16" s="10">
        <f t="shared" si="105"/>
        <v>0</v>
      </c>
      <c r="EX16" s="10">
        <f t="shared" si="106"/>
        <v>0</v>
      </c>
      <c r="EY16" s="10">
        <f t="shared" si="107"/>
        <v>0</v>
      </c>
      <c r="EZ16" s="10">
        <f t="shared" si="108"/>
        <v>0</v>
      </c>
      <c r="FA16" s="10">
        <f t="shared" si="109"/>
        <v>0</v>
      </c>
      <c r="FB16" s="10">
        <f t="shared" si="110"/>
        <v>0</v>
      </c>
      <c r="FC16" s="10">
        <f t="shared" si="111"/>
        <v>0</v>
      </c>
      <c r="FD16" s="10">
        <f t="shared" si="112"/>
        <v>0</v>
      </c>
      <c r="FE16" s="10">
        <f t="shared" si="113"/>
        <v>0</v>
      </c>
      <c r="FF16" s="10">
        <f t="shared" si="114"/>
        <v>0</v>
      </c>
      <c r="FG16" s="10">
        <f t="shared" si="115"/>
        <v>0</v>
      </c>
      <c r="FH16" s="10">
        <f t="shared" si="116"/>
        <v>0</v>
      </c>
      <c r="FI16" s="10">
        <f t="shared" si="117"/>
        <v>0</v>
      </c>
      <c r="FJ16" s="10">
        <f t="shared" si="118"/>
        <v>0</v>
      </c>
      <c r="FK16" s="10">
        <f t="shared" si="119"/>
        <v>0</v>
      </c>
      <c r="FL16" s="10">
        <f t="shared" si="120"/>
        <v>0</v>
      </c>
      <c r="FM16" s="10">
        <f t="shared" si="121"/>
        <v>0</v>
      </c>
      <c r="FN16" s="10">
        <f t="shared" si="122"/>
        <v>0</v>
      </c>
      <c r="FO16" s="10">
        <f t="shared" si="123"/>
        <v>0</v>
      </c>
      <c r="FP16" s="10">
        <f t="shared" si="124"/>
        <v>0</v>
      </c>
      <c r="FQ16" s="10">
        <f t="shared" si="125"/>
        <v>0</v>
      </c>
      <c r="FR16" s="11">
        <f t="shared" si="126"/>
        <v>0</v>
      </c>
      <c r="FS16" s="11">
        <f t="shared" si="127"/>
        <v>0</v>
      </c>
      <c r="FT16" s="11">
        <f t="shared" si="128"/>
        <v>0</v>
      </c>
      <c r="FU16" s="11">
        <f t="shared" si="129"/>
        <v>0</v>
      </c>
      <c r="FV16" s="11">
        <f t="shared" si="130"/>
        <v>0</v>
      </c>
      <c r="FW16" s="11">
        <f t="shared" si="131"/>
        <v>0</v>
      </c>
      <c r="FX16" s="11">
        <f t="shared" si="132"/>
        <v>0</v>
      </c>
      <c r="FY16" s="11">
        <f t="shared" si="133"/>
        <v>0</v>
      </c>
      <c r="FZ16" s="11">
        <f t="shared" si="134"/>
        <v>0</v>
      </c>
      <c r="GA16" s="11">
        <f t="shared" si="135"/>
        <v>0</v>
      </c>
      <c r="GB16" s="11">
        <f t="shared" si="136"/>
        <v>0</v>
      </c>
      <c r="GC16" s="11">
        <f t="shared" si="137"/>
        <v>0</v>
      </c>
      <c r="GD16" s="11">
        <f t="shared" si="138"/>
        <v>0</v>
      </c>
      <c r="GE16" s="11">
        <f t="shared" si="139"/>
        <v>0</v>
      </c>
      <c r="GF16" s="11">
        <f t="shared" si="140"/>
        <v>0</v>
      </c>
      <c r="GG16" s="11">
        <f t="shared" si="141"/>
        <v>0</v>
      </c>
      <c r="GH16" s="11">
        <f t="shared" si="142"/>
        <v>0</v>
      </c>
      <c r="GI16" s="11">
        <f t="shared" si="143"/>
        <v>0</v>
      </c>
      <c r="GJ16" s="11">
        <f t="shared" si="144"/>
        <v>0</v>
      </c>
      <c r="GK16" s="11">
        <f t="shared" si="145"/>
        <v>0</v>
      </c>
      <c r="GL16" s="11">
        <f t="shared" si="146"/>
        <v>0</v>
      </c>
      <c r="GM16" s="11">
        <f t="shared" si="147"/>
        <v>0</v>
      </c>
      <c r="GN16" s="11">
        <f t="shared" si="148"/>
        <v>0</v>
      </c>
      <c r="GO16" s="11">
        <f t="shared" si="149"/>
        <v>0</v>
      </c>
      <c r="GP16" s="11">
        <f t="shared" si="150"/>
        <v>0</v>
      </c>
      <c r="GQ16" s="11">
        <f t="shared" si="151"/>
        <v>0</v>
      </c>
      <c r="GR16" s="11">
        <f t="shared" si="152"/>
        <v>0</v>
      </c>
      <c r="GS16" s="11">
        <f t="shared" si="153"/>
        <v>0</v>
      </c>
      <c r="GT16" s="11">
        <f t="shared" si="154"/>
        <v>0</v>
      </c>
      <c r="GU16" s="12">
        <f t="shared" si="155"/>
        <v>0</v>
      </c>
      <c r="GV16" s="12">
        <f t="shared" si="156"/>
        <v>0</v>
      </c>
      <c r="GW16" s="12">
        <f t="shared" si="157"/>
        <v>0</v>
      </c>
      <c r="GX16" s="12">
        <f t="shared" si="158"/>
        <v>0</v>
      </c>
      <c r="GY16" s="12">
        <f t="shared" si="159"/>
        <v>0</v>
      </c>
      <c r="GZ16" s="12">
        <f t="shared" si="160"/>
        <v>0</v>
      </c>
      <c r="HA16" s="12">
        <f t="shared" si="161"/>
        <v>0</v>
      </c>
      <c r="HB16" s="12">
        <f t="shared" si="162"/>
        <v>0</v>
      </c>
      <c r="HC16" s="12">
        <f t="shared" si="163"/>
        <v>0</v>
      </c>
      <c r="HD16" s="12">
        <f t="shared" si="164"/>
        <v>0</v>
      </c>
      <c r="HE16" s="12">
        <f t="shared" si="165"/>
        <v>0</v>
      </c>
      <c r="HF16" s="12">
        <f t="shared" si="166"/>
        <v>0</v>
      </c>
      <c r="HG16" s="12">
        <f t="shared" si="167"/>
        <v>0</v>
      </c>
      <c r="HH16" s="12">
        <f t="shared" si="168"/>
        <v>0</v>
      </c>
      <c r="HI16" s="12">
        <f t="shared" si="169"/>
        <v>0</v>
      </c>
      <c r="HJ16" s="12">
        <f t="shared" si="170"/>
        <v>0</v>
      </c>
      <c r="HK16" s="12">
        <f t="shared" si="171"/>
        <v>0</v>
      </c>
      <c r="HL16" s="12">
        <f t="shared" si="172"/>
        <v>0</v>
      </c>
      <c r="HM16" s="12">
        <f t="shared" si="173"/>
        <v>0</v>
      </c>
      <c r="HN16" s="12">
        <f t="shared" si="174"/>
        <v>0</v>
      </c>
      <c r="HO16" s="12">
        <f t="shared" si="175"/>
        <v>0</v>
      </c>
      <c r="HP16" s="12">
        <f t="shared" si="176"/>
        <v>0</v>
      </c>
      <c r="HQ16" s="12">
        <f t="shared" si="177"/>
        <v>0</v>
      </c>
      <c r="HR16" s="12">
        <f t="shared" si="178"/>
        <v>0</v>
      </c>
      <c r="HS16" s="12">
        <f t="shared" si="179"/>
        <v>0</v>
      </c>
      <c r="HT16" s="12">
        <f t="shared" si="180"/>
        <v>0</v>
      </c>
      <c r="HU16" s="12">
        <f t="shared" si="181"/>
        <v>0</v>
      </c>
      <c r="HV16" s="12">
        <f t="shared" si="182"/>
        <v>0</v>
      </c>
      <c r="HW16" s="12">
        <f t="shared" si="183"/>
        <v>0</v>
      </c>
      <c r="HX16" s="12">
        <f t="shared" si="184"/>
        <v>0</v>
      </c>
      <c r="HY16" s="12">
        <f t="shared" si="185"/>
        <v>0</v>
      </c>
      <c r="HZ16" s="12">
        <f t="shared" si="186"/>
        <v>0</v>
      </c>
      <c r="IA16" s="12">
        <f t="shared" si="187"/>
        <v>0</v>
      </c>
      <c r="IB16" s="12">
        <f t="shared" si="188"/>
        <v>0</v>
      </c>
      <c r="IC16" s="12">
        <f t="shared" si="189"/>
        <v>0</v>
      </c>
      <c r="ID16" s="12">
        <f t="shared" si="190"/>
        <v>0</v>
      </c>
      <c r="IE16" s="12">
        <f t="shared" si="191"/>
        <v>0</v>
      </c>
      <c r="IF16" s="12">
        <f t="shared" si="192"/>
        <v>0</v>
      </c>
      <c r="IG16" s="12">
        <f t="shared" si="193"/>
        <v>0</v>
      </c>
      <c r="IH16" s="12">
        <f t="shared" si="194"/>
        <v>0</v>
      </c>
      <c r="II16" s="12">
        <f t="shared" si="195"/>
        <v>0</v>
      </c>
      <c r="IJ16" s="12">
        <f t="shared" si="196"/>
        <v>0</v>
      </c>
      <c r="IK16" s="12">
        <f t="shared" si="197"/>
        <v>0</v>
      </c>
      <c r="IL16" s="12">
        <f t="shared" si="198"/>
        <v>0</v>
      </c>
      <c r="IM16" s="12">
        <f t="shared" si="199"/>
        <v>0</v>
      </c>
      <c r="IN16" s="12">
        <f t="shared" si="200"/>
        <v>0</v>
      </c>
      <c r="IO16" s="12">
        <f t="shared" si="201"/>
        <v>0</v>
      </c>
      <c r="IP16" s="12">
        <f t="shared" si="202"/>
        <v>0</v>
      </c>
      <c r="IQ16" s="12">
        <f t="shared" si="203"/>
        <v>0</v>
      </c>
      <c r="IR16" s="12">
        <f t="shared" si="204"/>
        <v>0</v>
      </c>
      <c r="IS16" s="12">
        <f t="shared" si="205"/>
        <v>0</v>
      </c>
      <c r="IT16" s="12">
        <f t="shared" si="206"/>
        <v>0</v>
      </c>
      <c r="IU16" s="12">
        <f t="shared" si="207"/>
        <v>0</v>
      </c>
      <c r="IV16" s="12">
        <f t="shared" si="208"/>
        <v>0</v>
      </c>
      <c r="IW16" s="12">
        <f t="shared" si="209"/>
        <v>0</v>
      </c>
      <c r="IX16" s="12">
        <f t="shared" si="210"/>
        <v>0</v>
      </c>
      <c r="IY16" s="12">
        <f t="shared" si="211"/>
        <v>0</v>
      </c>
      <c r="IZ16" s="12">
        <f t="shared" si="212"/>
        <v>0</v>
      </c>
      <c r="JA16" s="13">
        <f t="shared" si="213"/>
        <v>0</v>
      </c>
      <c r="JB16" s="13">
        <f t="shared" si="214"/>
        <v>0</v>
      </c>
      <c r="JC16" s="13">
        <f t="shared" si="215"/>
        <v>0</v>
      </c>
      <c r="JD16" s="13">
        <f t="shared" si="216"/>
        <v>0</v>
      </c>
      <c r="JE16" s="13">
        <f t="shared" si="217"/>
        <v>0</v>
      </c>
      <c r="JF16" s="13">
        <f t="shared" si="218"/>
        <v>0</v>
      </c>
      <c r="JG16" s="13">
        <f t="shared" si="219"/>
        <v>0</v>
      </c>
      <c r="JH16" s="13">
        <f t="shared" si="220"/>
        <v>0</v>
      </c>
      <c r="JI16" s="13">
        <f t="shared" si="221"/>
        <v>0</v>
      </c>
      <c r="JJ16" s="13">
        <f t="shared" si="222"/>
        <v>0</v>
      </c>
      <c r="JK16" s="13">
        <f t="shared" si="223"/>
        <v>0</v>
      </c>
      <c r="JL16" s="13">
        <f t="shared" si="224"/>
        <v>0</v>
      </c>
      <c r="JM16" s="13">
        <f t="shared" si="225"/>
        <v>0</v>
      </c>
      <c r="JN16" s="13">
        <f t="shared" si="226"/>
        <v>0</v>
      </c>
      <c r="JO16" s="13">
        <f t="shared" si="227"/>
        <v>0</v>
      </c>
      <c r="JP16" s="13">
        <f t="shared" si="228"/>
        <v>0</v>
      </c>
      <c r="JQ16" s="13">
        <f t="shared" si="229"/>
        <v>0</v>
      </c>
      <c r="JR16" s="13">
        <f t="shared" si="230"/>
        <v>0</v>
      </c>
      <c r="JS16" s="13">
        <f t="shared" si="231"/>
        <v>0</v>
      </c>
      <c r="JT16" s="13">
        <f t="shared" si="232"/>
        <v>0</v>
      </c>
      <c r="JU16" s="13">
        <f t="shared" si="233"/>
        <v>0</v>
      </c>
      <c r="JV16" s="12">
        <f t="shared" si="234"/>
        <v>0</v>
      </c>
      <c r="JW16" s="12">
        <f t="shared" si="235"/>
        <v>0</v>
      </c>
      <c r="JX16" s="12">
        <f t="shared" si="236"/>
        <v>0</v>
      </c>
      <c r="JY16" s="12">
        <f t="shared" si="237"/>
        <v>0</v>
      </c>
      <c r="JZ16" s="12">
        <f t="shared" si="238"/>
        <v>0</v>
      </c>
      <c r="KA16" s="12">
        <f t="shared" si="239"/>
        <v>0</v>
      </c>
      <c r="KB16" s="12">
        <f t="shared" si="240"/>
        <v>0</v>
      </c>
      <c r="KC16" s="12">
        <f t="shared" si="241"/>
        <v>0</v>
      </c>
      <c r="KD16" s="12">
        <f t="shared" si="242"/>
        <v>0</v>
      </c>
      <c r="KE16" s="12">
        <f t="shared" si="243"/>
        <v>0</v>
      </c>
      <c r="KF16" s="12">
        <f t="shared" si="244"/>
        <v>0</v>
      </c>
      <c r="KG16" s="12">
        <f t="shared" si="245"/>
        <v>0</v>
      </c>
      <c r="KH16" s="12">
        <f t="shared" si="246"/>
        <v>0</v>
      </c>
      <c r="KI16" s="12">
        <f t="shared" si="247"/>
        <v>0</v>
      </c>
      <c r="KJ16" s="12">
        <f t="shared" si="248"/>
        <v>0</v>
      </c>
      <c r="KK16" s="12">
        <f t="shared" si="249"/>
        <v>0</v>
      </c>
      <c r="KL16" s="12">
        <f t="shared" si="250"/>
        <v>0</v>
      </c>
      <c r="KM16" s="12">
        <f t="shared" si="251"/>
        <v>0</v>
      </c>
      <c r="KN16" s="12">
        <f t="shared" si="252"/>
        <v>0</v>
      </c>
      <c r="KO16" s="12">
        <f t="shared" si="253"/>
        <v>0</v>
      </c>
      <c r="KP16" s="12">
        <f t="shared" si="254"/>
        <v>0</v>
      </c>
      <c r="KQ16" s="12">
        <f t="shared" si="255"/>
        <v>0</v>
      </c>
      <c r="KR16" s="12">
        <f t="shared" si="256"/>
        <v>0</v>
      </c>
      <c r="KS16" s="12">
        <f t="shared" si="257"/>
        <v>0</v>
      </c>
      <c r="KT16" s="12">
        <f t="shared" si="258"/>
        <v>0</v>
      </c>
      <c r="KU16" s="12">
        <f t="shared" si="259"/>
        <v>0</v>
      </c>
      <c r="KV16" s="12">
        <f t="shared" si="260"/>
        <v>0</v>
      </c>
      <c r="KW16" s="12">
        <f t="shared" si="261"/>
        <v>0</v>
      </c>
      <c r="KX16" s="12">
        <f t="shared" si="262"/>
        <v>0</v>
      </c>
      <c r="KY16" s="12">
        <f t="shared" si="263"/>
        <v>0</v>
      </c>
      <c r="KZ16" s="12">
        <f t="shared" si="264"/>
        <v>0</v>
      </c>
      <c r="LA16" s="12">
        <f t="shared" si="265"/>
        <v>0</v>
      </c>
      <c r="LB16" s="12">
        <f t="shared" si="266"/>
        <v>0</v>
      </c>
      <c r="LC16" s="12">
        <f t="shared" si="267"/>
        <v>0</v>
      </c>
      <c r="LD16" s="12">
        <f t="shared" si="268"/>
        <v>0</v>
      </c>
      <c r="LE16" s="12">
        <f t="shared" si="269"/>
        <v>0</v>
      </c>
      <c r="LF16" s="12">
        <f t="shared" si="270"/>
        <v>0</v>
      </c>
      <c r="LG16" s="12">
        <f t="shared" si="271"/>
        <v>0</v>
      </c>
      <c r="LH16" s="12">
        <f t="shared" si="272"/>
        <v>0</v>
      </c>
      <c r="LI16" s="12">
        <f t="shared" si="273"/>
        <v>0</v>
      </c>
      <c r="LJ16" s="12">
        <f t="shared" si="274"/>
        <v>0</v>
      </c>
      <c r="LK16" s="12">
        <f t="shared" si="275"/>
        <v>0</v>
      </c>
      <c r="LL16" s="12">
        <f t="shared" si="276"/>
        <v>0</v>
      </c>
      <c r="LM16" s="12">
        <f t="shared" si="277"/>
        <v>0</v>
      </c>
      <c r="LN16" s="12">
        <f t="shared" si="278"/>
        <v>0</v>
      </c>
      <c r="LO16" s="12">
        <f t="shared" si="279"/>
        <v>0</v>
      </c>
      <c r="LP16" s="12">
        <f t="shared" si="280"/>
        <v>0</v>
      </c>
      <c r="LQ16" s="12">
        <f t="shared" si="281"/>
        <v>0</v>
      </c>
      <c r="LR16" s="12">
        <f t="shared" si="282"/>
        <v>0</v>
      </c>
      <c r="LS16" s="12">
        <f t="shared" si="283"/>
        <v>0</v>
      </c>
      <c r="LT16" s="13">
        <f t="shared" si="284"/>
        <v>0</v>
      </c>
      <c r="LU16" s="13">
        <f t="shared" si="285"/>
        <v>0</v>
      </c>
      <c r="LV16" s="13">
        <f t="shared" si="286"/>
        <v>0</v>
      </c>
      <c r="LW16" s="13">
        <f t="shared" si="287"/>
        <v>0</v>
      </c>
      <c r="LX16" s="13">
        <f t="shared" si="288"/>
        <v>0</v>
      </c>
      <c r="LY16" s="13">
        <f t="shared" si="289"/>
        <v>0</v>
      </c>
      <c r="LZ16" s="13">
        <f t="shared" si="290"/>
        <v>0</v>
      </c>
      <c r="MA16" s="13">
        <f t="shared" si="291"/>
        <v>0</v>
      </c>
      <c r="MB16" s="13">
        <f t="shared" si="292"/>
        <v>0</v>
      </c>
      <c r="MC16" s="13">
        <f t="shared" si="293"/>
        <v>0</v>
      </c>
      <c r="MD16" s="13">
        <f t="shared" si="294"/>
        <v>0</v>
      </c>
      <c r="ME16" s="13">
        <f t="shared" si="295"/>
        <v>0</v>
      </c>
      <c r="MF16" s="13">
        <f t="shared" si="296"/>
        <v>0</v>
      </c>
      <c r="MG16" s="13">
        <f t="shared" si="297"/>
        <v>0</v>
      </c>
      <c r="MH16" s="13">
        <f t="shared" si="298"/>
        <v>0</v>
      </c>
      <c r="MI16" s="13">
        <f t="shared" si="299"/>
        <v>0</v>
      </c>
      <c r="MJ16" s="13">
        <f t="shared" si="300"/>
        <v>0</v>
      </c>
      <c r="MK16" s="13">
        <f t="shared" si="301"/>
        <v>0</v>
      </c>
      <c r="ML16" s="14">
        <f t="shared" si="302"/>
        <v>0</v>
      </c>
      <c r="MM16" s="14">
        <f t="shared" si="303"/>
        <v>0</v>
      </c>
      <c r="MN16" s="14">
        <f t="shared" si="304"/>
        <v>0</v>
      </c>
      <c r="MO16" s="14">
        <f t="shared" si="305"/>
        <v>0</v>
      </c>
      <c r="MP16" s="14">
        <f t="shared" si="306"/>
        <v>0</v>
      </c>
      <c r="MQ16" s="14">
        <f t="shared" si="307"/>
        <v>0</v>
      </c>
      <c r="MR16" s="14">
        <f t="shared" si="308"/>
        <v>0</v>
      </c>
      <c r="MS16" s="14">
        <f t="shared" si="309"/>
        <v>0</v>
      </c>
      <c r="MT16" s="14">
        <f t="shared" si="310"/>
        <v>0</v>
      </c>
      <c r="MU16" s="14">
        <f t="shared" si="311"/>
        <v>0</v>
      </c>
      <c r="MV16" s="14">
        <f t="shared" si="312"/>
        <v>0</v>
      </c>
      <c r="MW16" s="14">
        <f t="shared" si="313"/>
        <v>0</v>
      </c>
      <c r="MX16" s="14">
        <f t="shared" si="314"/>
        <v>0</v>
      </c>
      <c r="MY16" s="14">
        <f t="shared" si="315"/>
        <v>0</v>
      </c>
      <c r="MZ16" s="14">
        <f t="shared" si="316"/>
        <v>0</v>
      </c>
      <c r="NA16" s="14">
        <f t="shared" si="317"/>
        <v>0</v>
      </c>
      <c r="NB16" s="14">
        <f t="shared" si="318"/>
        <v>0</v>
      </c>
    </row>
    <row r="17">
      <c r="A17" s="2">
        <v>29.0</v>
      </c>
      <c r="B17" s="2" t="s">
        <v>652</v>
      </c>
      <c r="C17" s="2" t="s">
        <v>653</v>
      </c>
      <c r="D17" s="2" t="s">
        <v>654</v>
      </c>
      <c r="E17" s="2">
        <v>2021.0</v>
      </c>
      <c r="F17" s="2" t="s">
        <v>655</v>
      </c>
      <c r="G17" s="2" t="s">
        <v>656</v>
      </c>
      <c r="H17" s="2" t="s">
        <v>657</v>
      </c>
      <c r="J17" s="2" t="s">
        <v>658</v>
      </c>
      <c r="K17" s="2" t="s">
        <v>659</v>
      </c>
      <c r="M17" s="2">
        <v>91.0</v>
      </c>
      <c r="N17" s="2" t="s">
        <v>660</v>
      </c>
      <c r="O17" s="2" t="s">
        <v>661</v>
      </c>
      <c r="P17" s="2" t="s">
        <v>662</v>
      </c>
      <c r="Q17" s="2" t="s">
        <v>663</v>
      </c>
      <c r="R17" s="2" t="s">
        <v>664</v>
      </c>
      <c r="S17" s="2" t="s">
        <v>665</v>
      </c>
      <c r="T17" s="2" t="s">
        <v>666</v>
      </c>
      <c r="Y17" s="2" t="s">
        <v>667</v>
      </c>
      <c r="AB17" s="2" t="s">
        <v>668</v>
      </c>
      <c r="AG17" s="2" t="s">
        <v>669</v>
      </c>
      <c r="AK17" s="2" t="s">
        <v>670</v>
      </c>
      <c r="AL17" s="2" t="s">
        <v>384</v>
      </c>
      <c r="AN17" s="2" t="s">
        <v>386</v>
      </c>
      <c r="AO17" s="2" t="s">
        <v>671</v>
      </c>
      <c r="AP17" s="2" t="s">
        <v>386</v>
      </c>
      <c r="AQ17" s="2">
        <v>71.0</v>
      </c>
      <c r="AR17" s="2" t="s">
        <v>672</v>
      </c>
      <c r="AS17" s="2" t="b">
        <v>1</v>
      </c>
      <c r="AT17" s="3">
        <v>0.0</v>
      </c>
      <c r="AU17" s="4"/>
      <c r="AV17" s="4">
        <v>1.0</v>
      </c>
      <c r="AW17" s="5">
        <f t="shared" si="3"/>
        <v>0</v>
      </c>
      <c r="AX17" s="5">
        <f t="shared" si="4"/>
        <v>0</v>
      </c>
      <c r="AY17" s="5">
        <f t="shared" si="5"/>
        <v>0</v>
      </c>
      <c r="AZ17" s="5">
        <f t="shared" si="6"/>
        <v>0</v>
      </c>
      <c r="BA17" s="5">
        <f t="shared" si="7"/>
        <v>0</v>
      </c>
      <c r="BB17" s="5">
        <f t="shared" si="8"/>
        <v>0</v>
      </c>
      <c r="BC17" s="5">
        <f t="shared" si="9"/>
        <v>0</v>
      </c>
      <c r="BD17" s="5">
        <f t="shared" si="10"/>
        <v>0</v>
      </c>
      <c r="BE17" s="5">
        <f t="shared" si="11"/>
        <v>0</v>
      </c>
      <c r="BF17" s="5">
        <f t="shared" si="12"/>
        <v>0</v>
      </c>
      <c r="BG17" s="5">
        <f t="shared" si="13"/>
        <v>0</v>
      </c>
      <c r="BH17" s="5">
        <f t="shared" si="14"/>
        <v>0</v>
      </c>
      <c r="BI17" s="5">
        <f t="shared" si="15"/>
        <v>0</v>
      </c>
      <c r="BJ17" s="5">
        <f t="shared" si="16"/>
        <v>0</v>
      </c>
      <c r="BK17" s="5">
        <f t="shared" si="17"/>
        <v>0</v>
      </c>
      <c r="BL17" s="5">
        <f t="shared" si="18"/>
        <v>0</v>
      </c>
      <c r="BM17" s="5">
        <f t="shared" si="19"/>
        <v>0</v>
      </c>
      <c r="BN17" s="5">
        <f t="shared" si="20"/>
        <v>0</v>
      </c>
      <c r="BO17" s="5">
        <f t="shared" si="21"/>
        <v>0</v>
      </c>
      <c r="BP17" s="5">
        <f t="shared" si="22"/>
        <v>0</v>
      </c>
      <c r="BQ17" s="5">
        <f t="shared" si="23"/>
        <v>0</v>
      </c>
      <c r="BR17" s="5">
        <f t="shared" si="24"/>
        <v>0</v>
      </c>
      <c r="BS17" s="5">
        <f t="shared" si="25"/>
        <v>0</v>
      </c>
      <c r="BT17" s="5">
        <f t="shared" si="26"/>
        <v>0</v>
      </c>
      <c r="BU17" s="5">
        <f t="shared" si="27"/>
        <v>0</v>
      </c>
      <c r="BV17" s="5">
        <f t="shared" ref="BV17:BW17" si="347">IF(OR(ISNUMBER(SEARCH("grit",$D17)),ISNUMBER(SEARCH("grit",$T17)),ISNUMBER(SEARCH("grit",$R17)),ISNUMBER(SEARCH("grit",$S17)),
ISNUMBER(SEARCH("determination",$D17)),ISNUMBER(SEARCH("determination",$T17)),ISNUMBER(SEARCH("determination",$R17)),ISNUMBER(SEARCH("determination",$S17)),
ISNUMBER(SEARCH("tenacity",$D17)),ISNUMBER(SEARCH("tenacity",$T17)),ISNUMBER(SEARCH("tenacity",$R17)),ISNUMBER(SEARCH("tenacity",$S17)),
ISNUMBER(SEARCH("endurance",$D17)),ISNUMBER(SEARCH("endurance",$T17)),ISNUMBER(SEARCH("endurance",$R17)),ISNUMBER(SEARCH("endurance",$S17)),
ISNUMBER(SEARCH("fortitude",$D17)),ISNUMBER(SEARCH("fortitude",$T17)),ISNUMBER(SEARCH("fortitude",$R17)),ISNUMBER(SEARCH("fortitude",$S17)),
ISNUMBER(SEARCH("resolve",$D17)),ISNUMBER(SEARCH("resolve",$T17)),ISNUMBER(SEARCH("resolve",$R17)),ISNUMBER(SEARCH("resolve",$S17)),
ISNUMBER(SEARCH("stamina",$D17)),ISNUMBER(SEARCH("stamina",$T17)),ISNUMBER(SEARCH("stamina",$R17)),ISNUMBER(SEARCH("stamina",$S17)),
ISNUMBER(SEARCH("guts",$D17)),ISNUMBER(SEARCH("guts",$T17)),ISNUMBER(SEARCH("guts",$R17)),ISNUMBER(SEARCH("guts",$S17)),
ISNUMBER(SEARCH("spunk",$D17)),ISNUMBER(SEARCH("spunk",$T17)),ISNUMBER(SEARCH("spunk",$R17)),ISNUMBER(SEARCH("spunk",$S17))), 1, 0)</f>
        <v>0</v>
      </c>
      <c r="BW17" s="5">
        <f t="shared" si="347"/>
        <v>0</v>
      </c>
      <c r="BX17" s="5">
        <f t="shared" si="29"/>
        <v>0</v>
      </c>
      <c r="BY17" s="5">
        <f t="shared" si="30"/>
        <v>0</v>
      </c>
      <c r="BZ17" s="5">
        <f t="shared" si="31"/>
        <v>0</v>
      </c>
      <c r="CA17" s="5">
        <f t="shared" si="32"/>
        <v>0</v>
      </c>
      <c r="CB17" s="5">
        <f t="shared" si="33"/>
        <v>0</v>
      </c>
      <c r="CC17" s="5">
        <f t="shared" si="34"/>
        <v>0</v>
      </c>
      <c r="CD17" s="5">
        <f t="shared" si="35"/>
        <v>0</v>
      </c>
      <c r="CE17" s="5">
        <f t="shared" si="36"/>
        <v>0</v>
      </c>
      <c r="CF17" s="5">
        <f t="shared" si="37"/>
        <v>0</v>
      </c>
      <c r="CG17" s="5">
        <f t="shared" si="38"/>
        <v>0</v>
      </c>
      <c r="CH17" s="5">
        <f t="shared" si="39"/>
        <v>0</v>
      </c>
      <c r="CI17" s="5">
        <f t="shared" si="40"/>
        <v>0</v>
      </c>
      <c r="CJ17" s="5">
        <f t="shared" si="41"/>
        <v>0</v>
      </c>
      <c r="CK17" s="5">
        <f t="shared" si="42"/>
        <v>0</v>
      </c>
      <c r="CL17" s="5">
        <f t="shared" si="43"/>
        <v>0</v>
      </c>
      <c r="CM17" s="5">
        <f t="shared" si="44"/>
        <v>0</v>
      </c>
      <c r="CN17" s="5">
        <f t="shared" si="45"/>
        <v>0</v>
      </c>
      <c r="CO17" s="5">
        <f t="shared" si="46"/>
        <v>0</v>
      </c>
      <c r="CP17" s="6">
        <f t="shared" si="47"/>
        <v>0</v>
      </c>
      <c r="CQ17" s="6">
        <f t="shared" si="48"/>
        <v>0</v>
      </c>
      <c r="CR17" s="6">
        <f t="shared" si="49"/>
        <v>0</v>
      </c>
      <c r="CS17" s="6">
        <f t="shared" si="50"/>
        <v>0</v>
      </c>
      <c r="CT17" s="6">
        <f t="shared" si="51"/>
        <v>0</v>
      </c>
      <c r="CU17" s="6">
        <f t="shared" si="52"/>
        <v>0</v>
      </c>
      <c r="CV17" s="6">
        <f t="shared" si="53"/>
        <v>0</v>
      </c>
      <c r="CW17" s="6">
        <f t="shared" si="54"/>
        <v>0</v>
      </c>
      <c r="CX17" s="6">
        <f t="shared" si="55"/>
        <v>0</v>
      </c>
      <c r="CY17" s="6">
        <f t="shared" si="56"/>
        <v>0</v>
      </c>
      <c r="CZ17" s="6">
        <f t="shared" si="57"/>
        <v>0</v>
      </c>
      <c r="DA17" s="6">
        <f t="shared" si="58"/>
        <v>0</v>
      </c>
      <c r="DB17" s="6">
        <f t="shared" si="59"/>
        <v>0</v>
      </c>
      <c r="DC17" s="6">
        <f t="shared" si="60"/>
        <v>0</v>
      </c>
      <c r="DD17" s="6">
        <f t="shared" si="61"/>
        <v>0</v>
      </c>
      <c r="DE17" s="6">
        <f t="shared" si="62"/>
        <v>0</v>
      </c>
      <c r="DF17" s="6">
        <f t="shared" si="63"/>
        <v>0</v>
      </c>
      <c r="DG17" s="6">
        <f t="shared" si="64"/>
        <v>0</v>
      </c>
      <c r="DH17" s="6">
        <f>IF(
OR(
ISNUMBER(SEARCH("Spirituality",$D17)),ISNUMBER(SEARCH("Spirituality",$T17)),ISNUMBER(SEARCH("Spirituality",$R15)),ISNUMBER(SEARCH("Spirituality",$S17)),
ISNUMBER(SEARCH("religiosity",$D17)),ISNUMBER(SEARCH("religiosity",$T17)),ISNUMBER(SEARCH("religiosity",$R17)),ISNUMBER(SEARCH("religiosity",$S17))), 1, 0)</f>
        <v>0</v>
      </c>
      <c r="DI17" s="6">
        <f t="shared" si="66"/>
        <v>0</v>
      </c>
      <c r="DJ17" s="6">
        <f t="shared" si="67"/>
        <v>0</v>
      </c>
      <c r="DK17" s="7">
        <f t="shared" si="68"/>
        <v>0</v>
      </c>
      <c r="DL17" s="7">
        <f t="shared" ref="DL17:DL22" si="350">IF(
OR(
ISNUMBER(SEARCH("common-sense reasoning",$D17)),ISNUMBER(SEARCH("common-sense reasoning",$T17)),ISNUMBER(SEARCH("common-sense reasoning",$R15)),ISNUMBER(SEARCH("common-sense reasoning",$S17)),
ISNUMBER(SEARCH("religio",$D17)),ISNUMBER(SEARCH("religio",$T17)),ISNUMBER(SEARCH("religio",$R17)),ISNUMBER(SEARCH("religio",$S17))), 1, 0)</f>
        <v>0</v>
      </c>
      <c r="DM17" s="7">
        <f t="shared" si="70"/>
        <v>0</v>
      </c>
      <c r="DN17" s="7">
        <f t="shared" si="71"/>
        <v>0</v>
      </c>
      <c r="DO17" s="7">
        <f t="shared" si="72"/>
        <v>0</v>
      </c>
      <c r="DP17" s="8">
        <f t="shared" si="73"/>
        <v>0</v>
      </c>
      <c r="DQ17" s="8">
        <f t="shared" si="74"/>
        <v>1</v>
      </c>
      <c r="DR17" s="7">
        <f t="shared" si="75"/>
        <v>0</v>
      </c>
      <c r="DS17" s="7">
        <f t="shared" si="76"/>
        <v>0</v>
      </c>
      <c r="DT17" s="7">
        <f t="shared" si="77"/>
        <v>0</v>
      </c>
      <c r="DU17" s="9">
        <f t="shared" si="78"/>
        <v>0</v>
      </c>
      <c r="DV17" s="9">
        <f t="shared" si="79"/>
        <v>0</v>
      </c>
      <c r="DW17" s="9">
        <f t="shared" si="80"/>
        <v>0</v>
      </c>
      <c r="DX17" s="9">
        <f t="shared" si="81"/>
        <v>0</v>
      </c>
      <c r="DY17" s="9">
        <f t="shared" si="82"/>
        <v>0</v>
      </c>
      <c r="DZ17" s="9">
        <f t="shared" si="83"/>
        <v>0</v>
      </c>
      <c r="EA17" s="9">
        <f t="shared" si="84"/>
        <v>0</v>
      </c>
      <c r="EB17" s="9">
        <f t="shared" si="85"/>
        <v>0</v>
      </c>
      <c r="EC17" s="9">
        <f t="shared" si="86"/>
        <v>0</v>
      </c>
      <c r="ED17" s="9">
        <f t="shared" si="87"/>
        <v>0</v>
      </c>
      <c r="EE17" s="9">
        <f t="shared" si="88"/>
        <v>0</v>
      </c>
      <c r="EF17" s="9">
        <f t="shared" si="89"/>
        <v>0</v>
      </c>
      <c r="EG17" s="9">
        <f t="shared" si="90"/>
        <v>0</v>
      </c>
      <c r="EH17" s="9">
        <f t="shared" si="91"/>
        <v>0</v>
      </c>
      <c r="EI17" s="9">
        <f t="shared" si="92"/>
        <v>0</v>
      </c>
      <c r="EJ17" s="10">
        <f t="shared" si="93"/>
        <v>0</v>
      </c>
      <c r="EK17" s="10">
        <f t="shared" si="94"/>
        <v>0</v>
      </c>
      <c r="EL17" s="10">
        <f t="shared" ref="EL17:EM17" si="348">IF(OR(ISNUMBER(SEARCH("ai software toolkit", $D17)), ISNUMBER(SEARCH("ai software toolkit", $T17)), ISNUMBER(SEARCH("ai software toolkit", $R17)), ISNUMBER(SEARCH("ai software toolkit", $S17))), 1, 0)</f>
        <v>0</v>
      </c>
      <c r="EM17" s="10">
        <f t="shared" si="348"/>
        <v>0</v>
      </c>
      <c r="EN17" s="10">
        <f t="shared" si="96"/>
        <v>0</v>
      </c>
      <c r="EO17" s="10">
        <f t="shared" si="97"/>
        <v>0</v>
      </c>
      <c r="EP17" s="10">
        <f t="shared" si="98"/>
        <v>0</v>
      </c>
      <c r="EQ17" s="10">
        <f t="shared" si="99"/>
        <v>0</v>
      </c>
      <c r="ER17" s="10">
        <f t="shared" si="100"/>
        <v>0</v>
      </c>
      <c r="ES17" s="10">
        <f t="shared" si="101"/>
        <v>0</v>
      </c>
      <c r="ET17" s="10">
        <f t="shared" si="102"/>
        <v>0</v>
      </c>
      <c r="EU17" s="10">
        <f t="shared" si="103"/>
        <v>0</v>
      </c>
      <c r="EV17" s="10">
        <f t="shared" si="104"/>
        <v>0</v>
      </c>
      <c r="EW17" s="10">
        <f t="shared" si="105"/>
        <v>0</v>
      </c>
      <c r="EX17" s="10">
        <f t="shared" si="106"/>
        <v>0</v>
      </c>
      <c r="EY17" s="10">
        <f t="shared" si="107"/>
        <v>0</v>
      </c>
      <c r="EZ17" s="10">
        <f t="shared" si="108"/>
        <v>0</v>
      </c>
      <c r="FA17" s="10">
        <f t="shared" si="109"/>
        <v>0</v>
      </c>
      <c r="FB17" s="10">
        <f t="shared" si="110"/>
        <v>0</v>
      </c>
      <c r="FC17" s="10">
        <f t="shared" si="111"/>
        <v>0</v>
      </c>
      <c r="FD17" s="10">
        <f t="shared" si="112"/>
        <v>0</v>
      </c>
      <c r="FE17" s="10">
        <f t="shared" si="113"/>
        <v>1</v>
      </c>
      <c r="FF17" s="10">
        <f t="shared" si="114"/>
        <v>0</v>
      </c>
      <c r="FG17" s="10">
        <f t="shared" si="115"/>
        <v>0</v>
      </c>
      <c r="FH17" s="10">
        <f t="shared" si="116"/>
        <v>0</v>
      </c>
      <c r="FI17" s="10">
        <f t="shared" si="117"/>
        <v>0</v>
      </c>
      <c r="FJ17" s="10">
        <f t="shared" si="118"/>
        <v>0</v>
      </c>
      <c r="FK17" s="10">
        <f t="shared" si="119"/>
        <v>0</v>
      </c>
      <c r="FL17" s="10">
        <f t="shared" si="120"/>
        <v>0</v>
      </c>
      <c r="FM17" s="10">
        <f t="shared" si="121"/>
        <v>0</v>
      </c>
      <c r="FN17" s="10">
        <f t="shared" si="122"/>
        <v>0</v>
      </c>
      <c r="FO17" s="10">
        <f t="shared" si="123"/>
        <v>0</v>
      </c>
      <c r="FP17" s="10">
        <f t="shared" si="124"/>
        <v>0</v>
      </c>
      <c r="FQ17" s="10">
        <f t="shared" si="125"/>
        <v>0</v>
      </c>
      <c r="FR17" s="11">
        <f t="shared" si="126"/>
        <v>0</v>
      </c>
      <c r="FS17" s="11">
        <f t="shared" si="127"/>
        <v>0</v>
      </c>
      <c r="FT17" s="11">
        <f t="shared" si="128"/>
        <v>0</v>
      </c>
      <c r="FU17" s="11">
        <f t="shared" si="129"/>
        <v>0</v>
      </c>
      <c r="FV17" s="11">
        <f t="shared" si="130"/>
        <v>0</v>
      </c>
      <c r="FW17" s="11">
        <f t="shared" si="131"/>
        <v>0</v>
      </c>
      <c r="FX17" s="11">
        <f t="shared" si="132"/>
        <v>0</v>
      </c>
      <c r="FY17" s="11">
        <f t="shared" si="133"/>
        <v>0</v>
      </c>
      <c r="FZ17" s="11">
        <f t="shared" si="134"/>
        <v>0</v>
      </c>
      <c r="GA17" s="11">
        <f t="shared" si="135"/>
        <v>0</v>
      </c>
      <c r="GB17" s="11">
        <f t="shared" si="136"/>
        <v>0</v>
      </c>
      <c r="GC17" s="11">
        <f t="shared" si="137"/>
        <v>0</v>
      </c>
      <c r="GD17" s="11">
        <f t="shared" si="138"/>
        <v>0</v>
      </c>
      <c r="GE17" s="11">
        <f t="shared" si="139"/>
        <v>0</v>
      </c>
      <c r="GF17" s="11">
        <f t="shared" si="140"/>
        <v>0</v>
      </c>
      <c r="GG17" s="11">
        <f t="shared" si="141"/>
        <v>0</v>
      </c>
      <c r="GH17" s="11">
        <f t="shared" si="142"/>
        <v>0</v>
      </c>
      <c r="GI17" s="11">
        <f t="shared" si="143"/>
        <v>0</v>
      </c>
      <c r="GJ17" s="11">
        <f t="shared" si="144"/>
        <v>0</v>
      </c>
      <c r="GK17" s="11">
        <f t="shared" si="145"/>
        <v>0</v>
      </c>
      <c r="GL17" s="11">
        <f t="shared" si="146"/>
        <v>0</v>
      </c>
      <c r="GM17" s="11">
        <f t="shared" si="147"/>
        <v>0</v>
      </c>
      <c r="GN17" s="11">
        <f t="shared" si="148"/>
        <v>0</v>
      </c>
      <c r="GO17" s="11">
        <f t="shared" si="149"/>
        <v>0</v>
      </c>
      <c r="GP17" s="11">
        <f t="shared" si="150"/>
        <v>0</v>
      </c>
      <c r="GQ17" s="11">
        <f t="shared" si="151"/>
        <v>0</v>
      </c>
      <c r="GR17" s="11">
        <f t="shared" si="152"/>
        <v>0</v>
      </c>
      <c r="GS17" s="11">
        <f t="shared" si="153"/>
        <v>0</v>
      </c>
      <c r="GT17" s="11">
        <f t="shared" si="154"/>
        <v>0</v>
      </c>
      <c r="GU17" s="12">
        <f t="shared" si="155"/>
        <v>0</v>
      </c>
      <c r="GV17" s="12">
        <f t="shared" si="156"/>
        <v>0</v>
      </c>
      <c r="GW17" s="12">
        <f t="shared" si="157"/>
        <v>0</v>
      </c>
      <c r="GX17" s="12">
        <f t="shared" si="158"/>
        <v>0</v>
      </c>
      <c r="GY17" s="12">
        <f t="shared" si="159"/>
        <v>0</v>
      </c>
      <c r="GZ17" s="12">
        <f t="shared" si="160"/>
        <v>0</v>
      </c>
      <c r="HA17" s="12">
        <f t="shared" si="161"/>
        <v>0</v>
      </c>
      <c r="HB17" s="12">
        <f t="shared" si="162"/>
        <v>0</v>
      </c>
      <c r="HC17" s="12">
        <f t="shared" si="163"/>
        <v>0</v>
      </c>
      <c r="HD17" s="12">
        <f t="shared" si="164"/>
        <v>0</v>
      </c>
      <c r="HE17" s="12">
        <f t="shared" si="165"/>
        <v>0</v>
      </c>
      <c r="HF17" s="12">
        <f t="shared" si="166"/>
        <v>0</v>
      </c>
      <c r="HG17" s="12">
        <f t="shared" si="167"/>
        <v>0</v>
      </c>
      <c r="HH17" s="12">
        <f t="shared" si="168"/>
        <v>0</v>
      </c>
      <c r="HI17" s="12">
        <f t="shared" si="169"/>
        <v>0</v>
      </c>
      <c r="HJ17" s="12">
        <f t="shared" si="170"/>
        <v>0</v>
      </c>
      <c r="HK17" s="12">
        <f t="shared" si="171"/>
        <v>0</v>
      </c>
      <c r="HL17" s="12">
        <f t="shared" si="172"/>
        <v>0</v>
      </c>
      <c r="HM17" s="12">
        <f t="shared" si="173"/>
        <v>0</v>
      </c>
      <c r="HN17" s="12">
        <f t="shared" si="174"/>
        <v>0</v>
      </c>
      <c r="HO17" s="12">
        <f t="shared" si="175"/>
        <v>0</v>
      </c>
      <c r="HP17" s="12">
        <f t="shared" si="176"/>
        <v>0</v>
      </c>
      <c r="HQ17" s="12">
        <f t="shared" si="177"/>
        <v>0</v>
      </c>
      <c r="HR17" s="12">
        <f t="shared" si="178"/>
        <v>0</v>
      </c>
      <c r="HS17" s="12">
        <f t="shared" si="179"/>
        <v>0</v>
      </c>
      <c r="HT17" s="12">
        <f t="shared" si="180"/>
        <v>0</v>
      </c>
      <c r="HU17" s="12">
        <f t="shared" si="181"/>
        <v>0</v>
      </c>
      <c r="HV17" s="12">
        <f t="shared" si="182"/>
        <v>0</v>
      </c>
      <c r="HW17" s="12">
        <f t="shared" si="183"/>
        <v>0</v>
      </c>
      <c r="HX17" s="12">
        <f t="shared" si="184"/>
        <v>0</v>
      </c>
      <c r="HY17" s="12">
        <f t="shared" si="185"/>
        <v>0</v>
      </c>
      <c r="HZ17" s="12">
        <f t="shared" si="186"/>
        <v>0</v>
      </c>
      <c r="IA17" s="12">
        <f t="shared" si="187"/>
        <v>0</v>
      </c>
      <c r="IB17" s="12">
        <f t="shared" si="188"/>
        <v>0</v>
      </c>
      <c r="IC17" s="12">
        <f t="shared" si="189"/>
        <v>0</v>
      </c>
      <c r="ID17" s="12">
        <f t="shared" si="190"/>
        <v>0</v>
      </c>
      <c r="IE17" s="12">
        <f t="shared" si="191"/>
        <v>0</v>
      </c>
      <c r="IF17" s="12">
        <f t="shared" si="192"/>
        <v>0</v>
      </c>
      <c r="IG17" s="12">
        <f t="shared" si="193"/>
        <v>0</v>
      </c>
      <c r="IH17" s="12">
        <f t="shared" si="194"/>
        <v>0</v>
      </c>
      <c r="II17" s="12">
        <f t="shared" si="195"/>
        <v>0</v>
      </c>
      <c r="IJ17" s="12">
        <f t="shared" si="196"/>
        <v>0</v>
      </c>
      <c r="IK17" s="12">
        <f t="shared" si="197"/>
        <v>0</v>
      </c>
      <c r="IL17" s="12">
        <f t="shared" si="198"/>
        <v>0</v>
      </c>
      <c r="IM17" s="12">
        <f t="shared" si="199"/>
        <v>0</v>
      </c>
      <c r="IN17" s="12">
        <f t="shared" si="200"/>
        <v>0</v>
      </c>
      <c r="IO17" s="12">
        <f t="shared" si="201"/>
        <v>0</v>
      </c>
      <c r="IP17" s="12">
        <f t="shared" si="202"/>
        <v>0</v>
      </c>
      <c r="IQ17" s="12">
        <f t="shared" si="203"/>
        <v>0</v>
      </c>
      <c r="IR17" s="12">
        <f t="shared" si="204"/>
        <v>0</v>
      </c>
      <c r="IS17" s="12">
        <f t="shared" si="205"/>
        <v>0</v>
      </c>
      <c r="IT17" s="12">
        <f t="shared" si="206"/>
        <v>0</v>
      </c>
      <c r="IU17" s="12">
        <f t="shared" si="207"/>
        <v>0</v>
      </c>
      <c r="IV17" s="12">
        <f t="shared" si="208"/>
        <v>0</v>
      </c>
      <c r="IW17" s="12">
        <f t="shared" si="209"/>
        <v>0</v>
      </c>
      <c r="IX17" s="12">
        <f t="shared" si="210"/>
        <v>0</v>
      </c>
      <c r="IY17" s="12">
        <f t="shared" si="211"/>
        <v>0</v>
      </c>
      <c r="IZ17" s="12">
        <f t="shared" si="212"/>
        <v>0</v>
      </c>
      <c r="JA17" s="13">
        <f t="shared" si="213"/>
        <v>0</v>
      </c>
      <c r="JB17" s="13">
        <f t="shared" si="214"/>
        <v>0</v>
      </c>
      <c r="JC17" s="13">
        <f t="shared" si="215"/>
        <v>0</v>
      </c>
      <c r="JD17" s="13">
        <f t="shared" si="216"/>
        <v>1</v>
      </c>
      <c r="JE17" s="13">
        <f t="shared" si="217"/>
        <v>0</v>
      </c>
      <c r="JF17" s="13">
        <f t="shared" si="218"/>
        <v>0</v>
      </c>
      <c r="JG17" s="13">
        <f t="shared" si="219"/>
        <v>0</v>
      </c>
      <c r="JH17" s="13">
        <f t="shared" si="220"/>
        <v>0</v>
      </c>
      <c r="JI17" s="13">
        <f t="shared" si="221"/>
        <v>0</v>
      </c>
      <c r="JJ17" s="13">
        <f t="shared" si="222"/>
        <v>0</v>
      </c>
      <c r="JK17" s="13">
        <f t="shared" si="223"/>
        <v>1</v>
      </c>
      <c r="JL17" s="13">
        <f t="shared" si="224"/>
        <v>0</v>
      </c>
      <c r="JM17" s="13">
        <f t="shared" si="225"/>
        <v>0</v>
      </c>
      <c r="JN17" s="13">
        <f t="shared" si="226"/>
        <v>0</v>
      </c>
      <c r="JO17" s="13">
        <f t="shared" si="227"/>
        <v>0</v>
      </c>
      <c r="JP17" s="13">
        <f t="shared" si="228"/>
        <v>0</v>
      </c>
      <c r="JQ17" s="13">
        <f t="shared" si="229"/>
        <v>0</v>
      </c>
      <c r="JR17" s="13">
        <f t="shared" si="230"/>
        <v>0</v>
      </c>
      <c r="JS17" s="13">
        <f t="shared" si="231"/>
        <v>0</v>
      </c>
      <c r="JT17" s="13">
        <f t="shared" si="232"/>
        <v>0</v>
      </c>
      <c r="JU17" s="13">
        <f t="shared" si="233"/>
        <v>0</v>
      </c>
      <c r="JV17" s="12">
        <f t="shared" si="234"/>
        <v>0</v>
      </c>
      <c r="JW17" s="12">
        <f t="shared" si="235"/>
        <v>0</v>
      </c>
      <c r="JX17" s="12">
        <f t="shared" si="236"/>
        <v>0</v>
      </c>
      <c r="JY17" s="12">
        <f t="shared" si="237"/>
        <v>0</v>
      </c>
      <c r="JZ17" s="12">
        <f t="shared" si="238"/>
        <v>0</v>
      </c>
      <c r="KA17" s="12">
        <f t="shared" si="239"/>
        <v>0</v>
      </c>
      <c r="KB17" s="12">
        <f t="shared" si="240"/>
        <v>0</v>
      </c>
      <c r="KC17" s="12">
        <f t="shared" si="241"/>
        <v>0</v>
      </c>
      <c r="KD17" s="12">
        <f t="shared" si="242"/>
        <v>0</v>
      </c>
      <c r="KE17" s="12">
        <f t="shared" si="243"/>
        <v>0</v>
      </c>
      <c r="KF17" s="12">
        <f t="shared" si="244"/>
        <v>0</v>
      </c>
      <c r="KG17" s="12">
        <f t="shared" si="245"/>
        <v>0</v>
      </c>
      <c r="KH17" s="12">
        <f t="shared" si="246"/>
        <v>0</v>
      </c>
      <c r="KI17" s="12">
        <f t="shared" si="247"/>
        <v>0</v>
      </c>
      <c r="KJ17" s="12">
        <f t="shared" si="248"/>
        <v>0</v>
      </c>
      <c r="KK17" s="12">
        <f t="shared" si="249"/>
        <v>0</v>
      </c>
      <c r="KL17" s="12">
        <f t="shared" si="250"/>
        <v>0</v>
      </c>
      <c r="KM17" s="12">
        <f t="shared" si="251"/>
        <v>0</v>
      </c>
      <c r="KN17" s="12">
        <f t="shared" si="252"/>
        <v>0</v>
      </c>
      <c r="KO17" s="12">
        <f t="shared" si="253"/>
        <v>0</v>
      </c>
      <c r="KP17" s="12">
        <f t="shared" si="254"/>
        <v>0</v>
      </c>
      <c r="KQ17" s="12">
        <f t="shared" si="255"/>
        <v>0</v>
      </c>
      <c r="KR17" s="12">
        <f t="shared" si="256"/>
        <v>0</v>
      </c>
      <c r="KS17" s="12">
        <f t="shared" si="257"/>
        <v>0</v>
      </c>
      <c r="KT17" s="12">
        <f t="shared" si="258"/>
        <v>0</v>
      </c>
      <c r="KU17" s="12">
        <f t="shared" si="259"/>
        <v>0</v>
      </c>
      <c r="KV17" s="12">
        <f t="shared" si="260"/>
        <v>0</v>
      </c>
      <c r="KW17" s="12">
        <f t="shared" si="261"/>
        <v>0</v>
      </c>
      <c r="KX17" s="12">
        <f t="shared" si="262"/>
        <v>0</v>
      </c>
      <c r="KY17" s="12">
        <f t="shared" si="263"/>
        <v>0</v>
      </c>
      <c r="KZ17" s="12">
        <f t="shared" si="264"/>
        <v>0</v>
      </c>
      <c r="LA17" s="12">
        <f t="shared" si="265"/>
        <v>0</v>
      </c>
      <c r="LB17" s="12">
        <f t="shared" si="266"/>
        <v>0</v>
      </c>
      <c r="LC17" s="12">
        <f t="shared" si="267"/>
        <v>0</v>
      </c>
      <c r="LD17" s="12">
        <f t="shared" si="268"/>
        <v>0</v>
      </c>
      <c r="LE17" s="12">
        <f t="shared" si="269"/>
        <v>0</v>
      </c>
      <c r="LF17" s="12">
        <f t="shared" si="270"/>
        <v>0</v>
      </c>
      <c r="LG17" s="12">
        <f t="shared" si="271"/>
        <v>0</v>
      </c>
      <c r="LH17" s="12">
        <f t="shared" si="272"/>
        <v>0</v>
      </c>
      <c r="LI17" s="12">
        <f t="shared" si="273"/>
        <v>0</v>
      </c>
      <c r="LJ17" s="12">
        <f t="shared" si="274"/>
        <v>0</v>
      </c>
      <c r="LK17" s="12">
        <f t="shared" si="275"/>
        <v>0</v>
      </c>
      <c r="LL17" s="12">
        <f t="shared" si="276"/>
        <v>0</v>
      </c>
      <c r="LM17" s="12">
        <f t="shared" si="277"/>
        <v>0</v>
      </c>
      <c r="LN17" s="12">
        <f t="shared" si="278"/>
        <v>0</v>
      </c>
      <c r="LO17" s="12">
        <f t="shared" si="279"/>
        <v>0</v>
      </c>
      <c r="LP17" s="12">
        <f t="shared" si="280"/>
        <v>0</v>
      </c>
      <c r="LQ17" s="12">
        <f t="shared" si="281"/>
        <v>0</v>
      </c>
      <c r="LR17" s="12">
        <f t="shared" si="282"/>
        <v>0</v>
      </c>
      <c r="LS17" s="12">
        <f t="shared" si="283"/>
        <v>0</v>
      </c>
      <c r="LT17" s="13">
        <f t="shared" si="284"/>
        <v>0</v>
      </c>
      <c r="LU17" s="13">
        <f t="shared" si="285"/>
        <v>0</v>
      </c>
      <c r="LV17" s="13">
        <f t="shared" si="286"/>
        <v>0</v>
      </c>
      <c r="LW17" s="13">
        <f t="shared" si="287"/>
        <v>0</v>
      </c>
      <c r="LX17" s="13">
        <f t="shared" si="288"/>
        <v>0</v>
      </c>
      <c r="LY17" s="13">
        <f t="shared" si="289"/>
        <v>0</v>
      </c>
      <c r="LZ17" s="13">
        <f t="shared" si="290"/>
        <v>0</v>
      </c>
      <c r="MA17" s="13">
        <f t="shared" si="291"/>
        <v>0</v>
      </c>
      <c r="MB17" s="13">
        <f t="shared" si="292"/>
        <v>0</v>
      </c>
      <c r="MC17" s="13">
        <f t="shared" si="293"/>
        <v>0</v>
      </c>
      <c r="MD17" s="13">
        <f t="shared" si="294"/>
        <v>0</v>
      </c>
      <c r="ME17" s="13">
        <f t="shared" si="295"/>
        <v>0</v>
      </c>
      <c r="MF17" s="13">
        <f t="shared" si="296"/>
        <v>0</v>
      </c>
      <c r="MG17" s="13">
        <f t="shared" si="297"/>
        <v>0</v>
      </c>
      <c r="MH17" s="13">
        <f t="shared" si="298"/>
        <v>0</v>
      </c>
      <c r="MI17" s="13">
        <f t="shared" si="299"/>
        <v>0</v>
      </c>
      <c r="MJ17" s="13">
        <f t="shared" si="300"/>
        <v>0</v>
      </c>
      <c r="MK17" s="13">
        <f t="shared" si="301"/>
        <v>0</v>
      </c>
      <c r="ML17" s="14">
        <f t="shared" si="302"/>
        <v>0</v>
      </c>
      <c r="MM17" s="14">
        <f t="shared" si="303"/>
        <v>0</v>
      </c>
      <c r="MN17" s="14">
        <f t="shared" si="304"/>
        <v>0</v>
      </c>
      <c r="MO17" s="14">
        <f t="shared" si="305"/>
        <v>0</v>
      </c>
      <c r="MP17" s="14">
        <f t="shared" si="306"/>
        <v>0</v>
      </c>
      <c r="MQ17" s="14">
        <f t="shared" si="307"/>
        <v>0</v>
      </c>
      <c r="MR17" s="14">
        <f t="shared" si="308"/>
        <v>0</v>
      </c>
      <c r="MS17" s="14">
        <f t="shared" si="309"/>
        <v>0</v>
      </c>
      <c r="MT17" s="14">
        <f t="shared" si="310"/>
        <v>0</v>
      </c>
      <c r="MU17" s="14">
        <f t="shared" si="311"/>
        <v>0</v>
      </c>
      <c r="MV17" s="14">
        <f t="shared" si="312"/>
        <v>0</v>
      </c>
      <c r="MW17" s="14">
        <f t="shared" si="313"/>
        <v>0</v>
      </c>
      <c r="MX17" s="14">
        <f t="shared" si="314"/>
        <v>0</v>
      </c>
      <c r="MY17" s="14">
        <f t="shared" si="315"/>
        <v>0</v>
      </c>
      <c r="MZ17" s="14">
        <f t="shared" si="316"/>
        <v>0</v>
      </c>
      <c r="NA17" s="14">
        <f t="shared" si="317"/>
        <v>0</v>
      </c>
      <c r="NB17" s="14">
        <f t="shared" si="318"/>
        <v>0</v>
      </c>
    </row>
    <row r="18">
      <c r="A18" s="15">
        <v>256.0</v>
      </c>
      <c r="B18" s="2" t="s">
        <v>673</v>
      </c>
      <c r="C18" s="2" t="s">
        <v>674</v>
      </c>
      <c r="D18" s="2" t="s">
        <v>675</v>
      </c>
      <c r="E18" s="2">
        <v>2019.0</v>
      </c>
      <c r="F18" s="2" t="s">
        <v>676</v>
      </c>
      <c r="G18" s="2" t="s">
        <v>677</v>
      </c>
      <c r="H18" s="2" t="s">
        <v>677</v>
      </c>
      <c r="I18" s="2" t="s">
        <v>678</v>
      </c>
      <c r="M18" s="2">
        <v>87.0</v>
      </c>
      <c r="N18" s="2" t="s">
        <v>679</v>
      </c>
      <c r="O18" s="2" t="s">
        <v>680</v>
      </c>
      <c r="P18" s="2" t="s">
        <v>681</v>
      </c>
      <c r="Q18" s="2" t="s">
        <v>682</v>
      </c>
      <c r="R18" s="2" t="s">
        <v>683</v>
      </c>
      <c r="S18" s="2" t="s">
        <v>684</v>
      </c>
      <c r="T18" s="2" t="s">
        <v>685</v>
      </c>
      <c r="Y18" s="2" t="s">
        <v>686</v>
      </c>
      <c r="AB18" s="2" t="s">
        <v>687</v>
      </c>
      <c r="AG18" s="2" t="s">
        <v>688</v>
      </c>
      <c r="AJ18" s="2">
        <v>3.154722E7</v>
      </c>
      <c r="AK18" s="2" t="s">
        <v>689</v>
      </c>
      <c r="AL18" s="2" t="s">
        <v>384</v>
      </c>
      <c r="AM18" s="2" t="s">
        <v>484</v>
      </c>
      <c r="AN18" s="2" t="s">
        <v>386</v>
      </c>
      <c r="AO18" s="2" t="s">
        <v>690</v>
      </c>
      <c r="AP18" s="2" t="s">
        <v>386</v>
      </c>
      <c r="AQ18" s="2">
        <v>1065.0</v>
      </c>
      <c r="AR18" s="2" t="s">
        <v>675</v>
      </c>
      <c r="AS18" s="2" t="b">
        <v>0</v>
      </c>
      <c r="AT18" s="3">
        <v>0.0</v>
      </c>
      <c r="AU18" s="4"/>
      <c r="AV18" s="4"/>
      <c r="AW18" s="5">
        <f t="shared" si="3"/>
        <v>0</v>
      </c>
      <c r="AX18" s="5">
        <f t="shared" si="4"/>
        <v>0</v>
      </c>
      <c r="AY18" s="5">
        <f t="shared" si="5"/>
        <v>0</v>
      </c>
      <c r="AZ18" s="5">
        <f t="shared" si="6"/>
        <v>0</v>
      </c>
      <c r="BA18" s="5">
        <f t="shared" si="7"/>
        <v>0</v>
      </c>
      <c r="BB18" s="5">
        <f t="shared" si="8"/>
        <v>0</v>
      </c>
      <c r="BC18" s="5">
        <f t="shared" si="9"/>
        <v>0</v>
      </c>
      <c r="BD18" s="5">
        <f t="shared" si="10"/>
        <v>0</v>
      </c>
      <c r="BE18" s="5">
        <f t="shared" si="11"/>
        <v>0</v>
      </c>
      <c r="BF18" s="5">
        <f t="shared" si="12"/>
        <v>0</v>
      </c>
      <c r="BG18" s="5">
        <f t="shared" si="13"/>
        <v>0</v>
      </c>
      <c r="BH18" s="5">
        <f t="shared" si="14"/>
        <v>0</v>
      </c>
      <c r="BI18" s="5">
        <f t="shared" si="15"/>
        <v>0</v>
      </c>
      <c r="BJ18" s="5">
        <f t="shared" si="16"/>
        <v>0</v>
      </c>
      <c r="BK18" s="5">
        <f t="shared" si="17"/>
        <v>0</v>
      </c>
      <c r="BL18" s="5">
        <f t="shared" si="18"/>
        <v>0</v>
      </c>
      <c r="BM18" s="5">
        <f t="shared" si="19"/>
        <v>0</v>
      </c>
      <c r="BN18" s="5">
        <f t="shared" si="20"/>
        <v>0</v>
      </c>
      <c r="BO18" s="5">
        <f t="shared" si="21"/>
        <v>0</v>
      </c>
      <c r="BP18" s="5">
        <f t="shared" si="22"/>
        <v>0</v>
      </c>
      <c r="BQ18" s="5">
        <f t="shared" si="23"/>
        <v>0</v>
      </c>
      <c r="BR18" s="5">
        <f t="shared" si="24"/>
        <v>0</v>
      </c>
      <c r="BS18" s="5">
        <f t="shared" si="25"/>
        <v>0</v>
      </c>
      <c r="BT18" s="5">
        <f t="shared" si="26"/>
        <v>0</v>
      </c>
      <c r="BU18" s="5">
        <f t="shared" si="27"/>
        <v>0</v>
      </c>
      <c r="BV18" s="5">
        <f t="shared" ref="BV18:BW18" si="349">IF(OR(ISNUMBER(SEARCH("grit",$D18)),ISNUMBER(SEARCH("grit",$T18)),ISNUMBER(SEARCH("grit",$R18)),ISNUMBER(SEARCH("grit",$S18)),
ISNUMBER(SEARCH("determination",$D18)),ISNUMBER(SEARCH("determination",$T18)),ISNUMBER(SEARCH("determination",$R18)),ISNUMBER(SEARCH("determination",$S18)),
ISNUMBER(SEARCH("tenacity",$D18)),ISNUMBER(SEARCH("tenacity",$T18)),ISNUMBER(SEARCH("tenacity",$R18)),ISNUMBER(SEARCH("tenacity",$S18)),
ISNUMBER(SEARCH("endurance",$D18)),ISNUMBER(SEARCH("endurance",$T18)),ISNUMBER(SEARCH("endurance",$R18)),ISNUMBER(SEARCH("endurance",$S18)),
ISNUMBER(SEARCH("fortitude",$D18)),ISNUMBER(SEARCH("fortitude",$T18)),ISNUMBER(SEARCH("fortitude",$R18)),ISNUMBER(SEARCH("fortitude",$S18)),
ISNUMBER(SEARCH("resolve",$D18)),ISNUMBER(SEARCH("resolve",$T18)),ISNUMBER(SEARCH("resolve",$R18)),ISNUMBER(SEARCH("resolve",$S18)),
ISNUMBER(SEARCH("stamina",$D18)),ISNUMBER(SEARCH("stamina",$T18)),ISNUMBER(SEARCH("stamina",$R18)),ISNUMBER(SEARCH("stamina",$S18)),
ISNUMBER(SEARCH("guts",$D18)),ISNUMBER(SEARCH("guts",$T18)),ISNUMBER(SEARCH("guts",$R18)),ISNUMBER(SEARCH("guts",$S18)),
ISNUMBER(SEARCH("spunk",$D18)),ISNUMBER(SEARCH("spunk",$T18)),ISNUMBER(SEARCH("spunk",$R18)),ISNUMBER(SEARCH("spunk",$S18))), 1, 0)</f>
        <v>0</v>
      </c>
      <c r="BW18" s="5">
        <f t="shared" si="349"/>
        <v>0</v>
      </c>
      <c r="BX18" s="5">
        <f t="shared" si="29"/>
        <v>0</v>
      </c>
      <c r="BY18" s="5">
        <f t="shared" si="30"/>
        <v>0</v>
      </c>
      <c r="BZ18" s="5">
        <f t="shared" si="31"/>
        <v>0</v>
      </c>
      <c r="CA18" s="5">
        <f t="shared" si="32"/>
        <v>0</v>
      </c>
      <c r="CB18" s="5">
        <f t="shared" si="33"/>
        <v>0</v>
      </c>
      <c r="CC18" s="5">
        <f t="shared" si="34"/>
        <v>0</v>
      </c>
      <c r="CD18" s="5">
        <f t="shared" si="35"/>
        <v>0</v>
      </c>
      <c r="CE18" s="5">
        <f t="shared" si="36"/>
        <v>0</v>
      </c>
      <c r="CF18" s="5">
        <f t="shared" si="37"/>
        <v>0</v>
      </c>
      <c r="CG18" s="5">
        <f t="shared" si="38"/>
        <v>0</v>
      </c>
      <c r="CH18" s="5">
        <f t="shared" si="39"/>
        <v>0</v>
      </c>
      <c r="CI18" s="5">
        <f t="shared" si="40"/>
        <v>0</v>
      </c>
      <c r="CJ18" s="5">
        <f t="shared" si="41"/>
        <v>0</v>
      </c>
      <c r="CK18" s="5">
        <f t="shared" si="42"/>
        <v>1</v>
      </c>
      <c r="CL18" s="5">
        <f t="shared" si="43"/>
        <v>0</v>
      </c>
      <c r="CM18" s="5">
        <f t="shared" si="44"/>
        <v>0</v>
      </c>
      <c r="CN18" s="5">
        <f t="shared" si="45"/>
        <v>0</v>
      </c>
      <c r="CO18" s="5">
        <f t="shared" si="46"/>
        <v>0</v>
      </c>
      <c r="CP18" s="6">
        <f t="shared" si="47"/>
        <v>0</v>
      </c>
      <c r="CQ18" s="6">
        <f t="shared" si="48"/>
        <v>0</v>
      </c>
      <c r="CR18" s="6">
        <f t="shared" si="49"/>
        <v>0</v>
      </c>
      <c r="CS18" s="6">
        <f t="shared" si="50"/>
        <v>0</v>
      </c>
      <c r="CT18" s="6">
        <f t="shared" si="51"/>
        <v>0</v>
      </c>
      <c r="CU18" s="6">
        <f t="shared" si="52"/>
        <v>0</v>
      </c>
      <c r="CV18" s="6">
        <f t="shared" si="53"/>
        <v>0</v>
      </c>
      <c r="CW18" s="6">
        <f t="shared" si="54"/>
        <v>0</v>
      </c>
      <c r="CX18" s="6">
        <f t="shared" si="55"/>
        <v>0</v>
      </c>
      <c r="CY18" s="6">
        <f t="shared" si="56"/>
        <v>0</v>
      </c>
      <c r="CZ18" s="6">
        <f t="shared" si="57"/>
        <v>0</v>
      </c>
      <c r="DA18" s="6">
        <f t="shared" si="58"/>
        <v>0</v>
      </c>
      <c r="DB18" s="6">
        <f t="shared" si="59"/>
        <v>0</v>
      </c>
      <c r="DC18" s="6">
        <f t="shared" si="60"/>
        <v>0</v>
      </c>
      <c r="DD18" s="6">
        <f t="shared" si="61"/>
        <v>0</v>
      </c>
      <c r="DE18" s="6">
        <f t="shared" si="62"/>
        <v>0</v>
      </c>
      <c r="DF18" s="6">
        <f t="shared" si="63"/>
        <v>0</v>
      </c>
      <c r="DG18" s="6">
        <f t="shared" si="64"/>
        <v>0</v>
      </c>
      <c r="DH18" s="6">
        <f t="shared" ref="DH18:DH29" si="353">IF(
OR(
ISNUMBER(SEARCH("Spirituality",$D18)),ISNUMBER(SEARCH("Spirituality",$T18)),ISNUMBER(SEARCH("Spirituality",$R16)),ISNUMBER(SEARCH("Spirituality",$S18)),
ISNUMBER(SEARCH("religio",$D18)),ISNUMBER(SEARCH("religio",$T18)),ISNUMBER(SEARCH("religio",$R18)),ISNUMBER(SEARCH("religio",$S18))), 1, 0)</f>
        <v>0</v>
      </c>
      <c r="DI18" s="6">
        <f t="shared" si="66"/>
        <v>0</v>
      </c>
      <c r="DJ18" s="6">
        <f t="shared" si="67"/>
        <v>0</v>
      </c>
      <c r="DK18" s="7">
        <f t="shared" si="68"/>
        <v>0</v>
      </c>
      <c r="DL18" s="7">
        <f t="shared" si="350"/>
        <v>0</v>
      </c>
      <c r="DM18" s="7">
        <f t="shared" si="70"/>
        <v>0</v>
      </c>
      <c r="DN18" s="7">
        <f t="shared" si="71"/>
        <v>0</v>
      </c>
      <c r="DO18" s="7">
        <f t="shared" si="72"/>
        <v>1</v>
      </c>
      <c r="DP18" s="8">
        <f t="shared" si="73"/>
        <v>0</v>
      </c>
      <c r="DQ18" s="8">
        <f t="shared" si="74"/>
        <v>1</v>
      </c>
      <c r="DR18" s="7">
        <f t="shared" si="75"/>
        <v>0</v>
      </c>
      <c r="DS18" s="7">
        <f t="shared" si="76"/>
        <v>0</v>
      </c>
      <c r="DT18" s="7">
        <f t="shared" si="77"/>
        <v>0</v>
      </c>
      <c r="DU18" s="9">
        <f t="shared" si="78"/>
        <v>0</v>
      </c>
      <c r="DV18" s="9">
        <f t="shared" si="79"/>
        <v>0</v>
      </c>
      <c r="DW18" s="9">
        <f t="shared" si="80"/>
        <v>0</v>
      </c>
      <c r="DX18" s="9">
        <f t="shared" si="81"/>
        <v>0</v>
      </c>
      <c r="DY18" s="9">
        <f t="shared" si="82"/>
        <v>0</v>
      </c>
      <c r="DZ18" s="9">
        <f t="shared" si="83"/>
        <v>0</v>
      </c>
      <c r="EA18" s="9">
        <f t="shared" si="84"/>
        <v>0</v>
      </c>
      <c r="EB18" s="9">
        <f t="shared" si="85"/>
        <v>0</v>
      </c>
      <c r="EC18" s="9">
        <f t="shared" si="86"/>
        <v>0</v>
      </c>
      <c r="ED18" s="9">
        <f t="shared" si="87"/>
        <v>0</v>
      </c>
      <c r="EE18" s="9">
        <f t="shared" si="88"/>
        <v>0</v>
      </c>
      <c r="EF18" s="9">
        <f t="shared" si="89"/>
        <v>0</v>
      </c>
      <c r="EG18" s="9">
        <f t="shared" si="90"/>
        <v>0</v>
      </c>
      <c r="EH18" s="9">
        <f t="shared" si="91"/>
        <v>0</v>
      </c>
      <c r="EI18" s="9">
        <f t="shared" si="92"/>
        <v>0</v>
      </c>
      <c r="EJ18" s="10">
        <f t="shared" si="93"/>
        <v>0</v>
      </c>
      <c r="EK18" s="10">
        <f t="shared" si="94"/>
        <v>0</v>
      </c>
      <c r="EL18" s="10">
        <f t="shared" ref="EL18:EM18" si="351">IF(OR(ISNUMBER(SEARCH("ai software toolkit", $D18)), ISNUMBER(SEARCH("ai software toolkit", $T18)), ISNUMBER(SEARCH("ai software toolkit", $R18)), ISNUMBER(SEARCH("ai software toolkit", $S18))), 1, 0)</f>
        <v>0</v>
      </c>
      <c r="EM18" s="10">
        <f t="shared" si="351"/>
        <v>0</v>
      </c>
      <c r="EN18" s="10">
        <f t="shared" si="96"/>
        <v>0</v>
      </c>
      <c r="EO18" s="10">
        <f t="shared" si="97"/>
        <v>0</v>
      </c>
      <c r="EP18" s="10">
        <f t="shared" si="98"/>
        <v>0</v>
      </c>
      <c r="EQ18" s="10">
        <f t="shared" si="99"/>
        <v>0</v>
      </c>
      <c r="ER18" s="10">
        <f t="shared" si="100"/>
        <v>0</v>
      </c>
      <c r="ES18" s="10">
        <f t="shared" si="101"/>
        <v>0</v>
      </c>
      <c r="ET18" s="10">
        <f t="shared" si="102"/>
        <v>0</v>
      </c>
      <c r="EU18" s="10">
        <f t="shared" si="103"/>
        <v>0</v>
      </c>
      <c r="EV18" s="10">
        <f t="shared" si="104"/>
        <v>0</v>
      </c>
      <c r="EW18" s="10">
        <f t="shared" si="105"/>
        <v>0</v>
      </c>
      <c r="EX18" s="10">
        <f t="shared" si="106"/>
        <v>0</v>
      </c>
      <c r="EY18" s="10">
        <f t="shared" si="107"/>
        <v>0</v>
      </c>
      <c r="EZ18" s="10">
        <f t="shared" si="108"/>
        <v>0</v>
      </c>
      <c r="FA18" s="10">
        <f t="shared" si="109"/>
        <v>0</v>
      </c>
      <c r="FB18" s="10">
        <f t="shared" si="110"/>
        <v>0</v>
      </c>
      <c r="FC18" s="10">
        <f t="shared" si="111"/>
        <v>0</v>
      </c>
      <c r="FD18" s="10">
        <f t="shared" si="112"/>
        <v>0</v>
      </c>
      <c r="FE18" s="10">
        <f t="shared" si="113"/>
        <v>0</v>
      </c>
      <c r="FF18" s="10">
        <f t="shared" si="114"/>
        <v>0</v>
      </c>
      <c r="FG18" s="10">
        <f t="shared" si="115"/>
        <v>0</v>
      </c>
      <c r="FH18" s="10">
        <f t="shared" si="116"/>
        <v>0</v>
      </c>
      <c r="FI18" s="10">
        <f t="shared" si="117"/>
        <v>0</v>
      </c>
      <c r="FJ18" s="10">
        <f t="shared" si="118"/>
        <v>0</v>
      </c>
      <c r="FK18" s="10">
        <f t="shared" si="119"/>
        <v>0</v>
      </c>
      <c r="FL18" s="10">
        <f t="shared" si="120"/>
        <v>0</v>
      </c>
      <c r="FM18" s="10">
        <f t="shared" si="121"/>
        <v>0</v>
      </c>
      <c r="FN18" s="10">
        <f t="shared" si="122"/>
        <v>0</v>
      </c>
      <c r="FO18" s="10">
        <f t="shared" si="123"/>
        <v>0</v>
      </c>
      <c r="FP18" s="10">
        <f t="shared" si="124"/>
        <v>0</v>
      </c>
      <c r="FQ18" s="10">
        <f t="shared" si="125"/>
        <v>1</v>
      </c>
      <c r="FR18" s="11">
        <f t="shared" si="126"/>
        <v>0</v>
      </c>
      <c r="FS18" s="11">
        <f t="shared" si="127"/>
        <v>0</v>
      </c>
      <c r="FT18" s="11">
        <f t="shared" si="128"/>
        <v>0</v>
      </c>
      <c r="FU18" s="11">
        <f t="shared" si="129"/>
        <v>0</v>
      </c>
      <c r="FV18" s="11">
        <f t="shared" si="130"/>
        <v>0</v>
      </c>
      <c r="FW18" s="11">
        <f t="shared" si="131"/>
        <v>0</v>
      </c>
      <c r="FX18" s="11">
        <f t="shared" si="132"/>
        <v>0</v>
      </c>
      <c r="FY18" s="11">
        <f t="shared" si="133"/>
        <v>0</v>
      </c>
      <c r="FZ18" s="11">
        <f t="shared" si="134"/>
        <v>0</v>
      </c>
      <c r="GA18" s="11">
        <f t="shared" si="135"/>
        <v>0</v>
      </c>
      <c r="GB18" s="11">
        <f t="shared" si="136"/>
        <v>0</v>
      </c>
      <c r="GC18" s="11">
        <f t="shared" si="137"/>
        <v>0</v>
      </c>
      <c r="GD18" s="11">
        <f t="shared" si="138"/>
        <v>0</v>
      </c>
      <c r="GE18" s="11">
        <f t="shared" si="139"/>
        <v>0</v>
      </c>
      <c r="GF18" s="11">
        <f t="shared" si="140"/>
        <v>0</v>
      </c>
      <c r="GG18" s="11">
        <f t="shared" si="141"/>
        <v>0</v>
      </c>
      <c r="GH18" s="11">
        <f t="shared" si="142"/>
        <v>0</v>
      </c>
      <c r="GI18" s="11">
        <f t="shared" si="143"/>
        <v>0</v>
      </c>
      <c r="GJ18" s="11">
        <f t="shared" si="144"/>
        <v>0</v>
      </c>
      <c r="GK18" s="11">
        <f t="shared" si="145"/>
        <v>0</v>
      </c>
      <c r="GL18" s="11">
        <f t="shared" si="146"/>
        <v>0</v>
      </c>
      <c r="GM18" s="11">
        <f t="shared" si="147"/>
        <v>0</v>
      </c>
      <c r="GN18" s="11">
        <f t="shared" si="148"/>
        <v>0</v>
      </c>
      <c r="GO18" s="11">
        <f t="shared" si="149"/>
        <v>0</v>
      </c>
      <c r="GP18" s="11">
        <f t="shared" si="150"/>
        <v>0</v>
      </c>
      <c r="GQ18" s="11">
        <f t="shared" si="151"/>
        <v>0</v>
      </c>
      <c r="GR18" s="11">
        <f t="shared" si="152"/>
        <v>1</v>
      </c>
      <c r="GS18" s="11">
        <f t="shared" si="153"/>
        <v>0</v>
      </c>
      <c r="GT18" s="11">
        <f t="shared" si="154"/>
        <v>1</v>
      </c>
      <c r="GU18" s="12">
        <f t="shared" si="155"/>
        <v>0</v>
      </c>
      <c r="GV18" s="12">
        <f t="shared" si="156"/>
        <v>0</v>
      </c>
      <c r="GW18" s="12">
        <f t="shared" si="157"/>
        <v>0</v>
      </c>
      <c r="GX18" s="12">
        <f t="shared" si="158"/>
        <v>0</v>
      </c>
      <c r="GY18" s="12">
        <f t="shared" si="159"/>
        <v>0</v>
      </c>
      <c r="GZ18" s="12">
        <f t="shared" si="160"/>
        <v>0</v>
      </c>
      <c r="HA18" s="12">
        <f t="shared" si="161"/>
        <v>0</v>
      </c>
      <c r="HB18" s="12">
        <f t="shared" si="162"/>
        <v>0</v>
      </c>
      <c r="HC18" s="12">
        <f t="shared" si="163"/>
        <v>0</v>
      </c>
      <c r="HD18" s="12">
        <f t="shared" si="164"/>
        <v>0</v>
      </c>
      <c r="HE18" s="12">
        <f t="shared" si="165"/>
        <v>0</v>
      </c>
      <c r="HF18" s="12">
        <f t="shared" si="166"/>
        <v>0</v>
      </c>
      <c r="HG18" s="12">
        <f t="shared" si="167"/>
        <v>0</v>
      </c>
      <c r="HH18" s="12">
        <f t="shared" si="168"/>
        <v>0</v>
      </c>
      <c r="HI18" s="12">
        <f t="shared" si="169"/>
        <v>0</v>
      </c>
      <c r="HJ18" s="12">
        <f t="shared" si="170"/>
        <v>0</v>
      </c>
      <c r="HK18" s="12">
        <f t="shared" si="171"/>
        <v>0</v>
      </c>
      <c r="HL18" s="12">
        <f t="shared" si="172"/>
        <v>0</v>
      </c>
      <c r="HM18" s="12">
        <f t="shared" si="173"/>
        <v>0</v>
      </c>
      <c r="HN18" s="12">
        <f t="shared" si="174"/>
        <v>0</v>
      </c>
      <c r="HO18" s="12">
        <f t="shared" si="175"/>
        <v>0</v>
      </c>
      <c r="HP18" s="12">
        <f t="shared" si="176"/>
        <v>0</v>
      </c>
      <c r="HQ18" s="12">
        <f t="shared" si="177"/>
        <v>0</v>
      </c>
      <c r="HR18" s="12">
        <f t="shared" si="178"/>
        <v>0</v>
      </c>
      <c r="HS18" s="12">
        <f t="shared" si="179"/>
        <v>0</v>
      </c>
      <c r="HT18" s="12">
        <f t="shared" si="180"/>
        <v>0</v>
      </c>
      <c r="HU18" s="12">
        <f t="shared" si="181"/>
        <v>0</v>
      </c>
      <c r="HV18" s="12">
        <f t="shared" si="182"/>
        <v>0</v>
      </c>
      <c r="HW18" s="12">
        <f t="shared" si="183"/>
        <v>0</v>
      </c>
      <c r="HX18" s="12">
        <f t="shared" si="184"/>
        <v>0</v>
      </c>
      <c r="HY18" s="12">
        <f t="shared" si="185"/>
        <v>0</v>
      </c>
      <c r="HZ18" s="12">
        <f t="shared" si="186"/>
        <v>0</v>
      </c>
      <c r="IA18" s="12">
        <f t="shared" si="187"/>
        <v>0</v>
      </c>
      <c r="IB18" s="12">
        <f t="shared" si="188"/>
        <v>0</v>
      </c>
      <c r="IC18" s="12">
        <f t="shared" si="189"/>
        <v>0</v>
      </c>
      <c r="ID18" s="12">
        <f t="shared" si="190"/>
        <v>0</v>
      </c>
      <c r="IE18" s="12">
        <f t="shared" si="191"/>
        <v>0</v>
      </c>
      <c r="IF18" s="12">
        <f t="shared" si="192"/>
        <v>0</v>
      </c>
      <c r="IG18" s="12">
        <f t="shared" si="193"/>
        <v>0</v>
      </c>
      <c r="IH18" s="12">
        <f t="shared" si="194"/>
        <v>0</v>
      </c>
      <c r="II18" s="12">
        <f t="shared" si="195"/>
        <v>0</v>
      </c>
      <c r="IJ18" s="12">
        <f t="shared" si="196"/>
        <v>0</v>
      </c>
      <c r="IK18" s="12">
        <f t="shared" si="197"/>
        <v>0</v>
      </c>
      <c r="IL18" s="12">
        <f t="shared" si="198"/>
        <v>0</v>
      </c>
      <c r="IM18" s="12">
        <f t="shared" si="199"/>
        <v>0</v>
      </c>
      <c r="IN18" s="12">
        <f t="shared" si="200"/>
        <v>0</v>
      </c>
      <c r="IO18" s="12">
        <f t="shared" si="201"/>
        <v>0</v>
      </c>
      <c r="IP18" s="12">
        <f t="shared" si="202"/>
        <v>0</v>
      </c>
      <c r="IQ18" s="12">
        <f t="shared" si="203"/>
        <v>0</v>
      </c>
      <c r="IR18" s="12">
        <f t="shared" si="204"/>
        <v>0</v>
      </c>
      <c r="IS18" s="12">
        <f t="shared" si="205"/>
        <v>0</v>
      </c>
      <c r="IT18" s="12">
        <f t="shared" si="206"/>
        <v>0</v>
      </c>
      <c r="IU18" s="12">
        <f t="shared" si="207"/>
        <v>0</v>
      </c>
      <c r="IV18" s="12">
        <f t="shared" si="208"/>
        <v>0</v>
      </c>
      <c r="IW18" s="12">
        <f t="shared" si="209"/>
        <v>0</v>
      </c>
      <c r="IX18" s="12">
        <f t="shared" si="210"/>
        <v>0</v>
      </c>
      <c r="IY18" s="12">
        <f t="shared" si="211"/>
        <v>0</v>
      </c>
      <c r="IZ18" s="12">
        <f t="shared" si="212"/>
        <v>0</v>
      </c>
      <c r="JA18" s="13">
        <f t="shared" si="213"/>
        <v>0</v>
      </c>
      <c r="JB18" s="13">
        <f t="shared" si="214"/>
        <v>0</v>
      </c>
      <c r="JC18" s="13">
        <f t="shared" si="215"/>
        <v>0</v>
      </c>
      <c r="JD18" s="13">
        <f t="shared" si="216"/>
        <v>0</v>
      </c>
      <c r="JE18" s="13">
        <f t="shared" si="217"/>
        <v>0</v>
      </c>
      <c r="JF18" s="13">
        <f t="shared" si="218"/>
        <v>0</v>
      </c>
      <c r="JG18" s="13">
        <f t="shared" si="219"/>
        <v>0</v>
      </c>
      <c r="JH18" s="13">
        <f t="shared" si="220"/>
        <v>0</v>
      </c>
      <c r="JI18" s="13">
        <f t="shared" si="221"/>
        <v>0</v>
      </c>
      <c r="JJ18" s="13">
        <f t="shared" si="222"/>
        <v>0</v>
      </c>
      <c r="JK18" s="13">
        <f t="shared" si="223"/>
        <v>0</v>
      </c>
      <c r="JL18" s="13">
        <f t="shared" si="224"/>
        <v>0</v>
      </c>
      <c r="JM18" s="13">
        <f t="shared" si="225"/>
        <v>0</v>
      </c>
      <c r="JN18" s="13">
        <f t="shared" si="226"/>
        <v>0</v>
      </c>
      <c r="JO18" s="13">
        <f t="shared" si="227"/>
        <v>0</v>
      </c>
      <c r="JP18" s="13">
        <f t="shared" si="228"/>
        <v>0</v>
      </c>
      <c r="JQ18" s="13">
        <f t="shared" si="229"/>
        <v>0</v>
      </c>
      <c r="JR18" s="13">
        <f t="shared" si="230"/>
        <v>0</v>
      </c>
      <c r="JS18" s="13">
        <f t="shared" si="231"/>
        <v>0</v>
      </c>
      <c r="JT18" s="13">
        <f t="shared" si="232"/>
        <v>0</v>
      </c>
      <c r="JU18" s="13">
        <f t="shared" si="233"/>
        <v>0</v>
      </c>
      <c r="JV18" s="12">
        <f t="shared" si="234"/>
        <v>0</v>
      </c>
      <c r="JW18" s="12">
        <f t="shared" si="235"/>
        <v>0</v>
      </c>
      <c r="JX18" s="12">
        <f t="shared" si="236"/>
        <v>0</v>
      </c>
      <c r="JY18" s="12">
        <f t="shared" si="237"/>
        <v>0</v>
      </c>
      <c r="JZ18" s="12">
        <f t="shared" si="238"/>
        <v>0</v>
      </c>
      <c r="KA18" s="12">
        <f t="shared" si="239"/>
        <v>0</v>
      </c>
      <c r="KB18" s="12">
        <f t="shared" si="240"/>
        <v>0</v>
      </c>
      <c r="KC18" s="12">
        <f t="shared" si="241"/>
        <v>0</v>
      </c>
      <c r="KD18" s="12">
        <f t="shared" si="242"/>
        <v>0</v>
      </c>
      <c r="KE18" s="12">
        <f t="shared" si="243"/>
        <v>0</v>
      </c>
      <c r="KF18" s="12">
        <f t="shared" si="244"/>
        <v>0</v>
      </c>
      <c r="KG18" s="12">
        <f t="shared" si="245"/>
        <v>0</v>
      </c>
      <c r="KH18" s="12">
        <f t="shared" si="246"/>
        <v>0</v>
      </c>
      <c r="KI18" s="12">
        <f t="shared" si="247"/>
        <v>0</v>
      </c>
      <c r="KJ18" s="12">
        <f t="shared" si="248"/>
        <v>0</v>
      </c>
      <c r="KK18" s="12">
        <f t="shared" si="249"/>
        <v>0</v>
      </c>
      <c r="KL18" s="12">
        <f t="shared" si="250"/>
        <v>0</v>
      </c>
      <c r="KM18" s="12">
        <f t="shared" si="251"/>
        <v>0</v>
      </c>
      <c r="KN18" s="12">
        <f t="shared" si="252"/>
        <v>0</v>
      </c>
      <c r="KO18" s="12">
        <f t="shared" si="253"/>
        <v>0</v>
      </c>
      <c r="KP18" s="12">
        <f t="shared" si="254"/>
        <v>0</v>
      </c>
      <c r="KQ18" s="12">
        <f t="shared" si="255"/>
        <v>0</v>
      </c>
      <c r="KR18" s="12">
        <f t="shared" si="256"/>
        <v>0</v>
      </c>
      <c r="KS18" s="12">
        <f t="shared" si="257"/>
        <v>0</v>
      </c>
      <c r="KT18" s="12">
        <f t="shared" si="258"/>
        <v>0</v>
      </c>
      <c r="KU18" s="12">
        <f t="shared" si="259"/>
        <v>0</v>
      </c>
      <c r="KV18" s="12">
        <f t="shared" si="260"/>
        <v>0</v>
      </c>
      <c r="KW18" s="12">
        <f t="shared" si="261"/>
        <v>0</v>
      </c>
      <c r="KX18" s="12">
        <f t="shared" si="262"/>
        <v>0</v>
      </c>
      <c r="KY18" s="12">
        <f t="shared" si="263"/>
        <v>0</v>
      </c>
      <c r="KZ18" s="12">
        <f t="shared" si="264"/>
        <v>0</v>
      </c>
      <c r="LA18" s="12">
        <f t="shared" si="265"/>
        <v>0</v>
      </c>
      <c r="LB18" s="12">
        <f t="shared" si="266"/>
        <v>0</v>
      </c>
      <c r="LC18" s="12">
        <f t="shared" si="267"/>
        <v>0</v>
      </c>
      <c r="LD18" s="12">
        <f t="shared" si="268"/>
        <v>0</v>
      </c>
      <c r="LE18" s="12">
        <f t="shared" si="269"/>
        <v>0</v>
      </c>
      <c r="LF18" s="12">
        <f t="shared" si="270"/>
        <v>0</v>
      </c>
      <c r="LG18" s="12">
        <f t="shared" si="271"/>
        <v>0</v>
      </c>
      <c r="LH18" s="12">
        <f t="shared" si="272"/>
        <v>0</v>
      </c>
      <c r="LI18" s="12">
        <f t="shared" si="273"/>
        <v>0</v>
      </c>
      <c r="LJ18" s="12">
        <f t="shared" si="274"/>
        <v>0</v>
      </c>
      <c r="LK18" s="12">
        <f t="shared" si="275"/>
        <v>0</v>
      </c>
      <c r="LL18" s="12">
        <f t="shared" si="276"/>
        <v>0</v>
      </c>
      <c r="LM18" s="12">
        <f t="shared" si="277"/>
        <v>0</v>
      </c>
      <c r="LN18" s="12">
        <f t="shared" si="278"/>
        <v>0</v>
      </c>
      <c r="LO18" s="12">
        <f t="shared" si="279"/>
        <v>0</v>
      </c>
      <c r="LP18" s="12">
        <f t="shared" si="280"/>
        <v>0</v>
      </c>
      <c r="LQ18" s="12">
        <f t="shared" si="281"/>
        <v>0</v>
      </c>
      <c r="LR18" s="12">
        <f t="shared" si="282"/>
        <v>0</v>
      </c>
      <c r="LS18" s="12">
        <f t="shared" si="283"/>
        <v>0</v>
      </c>
      <c r="LT18" s="13">
        <f t="shared" si="284"/>
        <v>0</v>
      </c>
      <c r="LU18" s="13">
        <f t="shared" si="285"/>
        <v>0</v>
      </c>
      <c r="LV18" s="13">
        <f t="shared" si="286"/>
        <v>0</v>
      </c>
      <c r="LW18" s="13">
        <f t="shared" si="287"/>
        <v>0</v>
      </c>
      <c r="LX18" s="13">
        <f t="shared" si="288"/>
        <v>0</v>
      </c>
      <c r="LY18" s="13">
        <f t="shared" si="289"/>
        <v>0</v>
      </c>
      <c r="LZ18" s="13">
        <f t="shared" si="290"/>
        <v>0</v>
      </c>
      <c r="MA18" s="13">
        <f t="shared" si="291"/>
        <v>0</v>
      </c>
      <c r="MB18" s="13">
        <f t="shared" si="292"/>
        <v>0</v>
      </c>
      <c r="MC18" s="13">
        <f t="shared" si="293"/>
        <v>0</v>
      </c>
      <c r="MD18" s="13">
        <f t="shared" si="294"/>
        <v>0</v>
      </c>
      <c r="ME18" s="13">
        <f t="shared" si="295"/>
        <v>0</v>
      </c>
      <c r="MF18" s="13">
        <f t="shared" si="296"/>
        <v>0</v>
      </c>
      <c r="MG18" s="13">
        <f t="shared" si="297"/>
        <v>0</v>
      </c>
      <c r="MH18" s="13">
        <f t="shared" si="298"/>
        <v>0</v>
      </c>
      <c r="MI18" s="13">
        <f t="shared" si="299"/>
        <v>0</v>
      </c>
      <c r="MJ18" s="13">
        <f t="shared" si="300"/>
        <v>0</v>
      </c>
      <c r="MK18" s="13">
        <f t="shared" si="301"/>
        <v>0</v>
      </c>
      <c r="ML18" s="14">
        <f t="shared" si="302"/>
        <v>0</v>
      </c>
      <c r="MM18" s="14">
        <f t="shared" si="303"/>
        <v>0</v>
      </c>
      <c r="MN18" s="14">
        <f t="shared" si="304"/>
        <v>0</v>
      </c>
      <c r="MO18" s="14">
        <f t="shared" si="305"/>
        <v>0</v>
      </c>
      <c r="MP18" s="14">
        <f t="shared" si="306"/>
        <v>0</v>
      </c>
      <c r="MQ18" s="14">
        <f t="shared" si="307"/>
        <v>0</v>
      </c>
      <c r="MR18" s="14">
        <f t="shared" si="308"/>
        <v>0</v>
      </c>
      <c r="MS18" s="14">
        <f t="shared" si="309"/>
        <v>0</v>
      </c>
      <c r="MT18" s="14">
        <f t="shared" si="310"/>
        <v>0</v>
      </c>
      <c r="MU18" s="14">
        <f t="shared" si="311"/>
        <v>0</v>
      </c>
      <c r="MV18" s="14">
        <f t="shared" si="312"/>
        <v>0</v>
      </c>
      <c r="MW18" s="14">
        <f t="shared" si="313"/>
        <v>0</v>
      </c>
      <c r="MX18" s="14">
        <f t="shared" si="314"/>
        <v>0</v>
      </c>
      <c r="MY18" s="14">
        <f t="shared" si="315"/>
        <v>0</v>
      </c>
      <c r="MZ18" s="14">
        <f t="shared" si="316"/>
        <v>0</v>
      </c>
      <c r="NA18" s="14">
        <f t="shared" si="317"/>
        <v>0</v>
      </c>
      <c r="NB18" s="14">
        <f t="shared" si="318"/>
        <v>0</v>
      </c>
    </row>
    <row r="19">
      <c r="A19" s="2">
        <v>348.0</v>
      </c>
      <c r="B19" s="2" t="s">
        <v>691</v>
      </c>
      <c r="C19" s="2" t="s">
        <v>692</v>
      </c>
      <c r="D19" s="2" t="s">
        <v>693</v>
      </c>
      <c r="E19" s="2">
        <v>2018.0</v>
      </c>
      <c r="F19" s="2" t="s">
        <v>676</v>
      </c>
      <c r="G19" s="2" t="s">
        <v>694</v>
      </c>
      <c r="H19" s="2" t="s">
        <v>432</v>
      </c>
      <c r="I19" s="2" t="s">
        <v>695</v>
      </c>
      <c r="M19" s="2">
        <v>85.0</v>
      </c>
      <c r="N19" s="2" t="s">
        <v>696</v>
      </c>
      <c r="O19" s="2" t="s">
        <v>697</v>
      </c>
      <c r="P19" s="2" t="s">
        <v>698</v>
      </c>
      <c r="Q19" s="2" t="s">
        <v>699</v>
      </c>
      <c r="R19" s="2" t="s">
        <v>700</v>
      </c>
      <c r="S19" s="2" t="s">
        <v>701</v>
      </c>
      <c r="T19" s="2" t="s">
        <v>702</v>
      </c>
      <c r="Y19" s="2" t="s">
        <v>703</v>
      </c>
      <c r="AB19" s="2" t="s">
        <v>687</v>
      </c>
      <c r="AG19" s="2" t="s">
        <v>688</v>
      </c>
      <c r="AJ19" s="2">
        <v>2.9389845E7</v>
      </c>
      <c r="AK19" s="2" t="s">
        <v>689</v>
      </c>
      <c r="AL19" s="2" t="s">
        <v>384</v>
      </c>
      <c r="AM19" s="2" t="s">
        <v>484</v>
      </c>
      <c r="AN19" s="2" t="s">
        <v>386</v>
      </c>
      <c r="AO19" s="2" t="s">
        <v>704</v>
      </c>
      <c r="AP19" s="2" t="s">
        <v>386</v>
      </c>
      <c r="AQ19" s="2">
        <v>1360.0</v>
      </c>
      <c r="AR19" s="2" t="s">
        <v>705</v>
      </c>
      <c r="AS19" s="2" t="b">
        <v>0</v>
      </c>
      <c r="AT19" s="3">
        <v>0.0</v>
      </c>
      <c r="AU19" s="4"/>
      <c r="AV19" s="4"/>
      <c r="AW19" s="5">
        <f t="shared" si="3"/>
        <v>0</v>
      </c>
      <c r="AX19" s="5">
        <f t="shared" si="4"/>
        <v>0</v>
      </c>
      <c r="AY19" s="5">
        <f t="shared" si="5"/>
        <v>0</v>
      </c>
      <c r="AZ19" s="5">
        <f t="shared" si="6"/>
        <v>0</v>
      </c>
      <c r="BA19" s="5">
        <f t="shared" si="7"/>
        <v>0</v>
      </c>
      <c r="BB19" s="5">
        <f t="shared" si="8"/>
        <v>0</v>
      </c>
      <c r="BC19" s="5">
        <f t="shared" si="9"/>
        <v>0</v>
      </c>
      <c r="BD19" s="5">
        <f t="shared" si="10"/>
        <v>0</v>
      </c>
      <c r="BE19" s="5">
        <f t="shared" si="11"/>
        <v>0</v>
      </c>
      <c r="BF19" s="5">
        <f t="shared" si="12"/>
        <v>0</v>
      </c>
      <c r="BG19" s="5">
        <f t="shared" si="13"/>
        <v>0</v>
      </c>
      <c r="BH19" s="5">
        <f t="shared" si="14"/>
        <v>0</v>
      </c>
      <c r="BI19" s="5">
        <f t="shared" si="15"/>
        <v>0</v>
      </c>
      <c r="BJ19" s="5">
        <f t="shared" si="16"/>
        <v>0</v>
      </c>
      <c r="BK19" s="5">
        <f t="shared" si="17"/>
        <v>0</v>
      </c>
      <c r="BL19" s="5">
        <f t="shared" si="18"/>
        <v>0</v>
      </c>
      <c r="BM19" s="5">
        <f t="shared" si="19"/>
        <v>0</v>
      </c>
      <c r="BN19" s="5">
        <f t="shared" si="20"/>
        <v>0</v>
      </c>
      <c r="BO19" s="5">
        <f t="shared" si="21"/>
        <v>0</v>
      </c>
      <c r="BP19" s="5">
        <f t="shared" si="22"/>
        <v>0</v>
      </c>
      <c r="BQ19" s="5">
        <f t="shared" si="23"/>
        <v>0</v>
      </c>
      <c r="BR19" s="5">
        <f t="shared" si="24"/>
        <v>0</v>
      </c>
      <c r="BS19" s="5">
        <f t="shared" si="25"/>
        <v>1</v>
      </c>
      <c r="BT19" s="5">
        <f t="shared" si="26"/>
        <v>0</v>
      </c>
      <c r="BU19" s="5">
        <f t="shared" si="27"/>
        <v>0</v>
      </c>
      <c r="BV19" s="5">
        <f t="shared" ref="BV19:BW19" si="352">IF(OR(ISNUMBER(SEARCH("grit",$D19)),ISNUMBER(SEARCH("grit",$T19)),ISNUMBER(SEARCH("grit",$R19)),ISNUMBER(SEARCH("grit",$S19)),
ISNUMBER(SEARCH("determination",$D19)),ISNUMBER(SEARCH("determination",$T19)),ISNUMBER(SEARCH("determination",$R19)),ISNUMBER(SEARCH("determination",$S19)),
ISNUMBER(SEARCH("tenacity",$D19)),ISNUMBER(SEARCH("tenacity",$T19)),ISNUMBER(SEARCH("tenacity",$R19)),ISNUMBER(SEARCH("tenacity",$S19)),
ISNUMBER(SEARCH("endurance",$D19)),ISNUMBER(SEARCH("endurance",$T19)),ISNUMBER(SEARCH("endurance",$R19)),ISNUMBER(SEARCH("endurance",$S19)),
ISNUMBER(SEARCH("fortitude",$D19)),ISNUMBER(SEARCH("fortitude",$T19)),ISNUMBER(SEARCH("fortitude",$R19)),ISNUMBER(SEARCH("fortitude",$S19)),
ISNUMBER(SEARCH("resolve",$D19)),ISNUMBER(SEARCH("resolve",$T19)),ISNUMBER(SEARCH("resolve",$R19)),ISNUMBER(SEARCH("resolve",$S19)),
ISNUMBER(SEARCH("stamina",$D19)),ISNUMBER(SEARCH("stamina",$T19)),ISNUMBER(SEARCH("stamina",$R19)),ISNUMBER(SEARCH("stamina",$S19)),
ISNUMBER(SEARCH("guts",$D19)),ISNUMBER(SEARCH("guts",$T19)),ISNUMBER(SEARCH("guts",$R19)),ISNUMBER(SEARCH("guts",$S19)),
ISNUMBER(SEARCH("spunk",$D19)),ISNUMBER(SEARCH("spunk",$T19)),ISNUMBER(SEARCH("spunk",$R19)),ISNUMBER(SEARCH("spunk",$S19))), 1, 0)</f>
        <v>0</v>
      </c>
      <c r="BW19" s="5">
        <f t="shared" si="352"/>
        <v>0</v>
      </c>
      <c r="BX19" s="5">
        <f t="shared" si="29"/>
        <v>0</v>
      </c>
      <c r="BY19" s="5">
        <f t="shared" si="30"/>
        <v>0</v>
      </c>
      <c r="BZ19" s="5">
        <f t="shared" si="31"/>
        <v>0</v>
      </c>
      <c r="CA19" s="5">
        <f t="shared" si="32"/>
        <v>0</v>
      </c>
      <c r="CB19" s="5">
        <f t="shared" si="33"/>
        <v>0</v>
      </c>
      <c r="CC19" s="5">
        <f t="shared" si="34"/>
        <v>0</v>
      </c>
      <c r="CD19" s="5">
        <f t="shared" si="35"/>
        <v>0</v>
      </c>
      <c r="CE19" s="5">
        <f t="shared" si="36"/>
        <v>0</v>
      </c>
      <c r="CF19" s="5">
        <f t="shared" si="37"/>
        <v>0</v>
      </c>
      <c r="CG19" s="5">
        <f t="shared" si="38"/>
        <v>0</v>
      </c>
      <c r="CH19" s="5">
        <f t="shared" si="39"/>
        <v>0</v>
      </c>
      <c r="CI19" s="5">
        <f t="shared" si="40"/>
        <v>0</v>
      </c>
      <c r="CJ19" s="5">
        <f t="shared" si="41"/>
        <v>0</v>
      </c>
      <c r="CK19" s="5">
        <f t="shared" si="42"/>
        <v>0</v>
      </c>
      <c r="CL19" s="5">
        <f t="shared" si="43"/>
        <v>0</v>
      </c>
      <c r="CM19" s="5">
        <f t="shared" si="44"/>
        <v>0</v>
      </c>
      <c r="CN19" s="5">
        <f t="shared" si="45"/>
        <v>0</v>
      </c>
      <c r="CO19" s="5">
        <f t="shared" si="46"/>
        <v>0</v>
      </c>
      <c r="CP19" s="6">
        <f t="shared" si="47"/>
        <v>0</v>
      </c>
      <c r="CQ19" s="6">
        <f t="shared" si="48"/>
        <v>0</v>
      </c>
      <c r="CR19" s="6">
        <f t="shared" si="49"/>
        <v>0</v>
      </c>
      <c r="CS19" s="6">
        <f t="shared" si="50"/>
        <v>0</v>
      </c>
      <c r="CT19" s="6">
        <f t="shared" si="51"/>
        <v>0</v>
      </c>
      <c r="CU19" s="6">
        <f t="shared" si="52"/>
        <v>0</v>
      </c>
      <c r="CV19" s="6">
        <f t="shared" si="53"/>
        <v>0</v>
      </c>
      <c r="CW19" s="6">
        <f t="shared" si="54"/>
        <v>0</v>
      </c>
      <c r="CX19" s="6">
        <f t="shared" si="55"/>
        <v>0</v>
      </c>
      <c r="CY19" s="6">
        <f t="shared" si="56"/>
        <v>0</v>
      </c>
      <c r="CZ19" s="6">
        <f t="shared" si="57"/>
        <v>0</v>
      </c>
      <c r="DA19" s="6">
        <f t="shared" si="58"/>
        <v>0</v>
      </c>
      <c r="DB19" s="6">
        <f t="shared" si="59"/>
        <v>0</v>
      </c>
      <c r="DC19" s="6">
        <f t="shared" si="60"/>
        <v>0</v>
      </c>
      <c r="DD19" s="6">
        <f t="shared" si="61"/>
        <v>0</v>
      </c>
      <c r="DE19" s="6">
        <f t="shared" si="62"/>
        <v>0</v>
      </c>
      <c r="DF19" s="6">
        <f t="shared" si="63"/>
        <v>0</v>
      </c>
      <c r="DG19" s="6">
        <f t="shared" si="64"/>
        <v>0</v>
      </c>
      <c r="DH19" s="6">
        <f t="shared" si="353"/>
        <v>0</v>
      </c>
      <c r="DI19" s="6">
        <f t="shared" si="66"/>
        <v>0</v>
      </c>
      <c r="DJ19" s="6">
        <f t="shared" si="67"/>
        <v>0</v>
      </c>
      <c r="DK19" s="7">
        <f t="shared" si="68"/>
        <v>0</v>
      </c>
      <c r="DL19" s="7">
        <f t="shared" si="350"/>
        <v>0</v>
      </c>
      <c r="DM19" s="7">
        <f t="shared" si="70"/>
        <v>0</v>
      </c>
      <c r="DN19" s="7">
        <f t="shared" si="71"/>
        <v>0</v>
      </c>
      <c r="DO19" s="7">
        <f t="shared" si="72"/>
        <v>0</v>
      </c>
      <c r="DP19" s="8">
        <f t="shared" si="73"/>
        <v>0</v>
      </c>
      <c r="DQ19" s="8">
        <f t="shared" si="74"/>
        <v>1</v>
      </c>
      <c r="DR19" s="7">
        <f t="shared" si="75"/>
        <v>0</v>
      </c>
      <c r="DS19" s="7">
        <f t="shared" si="76"/>
        <v>1</v>
      </c>
      <c r="DT19" s="7">
        <f t="shared" si="77"/>
        <v>1</v>
      </c>
      <c r="DU19" s="9">
        <f t="shared" si="78"/>
        <v>0</v>
      </c>
      <c r="DV19" s="9">
        <f t="shared" si="79"/>
        <v>0</v>
      </c>
      <c r="DW19" s="9">
        <f t="shared" si="80"/>
        <v>0</v>
      </c>
      <c r="DX19" s="9">
        <f t="shared" si="81"/>
        <v>0</v>
      </c>
      <c r="DY19" s="9">
        <f t="shared" si="82"/>
        <v>0</v>
      </c>
      <c r="DZ19" s="9">
        <f t="shared" si="83"/>
        <v>0</v>
      </c>
      <c r="EA19" s="9">
        <f t="shared" si="84"/>
        <v>0</v>
      </c>
      <c r="EB19" s="9">
        <f t="shared" si="85"/>
        <v>0</v>
      </c>
      <c r="EC19" s="9">
        <f t="shared" si="86"/>
        <v>0</v>
      </c>
      <c r="ED19" s="9">
        <f t="shared" si="87"/>
        <v>0</v>
      </c>
      <c r="EE19" s="9">
        <f t="shared" si="88"/>
        <v>1</v>
      </c>
      <c r="EF19" s="9">
        <f t="shared" si="89"/>
        <v>0</v>
      </c>
      <c r="EG19" s="9">
        <f t="shared" si="90"/>
        <v>0</v>
      </c>
      <c r="EH19" s="9">
        <f t="shared" si="91"/>
        <v>0</v>
      </c>
      <c r="EI19" s="9">
        <f t="shared" si="92"/>
        <v>0</v>
      </c>
      <c r="EJ19" s="10">
        <f t="shared" si="93"/>
        <v>0</v>
      </c>
      <c r="EK19" s="10">
        <f t="shared" si="94"/>
        <v>0</v>
      </c>
      <c r="EL19" s="10">
        <f t="shared" ref="EL19:EM19" si="354">IF(OR(ISNUMBER(SEARCH("ai software toolkit", $D19)), ISNUMBER(SEARCH("ai software toolkit", $T19)), ISNUMBER(SEARCH("ai software toolkit", $R19)), ISNUMBER(SEARCH("ai software toolkit", $S19))), 1, 0)</f>
        <v>0</v>
      </c>
      <c r="EM19" s="10">
        <f t="shared" si="354"/>
        <v>0</v>
      </c>
      <c r="EN19" s="10">
        <f t="shared" si="96"/>
        <v>0</v>
      </c>
      <c r="EO19" s="10">
        <f t="shared" si="97"/>
        <v>0</v>
      </c>
      <c r="EP19" s="10">
        <f t="shared" si="98"/>
        <v>0</v>
      </c>
      <c r="EQ19" s="10">
        <f t="shared" si="99"/>
        <v>0</v>
      </c>
      <c r="ER19" s="10">
        <f t="shared" si="100"/>
        <v>0</v>
      </c>
      <c r="ES19" s="10">
        <f t="shared" si="101"/>
        <v>0</v>
      </c>
      <c r="ET19" s="10">
        <f t="shared" si="102"/>
        <v>0</v>
      </c>
      <c r="EU19" s="10">
        <f t="shared" si="103"/>
        <v>0</v>
      </c>
      <c r="EV19" s="10">
        <f t="shared" si="104"/>
        <v>0</v>
      </c>
      <c r="EW19" s="10">
        <f t="shared" si="105"/>
        <v>0</v>
      </c>
      <c r="EX19" s="10">
        <f t="shared" si="106"/>
        <v>0</v>
      </c>
      <c r="EY19" s="10">
        <f t="shared" si="107"/>
        <v>0</v>
      </c>
      <c r="EZ19" s="10">
        <f t="shared" si="108"/>
        <v>0</v>
      </c>
      <c r="FA19" s="10">
        <f t="shared" si="109"/>
        <v>0</v>
      </c>
      <c r="FB19" s="10">
        <f t="shared" si="110"/>
        <v>0</v>
      </c>
      <c r="FC19" s="10">
        <f t="shared" si="111"/>
        <v>0</v>
      </c>
      <c r="FD19" s="10">
        <f t="shared" si="112"/>
        <v>0</v>
      </c>
      <c r="FE19" s="10">
        <f t="shared" si="113"/>
        <v>0</v>
      </c>
      <c r="FF19" s="10">
        <f t="shared" si="114"/>
        <v>0</v>
      </c>
      <c r="FG19" s="10">
        <f t="shared" si="115"/>
        <v>0</v>
      </c>
      <c r="FH19" s="10">
        <f t="shared" si="116"/>
        <v>0</v>
      </c>
      <c r="FI19" s="10">
        <f t="shared" si="117"/>
        <v>0</v>
      </c>
      <c r="FJ19" s="10">
        <f t="shared" si="118"/>
        <v>0</v>
      </c>
      <c r="FK19" s="10">
        <f t="shared" si="119"/>
        <v>0</v>
      </c>
      <c r="FL19" s="10">
        <f t="shared" si="120"/>
        <v>0</v>
      </c>
      <c r="FM19" s="10">
        <f t="shared" si="121"/>
        <v>1</v>
      </c>
      <c r="FN19" s="10">
        <f t="shared" si="122"/>
        <v>0</v>
      </c>
      <c r="FO19" s="10">
        <f t="shared" si="123"/>
        <v>0</v>
      </c>
      <c r="FP19" s="10">
        <f t="shared" si="124"/>
        <v>0</v>
      </c>
      <c r="FQ19" s="10">
        <f t="shared" si="125"/>
        <v>0</v>
      </c>
      <c r="FR19" s="11">
        <f t="shared" si="126"/>
        <v>0</v>
      </c>
      <c r="FS19" s="11">
        <f t="shared" si="127"/>
        <v>0</v>
      </c>
      <c r="FT19" s="11">
        <f t="shared" si="128"/>
        <v>0</v>
      </c>
      <c r="FU19" s="11">
        <f t="shared" si="129"/>
        <v>0</v>
      </c>
      <c r="FV19" s="11">
        <f t="shared" si="130"/>
        <v>0</v>
      </c>
      <c r="FW19" s="11">
        <f t="shared" si="131"/>
        <v>0</v>
      </c>
      <c r="FX19" s="11">
        <f t="shared" si="132"/>
        <v>0</v>
      </c>
      <c r="FY19" s="11">
        <f t="shared" si="133"/>
        <v>0</v>
      </c>
      <c r="FZ19" s="11">
        <f t="shared" si="134"/>
        <v>1</v>
      </c>
      <c r="GA19" s="11">
        <f t="shared" si="135"/>
        <v>0</v>
      </c>
      <c r="GB19" s="11">
        <f t="shared" si="136"/>
        <v>0</v>
      </c>
      <c r="GC19" s="11">
        <f t="shared" si="137"/>
        <v>0</v>
      </c>
      <c r="GD19" s="11">
        <f t="shared" si="138"/>
        <v>0</v>
      </c>
      <c r="GE19" s="11">
        <f t="shared" si="139"/>
        <v>0</v>
      </c>
      <c r="GF19" s="11">
        <f t="shared" si="140"/>
        <v>1</v>
      </c>
      <c r="GG19" s="11">
        <f t="shared" si="141"/>
        <v>1</v>
      </c>
      <c r="GH19" s="11">
        <f t="shared" si="142"/>
        <v>0</v>
      </c>
      <c r="GI19" s="11">
        <f t="shared" si="143"/>
        <v>0</v>
      </c>
      <c r="GJ19" s="11">
        <f t="shared" si="144"/>
        <v>0</v>
      </c>
      <c r="GK19" s="11">
        <f t="shared" si="145"/>
        <v>0</v>
      </c>
      <c r="GL19" s="11">
        <f t="shared" si="146"/>
        <v>0</v>
      </c>
      <c r="GM19" s="11">
        <f t="shared" si="147"/>
        <v>0</v>
      </c>
      <c r="GN19" s="11">
        <f t="shared" si="148"/>
        <v>0</v>
      </c>
      <c r="GO19" s="11">
        <f t="shared" si="149"/>
        <v>0</v>
      </c>
      <c r="GP19" s="11">
        <f t="shared" si="150"/>
        <v>0</v>
      </c>
      <c r="GQ19" s="11">
        <f t="shared" si="151"/>
        <v>0</v>
      </c>
      <c r="GR19" s="11">
        <f t="shared" si="152"/>
        <v>0</v>
      </c>
      <c r="GS19" s="11">
        <f t="shared" si="153"/>
        <v>0</v>
      </c>
      <c r="GT19" s="11">
        <f t="shared" si="154"/>
        <v>0</v>
      </c>
      <c r="GU19" s="12">
        <f t="shared" si="155"/>
        <v>0</v>
      </c>
      <c r="GV19" s="12">
        <f t="shared" si="156"/>
        <v>0</v>
      </c>
      <c r="GW19" s="12">
        <f t="shared" si="157"/>
        <v>0</v>
      </c>
      <c r="GX19" s="12">
        <f t="shared" si="158"/>
        <v>0</v>
      </c>
      <c r="GY19" s="12">
        <f t="shared" si="159"/>
        <v>0</v>
      </c>
      <c r="GZ19" s="12">
        <f t="shared" si="160"/>
        <v>0</v>
      </c>
      <c r="HA19" s="12">
        <f t="shared" si="161"/>
        <v>0</v>
      </c>
      <c r="HB19" s="12">
        <f t="shared" si="162"/>
        <v>0</v>
      </c>
      <c r="HC19" s="12">
        <f t="shared" si="163"/>
        <v>0</v>
      </c>
      <c r="HD19" s="12">
        <f t="shared" si="164"/>
        <v>0</v>
      </c>
      <c r="HE19" s="12">
        <f t="shared" si="165"/>
        <v>0</v>
      </c>
      <c r="HF19" s="12">
        <f t="shared" si="166"/>
        <v>0</v>
      </c>
      <c r="HG19" s="12">
        <f t="shared" si="167"/>
        <v>0</v>
      </c>
      <c r="HH19" s="12">
        <f t="shared" si="168"/>
        <v>0</v>
      </c>
      <c r="HI19" s="12">
        <f t="shared" si="169"/>
        <v>0</v>
      </c>
      <c r="HJ19" s="12">
        <f t="shared" si="170"/>
        <v>0</v>
      </c>
      <c r="HK19" s="12">
        <f t="shared" si="171"/>
        <v>0</v>
      </c>
      <c r="HL19" s="12">
        <f t="shared" si="172"/>
        <v>0</v>
      </c>
      <c r="HM19" s="12">
        <f t="shared" si="173"/>
        <v>0</v>
      </c>
      <c r="HN19" s="12">
        <f t="shared" si="174"/>
        <v>0</v>
      </c>
      <c r="HO19" s="12">
        <f t="shared" si="175"/>
        <v>0</v>
      </c>
      <c r="HP19" s="12">
        <f t="shared" si="176"/>
        <v>0</v>
      </c>
      <c r="HQ19" s="12">
        <f t="shared" si="177"/>
        <v>0</v>
      </c>
      <c r="HR19" s="12">
        <f t="shared" si="178"/>
        <v>0</v>
      </c>
      <c r="HS19" s="12">
        <f t="shared" si="179"/>
        <v>0</v>
      </c>
      <c r="HT19" s="12">
        <f t="shared" si="180"/>
        <v>0</v>
      </c>
      <c r="HU19" s="12">
        <f t="shared" si="181"/>
        <v>0</v>
      </c>
      <c r="HV19" s="12">
        <f t="shared" si="182"/>
        <v>1</v>
      </c>
      <c r="HW19" s="12">
        <f t="shared" si="183"/>
        <v>0</v>
      </c>
      <c r="HX19" s="12">
        <f t="shared" si="184"/>
        <v>0</v>
      </c>
      <c r="HY19" s="12">
        <f t="shared" si="185"/>
        <v>0</v>
      </c>
      <c r="HZ19" s="12">
        <f t="shared" si="186"/>
        <v>0</v>
      </c>
      <c r="IA19" s="12">
        <f t="shared" si="187"/>
        <v>0</v>
      </c>
      <c r="IB19" s="12">
        <f t="shared" si="188"/>
        <v>0</v>
      </c>
      <c r="IC19" s="12">
        <f t="shared" si="189"/>
        <v>0</v>
      </c>
      <c r="ID19" s="12">
        <f t="shared" si="190"/>
        <v>0</v>
      </c>
      <c r="IE19" s="12">
        <f t="shared" si="191"/>
        <v>0</v>
      </c>
      <c r="IF19" s="12">
        <f t="shared" si="192"/>
        <v>0</v>
      </c>
      <c r="IG19" s="12">
        <f t="shared" si="193"/>
        <v>0</v>
      </c>
      <c r="IH19" s="12">
        <f t="shared" si="194"/>
        <v>0</v>
      </c>
      <c r="II19" s="12">
        <f t="shared" si="195"/>
        <v>0</v>
      </c>
      <c r="IJ19" s="12">
        <f t="shared" si="196"/>
        <v>0</v>
      </c>
      <c r="IK19" s="12">
        <f t="shared" si="197"/>
        <v>0</v>
      </c>
      <c r="IL19" s="12">
        <f t="shared" si="198"/>
        <v>0</v>
      </c>
      <c r="IM19" s="12">
        <f t="shared" si="199"/>
        <v>0</v>
      </c>
      <c r="IN19" s="12">
        <f t="shared" si="200"/>
        <v>0</v>
      </c>
      <c r="IO19" s="12">
        <f t="shared" si="201"/>
        <v>0</v>
      </c>
      <c r="IP19" s="12">
        <f t="shared" si="202"/>
        <v>0</v>
      </c>
      <c r="IQ19" s="12">
        <f t="shared" si="203"/>
        <v>0</v>
      </c>
      <c r="IR19" s="12">
        <f t="shared" si="204"/>
        <v>0</v>
      </c>
      <c r="IS19" s="12">
        <f t="shared" si="205"/>
        <v>0</v>
      </c>
      <c r="IT19" s="12">
        <f t="shared" si="206"/>
        <v>0</v>
      </c>
      <c r="IU19" s="12">
        <f t="shared" si="207"/>
        <v>0</v>
      </c>
      <c r="IV19" s="12">
        <f t="shared" si="208"/>
        <v>0</v>
      </c>
      <c r="IW19" s="12">
        <f t="shared" si="209"/>
        <v>0</v>
      </c>
      <c r="IX19" s="12">
        <f t="shared" si="210"/>
        <v>0</v>
      </c>
      <c r="IY19" s="12">
        <f t="shared" si="211"/>
        <v>0</v>
      </c>
      <c r="IZ19" s="12">
        <f t="shared" si="212"/>
        <v>0</v>
      </c>
      <c r="JA19" s="13">
        <f t="shared" si="213"/>
        <v>0</v>
      </c>
      <c r="JB19" s="13">
        <f t="shared" si="214"/>
        <v>0</v>
      </c>
      <c r="JC19" s="13">
        <f t="shared" si="215"/>
        <v>0</v>
      </c>
      <c r="JD19" s="13">
        <f t="shared" si="216"/>
        <v>0</v>
      </c>
      <c r="JE19" s="13">
        <f t="shared" si="217"/>
        <v>0</v>
      </c>
      <c r="JF19" s="13">
        <f t="shared" si="218"/>
        <v>0</v>
      </c>
      <c r="JG19" s="13">
        <f t="shared" si="219"/>
        <v>0</v>
      </c>
      <c r="JH19" s="13">
        <f t="shared" si="220"/>
        <v>0</v>
      </c>
      <c r="JI19" s="13">
        <f t="shared" si="221"/>
        <v>0</v>
      </c>
      <c r="JJ19" s="13">
        <f t="shared" si="222"/>
        <v>0</v>
      </c>
      <c r="JK19" s="13">
        <f t="shared" si="223"/>
        <v>0</v>
      </c>
      <c r="JL19" s="13">
        <f t="shared" si="224"/>
        <v>0</v>
      </c>
      <c r="JM19" s="13">
        <f t="shared" si="225"/>
        <v>0</v>
      </c>
      <c r="JN19" s="13">
        <f t="shared" si="226"/>
        <v>0</v>
      </c>
      <c r="JO19" s="13">
        <f t="shared" si="227"/>
        <v>1</v>
      </c>
      <c r="JP19" s="13">
        <f t="shared" si="228"/>
        <v>0</v>
      </c>
      <c r="JQ19" s="13">
        <f t="shared" si="229"/>
        <v>0</v>
      </c>
      <c r="JR19" s="13">
        <f t="shared" si="230"/>
        <v>0</v>
      </c>
      <c r="JS19" s="13">
        <f t="shared" si="231"/>
        <v>0</v>
      </c>
      <c r="JT19" s="13">
        <f t="shared" si="232"/>
        <v>0</v>
      </c>
      <c r="JU19" s="13">
        <f t="shared" si="233"/>
        <v>0</v>
      </c>
      <c r="JV19" s="12">
        <f t="shared" si="234"/>
        <v>0</v>
      </c>
      <c r="JW19" s="12">
        <f t="shared" si="235"/>
        <v>0</v>
      </c>
      <c r="JX19" s="12">
        <f t="shared" si="236"/>
        <v>0</v>
      </c>
      <c r="JY19" s="12">
        <f t="shared" si="237"/>
        <v>0</v>
      </c>
      <c r="JZ19" s="12">
        <f t="shared" si="238"/>
        <v>0</v>
      </c>
      <c r="KA19" s="12">
        <f t="shared" si="239"/>
        <v>0</v>
      </c>
      <c r="KB19" s="12">
        <f t="shared" si="240"/>
        <v>0</v>
      </c>
      <c r="KC19" s="12">
        <f t="shared" si="241"/>
        <v>0</v>
      </c>
      <c r="KD19" s="12">
        <f t="shared" si="242"/>
        <v>0</v>
      </c>
      <c r="KE19" s="12">
        <f t="shared" si="243"/>
        <v>0</v>
      </c>
      <c r="KF19" s="12">
        <f t="shared" si="244"/>
        <v>0</v>
      </c>
      <c r="KG19" s="12">
        <f t="shared" si="245"/>
        <v>0</v>
      </c>
      <c r="KH19" s="12">
        <f t="shared" si="246"/>
        <v>0</v>
      </c>
      <c r="KI19" s="12">
        <f t="shared" si="247"/>
        <v>0</v>
      </c>
      <c r="KJ19" s="12">
        <f t="shared" si="248"/>
        <v>0</v>
      </c>
      <c r="KK19" s="12">
        <f t="shared" si="249"/>
        <v>0</v>
      </c>
      <c r="KL19" s="12">
        <f t="shared" si="250"/>
        <v>0</v>
      </c>
      <c r="KM19" s="12">
        <f t="shared" si="251"/>
        <v>0</v>
      </c>
      <c r="KN19" s="12">
        <f t="shared" si="252"/>
        <v>0</v>
      </c>
      <c r="KO19" s="12">
        <f t="shared" si="253"/>
        <v>0</v>
      </c>
      <c r="KP19" s="12">
        <f t="shared" si="254"/>
        <v>0</v>
      </c>
      <c r="KQ19" s="12">
        <f t="shared" si="255"/>
        <v>0</v>
      </c>
      <c r="KR19" s="12">
        <f t="shared" si="256"/>
        <v>0</v>
      </c>
      <c r="KS19" s="12">
        <f t="shared" si="257"/>
        <v>0</v>
      </c>
      <c r="KT19" s="12">
        <f t="shared" si="258"/>
        <v>0</v>
      </c>
      <c r="KU19" s="12">
        <f t="shared" si="259"/>
        <v>0</v>
      </c>
      <c r="KV19" s="12">
        <f t="shared" si="260"/>
        <v>0</v>
      </c>
      <c r="KW19" s="12">
        <f t="shared" si="261"/>
        <v>0</v>
      </c>
      <c r="KX19" s="12">
        <f t="shared" si="262"/>
        <v>0</v>
      </c>
      <c r="KY19" s="12">
        <f t="shared" si="263"/>
        <v>0</v>
      </c>
      <c r="KZ19" s="12">
        <f t="shared" si="264"/>
        <v>0</v>
      </c>
      <c r="LA19" s="12">
        <f t="shared" si="265"/>
        <v>0</v>
      </c>
      <c r="LB19" s="12">
        <f t="shared" si="266"/>
        <v>0</v>
      </c>
      <c r="LC19" s="12">
        <f t="shared" si="267"/>
        <v>0</v>
      </c>
      <c r="LD19" s="12">
        <f t="shared" si="268"/>
        <v>0</v>
      </c>
      <c r="LE19" s="12">
        <f t="shared" si="269"/>
        <v>0</v>
      </c>
      <c r="LF19" s="12">
        <f t="shared" si="270"/>
        <v>0</v>
      </c>
      <c r="LG19" s="12">
        <f t="shared" si="271"/>
        <v>0</v>
      </c>
      <c r="LH19" s="12">
        <f t="shared" si="272"/>
        <v>0</v>
      </c>
      <c r="LI19" s="12">
        <f t="shared" si="273"/>
        <v>0</v>
      </c>
      <c r="LJ19" s="12">
        <f t="shared" si="274"/>
        <v>0</v>
      </c>
      <c r="LK19" s="12">
        <f t="shared" si="275"/>
        <v>0</v>
      </c>
      <c r="LL19" s="12">
        <f t="shared" si="276"/>
        <v>0</v>
      </c>
      <c r="LM19" s="12">
        <f t="shared" si="277"/>
        <v>0</v>
      </c>
      <c r="LN19" s="12">
        <f t="shared" si="278"/>
        <v>0</v>
      </c>
      <c r="LO19" s="12">
        <f t="shared" si="279"/>
        <v>0</v>
      </c>
      <c r="LP19" s="12">
        <f t="shared" si="280"/>
        <v>0</v>
      </c>
      <c r="LQ19" s="12">
        <f t="shared" si="281"/>
        <v>0</v>
      </c>
      <c r="LR19" s="12">
        <f t="shared" si="282"/>
        <v>0</v>
      </c>
      <c r="LS19" s="12">
        <f t="shared" si="283"/>
        <v>0</v>
      </c>
      <c r="LT19" s="13">
        <f t="shared" si="284"/>
        <v>0</v>
      </c>
      <c r="LU19" s="13">
        <f t="shared" si="285"/>
        <v>0</v>
      </c>
      <c r="LV19" s="13">
        <f t="shared" si="286"/>
        <v>0</v>
      </c>
      <c r="LW19" s="13">
        <f t="shared" si="287"/>
        <v>0</v>
      </c>
      <c r="LX19" s="13">
        <f t="shared" si="288"/>
        <v>0</v>
      </c>
      <c r="LY19" s="13">
        <f t="shared" si="289"/>
        <v>0</v>
      </c>
      <c r="LZ19" s="13">
        <f t="shared" si="290"/>
        <v>0</v>
      </c>
      <c r="MA19" s="13">
        <f t="shared" si="291"/>
        <v>0</v>
      </c>
      <c r="MB19" s="13">
        <f t="shared" si="292"/>
        <v>0</v>
      </c>
      <c r="MC19" s="13">
        <f t="shared" si="293"/>
        <v>0</v>
      </c>
      <c r="MD19" s="13">
        <f t="shared" si="294"/>
        <v>0</v>
      </c>
      <c r="ME19" s="13">
        <f t="shared" si="295"/>
        <v>0</v>
      </c>
      <c r="MF19" s="13">
        <f t="shared" si="296"/>
        <v>0</v>
      </c>
      <c r="MG19" s="13">
        <f t="shared" si="297"/>
        <v>0</v>
      </c>
      <c r="MH19" s="13">
        <f t="shared" si="298"/>
        <v>0</v>
      </c>
      <c r="MI19" s="13">
        <f t="shared" si="299"/>
        <v>0</v>
      </c>
      <c r="MJ19" s="13">
        <f t="shared" si="300"/>
        <v>0</v>
      </c>
      <c r="MK19" s="13">
        <f t="shared" si="301"/>
        <v>0</v>
      </c>
      <c r="ML19" s="14">
        <f t="shared" si="302"/>
        <v>0</v>
      </c>
      <c r="MM19" s="14">
        <f t="shared" si="303"/>
        <v>0</v>
      </c>
      <c r="MN19" s="14">
        <f t="shared" si="304"/>
        <v>0</v>
      </c>
      <c r="MO19" s="14">
        <f t="shared" si="305"/>
        <v>0</v>
      </c>
      <c r="MP19" s="14">
        <f t="shared" si="306"/>
        <v>0</v>
      </c>
      <c r="MQ19" s="14">
        <f t="shared" si="307"/>
        <v>0</v>
      </c>
      <c r="MR19" s="14">
        <f t="shared" si="308"/>
        <v>0</v>
      </c>
      <c r="MS19" s="14">
        <f t="shared" si="309"/>
        <v>0</v>
      </c>
      <c r="MT19" s="14">
        <f t="shared" si="310"/>
        <v>0</v>
      </c>
      <c r="MU19" s="14">
        <f t="shared" si="311"/>
        <v>0</v>
      </c>
      <c r="MV19" s="14">
        <f t="shared" si="312"/>
        <v>0</v>
      </c>
      <c r="MW19" s="14">
        <f t="shared" si="313"/>
        <v>0</v>
      </c>
      <c r="MX19" s="14">
        <f t="shared" si="314"/>
        <v>0</v>
      </c>
      <c r="MY19" s="14">
        <f t="shared" si="315"/>
        <v>0</v>
      </c>
      <c r="MZ19" s="14">
        <f t="shared" si="316"/>
        <v>0</v>
      </c>
      <c r="NA19" s="14">
        <f t="shared" si="317"/>
        <v>0</v>
      </c>
      <c r="NB19" s="14">
        <f t="shared" si="318"/>
        <v>0</v>
      </c>
    </row>
    <row r="20">
      <c r="A20" s="2">
        <v>422.0</v>
      </c>
      <c r="B20" s="2" t="s">
        <v>706</v>
      </c>
      <c r="C20" s="2" t="s">
        <v>707</v>
      </c>
      <c r="D20" s="2" t="s">
        <v>708</v>
      </c>
      <c r="E20" s="2">
        <v>2012.0</v>
      </c>
      <c r="F20" s="2" t="s">
        <v>709</v>
      </c>
      <c r="G20" s="2" t="s">
        <v>528</v>
      </c>
      <c r="H20" s="2" t="s">
        <v>656</v>
      </c>
      <c r="I20" s="2" t="s">
        <v>710</v>
      </c>
      <c r="J20" s="2" t="s">
        <v>711</v>
      </c>
      <c r="K20" s="2" t="s">
        <v>712</v>
      </c>
      <c r="M20" s="2">
        <v>78.0</v>
      </c>
      <c r="N20" s="2" t="s">
        <v>713</v>
      </c>
      <c r="O20" s="2" t="s">
        <v>714</v>
      </c>
      <c r="P20" s="2" t="s">
        <v>715</v>
      </c>
      <c r="Q20" s="2" t="s">
        <v>716</v>
      </c>
      <c r="R20" s="2" t="s">
        <v>717</v>
      </c>
      <c r="S20" s="2" t="s">
        <v>718</v>
      </c>
      <c r="T20" s="2" t="s">
        <v>719</v>
      </c>
      <c r="Y20" s="2" t="s">
        <v>720</v>
      </c>
      <c r="AG20" s="2" t="s">
        <v>721</v>
      </c>
      <c r="AJ20" s="2">
        <v>2.2021651E7</v>
      </c>
      <c r="AK20" s="2" t="s">
        <v>722</v>
      </c>
      <c r="AL20" s="2" t="s">
        <v>384</v>
      </c>
      <c r="AM20" s="2" t="s">
        <v>723</v>
      </c>
      <c r="AN20" s="2" t="s">
        <v>386</v>
      </c>
      <c r="AO20" s="2" t="s">
        <v>724</v>
      </c>
      <c r="AP20" s="2" t="s">
        <v>386</v>
      </c>
      <c r="AQ20" s="2">
        <v>1653.0</v>
      </c>
      <c r="AR20" s="2" t="s">
        <v>708</v>
      </c>
      <c r="AS20" s="2" t="b">
        <v>0</v>
      </c>
      <c r="AT20" s="3">
        <v>0.0</v>
      </c>
      <c r="AU20" s="4"/>
      <c r="AV20" s="4"/>
      <c r="AW20" s="5">
        <f t="shared" si="3"/>
        <v>0</v>
      </c>
      <c r="AX20" s="5">
        <f t="shared" si="4"/>
        <v>0</v>
      </c>
      <c r="AY20" s="5">
        <f t="shared" si="5"/>
        <v>0</v>
      </c>
      <c r="AZ20" s="5">
        <f t="shared" si="6"/>
        <v>0</v>
      </c>
      <c r="BA20" s="5">
        <f t="shared" si="7"/>
        <v>0</v>
      </c>
      <c r="BB20" s="5">
        <f t="shared" si="8"/>
        <v>0</v>
      </c>
      <c r="BC20" s="5">
        <f t="shared" si="9"/>
        <v>0</v>
      </c>
      <c r="BD20" s="5">
        <f t="shared" si="10"/>
        <v>0</v>
      </c>
      <c r="BE20" s="5">
        <f t="shared" si="11"/>
        <v>0</v>
      </c>
      <c r="BF20" s="5">
        <f t="shared" si="12"/>
        <v>0</v>
      </c>
      <c r="BG20" s="5">
        <f t="shared" si="13"/>
        <v>0</v>
      </c>
      <c r="BH20" s="5">
        <f t="shared" si="14"/>
        <v>0</v>
      </c>
      <c r="BI20" s="5">
        <f t="shared" si="15"/>
        <v>0</v>
      </c>
      <c r="BJ20" s="5">
        <f t="shared" si="16"/>
        <v>0</v>
      </c>
      <c r="BK20" s="5">
        <f t="shared" si="17"/>
        <v>0</v>
      </c>
      <c r="BL20" s="5">
        <f t="shared" si="18"/>
        <v>0</v>
      </c>
      <c r="BM20" s="5">
        <f t="shared" si="19"/>
        <v>0</v>
      </c>
      <c r="BN20" s="5">
        <f t="shared" si="20"/>
        <v>0</v>
      </c>
      <c r="BO20" s="5">
        <f t="shared" si="21"/>
        <v>0</v>
      </c>
      <c r="BP20" s="5">
        <f t="shared" si="22"/>
        <v>0</v>
      </c>
      <c r="BQ20" s="5">
        <f t="shared" si="23"/>
        <v>0</v>
      </c>
      <c r="BR20" s="5">
        <f t="shared" si="24"/>
        <v>0</v>
      </c>
      <c r="BS20" s="5">
        <f t="shared" si="25"/>
        <v>1</v>
      </c>
      <c r="BT20" s="5">
        <f t="shared" si="26"/>
        <v>0</v>
      </c>
      <c r="BU20" s="5">
        <f t="shared" si="27"/>
        <v>0</v>
      </c>
      <c r="BV20" s="5">
        <f t="shared" ref="BV20:BW20" si="355">IF(OR(ISNUMBER(SEARCH("grit",$D20)),ISNUMBER(SEARCH("grit",$T20)),ISNUMBER(SEARCH("grit",$R20)),ISNUMBER(SEARCH("grit",$S20)),
ISNUMBER(SEARCH("determination",$D20)),ISNUMBER(SEARCH("determination",$T20)),ISNUMBER(SEARCH("determination",$R20)),ISNUMBER(SEARCH("determination",$S20)),
ISNUMBER(SEARCH("tenacity",$D20)),ISNUMBER(SEARCH("tenacity",$T20)),ISNUMBER(SEARCH("tenacity",$R20)),ISNUMBER(SEARCH("tenacity",$S20)),
ISNUMBER(SEARCH("endurance",$D20)),ISNUMBER(SEARCH("endurance",$T20)),ISNUMBER(SEARCH("endurance",$R20)),ISNUMBER(SEARCH("endurance",$S20)),
ISNUMBER(SEARCH("fortitude",$D20)),ISNUMBER(SEARCH("fortitude",$T20)),ISNUMBER(SEARCH("fortitude",$R20)),ISNUMBER(SEARCH("fortitude",$S20)),
ISNUMBER(SEARCH("resolve",$D20)),ISNUMBER(SEARCH("resolve",$T20)),ISNUMBER(SEARCH("resolve",$R20)),ISNUMBER(SEARCH("resolve",$S20)),
ISNUMBER(SEARCH("stamina",$D20)),ISNUMBER(SEARCH("stamina",$T20)),ISNUMBER(SEARCH("stamina",$R20)),ISNUMBER(SEARCH("stamina",$S20)),
ISNUMBER(SEARCH("guts",$D20)),ISNUMBER(SEARCH("guts",$T20)),ISNUMBER(SEARCH("guts",$R20)),ISNUMBER(SEARCH("guts",$S20)),
ISNUMBER(SEARCH("spunk",$D20)),ISNUMBER(SEARCH("spunk",$T20)),ISNUMBER(SEARCH("spunk",$R20)),ISNUMBER(SEARCH("spunk",$S20))), 1, 0)</f>
        <v>0</v>
      </c>
      <c r="BW20" s="5">
        <f t="shared" si="355"/>
        <v>0</v>
      </c>
      <c r="BX20" s="5">
        <f t="shared" si="29"/>
        <v>0</v>
      </c>
      <c r="BY20" s="5">
        <f t="shared" si="30"/>
        <v>0</v>
      </c>
      <c r="BZ20" s="5">
        <f t="shared" si="31"/>
        <v>0</v>
      </c>
      <c r="CA20" s="5">
        <f t="shared" si="32"/>
        <v>0</v>
      </c>
      <c r="CB20" s="5">
        <f t="shared" si="33"/>
        <v>0</v>
      </c>
      <c r="CC20" s="5">
        <f t="shared" si="34"/>
        <v>0</v>
      </c>
      <c r="CD20" s="5">
        <f t="shared" si="35"/>
        <v>1</v>
      </c>
      <c r="CE20" s="5">
        <f t="shared" si="36"/>
        <v>0</v>
      </c>
      <c r="CF20" s="5">
        <f t="shared" si="37"/>
        <v>0</v>
      </c>
      <c r="CG20" s="5">
        <f t="shared" si="38"/>
        <v>0</v>
      </c>
      <c r="CH20" s="5">
        <f t="shared" si="39"/>
        <v>0</v>
      </c>
      <c r="CI20" s="5">
        <f t="shared" si="40"/>
        <v>0</v>
      </c>
      <c r="CJ20" s="5">
        <f t="shared" si="41"/>
        <v>0</v>
      </c>
      <c r="CK20" s="5">
        <f t="shared" si="42"/>
        <v>0</v>
      </c>
      <c r="CL20" s="5">
        <f t="shared" si="43"/>
        <v>0</v>
      </c>
      <c r="CM20" s="5">
        <f t="shared" si="44"/>
        <v>0</v>
      </c>
      <c r="CN20" s="5">
        <f t="shared" si="45"/>
        <v>0</v>
      </c>
      <c r="CO20" s="5">
        <f t="shared" si="46"/>
        <v>0</v>
      </c>
      <c r="CP20" s="6">
        <f t="shared" si="47"/>
        <v>0</v>
      </c>
      <c r="CQ20" s="6">
        <f t="shared" si="48"/>
        <v>0</v>
      </c>
      <c r="CR20" s="6">
        <f t="shared" si="49"/>
        <v>0</v>
      </c>
      <c r="CS20" s="6">
        <f t="shared" si="50"/>
        <v>0</v>
      </c>
      <c r="CT20" s="6">
        <f t="shared" si="51"/>
        <v>0</v>
      </c>
      <c r="CU20" s="6">
        <f t="shared" si="52"/>
        <v>0</v>
      </c>
      <c r="CV20" s="6">
        <f t="shared" si="53"/>
        <v>0</v>
      </c>
      <c r="CW20" s="6">
        <f t="shared" si="54"/>
        <v>0</v>
      </c>
      <c r="CX20" s="6">
        <f t="shared" si="55"/>
        <v>0</v>
      </c>
      <c r="CY20" s="6">
        <f t="shared" si="56"/>
        <v>0</v>
      </c>
      <c r="CZ20" s="6">
        <f t="shared" si="57"/>
        <v>0</v>
      </c>
      <c r="DA20" s="6">
        <f t="shared" si="58"/>
        <v>0</v>
      </c>
      <c r="DB20" s="6">
        <f t="shared" si="59"/>
        <v>0</v>
      </c>
      <c r="DC20" s="6">
        <f t="shared" si="60"/>
        <v>0</v>
      </c>
      <c r="DD20" s="6">
        <f t="shared" si="61"/>
        <v>0</v>
      </c>
      <c r="DE20" s="6">
        <f t="shared" si="62"/>
        <v>0</v>
      </c>
      <c r="DF20" s="6">
        <f t="shared" si="63"/>
        <v>0</v>
      </c>
      <c r="DG20" s="6">
        <f t="shared" si="64"/>
        <v>0</v>
      </c>
      <c r="DH20" s="6">
        <f t="shared" si="353"/>
        <v>0</v>
      </c>
      <c r="DI20" s="6">
        <f t="shared" si="66"/>
        <v>0</v>
      </c>
      <c r="DJ20" s="6">
        <f t="shared" si="67"/>
        <v>0</v>
      </c>
      <c r="DK20" s="7">
        <f t="shared" si="68"/>
        <v>0</v>
      </c>
      <c r="DL20" s="7">
        <f t="shared" si="350"/>
        <v>0</v>
      </c>
      <c r="DM20" s="7">
        <f t="shared" si="70"/>
        <v>0</v>
      </c>
      <c r="DN20" s="7">
        <f t="shared" si="71"/>
        <v>0</v>
      </c>
      <c r="DO20" s="7">
        <f t="shared" si="72"/>
        <v>1</v>
      </c>
      <c r="DP20" s="8">
        <f t="shared" si="73"/>
        <v>0</v>
      </c>
      <c r="DQ20" s="8">
        <f t="shared" si="74"/>
        <v>1</v>
      </c>
      <c r="DR20" s="7">
        <f t="shared" si="75"/>
        <v>0</v>
      </c>
      <c r="DS20" s="7">
        <f t="shared" si="76"/>
        <v>0</v>
      </c>
      <c r="DT20" s="7">
        <f t="shared" si="77"/>
        <v>0</v>
      </c>
      <c r="DU20" s="9">
        <f t="shared" si="78"/>
        <v>0</v>
      </c>
      <c r="DV20" s="9">
        <f t="shared" si="79"/>
        <v>0</v>
      </c>
      <c r="DW20" s="9">
        <f t="shared" si="80"/>
        <v>0</v>
      </c>
      <c r="DX20" s="9">
        <f t="shared" si="81"/>
        <v>0</v>
      </c>
      <c r="DY20" s="9">
        <f t="shared" si="82"/>
        <v>0</v>
      </c>
      <c r="DZ20" s="9">
        <f t="shared" si="83"/>
        <v>0</v>
      </c>
      <c r="EA20" s="9">
        <f t="shared" si="84"/>
        <v>0</v>
      </c>
      <c r="EB20" s="9">
        <f t="shared" si="85"/>
        <v>0</v>
      </c>
      <c r="EC20" s="9">
        <f t="shared" si="86"/>
        <v>0</v>
      </c>
      <c r="ED20" s="9">
        <f t="shared" si="87"/>
        <v>0</v>
      </c>
      <c r="EE20" s="9">
        <f t="shared" si="88"/>
        <v>0</v>
      </c>
      <c r="EF20" s="9">
        <f t="shared" si="89"/>
        <v>0</v>
      </c>
      <c r="EG20" s="9">
        <f t="shared" si="90"/>
        <v>0</v>
      </c>
      <c r="EH20" s="9">
        <f t="shared" si="91"/>
        <v>0</v>
      </c>
      <c r="EI20" s="9">
        <f t="shared" si="92"/>
        <v>0</v>
      </c>
      <c r="EJ20" s="10">
        <f t="shared" si="93"/>
        <v>0</v>
      </c>
      <c r="EK20" s="10">
        <f t="shared" si="94"/>
        <v>0</v>
      </c>
      <c r="EL20" s="10">
        <f t="shared" ref="EL20:EM20" si="356">IF(OR(ISNUMBER(SEARCH("ai software toolkit", $D20)), ISNUMBER(SEARCH("ai software toolkit", $T20)), ISNUMBER(SEARCH("ai software toolkit", $R20)), ISNUMBER(SEARCH("ai software toolkit", $S20))), 1, 0)</f>
        <v>0</v>
      </c>
      <c r="EM20" s="10">
        <f t="shared" si="356"/>
        <v>0</v>
      </c>
      <c r="EN20" s="10">
        <f t="shared" si="96"/>
        <v>0</v>
      </c>
      <c r="EO20" s="10">
        <f t="shared" si="97"/>
        <v>0</v>
      </c>
      <c r="EP20" s="10">
        <f t="shared" si="98"/>
        <v>0</v>
      </c>
      <c r="EQ20" s="10">
        <f t="shared" si="99"/>
        <v>0</v>
      </c>
      <c r="ER20" s="10">
        <f t="shared" si="100"/>
        <v>0</v>
      </c>
      <c r="ES20" s="10">
        <f t="shared" si="101"/>
        <v>0</v>
      </c>
      <c r="ET20" s="10">
        <f t="shared" si="102"/>
        <v>0</v>
      </c>
      <c r="EU20" s="10">
        <f t="shared" si="103"/>
        <v>0</v>
      </c>
      <c r="EV20" s="10">
        <f t="shared" si="104"/>
        <v>0</v>
      </c>
      <c r="EW20" s="10">
        <f t="shared" si="105"/>
        <v>0</v>
      </c>
      <c r="EX20" s="10">
        <f t="shared" si="106"/>
        <v>0</v>
      </c>
      <c r="EY20" s="10">
        <f t="shared" si="107"/>
        <v>0</v>
      </c>
      <c r="EZ20" s="10">
        <f t="shared" si="108"/>
        <v>0</v>
      </c>
      <c r="FA20" s="10">
        <f t="shared" si="109"/>
        <v>0</v>
      </c>
      <c r="FB20" s="10">
        <f t="shared" si="110"/>
        <v>0</v>
      </c>
      <c r="FC20" s="10">
        <f t="shared" si="111"/>
        <v>0</v>
      </c>
      <c r="FD20" s="10">
        <f t="shared" si="112"/>
        <v>0</v>
      </c>
      <c r="FE20" s="10">
        <f t="shared" si="113"/>
        <v>0</v>
      </c>
      <c r="FF20" s="10">
        <f t="shared" si="114"/>
        <v>0</v>
      </c>
      <c r="FG20" s="10">
        <f t="shared" si="115"/>
        <v>0</v>
      </c>
      <c r="FH20" s="10">
        <f t="shared" si="116"/>
        <v>0</v>
      </c>
      <c r="FI20" s="10">
        <f t="shared" si="117"/>
        <v>0</v>
      </c>
      <c r="FJ20" s="10">
        <f t="shared" si="118"/>
        <v>0</v>
      </c>
      <c r="FK20" s="10">
        <f t="shared" si="119"/>
        <v>0</v>
      </c>
      <c r="FL20" s="10">
        <f t="shared" si="120"/>
        <v>0</v>
      </c>
      <c r="FM20" s="10">
        <f t="shared" si="121"/>
        <v>0</v>
      </c>
      <c r="FN20" s="10">
        <f t="shared" si="122"/>
        <v>0</v>
      </c>
      <c r="FO20" s="10">
        <f t="shared" si="123"/>
        <v>0</v>
      </c>
      <c r="FP20" s="10">
        <f t="shared" si="124"/>
        <v>0</v>
      </c>
      <c r="FQ20" s="10">
        <f t="shared" si="125"/>
        <v>0</v>
      </c>
      <c r="FR20" s="11">
        <f t="shared" si="126"/>
        <v>0</v>
      </c>
      <c r="FS20" s="11">
        <f t="shared" si="127"/>
        <v>0</v>
      </c>
      <c r="FT20" s="11">
        <f t="shared" si="128"/>
        <v>0</v>
      </c>
      <c r="FU20" s="11">
        <f t="shared" si="129"/>
        <v>0</v>
      </c>
      <c r="FV20" s="11">
        <f t="shared" si="130"/>
        <v>0</v>
      </c>
      <c r="FW20" s="11">
        <f t="shared" si="131"/>
        <v>0</v>
      </c>
      <c r="FX20" s="11">
        <f t="shared" si="132"/>
        <v>0</v>
      </c>
      <c r="FY20" s="11">
        <f t="shared" si="133"/>
        <v>0</v>
      </c>
      <c r="FZ20" s="11">
        <f t="shared" si="134"/>
        <v>0</v>
      </c>
      <c r="GA20" s="11">
        <f t="shared" si="135"/>
        <v>0</v>
      </c>
      <c r="GB20" s="11">
        <f t="shared" si="136"/>
        <v>0</v>
      </c>
      <c r="GC20" s="11">
        <f t="shared" si="137"/>
        <v>0</v>
      </c>
      <c r="GD20" s="11">
        <f t="shared" si="138"/>
        <v>0</v>
      </c>
      <c r="GE20" s="11">
        <f t="shared" si="139"/>
        <v>0</v>
      </c>
      <c r="GF20" s="11">
        <f t="shared" si="140"/>
        <v>0</v>
      </c>
      <c r="GG20" s="11">
        <f t="shared" si="141"/>
        <v>0</v>
      </c>
      <c r="GH20" s="11">
        <f t="shared" si="142"/>
        <v>0</v>
      </c>
      <c r="GI20" s="11">
        <f t="shared" si="143"/>
        <v>0</v>
      </c>
      <c r="GJ20" s="11">
        <f t="shared" si="144"/>
        <v>0</v>
      </c>
      <c r="GK20" s="11">
        <f t="shared" si="145"/>
        <v>0</v>
      </c>
      <c r="GL20" s="11">
        <f t="shared" si="146"/>
        <v>0</v>
      </c>
      <c r="GM20" s="11">
        <f t="shared" si="147"/>
        <v>0</v>
      </c>
      <c r="GN20" s="11">
        <f t="shared" si="148"/>
        <v>0</v>
      </c>
      <c r="GO20" s="11">
        <f t="shared" si="149"/>
        <v>0</v>
      </c>
      <c r="GP20" s="11">
        <f t="shared" si="150"/>
        <v>0</v>
      </c>
      <c r="GQ20" s="11">
        <f t="shared" si="151"/>
        <v>0</v>
      </c>
      <c r="GR20" s="11">
        <f t="shared" si="152"/>
        <v>0</v>
      </c>
      <c r="GS20" s="11">
        <f t="shared" si="153"/>
        <v>0</v>
      </c>
      <c r="GT20" s="11">
        <f t="shared" si="154"/>
        <v>0</v>
      </c>
      <c r="GU20" s="12">
        <f t="shared" si="155"/>
        <v>0</v>
      </c>
      <c r="GV20" s="12">
        <f t="shared" si="156"/>
        <v>0</v>
      </c>
      <c r="GW20" s="12">
        <f t="shared" si="157"/>
        <v>0</v>
      </c>
      <c r="GX20" s="12">
        <f t="shared" si="158"/>
        <v>0</v>
      </c>
      <c r="GY20" s="12">
        <f t="shared" si="159"/>
        <v>0</v>
      </c>
      <c r="GZ20" s="12">
        <f t="shared" si="160"/>
        <v>0</v>
      </c>
      <c r="HA20" s="12">
        <f t="shared" si="161"/>
        <v>0</v>
      </c>
      <c r="HB20" s="12">
        <f t="shared" si="162"/>
        <v>0</v>
      </c>
      <c r="HC20" s="12">
        <f t="shared" si="163"/>
        <v>0</v>
      </c>
      <c r="HD20" s="12">
        <f t="shared" si="164"/>
        <v>0</v>
      </c>
      <c r="HE20" s="12">
        <f t="shared" si="165"/>
        <v>0</v>
      </c>
      <c r="HF20" s="12">
        <f t="shared" si="166"/>
        <v>0</v>
      </c>
      <c r="HG20" s="12">
        <f t="shared" si="167"/>
        <v>0</v>
      </c>
      <c r="HH20" s="12">
        <f t="shared" si="168"/>
        <v>0</v>
      </c>
      <c r="HI20" s="12">
        <f t="shared" si="169"/>
        <v>0</v>
      </c>
      <c r="HJ20" s="12">
        <f t="shared" si="170"/>
        <v>0</v>
      </c>
      <c r="HK20" s="12">
        <f t="shared" si="171"/>
        <v>0</v>
      </c>
      <c r="HL20" s="12">
        <f t="shared" si="172"/>
        <v>0</v>
      </c>
      <c r="HM20" s="12">
        <f t="shared" si="173"/>
        <v>0</v>
      </c>
      <c r="HN20" s="12">
        <f t="shared" si="174"/>
        <v>0</v>
      </c>
      <c r="HO20" s="12">
        <f t="shared" si="175"/>
        <v>0</v>
      </c>
      <c r="HP20" s="12">
        <f t="shared" si="176"/>
        <v>0</v>
      </c>
      <c r="HQ20" s="12">
        <f t="shared" si="177"/>
        <v>0</v>
      </c>
      <c r="HR20" s="12">
        <f t="shared" si="178"/>
        <v>0</v>
      </c>
      <c r="HS20" s="12">
        <f t="shared" si="179"/>
        <v>0</v>
      </c>
      <c r="HT20" s="12">
        <f t="shared" si="180"/>
        <v>0</v>
      </c>
      <c r="HU20" s="12">
        <f t="shared" si="181"/>
        <v>0</v>
      </c>
      <c r="HV20" s="12">
        <f t="shared" si="182"/>
        <v>1</v>
      </c>
      <c r="HW20" s="12">
        <f t="shared" si="183"/>
        <v>0</v>
      </c>
      <c r="HX20" s="12">
        <f t="shared" si="184"/>
        <v>0</v>
      </c>
      <c r="HY20" s="12">
        <f t="shared" si="185"/>
        <v>0</v>
      </c>
      <c r="HZ20" s="12">
        <f t="shared" si="186"/>
        <v>0</v>
      </c>
      <c r="IA20" s="12">
        <f t="shared" si="187"/>
        <v>0</v>
      </c>
      <c r="IB20" s="12">
        <f t="shared" si="188"/>
        <v>0</v>
      </c>
      <c r="IC20" s="12">
        <f t="shared" si="189"/>
        <v>0</v>
      </c>
      <c r="ID20" s="12">
        <f t="shared" si="190"/>
        <v>0</v>
      </c>
      <c r="IE20" s="12">
        <f t="shared" si="191"/>
        <v>0</v>
      </c>
      <c r="IF20" s="12">
        <f t="shared" si="192"/>
        <v>0</v>
      </c>
      <c r="IG20" s="12">
        <f t="shared" si="193"/>
        <v>0</v>
      </c>
      <c r="IH20" s="12">
        <f t="shared" si="194"/>
        <v>0</v>
      </c>
      <c r="II20" s="12">
        <f t="shared" si="195"/>
        <v>0</v>
      </c>
      <c r="IJ20" s="12">
        <f t="shared" si="196"/>
        <v>0</v>
      </c>
      <c r="IK20" s="12">
        <f t="shared" si="197"/>
        <v>0</v>
      </c>
      <c r="IL20" s="12">
        <f t="shared" si="198"/>
        <v>0</v>
      </c>
      <c r="IM20" s="12">
        <f t="shared" si="199"/>
        <v>0</v>
      </c>
      <c r="IN20" s="12">
        <f t="shared" si="200"/>
        <v>0</v>
      </c>
      <c r="IO20" s="12">
        <f t="shared" si="201"/>
        <v>0</v>
      </c>
      <c r="IP20" s="12">
        <f t="shared" si="202"/>
        <v>0</v>
      </c>
      <c r="IQ20" s="12">
        <f t="shared" si="203"/>
        <v>0</v>
      </c>
      <c r="IR20" s="12">
        <f t="shared" si="204"/>
        <v>0</v>
      </c>
      <c r="IS20" s="12">
        <f t="shared" si="205"/>
        <v>0</v>
      </c>
      <c r="IT20" s="12">
        <f t="shared" si="206"/>
        <v>0</v>
      </c>
      <c r="IU20" s="12">
        <f t="shared" si="207"/>
        <v>0</v>
      </c>
      <c r="IV20" s="12">
        <f t="shared" si="208"/>
        <v>0</v>
      </c>
      <c r="IW20" s="12">
        <f t="shared" si="209"/>
        <v>0</v>
      </c>
      <c r="IX20" s="12">
        <f t="shared" si="210"/>
        <v>0</v>
      </c>
      <c r="IY20" s="12">
        <f t="shared" si="211"/>
        <v>0</v>
      </c>
      <c r="IZ20" s="12">
        <f t="shared" si="212"/>
        <v>1</v>
      </c>
      <c r="JA20" s="13">
        <f t="shared" si="213"/>
        <v>0</v>
      </c>
      <c r="JB20" s="13">
        <f t="shared" si="214"/>
        <v>0</v>
      </c>
      <c r="JC20" s="13">
        <f t="shared" si="215"/>
        <v>0</v>
      </c>
      <c r="JD20" s="13">
        <f t="shared" si="216"/>
        <v>0</v>
      </c>
      <c r="JE20" s="13">
        <f t="shared" si="217"/>
        <v>0</v>
      </c>
      <c r="JF20" s="13">
        <f t="shared" si="218"/>
        <v>0</v>
      </c>
      <c r="JG20" s="13">
        <f t="shared" si="219"/>
        <v>0</v>
      </c>
      <c r="JH20" s="13">
        <f t="shared" si="220"/>
        <v>0</v>
      </c>
      <c r="JI20" s="13">
        <f t="shared" si="221"/>
        <v>0</v>
      </c>
      <c r="JJ20" s="13">
        <f t="shared" si="222"/>
        <v>0</v>
      </c>
      <c r="JK20" s="13">
        <f t="shared" si="223"/>
        <v>0</v>
      </c>
      <c r="JL20" s="13">
        <f t="shared" si="224"/>
        <v>0</v>
      </c>
      <c r="JM20" s="13">
        <f t="shared" si="225"/>
        <v>0</v>
      </c>
      <c r="JN20" s="13">
        <f t="shared" si="226"/>
        <v>0</v>
      </c>
      <c r="JO20" s="13">
        <f t="shared" si="227"/>
        <v>0</v>
      </c>
      <c r="JP20" s="13">
        <f t="shared" si="228"/>
        <v>0</v>
      </c>
      <c r="JQ20" s="13">
        <f t="shared" si="229"/>
        <v>0</v>
      </c>
      <c r="JR20" s="13">
        <f t="shared" si="230"/>
        <v>0</v>
      </c>
      <c r="JS20" s="13">
        <f t="shared" si="231"/>
        <v>0</v>
      </c>
      <c r="JT20" s="13">
        <f t="shared" si="232"/>
        <v>0</v>
      </c>
      <c r="JU20" s="13">
        <f t="shared" si="233"/>
        <v>0</v>
      </c>
      <c r="JV20" s="12">
        <f t="shared" si="234"/>
        <v>0</v>
      </c>
      <c r="JW20" s="12">
        <f t="shared" si="235"/>
        <v>0</v>
      </c>
      <c r="JX20" s="12">
        <f t="shared" si="236"/>
        <v>0</v>
      </c>
      <c r="JY20" s="12">
        <f t="shared" si="237"/>
        <v>0</v>
      </c>
      <c r="JZ20" s="12">
        <f t="shared" si="238"/>
        <v>0</v>
      </c>
      <c r="KA20" s="12">
        <f t="shared" si="239"/>
        <v>0</v>
      </c>
      <c r="KB20" s="12">
        <f t="shared" si="240"/>
        <v>0</v>
      </c>
      <c r="KC20" s="12">
        <f t="shared" si="241"/>
        <v>0</v>
      </c>
      <c r="KD20" s="12">
        <f t="shared" si="242"/>
        <v>0</v>
      </c>
      <c r="KE20" s="12">
        <f t="shared" si="243"/>
        <v>0</v>
      </c>
      <c r="KF20" s="12">
        <f t="shared" si="244"/>
        <v>0</v>
      </c>
      <c r="KG20" s="12">
        <f t="shared" si="245"/>
        <v>0</v>
      </c>
      <c r="KH20" s="12">
        <f t="shared" si="246"/>
        <v>0</v>
      </c>
      <c r="KI20" s="12">
        <f t="shared" si="247"/>
        <v>0</v>
      </c>
      <c r="KJ20" s="12">
        <f t="shared" si="248"/>
        <v>0</v>
      </c>
      <c r="KK20" s="12">
        <f t="shared" si="249"/>
        <v>0</v>
      </c>
      <c r="KL20" s="12">
        <f t="shared" si="250"/>
        <v>0</v>
      </c>
      <c r="KM20" s="12">
        <f t="shared" si="251"/>
        <v>0</v>
      </c>
      <c r="KN20" s="12">
        <f t="shared" si="252"/>
        <v>0</v>
      </c>
      <c r="KO20" s="12">
        <f t="shared" si="253"/>
        <v>0</v>
      </c>
      <c r="KP20" s="12">
        <f t="shared" si="254"/>
        <v>0</v>
      </c>
      <c r="KQ20" s="12">
        <f t="shared" si="255"/>
        <v>0</v>
      </c>
      <c r="KR20" s="12">
        <f t="shared" si="256"/>
        <v>0</v>
      </c>
      <c r="KS20" s="12">
        <f t="shared" si="257"/>
        <v>0</v>
      </c>
      <c r="KT20" s="12">
        <f t="shared" si="258"/>
        <v>0</v>
      </c>
      <c r="KU20" s="12">
        <f t="shared" si="259"/>
        <v>0</v>
      </c>
      <c r="KV20" s="12">
        <f t="shared" si="260"/>
        <v>0</v>
      </c>
      <c r="KW20" s="12">
        <f t="shared" si="261"/>
        <v>0</v>
      </c>
      <c r="KX20" s="12">
        <f t="shared" si="262"/>
        <v>0</v>
      </c>
      <c r="KY20" s="12">
        <f t="shared" si="263"/>
        <v>0</v>
      </c>
      <c r="KZ20" s="12">
        <f t="shared" si="264"/>
        <v>0</v>
      </c>
      <c r="LA20" s="12">
        <f t="shared" si="265"/>
        <v>0</v>
      </c>
      <c r="LB20" s="12">
        <f t="shared" si="266"/>
        <v>0</v>
      </c>
      <c r="LC20" s="12">
        <f t="shared" si="267"/>
        <v>0</v>
      </c>
      <c r="LD20" s="12">
        <f t="shared" si="268"/>
        <v>0</v>
      </c>
      <c r="LE20" s="12">
        <f t="shared" si="269"/>
        <v>0</v>
      </c>
      <c r="LF20" s="12">
        <f t="shared" si="270"/>
        <v>0</v>
      </c>
      <c r="LG20" s="12">
        <f t="shared" si="271"/>
        <v>0</v>
      </c>
      <c r="LH20" s="12">
        <f t="shared" si="272"/>
        <v>0</v>
      </c>
      <c r="LI20" s="12">
        <f t="shared" si="273"/>
        <v>0</v>
      </c>
      <c r="LJ20" s="12">
        <f t="shared" si="274"/>
        <v>0</v>
      </c>
      <c r="LK20" s="12">
        <f t="shared" si="275"/>
        <v>0</v>
      </c>
      <c r="LL20" s="12">
        <f t="shared" si="276"/>
        <v>0</v>
      </c>
      <c r="LM20" s="12">
        <f t="shared" si="277"/>
        <v>0</v>
      </c>
      <c r="LN20" s="12">
        <f t="shared" si="278"/>
        <v>0</v>
      </c>
      <c r="LO20" s="12">
        <f t="shared" si="279"/>
        <v>0</v>
      </c>
      <c r="LP20" s="12">
        <f t="shared" si="280"/>
        <v>0</v>
      </c>
      <c r="LQ20" s="12">
        <f t="shared" si="281"/>
        <v>0</v>
      </c>
      <c r="LR20" s="12">
        <f t="shared" si="282"/>
        <v>0</v>
      </c>
      <c r="LS20" s="12">
        <f t="shared" si="283"/>
        <v>0</v>
      </c>
      <c r="LT20" s="13">
        <f t="shared" si="284"/>
        <v>0</v>
      </c>
      <c r="LU20" s="13">
        <f t="shared" si="285"/>
        <v>0</v>
      </c>
      <c r="LV20" s="13">
        <f t="shared" si="286"/>
        <v>0</v>
      </c>
      <c r="LW20" s="13">
        <f t="shared" si="287"/>
        <v>0</v>
      </c>
      <c r="LX20" s="13">
        <f t="shared" si="288"/>
        <v>0</v>
      </c>
      <c r="LY20" s="13">
        <f t="shared" si="289"/>
        <v>0</v>
      </c>
      <c r="LZ20" s="13">
        <f t="shared" si="290"/>
        <v>0</v>
      </c>
      <c r="MA20" s="13">
        <f t="shared" si="291"/>
        <v>0</v>
      </c>
      <c r="MB20" s="13">
        <f t="shared" si="292"/>
        <v>0</v>
      </c>
      <c r="MC20" s="13">
        <f t="shared" si="293"/>
        <v>0</v>
      </c>
      <c r="MD20" s="13">
        <f t="shared" si="294"/>
        <v>0</v>
      </c>
      <c r="ME20" s="13">
        <f t="shared" si="295"/>
        <v>0</v>
      </c>
      <c r="MF20" s="13">
        <f t="shared" si="296"/>
        <v>0</v>
      </c>
      <c r="MG20" s="13">
        <f t="shared" si="297"/>
        <v>0</v>
      </c>
      <c r="MH20" s="13">
        <f t="shared" si="298"/>
        <v>0</v>
      </c>
      <c r="MI20" s="13">
        <f t="shared" si="299"/>
        <v>0</v>
      </c>
      <c r="MJ20" s="13">
        <f t="shared" si="300"/>
        <v>0</v>
      </c>
      <c r="MK20" s="13">
        <f t="shared" si="301"/>
        <v>0</v>
      </c>
      <c r="ML20" s="14">
        <f t="shared" si="302"/>
        <v>0</v>
      </c>
      <c r="MM20" s="14">
        <f t="shared" si="303"/>
        <v>0</v>
      </c>
      <c r="MN20" s="14">
        <f t="shared" si="304"/>
        <v>0</v>
      </c>
      <c r="MO20" s="14">
        <f t="shared" si="305"/>
        <v>0</v>
      </c>
      <c r="MP20" s="14">
        <f t="shared" si="306"/>
        <v>0</v>
      </c>
      <c r="MQ20" s="14">
        <f t="shared" si="307"/>
        <v>0</v>
      </c>
      <c r="MR20" s="14">
        <f t="shared" si="308"/>
        <v>0</v>
      </c>
      <c r="MS20" s="14">
        <f t="shared" si="309"/>
        <v>0</v>
      </c>
      <c r="MT20" s="14">
        <f t="shared" si="310"/>
        <v>0</v>
      </c>
      <c r="MU20" s="14">
        <f t="shared" si="311"/>
        <v>0</v>
      </c>
      <c r="MV20" s="14">
        <f t="shared" si="312"/>
        <v>0</v>
      </c>
      <c r="MW20" s="14">
        <f t="shared" si="313"/>
        <v>0</v>
      </c>
      <c r="MX20" s="14">
        <f t="shared" si="314"/>
        <v>0</v>
      </c>
      <c r="MY20" s="14">
        <f t="shared" si="315"/>
        <v>0</v>
      </c>
      <c r="MZ20" s="14">
        <f t="shared" si="316"/>
        <v>0</v>
      </c>
      <c r="NA20" s="14">
        <f t="shared" si="317"/>
        <v>0</v>
      </c>
      <c r="NB20" s="14">
        <f t="shared" si="318"/>
        <v>0</v>
      </c>
    </row>
    <row r="21" ht="15.75" customHeight="1">
      <c r="A21" s="2">
        <v>39.0</v>
      </c>
      <c r="B21" s="2" t="s">
        <v>725</v>
      </c>
      <c r="C21" s="2" t="s">
        <v>726</v>
      </c>
      <c r="D21" s="2" t="s">
        <v>727</v>
      </c>
      <c r="E21" s="2">
        <v>2020.0</v>
      </c>
      <c r="F21" s="2" t="s">
        <v>562</v>
      </c>
      <c r="G21" s="2" t="s">
        <v>563</v>
      </c>
      <c r="H21" s="2" t="s">
        <v>677</v>
      </c>
      <c r="J21" s="2" t="s">
        <v>728</v>
      </c>
      <c r="K21" s="2" t="s">
        <v>729</v>
      </c>
      <c r="M21" s="2">
        <v>76.0</v>
      </c>
      <c r="N21" s="2" t="s">
        <v>730</v>
      </c>
      <c r="O21" s="2" t="s">
        <v>731</v>
      </c>
      <c r="P21" s="2" t="s">
        <v>732</v>
      </c>
      <c r="Q21" s="2" t="s">
        <v>733</v>
      </c>
      <c r="R21" s="2" t="s">
        <v>734</v>
      </c>
      <c r="S21" s="2" t="s">
        <v>735</v>
      </c>
      <c r="T21" s="2" t="s">
        <v>736</v>
      </c>
      <c r="Y21" s="2" t="s">
        <v>737</v>
      </c>
      <c r="AB21" s="2" t="s">
        <v>575</v>
      </c>
      <c r="AG21" s="2" t="s">
        <v>576</v>
      </c>
      <c r="AI21" s="2" t="s">
        <v>577</v>
      </c>
      <c r="AJ21" s="2">
        <v>3.2341156E7</v>
      </c>
      <c r="AK21" s="2" t="s">
        <v>578</v>
      </c>
      <c r="AL21" s="2" t="s">
        <v>384</v>
      </c>
      <c r="AM21" s="2" t="s">
        <v>579</v>
      </c>
      <c r="AN21" s="2" t="s">
        <v>386</v>
      </c>
      <c r="AO21" s="2" t="s">
        <v>738</v>
      </c>
      <c r="AP21" s="2" t="s">
        <v>386</v>
      </c>
      <c r="AQ21" s="2">
        <v>829.0</v>
      </c>
      <c r="AR21" s="2" t="s">
        <v>739</v>
      </c>
      <c r="AS21" s="2" t="b">
        <v>1</v>
      </c>
      <c r="AT21" s="3">
        <v>0.0</v>
      </c>
      <c r="AU21" s="4"/>
      <c r="AV21" s="4"/>
      <c r="AW21" s="5">
        <f t="shared" si="3"/>
        <v>0</v>
      </c>
      <c r="AX21" s="5">
        <f t="shared" si="4"/>
        <v>0</v>
      </c>
      <c r="AY21" s="5">
        <f t="shared" si="5"/>
        <v>0</v>
      </c>
      <c r="AZ21" s="5">
        <f t="shared" si="6"/>
        <v>0</v>
      </c>
      <c r="BA21" s="5">
        <f t="shared" si="7"/>
        <v>0</v>
      </c>
      <c r="BB21" s="5">
        <f t="shared" si="8"/>
        <v>0</v>
      </c>
      <c r="BC21" s="5">
        <f t="shared" si="9"/>
        <v>0</v>
      </c>
      <c r="BD21" s="5">
        <f t="shared" si="10"/>
        <v>0</v>
      </c>
      <c r="BE21" s="5">
        <f t="shared" si="11"/>
        <v>0</v>
      </c>
      <c r="BF21" s="5">
        <f t="shared" si="12"/>
        <v>0</v>
      </c>
      <c r="BG21" s="5">
        <f t="shared" si="13"/>
        <v>0</v>
      </c>
      <c r="BH21" s="5">
        <f t="shared" si="14"/>
        <v>0</v>
      </c>
      <c r="BI21" s="5">
        <f t="shared" si="15"/>
        <v>0</v>
      </c>
      <c r="BJ21" s="5">
        <f t="shared" si="16"/>
        <v>0</v>
      </c>
      <c r="BK21" s="5">
        <f t="shared" si="17"/>
        <v>1</v>
      </c>
      <c r="BL21" s="5">
        <f t="shared" si="18"/>
        <v>0</v>
      </c>
      <c r="BM21" s="5">
        <f t="shared" si="19"/>
        <v>0</v>
      </c>
      <c r="BN21" s="5">
        <f t="shared" si="20"/>
        <v>0</v>
      </c>
      <c r="BO21" s="5">
        <f t="shared" si="21"/>
        <v>0</v>
      </c>
      <c r="BP21" s="5">
        <f t="shared" si="22"/>
        <v>0</v>
      </c>
      <c r="BQ21" s="5">
        <f t="shared" si="23"/>
        <v>0</v>
      </c>
      <c r="BR21" s="5">
        <f t="shared" si="24"/>
        <v>0</v>
      </c>
      <c r="BS21" s="5">
        <f t="shared" si="25"/>
        <v>0</v>
      </c>
      <c r="BT21" s="5">
        <f t="shared" si="26"/>
        <v>0</v>
      </c>
      <c r="BU21" s="5">
        <f t="shared" si="27"/>
        <v>0</v>
      </c>
      <c r="BV21" s="5">
        <f t="shared" ref="BV21:BW21" si="357">IF(OR(ISNUMBER(SEARCH("grit",$D21)),ISNUMBER(SEARCH("grit",$T21)),ISNUMBER(SEARCH("grit",$R21)),ISNUMBER(SEARCH("grit",$S21)),
ISNUMBER(SEARCH("determination",$D21)),ISNUMBER(SEARCH("determination",$T21)),ISNUMBER(SEARCH("determination",$R21)),ISNUMBER(SEARCH("determination",$S21)),
ISNUMBER(SEARCH("tenacity",$D21)),ISNUMBER(SEARCH("tenacity",$T21)),ISNUMBER(SEARCH("tenacity",$R21)),ISNUMBER(SEARCH("tenacity",$S21)),
ISNUMBER(SEARCH("endurance",$D21)),ISNUMBER(SEARCH("endurance",$T21)),ISNUMBER(SEARCH("endurance",$R21)),ISNUMBER(SEARCH("endurance",$S21)),
ISNUMBER(SEARCH("fortitude",$D21)),ISNUMBER(SEARCH("fortitude",$T21)),ISNUMBER(SEARCH("fortitude",$R21)),ISNUMBER(SEARCH("fortitude",$S21)),
ISNUMBER(SEARCH("resolve",$D21)),ISNUMBER(SEARCH("resolve",$T21)),ISNUMBER(SEARCH("resolve",$R21)),ISNUMBER(SEARCH("resolve",$S21)),
ISNUMBER(SEARCH("stamina",$D21)),ISNUMBER(SEARCH("stamina",$T21)),ISNUMBER(SEARCH("stamina",$R21)),ISNUMBER(SEARCH("stamina",$S21)),
ISNUMBER(SEARCH("guts",$D21)),ISNUMBER(SEARCH("guts",$T21)),ISNUMBER(SEARCH("guts",$R21)),ISNUMBER(SEARCH("guts",$S21)),
ISNUMBER(SEARCH("spunk",$D21)),ISNUMBER(SEARCH("spunk",$T21)),ISNUMBER(SEARCH("spunk",$R21)),ISNUMBER(SEARCH("spunk",$S21))), 1, 0)</f>
        <v>0</v>
      </c>
      <c r="BW21" s="5">
        <f t="shared" si="357"/>
        <v>0</v>
      </c>
      <c r="BX21" s="5">
        <f t="shared" si="29"/>
        <v>0</v>
      </c>
      <c r="BY21" s="5">
        <f t="shared" si="30"/>
        <v>0</v>
      </c>
      <c r="BZ21" s="5">
        <f t="shared" si="31"/>
        <v>0</v>
      </c>
      <c r="CA21" s="5">
        <f t="shared" si="32"/>
        <v>0</v>
      </c>
      <c r="CB21" s="5">
        <f t="shared" si="33"/>
        <v>0</v>
      </c>
      <c r="CC21" s="5">
        <f t="shared" si="34"/>
        <v>0</v>
      </c>
      <c r="CD21" s="5">
        <f t="shared" si="35"/>
        <v>0</v>
      </c>
      <c r="CE21" s="5">
        <f t="shared" si="36"/>
        <v>0</v>
      </c>
      <c r="CF21" s="5">
        <f t="shared" si="37"/>
        <v>0</v>
      </c>
      <c r="CG21" s="5">
        <f t="shared" si="38"/>
        <v>0</v>
      </c>
      <c r="CH21" s="5">
        <f t="shared" si="39"/>
        <v>0</v>
      </c>
      <c r="CI21" s="5">
        <f t="shared" si="40"/>
        <v>0</v>
      </c>
      <c r="CJ21" s="5">
        <f t="shared" si="41"/>
        <v>0</v>
      </c>
      <c r="CK21" s="5">
        <f t="shared" si="42"/>
        <v>0</v>
      </c>
      <c r="CL21" s="5">
        <f t="shared" si="43"/>
        <v>0</v>
      </c>
      <c r="CM21" s="5">
        <f t="shared" si="44"/>
        <v>0</v>
      </c>
      <c r="CN21" s="5">
        <f t="shared" si="45"/>
        <v>0</v>
      </c>
      <c r="CO21" s="5">
        <f t="shared" si="46"/>
        <v>0</v>
      </c>
      <c r="CP21" s="6">
        <f t="shared" si="47"/>
        <v>0</v>
      </c>
      <c r="CQ21" s="6">
        <f t="shared" si="48"/>
        <v>0</v>
      </c>
      <c r="CR21" s="6">
        <f t="shared" si="49"/>
        <v>0</v>
      </c>
      <c r="CS21" s="6">
        <f t="shared" si="50"/>
        <v>0</v>
      </c>
      <c r="CT21" s="6">
        <f t="shared" si="51"/>
        <v>0</v>
      </c>
      <c r="CU21" s="6">
        <f t="shared" si="52"/>
        <v>0</v>
      </c>
      <c r="CV21" s="6">
        <f t="shared" si="53"/>
        <v>0</v>
      </c>
      <c r="CW21" s="6">
        <f t="shared" si="54"/>
        <v>0</v>
      </c>
      <c r="CX21" s="6">
        <f t="shared" si="55"/>
        <v>0</v>
      </c>
      <c r="CY21" s="6">
        <f t="shared" si="56"/>
        <v>0</v>
      </c>
      <c r="CZ21" s="6">
        <f t="shared" si="57"/>
        <v>0</v>
      </c>
      <c r="DA21" s="6">
        <f t="shared" si="58"/>
        <v>0</v>
      </c>
      <c r="DB21" s="6">
        <f t="shared" si="59"/>
        <v>0</v>
      </c>
      <c r="DC21" s="6">
        <f t="shared" si="60"/>
        <v>0</v>
      </c>
      <c r="DD21" s="6">
        <f t="shared" si="61"/>
        <v>0</v>
      </c>
      <c r="DE21" s="6">
        <f t="shared" si="62"/>
        <v>1</v>
      </c>
      <c r="DF21" s="6">
        <f t="shared" si="63"/>
        <v>0</v>
      </c>
      <c r="DG21" s="6">
        <f t="shared" si="64"/>
        <v>0</v>
      </c>
      <c r="DH21" s="6">
        <f t="shared" si="353"/>
        <v>0</v>
      </c>
      <c r="DI21" s="6">
        <f t="shared" si="66"/>
        <v>0</v>
      </c>
      <c r="DJ21" s="6">
        <f t="shared" si="67"/>
        <v>0</v>
      </c>
      <c r="DK21" s="7">
        <f t="shared" si="68"/>
        <v>0</v>
      </c>
      <c r="DL21" s="7">
        <f t="shared" si="350"/>
        <v>0</v>
      </c>
      <c r="DM21" s="7">
        <f t="shared" si="70"/>
        <v>0</v>
      </c>
      <c r="DN21" s="7">
        <f t="shared" si="71"/>
        <v>0</v>
      </c>
      <c r="DO21" s="7">
        <f t="shared" si="72"/>
        <v>1</v>
      </c>
      <c r="DP21" s="8">
        <f t="shared" si="73"/>
        <v>0</v>
      </c>
      <c r="DQ21" s="8">
        <f t="shared" si="74"/>
        <v>1</v>
      </c>
      <c r="DR21" s="7">
        <f t="shared" si="75"/>
        <v>0</v>
      </c>
      <c r="DS21" s="7">
        <f t="shared" si="76"/>
        <v>0</v>
      </c>
      <c r="DT21" s="7">
        <f t="shared" si="77"/>
        <v>0</v>
      </c>
      <c r="DU21" s="9">
        <f t="shared" si="78"/>
        <v>0</v>
      </c>
      <c r="DV21" s="9">
        <f t="shared" si="79"/>
        <v>0</v>
      </c>
      <c r="DW21" s="9">
        <f t="shared" si="80"/>
        <v>0</v>
      </c>
      <c r="DX21" s="9">
        <f t="shared" si="81"/>
        <v>0</v>
      </c>
      <c r="DY21" s="9">
        <f t="shared" si="82"/>
        <v>0</v>
      </c>
      <c r="DZ21" s="9">
        <f t="shared" si="83"/>
        <v>0</v>
      </c>
      <c r="EA21" s="9">
        <f t="shared" si="84"/>
        <v>0</v>
      </c>
      <c r="EB21" s="9">
        <f t="shared" si="85"/>
        <v>0</v>
      </c>
      <c r="EC21" s="9">
        <f t="shared" si="86"/>
        <v>0</v>
      </c>
      <c r="ED21" s="9">
        <f t="shared" si="87"/>
        <v>0</v>
      </c>
      <c r="EE21" s="9">
        <f t="shared" si="88"/>
        <v>0</v>
      </c>
      <c r="EF21" s="9">
        <f t="shared" si="89"/>
        <v>0</v>
      </c>
      <c r="EG21" s="9">
        <f t="shared" si="90"/>
        <v>0</v>
      </c>
      <c r="EH21" s="9">
        <f t="shared" si="91"/>
        <v>0</v>
      </c>
      <c r="EI21" s="9">
        <f t="shared" si="92"/>
        <v>0</v>
      </c>
      <c r="EJ21" s="10">
        <f t="shared" si="93"/>
        <v>0</v>
      </c>
      <c r="EK21" s="10">
        <f t="shared" si="94"/>
        <v>0</v>
      </c>
      <c r="EL21" s="10">
        <f t="shared" ref="EL21:EM21" si="358">IF(OR(ISNUMBER(SEARCH("ai software toolkit", $D21)), ISNUMBER(SEARCH("ai software toolkit", $T21)), ISNUMBER(SEARCH("ai software toolkit", $R21)), ISNUMBER(SEARCH("ai software toolkit", $S21))), 1, 0)</f>
        <v>0</v>
      </c>
      <c r="EM21" s="10">
        <f t="shared" si="358"/>
        <v>0</v>
      </c>
      <c r="EN21" s="10">
        <f t="shared" si="96"/>
        <v>0</v>
      </c>
      <c r="EO21" s="10">
        <f t="shared" si="97"/>
        <v>1</v>
      </c>
      <c r="EP21" s="10">
        <f t="shared" si="98"/>
        <v>0</v>
      </c>
      <c r="EQ21" s="10">
        <f t="shared" si="99"/>
        <v>0</v>
      </c>
      <c r="ER21" s="10">
        <f t="shared" si="100"/>
        <v>0</v>
      </c>
      <c r="ES21" s="10">
        <f t="shared" si="101"/>
        <v>0</v>
      </c>
      <c r="ET21" s="10">
        <f t="shared" si="102"/>
        <v>0</v>
      </c>
      <c r="EU21" s="10">
        <f t="shared" si="103"/>
        <v>0</v>
      </c>
      <c r="EV21" s="10">
        <f t="shared" si="104"/>
        <v>0</v>
      </c>
      <c r="EW21" s="10">
        <f t="shared" si="105"/>
        <v>0</v>
      </c>
      <c r="EX21" s="10">
        <f t="shared" si="106"/>
        <v>0</v>
      </c>
      <c r="EY21" s="10">
        <f t="shared" si="107"/>
        <v>0</v>
      </c>
      <c r="EZ21" s="10">
        <f t="shared" si="108"/>
        <v>0</v>
      </c>
      <c r="FA21" s="10">
        <f t="shared" si="109"/>
        <v>0</v>
      </c>
      <c r="FB21" s="10">
        <f t="shared" si="110"/>
        <v>0</v>
      </c>
      <c r="FC21" s="10">
        <f t="shared" si="111"/>
        <v>0</v>
      </c>
      <c r="FD21" s="10">
        <f t="shared" si="112"/>
        <v>0</v>
      </c>
      <c r="FE21" s="10">
        <f t="shared" si="113"/>
        <v>0</v>
      </c>
      <c r="FF21" s="10">
        <f t="shared" si="114"/>
        <v>0</v>
      </c>
      <c r="FG21" s="10">
        <f t="shared" si="115"/>
        <v>0</v>
      </c>
      <c r="FH21" s="10">
        <f t="shared" si="116"/>
        <v>0</v>
      </c>
      <c r="FI21" s="10">
        <f t="shared" si="117"/>
        <v>0</v>
      </c>
      <c r="FJ21" s="10">
        <f t="shared" si="118"/>
        <v>0</v>
      </c>
      <c r="FK21" s="10">
        <f t="shared" si="119"/>
        <v>0</v>
      </c>
      <c r="FL21" s="10">
        <f t="shared" si="120"/>
        <v>0</v>
      </c>
      <c r="FM21" s="10">
        <f t="shared" si="121"/>
        <v>0</v>
      </c>
      <c r="FN21" s="10">
        <f t="shared" si="122"/>
        <v>0</v>
      </c>
      <c r="FO21" s="10">
        <f t="shared" si="123"/>
        <v>0</v>
      </c>
      <c r="FP21" s="10">
        <f t="shared" si="124"/>
        <v>0</v>
      </c>
      <c r="FQ21" s="10">
        <f t="shared" si="125"/>
        <v>0</v>
      </c>
      <c r="FR21" s="11">
        <f t="shared" si="126"/>
        <v>0</v>
      </c>
      <c r="FS21" s="11">
        <f t="shared" si="127"/>
        <v>0</v>
      </c>
      <c r="FT21" s="11">
        <f t="shared" si="128"/>
        <v>0</v>
      </c>
      <c r="FU21" s="11">
        <f t="shared" si="129"/>
        <v>0</v>
      </c>
      <c r="FV21" s="11">
        <f t="shared" si="130"/>
        <v>0</v>
      </c>
      <c r="FW21" s="11">
        <f t="shared" si="131"/>
        <v>0</v>
      </c>
      <c r="FX21" s="11">
        <f t="shared" si="132"/>
        <v>0</v>
      </c>
      <c r="FY21" s="11">
        <f t="shared" si="133"/>
        <v>0</v>
      </c>
      <c r="FZ21" s="11">
        <f t="shared" si="134"/>
        <v>0</v>
      </c>
      <c r="GA21" s="11">
        <f t="shared" si="135"/>
        <v>0</v>
      </c>
      <c r="GB21" s="11">
        <f t="shared" si="136"/>
        <v>0</v>
      </c>
      <c r="GC21" s="11">
        <f t="shared" si="137"/>
        <v>0</v>
      </c>
      <c r="GD21" s="11">
        <f t="shared" si="138"/>
        <v>0</v>
      </c>
      <c r="GE21" s="11">
        <f t="shared" si="139"/>
        <v>0</v>
      </c>
      <c r="GF21" s="11">
        <f t="shared" si="140"/>
        <v>0</v>
      </c>
      <c r="GG21" s="11">
        <f t="shared" si="141"/>
        <v>0</v>
      </c>
      <c r="GH21" s="11">
        <f t="shared" si="142"/>
        <v>0</v>
      </c>
      <c r="GI21" s="11">
        <f t="shared" si="143"/>
        <v>0</v>
      </c>
      <c r="GJ21" s="11">
        <f t="shared" si="144"/>
        <v>1</v>
      </c>
      <c r="GK21" s="11">
        <f t="shared" si="145"/>
        <v>0</v>
      </c>
      <c r="GL21" s="11">
        <f t="shared" si="146"/>
        <v>0</v>
      </c>
      <c r="GM21" s="11">
        <f t="shared" si="147"/>
        <v>0</v>
      </c>
      <c r="GN21" s="11">
        <f t="shared" si="148"/>
        <v>0</v>
      </c>
      <c r="GO21" s="11">
        <f t="shared" si="149"/>
        <v>0</v>
      </c>
      <c r="GP21" s="11">
        <f t="shared" si="150"/>
        <v>0</v>
      </c>
      <c r="GQ21" s="11">
        <f t="shared" si="151"/>
        <v>0</v>
      </c>
      <c r="GR21" s="11">
        <f t="shared" si="152"/>
        <v>0</v>
      </c>
      <c r="GS21" s="11">
        <f t="shared" si="153"/>
        <v>0</v>
      </c>
      <c r="GT21" s="11">
        <f t="shared" si="154"/>
        <v>0</v>
      </c>
      <c r="GU21" s="12">
        <f t="shared" si="155"/>
        <v>0</v>
      </c>
      <c r="GV21" s="12">
        <f t="shared" si="156"/>
        <v>0</v>
      </c>
      <c r="GW21" s="12">
        <f t="shared" si="157"/>
        <v>0</v>
      </c>
      <c r="GX21" s="12">
        <f t="shared" si="158"/>
        <v>0</v>
      </c>
      <c r="GY21" s="12">
        <f t="shared" si="159"/>
        <v>0</v>
      </c>
      <c r="GZ21" s="12">
        <f t="shared" si="160"/>
        <v>0</v>
      </c>
      <c r="HA21" s="12">
        <f t="shared" si="161"/>
        <v>0</v>
      </c>
      <c r="HB21" s="12">
        <f t="shared" si="162"/>
        <v>0</v>
      </c>
      <c r="HC21" s="12">
        <f t="shared" si="163"/>
        <v>0</v>
      </c>
      <c r="HD21" s="12">
        <f t="shared" si="164"/>
        <v>0</v>
      </c>
      <c r="HE21" s="12">
        <f t="shared" si="165"/>
        <v>0</v>
      </c>
      <c r="HF21" s="12">
        <f t="shared" si="166"/>
        <v>0</v>
      </c>
      <c r="HG21" s="12">
        <f t="shared" si="167"/>
        <v>0</v>
      </c>
      <c r="HH21" s="12">
        <f t="shared" si="168"/>
        <v>0</v>
      </c>
      <c r="HI21" s="12">
        <f t="shared" si="169"/>
        <v>0</v>
      </c>
      <c r="HJ21" s="12">
        <f t="shared" si="170"/>
        <v>0</v>
      </c>
      <c r="HK21" s="12">
        <f t="shared" si="171"/>
        <v>0</v>
      </c>
      <c r="HL21" s="12">
        <f t="shared" si="172"/>
        <v>0</v>
      </c>
      <c r="HM21" s="12">
        <f t="shared" si="173"/>
        <v>0</v>
      </c>
      <c r="HN21" s="12">
        <f t="shared" si="174"/>
        <v>0</v>
      </c>
      <c r="HO21" s="12">
        <f t="shared" si="175"/>
        <v>0</v>
      </c>
      <c r="HP21" s="12">
        <f t="shared" si="176"/>
        <v>0</v>
      </c>
      <c r="HQ21" s="12">
        <f t="shared" si="177"/>
        <v>0</v>
      </c>
      <c r="HR21" s="12">
        <f t="shared" si="178"/>
        <v>0</v>
      </c>
      <c r="HS21" s="12">
        <f t="shared" si="179"/>
        <v>0</v>
      </c>
      <c r="HT21" s="12">
        <f t="shared" si="180"/>
        <v>0</v>
      </c>
      <c r="HU21" s="12">
        <f t="shared" si="181"/>
        <v>0</v>
      </c>
      <c r="HV21" s="12">
        <f t="shared" si="182"/>
        <v>0</v>
      </c>
      <c r="HW21" s="12">
        <f t="shared" si="183"/>
        <v>0</v>
      </c>
      <c r="HX21" s="12">
        <f t="shared" si="184"/>
        <v>0</v>
      </c>
      <c r="HY21" s="12">
        <f t="shared" si="185"/>
        <v>0</v>
      </c>
      <c r="HZ21" s="12">
        <f t="shared" si="186"/>
        <v>0</v>
      </c>
      <c r="IA21" s="12">
        <f t="shared" si="187"/>
        <v>0</v>
      </c>
      <c r="IB21" s="12">
        <f t="shared" si="188"/>
        <v>0</v>
      </c>
      <c r="IC21" s="12">
        <f t="shared" si="189"/>
        <v>0</v>
      </c>
      <c r="ID21" s="12">
        <f t="shared" si="190"/>
        <v>0</v>
      </c>
      <c r="IE21" s="12">
        <f t="shared" si="191"/>
        <v>0</v>
      </c>
      <c r="IF21" s="12">
        <f t="shared" si="192"/>
        <v>0</v>
      </c>
      <c r="IG21" s="12">
        <f t="shared" si="193"/>
        <v>0</v>
      </c>
      <c r="IH21" s="12">
        <f t="shared" si="194"/>
        <v>0</v>
      </c>
      <c r="II21" s="12">
        <f t="shared" si="195"/>
        <v>0</v>
      </c>
      <c r="IJ21" s="12">
        <f t="shared" si="196"/>
        <v>0</v>
      </c>
      <c r="IK21" s="12">
        <f t="shared" si="197"/>
        <v>0</v>
      </c>
      <c r="IL21" s="12">
        <f t="shared" si="198"/>
        <v>0</v>
      </c>
      <c r="IM21" s="12">
        <f t="shared" si="199"/>
        <v>0</v>
      </c>
      <c r="IN21" s="12">
        <f t="shared" si="200"/>
        <v>0</v>
      </c>
      <c r="IO21" s="12">
        <f t="shared" si="201"/>
        <v>0</v>
      </c>
      <c r="IP21" s="12">
        <f t="shared" si="202"/>
        <v>0</v>
      </c>
      <c r="IQ21" s="12">
        <f t="shared" si="203"/>
        <v>0</v>
      </c>
      <c r="IR21" s="12">
        <f t="shared" si="204"/>
        <v>0</v>
      </c>
      <c r="IS21" s="12">
        <f t="shared" si="205"/>
        <v>0</v>
      </c>
      <c r="IT21" s="12">
        <f t="shared" si="206"/>
        <v>0</v>
      </c>
      <c r="IU21" s="12">
        <f t="shared" si="207"/>
        <v>0</v>
      </c>
      <c r="IV21" s="12">
        <f t="shared" si="208"/>
        <v>0</v>
      </c>
      <c r="IW21" s="12">
        <f t="shared" si="209"/>
        <v>0</v>
      </c>
      <c r="IX21" s="12">
        <f t="shared" si="210"/>
        <v>0</v>
      </c>
      <c r="IY21" s="12">
        <f t="shared" si="211"/>
        <v>0</v>
      </c>
      <c r="IZ21" s="12">
        <f t="shared" si="212"/>
        <v>1</v>
      </c>
      <c r="JA21" s="13">
        <f t="shared" si="213"/>
        <v>0</v>
      </c>
      <c r="JB21" s="13">
        <f t="shared" si="214"/>
        <v>0</v>
      </c>
      <c r="JC21" s="13">
        <f t="shared" si="215"/>
        <v>0</v>
      </c>
      <c r="JD21" s="13">
        <f t="shared" si="216"/>
        <v>0</v>
      </c>
      <c r="JE21" s="13">
        <f t="shared" si="217"/>
        <v>0</v>
      </c>
      <c r="JF21" s="13">
        <f t="shared" si="218"/>
        <v>0</v>
      </c>
      <c r="JG21" s="13">
        <f t="shared" si="219"/>
        <v>0</v>
      </c>
      <c r="JH21" s="13">
        <f t="shared" si="220"/>
        <v>0</v>
      </c>
      <c r="JI21" s="13">
        <f t="shared" si="221"/>
        <v>0</v>
      </c>
      <c r="JJ21" s="13">
        <f t="shared" si="222"/>
        <v>0</v>
      </c>
      <c r="JK21" s="13">
        <f t="shared" si="223"/>
        <v>0</v>
      </c>
      <c r="JL21" s="13">
        <f t="shared" si="224"/>
        <v>0</v>
      </c>
      <c r="JM21" s="13">
        <f t="shared" si="225"/>
        <v>0</v>
      </c>
      <c r="JN21" s="13">
        <f t="shared" si="226"/>
        <v>0</v>
      </c>
      <c r="JO21" s="13">
        <f t="shared" si="227"/>
        <v>0</v>
      </c>
      <c r="JP21" s="13">
        <f t="shared" si="228"/>
        <v>0</v>
      </c>
      <c r="JQ21" s="13">
        <f t="shared" si="229"/>
        <v>0</v>
      </c>
      <c r="JR21" s="13">
        <f t="shared" si="230"/>
        <v>0</v>
      </c>
      <c r="JS21" s="13">
        <f t="shared" si="231"/>
        <v>0</v>
      </c>
      <c r="JT21" s="13">
        <f t="shared" si="232"/>
        <v>0</v>
      </c>
      <c r="JU21" s="13">
        <f t="shared" si="233"/>
        <v>0</v>
      </c>
      <c r="JV21" s="12">
        <f t="shared" si="234"/>
        <v>0</v>
      </c>
      <c r="JW21" s="12">
        <f t="shared" si="235"/>
        <v>0</v>
      </c>
      <c r="JX21" s="12">
        <f t="shared" si="236"/>
        <v>0</v>
      </c>
      <c r="JY21" s="12">
        <f t="shared" si="237"/>
        <v>0</v>
      </c>
      <c r="JZ21" s="12">
        <f t="shared" si="238"/>
        <v>0</v>
      </c>
      <c r="KA21" s="12">
        <f t="shared" si="239"/>
        <v>0</v>
      </c>
      <c r="KB21" s="12">
        <f t="shared" si="240"/>
        <v>0</v>
      </c>
      <c r="KC21" s="12">
        <f t="shared" si="241"/>
        <v>0</v>
      </c>
      <c r="KD21" s="12">
        <f t="shared" si="242"/>
        <v>0</v>
      </c>
      <c r="KE21" s="12">
        <f t="shared" si="243"/>
        <v>0</v>
      </c>
      <c r="KF21" s="12">
        <f t="shared" si="244"/>
        <v>0</v>
      </c>
      <c r="KG21" s="12">
        <f t="shared" si="245"/>
        <v>0</v>
      </c>
      <c r="KH21" s="12">
        <f t="shared" si="246"/>
        <v>0</v>
      </c>
      <c r="KI21" s="12">
        <f t="shared" si="247"/>
        <v>0</v>
      </c>
      <c r="KJ21" s="12">
        <f t="shared" si="248"/>
        <v>0</v>
      </c>
      <c r="KK21" s="12">
        <f t="shared" si="249"/>
        <v>0</v>
      </c>
      <c r="KL21" s="12">
        <f t="shared" si="250"/>
        <v>0</v>
      </c>
      <c r="KM21" s="12">
        <f t="shared" si="251"/>
        <v>0</v>
      </c>
      <c r="KN21" s="12">
        <f t="shared" si="252"/>
        <v>0</v>
      </c>
      <c r="KO21" s="12">
        <f t="shared" si="253"/>
        <v>0</v>
      </c>
      <c r="KP21" s="12">
        <f t="shared" si="254"/>
        <v>0</v>
      </c>
      <c r="KQ21" s="12">
        <f t="shared" si="255"/>
        <v>0</v>
      </c>
      <c r="KR21" s="12">
        <f t="shared" si="256"/>
        <v>0</v>
      </c>
      <c r="KS21" s="12">
        <f t="shared" si="257"/>
        <v>0</v>
      </c>
      <c r="KT21" s="12">
        <f t="shared" si="258"/>
        <v>0</v>
      </c>
      <c r="KU21" s="12">
        <f t="shared" si="259"/>
        <v>0</v>
      </c>
      <c r="KV21" s="12">
        <f t="shared" si="260"/>
        <v>0</v>
      </c>
      <c r="KW21" s="12">
        <f t="shared" si="261"/>
        <v>0</v>
      </c>
      <c r="KX21" s="12">
        <f t="shared" si="262"/>
        <v>0</v>
      </c>
      <c r="KY21" s="12">
        <f t="shared" si="263"/>
        <v>0</v>
      </c>
      <c r="KZ21" s="12">
        <f t="shared" si="264"/>
        <v>0</v>
      </c>
      <c r="LA21" s="12">
        <f t="shared" si="265"/>
        <v>0</v>
      </c>
      <c r="LB21" s="12">
        <f t="shared" si="266"/>
        <v>0</v>
      </c>
      <c r="LC21" s="12">
        <f t="shared" si="267"/>
        <v>0</v>
      </c>
      <c r="LD21" s="12">
        <f t="shared" si="268"/>
        <v>0</v>
      </c>
      <c r="LE21" s="12">
        <f t="shared" si="269"/>
        <v>0</v>
      </c>
      <c r="LF21" s="12">
        <f t="shared" si="270"/>
        <v>0</v>
      </c>
      <c r="LG21" s="12">
        <f t="shared" si="271"/>
        <v>0</v>
      </c>
      <c r="LH21" s="12">
        <f t="shared" si="272"/>
        <v>0</v>
      </c>
      <c r="LI21" s="12">
        <f t="shared" si="273"/>
        <v>0</v>
      </c>
      <c r="LJ21" s="12">
        <f t="shared" si="274"/>
        <v>0</v>
      </c>
      <c r="LK21" s="12">
        <f t="shared" si="275"/>
        <v>0</v>
      </c>
      <c r="LL21" s="12">
        <f t="shared" si="276"/>
        <v>0</v>
      </c>
      <c r="LM21" s="12">
        <f t="shared" si="277"/>
        <v>0</v>
      </c>
      <c r="LN21" s="12">
        <f t="shared" si="278"/>
        <v>0</v>
      </c>
      <c r="LO21" s="12">
        <f t="shared" si="279"/>
        <v>0</v>
      </c>
      <c r="LP21" s="12">
        <f t="shared" si="280"/>
        <v>0</v>
      </c>
      <c r="LQ21" s="12">
        <f t="shared" si="281"/>
        <v>0</v>
      </c>
      <c r="LR21" s="12">
        <f t="shared" si="282"/>
        <v>0</v>
      </c>
      <c r="LS21" s="12">
        <f t="shared" si="283"/>
        <v>0</v>
      </c>
      <c r="LT21" s="13">
        <f t="shared" si="284"/>
        <v>0</v>
      </c>
      <c r="LU21" s="13">
        <f t="shared" si="285"/>
        <v>0</v>
      </c>
      <c r="LV21" s="13">
        <f t="shared" si="286"/>
        <v>0</v>
      </c>
      <c r="LW21" s="13">
        <f t="shared" si="287"/>
        <v>0</v>
      </c>
      <c r="LX21" s="13">
        <f t="shared" si="288"/>
        <v>0</v>
      </c>
      <c r="LY21" s="13">
        <f t="shared" si="289"/>
        <v>0</v>
      </c>
      <c r="LZ21" s="13">
        <f t="shared" si="290"/>
        <v>0</v>
      </c>
      <c r="MA21" s="13">
        <f t="shared" si="291"/>
        <v>0</v>
      </c>
      <c r="MB21" s="13">
        <f t="shared" si="292"/>
        <v>0</v>
      </c>
      <c r="MC21" s="13">
        <f t="shared" si="293"/>
        <v>0</v>
      </c>
      <c r="MD21" s="13">
        <f t="shared" si="294"/>
        <v>0</v>
      </c>
      <c r="ME21" s="13">
        <f t="shared" si="295"/>
        <v>0</v>
      </c>
      <c r="MF21" s="13">
        <f t="shared" si="296"/>
        <v>0</v>
      </c>
      <c r="MG21" s="13">
        <f t="shared" si="297"/>
        <v>0</v>
      </c>
      <c r="MH21" s="13">
        <f t="shared" si="298"/>
        <v>0</v>
      </c>
      <c r="MI21" s="13">
        <f t="shared" si="299"/>
        <v>0</v>
      </c>
      <c r="MJ21" s="13">
        <f t="shared" si="300"/>
        <v>0</v>
      </c>
      <c r="MK21" s="13">
        <f t="shared" si="301"/>
        <v>0</v>
      </c>
      <c r="ML21" s="14">
        <f t="shared" si="302"/>
        <v>0</v>
      </c>
      <c r="MM21" s="14">
        <f t="shared" si="303"/>
        <v>0</v>
      </c>
      <c r="MN21" s="14">
        <f t="shared" si="304"/>
        <v>0</v>
      </c>
      <c r="MO21" s="14">
        <f t="shared" si="305"/>
        <v>0</v>
      </c>
      <c r="MP21" s="14">
        <f t="shared" si="306"/>
        <v>0</v>
      </c>
      <c r="MQ21" s="14">
        <f t="shared" si="307"/>
        <v>0</v>
      </c>
      <c r="MR21" s="14">
        <f t="shared" si="308"/>
        <v>0</v>
      </c>
      <c r="MS21" s="14">
        <f t="shared" si="309"/>
        <v>0</v>
      </c>
      <c r="MT21" s="14">
        <f t="shared" si="310"/>
        <v>0</v>
      </c>
      <c r="MU21" s="14">
        <f t="shared" si="311"/>
        <v>0</v>
      </c>
      <c r="MV21" s="14">
        <f t="shared" si="312"/>
        <v>0</v>
      </c>
      <c r="MW21" s="14">
        <f t="shared" si="313"/>
        <v>0</v>
      </c>
      <c r="MX21" s="14">
        <f t="shared" si="314"/>
        <v>0</v>
      </c>
      <c r="MY21" s="14">
        <f t="shared" si="315"/>
        <v>0</v>
      </c>
      <c r="MZ21" s="14">
        <f t="shared" si="316"/>
        <v>0</v>
      </c>
      <c r="NA21" s="14">
        <f t="shared" si="317"/>
        <v>0</v>
      </c>
      <c r="NB21" s="14">
        <f t="shared" si="318"/>
        <v>0</v>
      </c>
    </row>
    <row r="22" ht="15.75" customHeight="1">
      <c r="A22" s="2">
        <v>343.0</v>
      </c>
      <c r="B22" s="2" t="s">
        <v>740</v>
      </c>
      <c r="C22" s="2" t="s">
        <v>741</v>
      </c>
      <c r="D22" s="2" t="s">
        <v>742</v>
      </c>
      <c r="E22" s="2">
        <v>2018.0</v>
      </c>
      <c r="F22" s="2" t="s">
        <v>743</v>
      </c>
      <c r="G22" s="2" t="s">
        <v>585</v>
      </c>
      <c r="H22" s="2" t="s">
        <v>603</v>
      </c>
      <c r="I22" s="2" t="s">
        <v>744</v>
      </c>
      <c r="M22" s="2">
        <v>72.0</v>
      </c>
      <c r="N22" s="2" t="s">
        <v>745</v>
      </c>
      <c r="O22" s="2" t="s">
        <v>746</v>
      </c>
      <c r="P22" s="2" t="s">
        <v>747</v>
      </c>
      <c r="Q22" s="2" t="s">
        <v>748</v>
      </c>
      <c r="R22" s="2" t="s">
        <v>749</v>
      </c>
      <c r="S22" s="2" t="s">
        <v>750</v>
      </c>
      <c r="T22" s="2" t="s">
        <v>751</v>
      </c>
      <c r="Y22" s="2" t="s">
        <v>752</v>
      </c>
      <c r="AB22" s="2" t="s">
        <v>753</v>
      </c>
      <c r="AG22" s="2" t="s">
        <v>754</v>
      </c>
      <c r="AI22" s="2" t="s">
        <v>755</v>
      </c>
      <c r="AJ22" s="2">
        <v>2.9610979E7</v>
      </c>
      <c r="AK22" s="2" t="s">
        <v>756</v>
      </c>
      <c r="AL22" s="2" t="s">
        <v>384</v>
      </c>
      <c r="AN22" s="2" t="s">
        <v>386</v>
      </c>
      <c r="AO22" s="2" t="s">
        <v>757</v>
      </c>
      <c r="AP22" s="2" t="s">
        <v>386</v>
      </c>
      <c r="AQ22" s="2">
        <v>1336.0</v>
      </c>
      <c r="AR22" s="2" t="s">
        <v>758</v>
      </c>
      <c r="AS22" s="2" t="b">
        <v>1</v>
      </c>
      <c r="AT22" s="3">
        <v>0.0</v>
      </c>
      <c r="AU22" s="4"/>
      <c r="AV22" s="4"/>
      <c r="AW22" s="5">
        <f t="shared" si="3"/>
        <v>0</v>
      </c>
      <c r="AX22" s="5">
        <f t="shared" si="4"/>
        <v>0</v>
      </c>
      <c r="AY22" s="5">
        <f t="shared" si="5"/>
        <v>0</v>
      </c>
      <c r="AZ22" s="5">
        <f t="shared" si="6"/>
        <v>0</v>
      </c>
      <c r="BA22" s="5">
        <f t="shared" si="7"/>
        <v>0</v>
      </c>
      <c r="BB22" s="5">
        <f t="shared" si="8"/>
        <v>0</v>
      </c>
      <c r="BC22" s="5">
        <f t="shared" si="9"/>
        <v>0</v>
      </c>
      <c r="BD22" s="5">
        <f t="shared" si="10"/>
        <v>0</v>
      </c>
      <c r="BE22" s="5">
        <f t="shared" si="11"/>
        <v>0</v>
      </c>
      <c r="BF22" s="5">
        <f t="shared" si="12"/>
        <v>0</v>
      </c>
      <c r="BG22" s="5">
        <f t="shared" si="13"/>
        <v>0</v>
      </c>
      <c r="BH22" s="5">
        <f t="shared" si="14"/>
        <v>0</v>
      </c>
      <c r="BI22" s="5">
        <f t="shared" si="15"/>
        <v>0</v>
      </c>
      <c r="BJ22" s="5">
        <f t="shared" si="16"/>
        <v>0</v>
      </c>
      <c r="BK22" s="5">
        <f t="shared" si="17"/>
        <v>0</v>
      </c>
      <c r="BL22" s="5">
        <f t="shared" si="18"/>
        <v>0</v>
      </c>
      <c r="BM22" s="5">
        <f t="shared" si="19"/>
        <v>0</v>
      </c>
      <c r="BN22" s="5">
        <f t="shared" si="20"/>
        <v>0</v>
      </c>
      <c r="BO22" s="5">
        <f t="shared" si="21"/>
        <v>0</v>
      </c>
      <c r="BP22" s="5">
        <f t="shared" si="22"/>
        <v>0</v>
      </c>
      <c r="BQ22" s="5">
        <f t="shared" si="23"/>
        <v>0</v>
      </c>
      <c r="BR22" s="5">
        <f t="shared" si="24"/>
        <v>0</v>
      </c>
      <c r="BS22" s="5">
        <f t="shared" si="25"/>
        <v>0</v>
      </c>
      <c r="BT22" s="5">
        <f t="shared" si="26"/>
        <v>0</v>
      </c>
      <c r="BU22" s="5">
        <f t="shared" si="27"/>
        <v>0</v>
      </c>
      <c r="BV22" s="5">
        <f t="shared" ref="BV22:BW22" si="359">IF(OR(ISNUMBER(SEARCH("grit",$D22)),ISNUMBER(SEARCH("grit",$T22)),ISNUMBER(SEARCH("grit",$R22)),ISNUMBER(SEARCH("grit",$S22)),
ISNUMBER(SEARCH("determination",$D22)),ISNUMBER(SEARCH("determination",$T22)),ISNUMBER(SEARCH("determination",$R22)),ISNUMBER(SEARCH("determination",$S22)),
ISNUMBER(SEARCH("tenacity",$D22)),ISNUMBER(SEARCH("tenacity",$T22)),ISNUMBER(SEARCH("tenacity",$R22)),ISNUMBER(SEARCH("tenacity",$S22)),
ISNUMBER(SEARCH("endurance",$D22)),ISNUMBER(SEARCH("endurance",$T22)),ISNUMBER(SEARCH("endurance",$R22)),ISNUMBER(SEARCH("endurance",$S22)),
ISNUMBER(SEARCH("fortitude",$D22)),ISNUMBER(SEARCH("fortitude",$T22)),ISNUMBER(SEARCH("fortitude",$R22)),ISNUMBER(SEARCH("fortitude",$S22)),
ISNUMBER(SEARCH("resolve",$D22)),ISNUMBER(SEARCH("resolve",$T22)),ISNUMBER(SEARCH("resolve",$R22)),ISNUMBER(SEARCH("resolve",$S22)),
ISNUMBER(SEARCH("stamina",$D22)),ISNUMBER(SEARCH("stamina",$T22)),ISNUMBER(SEARCH("stamina",$R22)),ISNUMBER(SEARCH("stamina",$S22)),
ISNUMBER(SEARCH("guts",$D22)),ISNUMBER(SEARCH("guts",$T22)),ISNUMBER(SEARCH("guts",$R22)),ISNUMBER(SEARCH("guts",$S22)),
ISNUMBER(SEARCH("spunk",$D22)),ISNUMBER(SEARCH("spunk",$T22)),ISNUMBER(SEARCH("spunk",$R22)),ISNUMBER(SEARCH("spunk",$S22))), 1, 0)</f>
        <v>0</v>
      </c>
      <c r="BW22" s="5">
        <f t="shared" si="359"/>
        <v>0</v>
      </c>
      <c r="BX22" s="5">
        <f t="shared" si="29"/>
        <v>0</v>
      </c>
      <c r="BY22" s="5">
        <f t="shared" si="30"/>
        <v>0</v>
      </c>
      <c r="BZ22" s="5">
        <f t="shared" si="31"/>
        <v>0</v>
      </c>
      <c r="CA22" s="5">
        <f t="shared" si="32"/>
        <v>0</v>
      </c>
      <c r="CB22" s="5">
        <f t="shared" si="33"/>
        <v>0</v>
      </c>
      <c r="CC22" s="5">
        <f t="shared" si="34"/>
        <v>0</v>
      </c>
      <c r="CD22" s="5">
        <f t="shared" si="35"/>
        <v>0</v>
      </c>
      <c r="CE22" s="5">
        <f t="shared" si="36"/>
        <v>0</v>
      </c>
      <c r="CF22" s="5">
        <f t="shared" si="37"/>
        <v>0</v>
      </c>
      <c r="CG22" s="5">
        <f t="shared" si="38"/>
        <v>0</v>
      </c>
      <c r="CH22" s="5">
        <f t="shared" si="39"/>
        <v>0</v>
      </c>
      <c r="CI22" s="5">
        <f t="shared" si="40"/>
        <v>0</v>
      </c>
      <c r="CJ22" s="5">
        <f t="shared" si="41"/>
        <v>0</v>
      </c>
      <c r="CK22" s="5">
        <f t="shared" si="42"/>
        <v>0</v>
      </c>
      <c r="CL22" s="5">
        <f t="shared" si="43"/>
        <v>0</v>
      </c>
      <c r="CM22" s="5">
        <f t="shared" si="44"/>
        <v>0</v>
      </c>
      <c r="CN22" s="5">
        <f t="shared" si="45"/>
        <v>0</v>
      </c>
      <c r="CO22" s="5">
        <f t="shared" si="46"/>
        <v>0</v>
      </c>
      <c r="CP22" s="6">
        <f t="shared" si="47"/>
        <v>0</v>
      </c>
      <c r="CQ22" s="6">
        <f t="shared" si="48"/>
        <v>0</v>
      </c>
      <c r="CR22" s="6">
        <f t="shared" si="49"/>
        <v>0</v>
      </c>
      <c r="CS22" s="6">
        <f t="shared" si="50"/>
        <v>0</v>
      </c>
      <c r="CT22" s="6">
        <f t="shared" si="51"/>
        <v>0</v>
      </c>
      <c r="CU22" s="6">
        <f t="shared" si="52"/>
        <v>0</v>
      </c>
      <c r="CV22" s="6">
        <f t="shared" si="53"/>
        <v>0</v>
      </c>
      <c r="CW22" s="6">
        <f t="shared" si="54"/>
        <v>0</v>
      </c>
      <c r="CX22" s="6">
        <f t="shared" si="55"/>
        <v>0</v>
      </c>
      <c r="CY22" s="6">
        <f t="shared" si="56"/>
        <v>0</v>
      </c>
      <c r="CZ22" s="6">
        <f t="shared" si="57"/>
        <v>0</v>
      </c>
      <c r="DA22" s="6">
        <f t="shared" si="58"/>
        <v>0</v>
      </c>
      <c r="DB22" s="6">
        <f t="shared" si="59"/>
        <v>0</v>
      </c>
      <c r="DC22" s="6">
        <f t="shared" si="60"/>
        <v>0</v>
      </c>
      <c r="DD22" s="6">
        <f t="shared" si="61"/>
        <v>0</v>
      </c>
      <c r="DE22" s="6">
        <f t="shared" si="62"/>
        <v>0</v>
      </c>
      <c r="DF22" s="6">
        <f t="shared" si="63"/>
        <v>0</v>
      </c>
      <c r="DG22" s="6">
        <f t="shared" si="64"/>
        <v>0</v>
      </c>
      <c r="DH22" s="6">
        <f t="shared" si="353"/>
        <v>0</v>
      </c>
      <c r="DI22" s="6">
        <f t="shared" si="66"/>
        <v>0</v>
      </c>
      <c r="DJ22" s="6">
        <f t="shared" si="67"/>
        <v>0</v>
      </c>
      <c r="DK22" s="7">
        <f t="shared" si="68"/>
        <v>0</v>
      </c>
      <c r="DL22" s="7">
        <f t="shared" si="350"/>
        <v>0</v>
      </c>
      <c r="DM22" s="7">
        <f t="shared" si="70"/>
        <v>0</v>
      </c>
      <c r="DN22" s="7">
        <f t="shared" si="71"/>
        <v>0</v>
      </c>
      <c r="DO22" s="7">
        <f t="shared" si="72"/>
        <v>1</v>
      </c>
      <c r="DP22" s="8">
        <f t="shared" si="73"/>
        <v>0</v>
      </c>
      <c r="DQ22" s="8">
        <f t="shared" si="74"/>
        <v>1</v>
      </c>
      <c r="DR22" s="7">
        <f t="shared" si="75"/>
        <v>0</v>
      </c>
      <c r="DS22" s="7">
        <f t="shared" si="76"/>
        <v>0</v>
      </c>
      <c r="DT22" s="7">
        <f t="shared" si="77"/>
        <v>0</v>
      </c>
      <c r="DU22" s="9">
        <f t="shared" si="78"/>
        <v>0</v>
      </c>
      <c r="DV22" s="9">
        <f t="shared" si="79"/>
        <v>0</v>
      </c>
      <c r="DW22" s="9">
        <f t="shared" si="80"/>
        <v>0</v>
      </c>
      <c r="DX22" s="9">
        <f t="shared" si="81"/>
        <v>0</v>
      </c>
      <c r="DY22" s="9">
        <f t="shared" si="82"/>
        <v>0</v>
      </c>
      <c r="DZ22" s="9">
        <f t="shared" si="83"/>
        <v>0</v>
      </c>
      <c r="EA22" s="9">
        <f t="shared" si="84"/>
        <v>0</v>
      </c>
      <c r="EB22" s="9">
        <f t="shared" si="85"/>
        <v>0</v>
      </c>
      <c r="EC22" s="9">
        <f t="shared" si="86"/>
        <v>0</v>
      </c>
      <c r="ED22" s="9">
        <f t="shared" si="87"/>
        <v>0</v>
      </c>
      <c r="EE22" s="9">
        <f t="shared" si="88"/>
        <v>0</v>
      </c>
      <c r="EF22" s="9">
        <f t="shared" si="89"/>
        <v>0</v>
      </c>
      <c r="EG22" s="9">
        <f t="shared" si="90"/>
        <v>0</v>
      </c>
      <c r="EH22" s="9">
        <f t="shared" si="91"/>
        <v>0</v>
      </c>
      <c r="EI22" s="9">
        <f t="shared" si="92"/>
        <v>0</v>
      </c>
      <c r="EJ22" s="10">
        <f t="shared" si="93"/>
        <v>0</v>
      </c>
      <c r="EK22" s="10">
        <f t="shared" si="94"/>
        <v>0</v>
      </c>
      <c r="EL22" s="10">
        <f t="shared" ref="EL22:EM22" si="360">IF(OR(ISNUMBER(SEARCH("ai software toolkit", $D22)), ISNUMBER(SEARCH("ai software toolkit", $T22)), ISNUMBER(SEARCH("ai software toolkit", $R22)), ISNUMBER(SEARCH("ai software toolkit", $S22))), 1, 0)</f>
        <v>0</v>
      </c>
      <c r="EM22" s="10">
        <f t="shared" si="360"/>
        <v>0</v>
      </c>
      <c r="EN22" s="10">
        <f t="shared" si="96"/>
        <v>0</v>
      </c>
      <c r="EO22" s="10">
        <f t="shared" si="97"/>
        <v>0</v>
      </c>
      <c r="EP22" s="10">
        <f t="shared" si="98"/>
        <v>0</v>
      </c>
      <c r="EQ22" s="10">
        <f t="shared" si="99"/>
        <v>0</v>
      </c>
      <c r="ER22" s="10">
        <f t="shared" si="100"/>
        <v>0</v>
      </c>
      <c r="ES22" s="10">
        <f t="shared" si="101"/>
        <v>0</v>
      </c>
      <c r="ET22" s="10">
        <f t="shared" si="102"/>
        <v>0</v>
      </c>
      <c r="EU22" s="10">
        <f t="shared" si="103"/>
        <v>0</v>
      </c>
      <c r="EV22" s="10">
        <f t="shared" si="104"/>
        <v>0</v>
      </c>
      <c r="EW22" s="10">
        <f t="shared" si="105"/>
        <v>0</v>
      </c>
      <c r="EX22" s="10">
        <f t="shared" si="106"/>
        <v>0</v>
      </c>
      <c r="EY22" s="10">
        <f t="shared" si="107"/>
        <v>0</v>
      </c>
      <c r="EZ22" s="10">
        <f t="shared" si="108"/>
        <v>0</v>
      </c>
      <c r="FA22" s="10">
        <f t="shared" si="109"/>
        <v>0</v>
      </c>
      <c r="FB22" s="10">
        <f t="shared" si="110"/>
        <v>0</v>
      </c>
      <c r="FC22" s="10">
        <f t="shared" si="111"/>
        <v>0</v>
      </c>
      <c r="FD22" s="10">
        <f t="shared" si="112"/>
        <v>0</v>
      </c>
      <c r="FE22" s="10">
        <f t="shared" si="113"/>
        <v>0</v>
      </c>
      <c r="FF22" s="10">
        <f t="shared" si="114"/>
        <v>0</v>
      </c>
      <c r="FG22" s="10">
        <f t="shared" si="115"/>
        <v>0</v>
      </c>
      <c r="FH22" s="10">
        <f t="shared" si="116"/>
        <v>0</v>
      </c>
      <c r="FI22" s="10">
        <f t="shared" si="117"/>
        <v>0</v>
      </c>
      <c r="FJ22" s="10">
        <f t="shared" si="118"/>
        <v>0</v>
      </c>
      <c r="FK22" s="10">
        <f t="shared" si="119"/>
        <v>0</v>
      </c>
      <c r="FL22" s="10">
        <f t="shared" si="120"/>
        <v>0</v>
      </c>
      <c r="FM22" s="10">
        <f t="shared" si="121"/>
        <v>0</v>
      </c>
      <c r="FN22" s="10">
        <f t="shared" si="122"/>
        <v>0</v>
      </c>
      <c r="FO22" s="10">
        <f t="shared" si="123"/>
        <v>0</v>
      </c>
      <c r="FP22" s="10">
        <f t="shared" si="124"/>
        <v>0</v>
      </c>
      <c r="FQ22" s="10">
        <f t="shared" si="125"/>
        <v>0</v>
      </c>
      <c r="FR22" s="11">
        <f>IF(
OR(
ISNUMBER(SEARCH("chatbot",$D22)),ISNUMBER(SEARCH("chatbot",$T22)),ISNUMBER(SEARCH("chatbot",$R21)),ISNUMBER(SEARCH("chatbot",$S22)),
ISNUMBER(SEARCH("virtual assistance",$D22)),ISNUMBER(SEARCH("virtual assistance",$T22)),ISNUMBER(SEARCH("virtual assistance",$R22)),ISNUMBER(SEARCH("virtual assistance",$S22))), 1, 0)</f>
        <v>0</v>
      </c>
      <c r="FS22" s="11">
        <f t="shared" si="127"/>
        <v>0</v>
      </c>
      <c r="FT22" s="11">
        <f t="shared" si="128"/>
        <v>0</v>
      </c>
      <c r="FU22" s="11">
        <f t="shared" si="129"/>
        <v>0</v>
      </c>
      <c r="FV22" s="11">
        <f t="shared" si="130"/>
        <v>0</v>
      </c>
      <c r="FW22" s="11">
        <f t="shared" si="131"/>
        <v>0</v>
      </c>
      <c r="FX22" s="11">
        <f t="shared" si="132"/>
        <v>0</v>
      </c>
      <c r="FY22" s="11">
        <f t="shared" si="133"/>
        <v>0</v>
      </c>
      <c r="FZ22" s="11">
        <f t="shared" si="134"/>
        <v>0</v>
      </c>
      <c r="GA22" s="11">
        <f t="shared" si="135"/>
        <v>0</v>
      </c>
      <c r="GB22" s="11">
        <f t="shared" si="136"/>
        <v>0</v>
      </c>
      <c r="GC22" s="11">
        <f t="shared" si="137"/>
        <v>0</v>
      </c>
      <c r="GD22" s="11">
        <f t="shared" si="138"/>
        <v>0</v>
      </c>
      <c r="GE22" s="11">
        <f t="shared" si="139"/>
        <v>0</v>
      </c>
      <c r="GF22" s="11">
        <f t="shared" si="140"/>
        <v>0</v>
      </c>
      <c r="GG22" s="11">
        <f t="shared" si="141"/>
        <v>0</v>
      </c>
      <c r="GH22" s="11">
        <f t="shared" si="142"/>
        <v>0</v>
      </c>
      <c r="GI22" s="11">
        <f t="shared" si="143"/>
        <v>0</v>
      </c>
      <c r="GJ22" s="11">
        <f t="shared" si="144"/>
        <v>0</v>
      </c>
      <c r="GK22" s="11">
        <f t="shared" si="145"/>
        <v>0</v>
      </c>
      <c r="GL22" s="11">
        <f t="shared" si="146"/>
        <v>0</v>
      </c>
      <c r="GM22" s="11">
        <f t="shared" si="147"/>
        <v>0</v>
      </c>
      <c r="GN22" s="11">
        <f t="shared" si="148"/>
        <v>0</v>
      </c>
      <c r="GO22" s="11">
        <f t="shared" si="149"/>
        <v>0</v>
      </c>
      <c r="GP22" s="11">
        <f t="shared" si="150"/>
        <v>0</v>
      </c>
      <c r="GQ22" s="11">
        <f t="shared" si="151"/>
        <v>0</v>
      </c>
      <c r="GR22" s="11">
        <f t="shared" si="152"/>
        <v>0</v>
      </c>
      <c r="GS22" s="11">
        <f t="shared" si="153"/>
        <v>0</v>
      </c>
      <c r="GT22" s="11">
        <f t="shared" si="154"/>
        <v>0</v>
      </c>
      <c r="GU22" s="12">
        <f t="shared" si="155"/>
        <v>0</v>
      </c>
      <c r="GV22" s="12">
        <f t="shared" si="156"/>
        <v>0</v>
      </c>
      <c r="GW22" s="12">
        <f t="shared" si="157"/>
        <v>0</v>
      </c>
      <c r="GX22" s="12">
        <f t="shared" si="158"/>
        <v>0</v>
      </c>
      <c r="GY22" s="12">
        <f t="shared" si="159"/>
        <v>0</v>
      </c>
      <c r="GZ22" s="12">
        <f t="shared" si="160"/>
        <v>0</v>
      </c>
      <c r="HA22" s="12">
        <f t="shared" si="161"/>
        <v>0</v>
      </c>
      <c r="HB22" s="12">
        <f t="shared" si="162"/>
        <v>0</v>
      </c>
      <c r="HC22" s="12">
        <f t="shared" si="163"/>
        <v>0</v>
      </c>
      <c r="HD22" s="12">
        <f t="shared" si="164"/>
        <v>0</v>
      </c>
      <c r="HE22" s="12">
        <f t="shared" si="165"/>
        <v>0</v>
      </c>
      <c r="HF22" s="12">
        <f t="shared" si="166"/>
        <v>0</v>
      </c>
      <c r="HG22" s="12">
        <f t="shared" si="167"/>
        <v>0</v>
      </c>
      <c r="HH22" s="12">
        <f t="shared" si="168"/>
        <v>0</v>
      </c>
      <c r="HI22" s="12">
        <f t="shared" si="169"/>
        <v>0</v>
      </c>
      <c r="HJ22" s="12">
        <f t="shared" si="170"/>
        <v>0</v>
      </c>
      <c r="HK22" s="12">
        <f t="shared" si="171"/>
        <v>0</v>
      </c>
      <c r="HL22" s="12">
        <f t="shared" si="172"/>
        <v>0</v>
      </c>
      <c r="HM22" s="12">
        <f t="shared" si="173"/>
        <v>0</v>
      </c>
      <c r="HN22" s="12">
        <f t="shared" si="174"/>
        <v>0</v>
      </c>
      <c r="HO22" s="12">
        <f t="shared" si="175"/>
        <v>0</v>
      </c>
      <c r="HP22" s="12">
        <f t="shared" si="176"/>
        <v>0</v>
      </c>
      <c r="HQ22" s="12">
        <f t="shared" si="177"/>
        <v>0</v>
      </c>
      <c r="HR22" s="12">
        <f t="shared" si="178"/>
        <v>0</v>
      </c>
      <c r="HS22" s="12">
        <f t="shared" si="179"/>
        <v>0</v>
      </c>
      <c r="HT22" s="12">
        <f t="shared" si="180"/>
        <v>0</v>
      </c>
      <c r="HU22" s="12">
        <f t="shared" si="181"/>
        <v>0</v>
      </c>
      <c r="HV22" s="12">
        <f t="shared" si="182"/>
        <v>0</v>
      </c>
      <c r="HW22" s="12">
        <f t="shared" si="183"/>
        <v>0</v>
      </c>
      <c r="HX22" s="12">
        <f t="shared" si="184"/>
        <v>0</v>
      </c>
      <c r="HY22" s="12">
        <f t="shared" si="185"/>
        <v>0</v>
      </c>
      <c r="HZ22" s="12">
        <f t="shared" si="186"/>
        <v>0</v>
      </c>
      <c r="IA22" s="12">
        <f t="shared" si="187"/>
        <v>0</v>
      </c>
      <c r="IB22" s="12">
        <f t="shared" si="188"/>
        <v>0</v>
      </c>
      <c r="IC22" s="12">
        <f t="shared" si="189"/>
        <v>0</v>
      </c>
      <c r="ID22" s="12">
        <f t="shared" si="190"/>
        <v>0</v>
      </c>
      <c r="IE22" s="12">
        <f t="shared" si="191"/>
        <v>0</v>
      </c>
      <c r="IF22" s="12">
        <f t="shared" si="192"/>
        <v>0</v>
      </c>
      <c r="IG22" s="12">
        <f t="shared" si="193"/>
        <v>0</v>
      </c>
      <c r="IH22" s="12">
        <f t="shared" si="194"/>
        <v>0</v>
      </c>
      <c r="II22" s="12">
        <f t="shared" si="195"/>
        <v>0</v>
      </c>
      <c r="IJ22" s="12">
        <f t="shared" si="196"/>
        <v>0</v>
      </c>
      <c r="IK22" s="12">
        <f t="shared" si="197"/>
        <v>0</v>
      </c>
      <c r="IL22" s="12">
        <f t="shared" si="198"/>
        <v>0</v>
      </c>
      <c r="IM22" s="12">
        <f t="shared" si="199"/>
        <v>0</v>
      </c>
      <c r="IN22" s="12">
        <f t="shared" si="200"/>
        <v>0</v>
      </c>
      <c r="IO22" s="12">
        <f t="shared" si="201"/>
        <v>0</v>
      </c>
      <c r="IP22" s="12">
        <f t="shared" si="202"/>
        <v>0</v>
      </c>
      <c r="IQ22" s="12">
        <f t="shared" si="203"/>
        <v>0</v>
      </c>
      <c r="IR22" s="12">
        <f t="shared" si="204"/>
        <v>0</v>
      </c>
      <c r="IS22" s="12">
        <f t="shared" si="205"/>
        <v>0</v>
      </c>
      <c r="IT22" s="12">
        <f t="shared" si="206"/>
        <v>0</v>
      </c>
      <c r="IU22" s="12">
        <f t="shared" si="207"/>
        <v>0</v>
      </c>
      <c r="IV22" s="12">
        <f t="shared" si="208"/>
        <v>0</v>
      </c>
      <c r="IW22" s="12">
        <f t="shared" si="209"/>
        <v>0</v>
      </c>
      <c r="IX22" s="12">
        <f t="shared" si="210"/>
        <v>0</v>
      </c>
      <c r="IY22" s="12">
        <f t="shared" si="211"/>
        <v>0</v>
      </c>
      <c r="IZ22" s="12">
        <f t="shared" si="212"/>
        <v>0</v>
      </c>
      <c r="JA22" s="13">
        <f t="shared" si="213"/>
        <v>0</v>
      </c>
      <c r="JB22" s="13">
        <f t="shared" si="214"/>
        <v>0</v>
      </c>
      <c r="JC22" s="13">
        <f t="shared" si="215"/>
        <v>0</v>
      </c>
      <c r="JD22" s="13">
        <f t="shared" si="216"/>
        <v>0</v>
      </c>
      <c r="JE22" s="13">
        <f t="shared" si="217"/>
        <v>0</v>
      </c>
      <c r="JF22" s="13">
        <f t="shared" si="218"/>
        <v>0</v>
      </c>
      <c r="JG22" s="13">
        <f t="shared" si="219"/>
        <v>0</v>
      </c>
      <c r="JH22" s="13">
        <f t="shared" si="220"/>
        <v>0</v>
      </c>
      <c r="JI22" s="13">
        <f t="shared" si="221"/>
        <v>0</v>
      </c>
      <c r="JJ22" s="13">
        <f t="shared" si="222"/>
        <v>0</v>
      </c>
      <c r="JK22" s="13">
        <f t="shared" si="223"/>
        <v>0</v>
      </c>
      <c r="JL22" s="13">
        <f t="shared" si="224"/>
        <v>0</v>
      </c>
      <c r="JM22" s="13">
        <f t="shared" si="225"/>
        <v>0</v>
      </c>
      <c r="JN22" s="13">
        <f t="shared" si="226"/>
        <v>0</v>
      </c>
      <c r="JO22" s="13">
        <f t="shared" si="227"/>
        <v>0</v>
      </c>
      <c r="JP22" s="13">
        <f t="shared" si="228"/>
        <v>0</v>
      </c>
      <c r="JQ22" s="13">
        <f t="shared" si="229"/>
        <v>0</v>
      </c>
      <c r="JR22" s="13">
        <f t="shared" si="230"/>
        <v>0</v>
      </c>
      <c r="JS22" s="13">
        <f t="shared" si="231"/>
        <v>0</v>
      </c>
      <c r="JT22" s="13">
        <f t="shared" si="232"/>
        <v>0</v>
      </c>
      <c r="JU22" s="13">
        <f t="shared" si="233"/>
        <v>0</v>
      </c>
      <c r="JV22" s="12">
        <f t="shared" si="234"/>
        <v>0</v>
      </c>
      <c r="JW22" s="12">
        <f t="shared" si="235"/>
        <v>0</v>
      </c>
      <c r="JX22" s="12">
        <f t="shared" si="236"/>
        <v>0</v>
      </c>
      <c r="JY22" s="12">
        <f t="shared" si="237"/>
        <v>0</v>
      </c>
      <c r="JZ22" s="12">
        <f t="shared" si="238"/>
        <v>0</v>
      </c>
      <c r="KA22" s="12">
        <f t="shared" si="239"/>
        <v>0</v>
      </c>
      <c r="KB22" s="12">
        <f t="shared" si="240"/>
        <v>0</v>
      </c>
      <c r="KC22" s="12">
        <f t="shared" si="241"/>
        <v>0</v>
      </c>
      <c r="KD22" s="12">
        <f t="shared" si="242"/>
        <v>0</v>
      </c>
      <c r="KE22" s="12">
        <f t="shared" si="243"/>
        <v>0</v>
      </c>
      <c r="KF22" s="12">
        <f t="shared" si="244"/>
        <v>0</v>
      </c>
      <c r="KG22" s="12">
        <f t="shared" si="245"/>
        <v>0</v>
      </c>
      <c r="KH22" s="12">
        <f t="shared" si="246"/>
        <v>0</v>
      </c>
      <c r="KI22" s="12">
        <f t="shared" si="247"/>
        <v>0</v>
      </c>
      <c r="KJ22" s="12">
        <f t="shared" si="248"/>
        <v>0</v>
      </c>
      <c r="KK22" s="12">
        <f t="shared" si="249"/>
        <v>0</v>
      </c>
      <c r="KL22" s="12">
        <f t="shared" si="250"/>
        <v>0</v>
      </c>
      <c r="KM22" s="12">
        <f t="shared" si="251"/>
        <v>0</v>
      </c>
      <c r="KN22" s="12">
        <f t="shared" si="252"/>
        <v>0</v>
      </c>
      <c r="KO22" s="12">
        <f t="shared" si="253"/>
        <v>0</v>
      </c>
      <c r="KP22" s="12">
        <f t="shared" si="254"/>
        <v>0</v>
      </c>
      <c r="KQ22" s="12">
        <f t="shared" si="255"/>
        <v>0</v>
      </c>
      <c r="KR22" s="12">
        <f t="shared" si="256"/>
        <v>0</v>
      </c>
      <c r="KS22" s="12">
        <f t="shared" si="257"/>
        <v>0</v>
      </c>
      <c r="KT22" s="12">
        <f t="shared" si="258"/>
        <v>0</v>
      </c>
      <c r="KU22" s="12">
        <f t="shared" si="259"/>
        <v>0</v>
      </c>
      <c r="KV22" s="12">
        <f t="shared" si="260"/>
        <v>0</v>
      </c>
      <c r="KW22" s="12">
        <f t="shared" si="261"/>
        <v>0</v>
      </c>
      <c r="KX22" s="12">
        <f t="shared" si="262"/>
        <v>0</v>
      </c>
      <c r="KY22" s="12">
        <f t="shared" si="263"/>
        <v>0</v>
      </c>
      <c r="KZ22" s="12">
        <f t="shared" si="264"/>
        <v>0</v>
      </c>
      <c r="LA22" s="12">
        <f t="shared" si="265"/>
        <v>0</v>
      </c>
      <c r="LB22" s="12">
        <f t="shared" si="266"/>
        <v>0</v>
      </c>
      <c r="LC22" s="12">
        <f t="shared" si="267"/>
        <v>0</v>
      </c>
      <c r="LD22" s="12">
        <f t="shared" si="268"/>
        <v>0</v>
      </c>
      <c r="LE22" s="12">
        <f t="shared" si="269"/>
        <v>0</v>
      </c>
      <c r="LF22" s="12">
        <f t="shared" si="270"/>
        <v>0</v>
      </c>
      <c r="LG22" s="12">
        <f t="shared" si="271"/>
        <v>0</v>
      </c>
      <c r="LH22" s="12">
        <f t="shared" si="272"/>
        <v>0</v>
      </c>
      <c r="LI22" s="12">
        <f t="shared" si="273"/>
        <v>0</v>
      </c>
      <c r="LJ22" s="12">
        <f t="shared" si="274"/>
        <v>0</v>
      </c>
      <c r="LK22" s="12">
        <f t="shared" si="275"/>
        <v>0</v>
      </c>
      <c r="LL22" s="12">
        <f t="shared" si="276"/>
        <v>0</v>
      </c>
      <c r="LM22" s="12">
        <f t="shared" si="277"/>
        <v>0</v>
      </c>
      <c r="LN22" s="12">
        <f t="shared" si="278"/>
        <v>0</v>
      </c>
      <c r="LO22" s="12">
        <f t="shared" si="279"/>
        <v>0</v>
      </c>
      <c r="LP22" s="12">
        <f t="shared" si="280"/>
        <v>0</v>
      </c>
      <c r="LQ22" s="12">
        <f t="shared" si="281"/>
        <v>0</v>
      </c>
      <c r="LR22" s="12">
        <f t="shared" si="282"/>
        <v>0</v>
      </c>
      <c r="LS22" s="12">
        <f t="shared" si="283"/>
        <v>0</v>
      </c>
      <c r="LT22" s="13">
        <f t="shared" si="284"/>
        <v>0</v>
      </c>
      <c r="LU22" s="13">
        <f t="shared" si="285"/>
        <v>0</v>
      </c>
      <c r="LV22" s="13">
        <f t="shared" si="286"/>
        <v>0</v>
      </c>
      <c r="LW22" s="13">
        <f t="shared" si="287"/>
        <v>0</v>
      </c>
      <c r="LX22" s="13">
        <f t="shared" si="288"/>
        <v>0</v>
      </c>
      <c r="LY22" s="13">
        <f t="shared" si="289"/>
        <v>0</v>
      </c>
      <c r="LZ22" s="13">
        <f t="shared" si="290"/>
        <v>0</v>
      </c>
      <c r="MA22" s="13">
        <f t="shared" si="291"/>
        <v>0</v>
      </c>
      <c r="MB22" s="13">
        <f t="shared" si="292"/>
        <v>0</v>
      </c>
      <c r="MC22" s="13">
        <f t="shared" si="293"/>
        <v>0</v>
      </c>
      <c r="MD22" s="13">
        <f t="shared" si="294"/>
        <v>0</v>
      </c>
      <c r="ME22" s="13">
        <f t="shared" si="295"/>
        <v>0</v>
      </c>
      <c r="MF22" s="13">
        <f t="shared" si="296"/>
        <v>0</v>
      </c>
      <c r="MG22" s="13">
        <f t="shared" si="297"/>
        <v>0</v>
      </c>
      <c r="MH22" s="13">
        <f t="shared" si="298"/>
        <v>0</v>
      </c>
      <c r="MI22" s="13">
        <f t="shared" si="299"/>
        <v>0</v>
      </c>
      <c r="MJ22" s="13">
        <f t="shared" si="300"/>
        <v>0</v>
      </c>
      <c r="MK22" s="13">
        <f t="shared" si="301"/>
        <v>0</v>
      </c>
      <c r="ML22" s="14">
        <f t="shared" si="302"/>
        <v>0</v>
      </c>
      <c r="MM22" s="14">
        <f t="shared" si="303"/>
        <v>0</v>
      </c>
      <c r="MN22" s="14">
        <f t="shared" si="304"/>
        <v>0</v>
      </c>
      <c r="MO22" s="14">
        <f t="shared" si="305"/>
        <v>0</v>
      </c>
      <c r="MP22" s="14">
        <f t="shared" si="306"/>
        <v>0</v>
      </c>
      <c r="MQ22" s="14">
        <f t="shared" si="307"/>
        <v>0</v>
      </c>
      <c r="MR22" s="14">
        <f t="shared" si="308"/>
        <v>0</v>
      </c>
      <c r="MS22" s="14">
        <f t="shared" si="309"/>
        <v>0</v>
      </c>
      <c r="MT22" s="14">
        <f t="shared" si="310"/>
        <v>0</v>
      </c>
      <c r="MU22" s="14">
        <f t="shared" si="311"/>
        <v>0</v>
      </c>
      <c r="MV22" s="14">
        <f t="shared" si="312"/>
        <v>0</v>
      </c>
      <c r="MW22" s="14">
        <f t="shared" si="313"/>
        <v>0</v>
      </c>
      <c r="MX22" s="14">
        <f t="shared" si="314"/>
        <v>0</v>
      </c>
      <c r="MY22" s="14">
        <f t="shared" si="315"/>
        <v>0</v>
      </c>
      <c r="MZ22" s="14">
        <f t="shared" si="316"/>
        <v>0</v>
      </c>
      <c r="NA22" s="14">
        <f t="shared" si="317"/>
        <v>0</v>
      </c>
      <c r="NB22" s="14">
        <f t="shared" si="318"/>
        <v>0</v>
      </c>
    </row>
    <row r="23" ht="15.75" customHeight="1">
      <c r="A23" s="2">
        <v>160.0</v>
      </c>
      <c r="B23" s="2" t="s">
        <v>759</v>
      </c>
      <c r="C23" s="2" t="s">
        <v>760</v>
      </c>
      <c r="D23" s="2" t="s">
        <v>761</v>
      </c>
      <c r="E23" s="2">
        <v>2021.0</v>
      </c>
      <c r="F23" s="2" t="s">
        <v>762</v>
      </c>
      <c r="G23" s="2" t="s">
        <v>694</v>
      </c>
      <c r="H23" s="2" t="s">
        <v>392</v>
      </c>
      <c r="I23" s="2" t="s">
        <v>763</v>
      </c>
      <c r="J23" s="2" t="s">
        <v>392</v>
      </c>
      <c r="K23" s="2" t="s">
        <v>694</v>
      </c>
      <c r="M23" s="2">
        <v>71.0</v>
      </c>
      <c r="N23" s="2" t="s">
        <v>764</v>
      </c>
      <c r="O23" s="2" t="s">
        <v>765</v>
      </c>
      <c r="P23" s="2" t="s">
        <v>766</v>
      </c>
      <c r="Q23" s="2" t="s">
        <v>767</v>
      </c>
      <c r="R23" s="2" t="s">
        <v>768</v>
      </c>
      <c r="S23" s="2" t="s">
        <v>769</v>
      </c>
      <c r="T23" s="2" t="s">
        <v>770</v>
      </c>
      <c r="Y23" s="2" t="s">
        <v>771</v>
      </c>
      <c r="AB23" s="2" t="s">
        <v>687</v>
      </c>
      <c r="AG23" s="2" t="s">
        <v>772</v>
      </c>
      <c r="AJ23" s="2">
        <v>3.3401373E7</v>
      </c>
      <c r="AK23" s="2" t="s">
        <v>773</v>
      </c>
      <c r="AL23" s="2" t="s">
        <v>384</v>
      </c>
      <c r="AM23" s="2" t="s">
        <v>484</v>
      </c>
      <c r="AN23" s="2" t="s">
        <v>386</v>
      </c>
      <c r="AO23" s="2" t="s">
        <v>774</v>
      </c>
      <c r="AP23" s="2" t="s">
        <v>386</v>
      </c>
      <c r="AQ23" s="2">
        <v>593.0</v>
      </c>
      <c r="AR23" s="2" t="s">
        <v>775</v>
      </c>
      <c r="AS23" s="2" t="b">
        <v>0</v>
      </c>
      <c r="AT23" s="3">
        <v>0.0</v>
      </c>
      <c r="AU23" s="4"/>
      <c r="AV23" s="4"/>
      <c r="AW23" s="5">
        <f t="shared" si="3"/>
        <v>0</v>
      </c>
      <c r="AX23" s="5">
        <f t="shared" si="4"/>
        <v>0</v>
      </c>
      <c r="AY23" s="5">
        <f t="shared" si="5"/>
        <v>0</v>
      </c>
      <c r="AZ23" s="5">
        <f t="shared" si="6"/>
        <v>0</v>
      </c>
      <c r="BA23" s="5">
        <f t="shared" si="7"/>
        <v>0</v>
      </c>
      <c r="BB23" s="5">
        <f t="shared" si="8"/>
        <v>0</v>
      </c>
      <c r="BC23" s="5">
        <f t="shared" si="9"/>
        <v>0</v>
      </c>
      <c r="BD23" s="5">
        <f t="shared" si="10"/>
        <v>0</v>
      </c>
      <c r="BE23" s="5">
        <f t="shared" si="11"/>
        <v>0</v>
      </c>
      <c r="BF23" s="5">
        <f t="shared" si="12"/>
        <v>0</v>
      </c>
      <c r="BG23" s="5">
        <f t="shared" si="13"/>
        <v>0</v>
      </c>
      <c r="BH23" s="5">
        <f t="shared" si="14"/>
        <v>0</v>
      </c>
      <c r="BI23" s="5">
        <f t="shared" si="15"/>
        <v>0</v>
      </c>
      <c r="BJ23" s="5">
        <f t="shared" si="16"/>
        <v>0</v>
      </c>
      <c r="BK23" s="5">
        <f t="shared" si="17"/>
        <v>0</v>
      </c>
      <c r="BL23" s="5">
        <f t="shared" si="18"/>
        <v>0</v>
      </c>
      <c r="BM23" s="5">
        <f t="shared" si="19"/>
        <v>0</v>
      </c>
      <c r="BN23" s="5">
        <f t="shared" si="20"/>
        <v>0</v>
      </c>
      <c r="BO23" s="5">
        <f t="shared" si="21"/>
        <v>0</v>
      </c>
      <c r="BP23" s="5">
        <f t="shared" si="22"/>
        <v>0</v>
      </c>
      <c r="BQ23" s="5">
        <f t="shared" si="23"/>
        <v>0</v>
      </c>
      <c r="BR23" s="5">
        <f t="shared" si="24"/>
        <v>0</v>
      </c>
      <c r="BS23" s="5">
        <f t="shared" si="25"/>
        <v>0</v>
      </c>
      <c r="BT23" s="5">
        <f t="shared" si="26"/>
        <v>0</v>
      </c>
      <c r="BU23" s="5">
        <f t="shared" si="27"/>
        <v>0</v>
      </c>
      <c r="BV23" s="5">
        <f t="shared" ref="BV23:BW23" si="361">IF(OR(ISNUMBER(SEARCH("grit",$D23)),ISNUMBER(SEARCH("grit",$T23)),ISNUMBER(SEARCH("grit",$R23)),ISNUMBER(SEARCH("grit",$S23)),
ISNUMBER(SEARCH("determination",$D23)),ISNUMBER(SEARCH("determination",$T23)),ISNUMBER(SEARCH("determination",$R23)),ISNUMBER(SEARCH("determination",$S23)),
ISNUMBER(SEARCH("tenacity",$D23)),ISNUMBER(SEARCH("tenacity",$T23)),ISNUMBER(SEARCH("tenacity",$R23)),ISNUMBER(SEARCH("tenacity",$S23)),
ISNUMBER(SEARCH("endurance",$D23)),ISNUMBER(SEARCH("endurance",$T23)),ISNUMBER(SEARCH("endurance",$R23)),ISNUMBER(SEARCH("endurance",$S23)),
ISNUMBER(SEARCH("fortitude",$D23)),ISNUMBER(SEARCH("fortitude",$T23)),ISNUMBER(SEARCH("fortitude",$R23)),ISNUMBER(SEARCH("fortitude",$S23)),
ISNUMBER(SEARCH("resolve",$D23)),ISNUMBER(SEARCH("resolve",$T23)),ISNUMBER(SEARCH("resolve",$R23)),ISNUMBER(SEARCH("resolve",$S23)),
ISNUMBER(SEARCH("stamina",$D23)),ISNUMBER(SEARCH("stamina",$T23)),ISNUMBER(SEARCH("stamina",$R23)),ISNUMBER(SEARCH("stamina",$S23)),
ISNUMBER(SEARCH("guts",$D23)),ISNUMBER(SEARCH("guts",$T23)),ISNUMBER(SEARCH("guts",$R23)),ISNUMBER(SEARCH("guts",$S23)),
ISNUMBER(SEARCH("spunk",$D23)),ISNUMBER(SEARCH("spunk",$T23)),ISNUMBER(SEARCH("spunk",$R23)),ISNUMBER(SEARCH("spunk",$S23))), 1, 0)</f>
        <v>0</v>
      </c>
      <c r="BW23" s="5">
        <f t="shared" si="361"/>
        <v>0</v>
      </c>
      <c r="BX23" s="5">
        <f t="shared" si="29"/>
        <v>0</v>
      </c>
      <c r="BY23" s="5">
        <f t="shared" si="30"/>
        <v>0</v>
      </c>
      <c r="BZ23" s="5">
        <f t="shared" si="31"/>
        <v>0</v>
      </c>
      <c r="CA23" s="5">
        <f t="shared" si="32"/>
        <v>0</v>
      </c>
      <c r="CB23" s="5">
        <f t="shared" si="33"/>
        <v>0</v>
      </c>
      <c r="CC23" s="5">
        <f t="shared" si="34"/>
        <v>0</v>
      </c>
      <c r="CD23" s="5">
        <f t="shared" si="35"/>
        <v>0</v>
      </c>
      <c r="CE23" s="5">
        <f t="shared" si="36"/>
        <v>0</v>
      </c>
      <c r="CF23" s="5">
        <f t="shared" si="37"/>
        <v>0</v>
      </c>
      <c r="CG23" s="5">
        <f t="shared" si="38"/>
        <v>0</v>
      </c>
      <c r="CH23" s="5">
        <f t="shared" si="39"/>
        <v>0</v>
      </c>
      <c r="CI23" s="5">
        <f t="shared" si="40"/>
        <v>0</v>
      </c>
      <c r="CJ23" s="5">
        <f t="shared" si="41"/>
        <v>0</v>
      </c>
      <c r="CK23" s="5">
        <f t="shared" si="42"/>
        <v>0</v>
      </c>
      <c r="CL23" s="5">
        <f t="shared" si="43"/>
        <v>0</v>
      </c>
      <c r="CM23" s="5">
        <f t="shared" si="44"/>
        <v>0</v>
      </c>
      <c r="CN23" s="5">
        <f t="shared" si="45"/>
        <v>0</v>
      </c>
      <c r="CO23" s="5">
        <f t="shared" si="46"/>
        <v>0</v>
      </c>
      <c r="CP23" s="6">
        <f t="shared" si="47"/>
        <v>0</v>
      </c>
      <c r="CQ23" s="6">
        <f t="shared" si="48"/>
        <v>0</v>
      </c>
      <c r="CR23" s="6">
        <f t="shared" si="49"/>
        <v>0</v>
      </c>
      <c r="CS23" s="6">
        <f t="shared" si="50"/>
        <v>0</v>
      </c>
      <c r="CT23" s="6">
        <f t="shared" si="51"/>
        <v>0</v>
      </c>
      <c r="CU23" s="6">
        <f t="shared" si="52"/>
        <v>0</v>
      </c>
      <c r="CV23" s="6">
        <f t="shared" si="53"/>
        <v>0</v>
      </c>
      <c r="CW23" s="6">
        <f t="shared" si="54"/>
        <v>0</v>
      </c>
      <c r="CX23" s="6">
        <f t="shared" si="55"/>
        <v>0</v>
      </c>
      <c r="CY23" s="6">
        <f t="shared" si="56"/>
        <v>0</v>
      </c>
      <c r="CZ23" s="6">
        <f t="shared" si="57"/>
        <v>0</v>
      </c>
      <c r="DA23" s="6">
        <f t="shared" si="58"/>
        <v>0</v>
      </c>
      <c r="DB23" s="6">
        <f t="shared" si="59"/>
        <v>0</v>
      </c>
      <c r="DC23" s="6">
        <f t="shared" si="60"/>
        <v>0</v>
      </c>
      <c r="DD23" s="6">
        <f t="shared" si="61"/>
        <v>0</v>
      </c>
      <c r="DE23" s="6">
        <f t="shared" si="62"/>
        <v>0</v>
      </c>
      <c r="DF23" s="6">
        <f t="shared" si="63"/>
        <v>0</v>
      </c>
      <c r="DG23" s="6">
        <f t="shared" si="64"/>
        <v>0</v>
      </c>
      <c r="DH23" s="6">
        <f t="shared" si="353"/>
        <v>0</v>
      </c>
      <c r="DI23" s="6">
        <f t="shared" si="66"/>
        <v>0</v>
      </c>
      <c r="DJ23" s="6">
        <f t="shared" si="67"/>
        <v>0</v>
      </c>
      <c r="DK23" s="7">
        <f t="shared" si="68"/>
        <v>0</v>
      </c>
      <c r="DL23" s="7">
        <f t="shared" ref="DL23:DL25" si="364">IF(
OR(
ISNUMBER(SEARCH("common-sense reasoning",$D23)),ISNUMBER(SEARCH("common-sense reasoning",$T23)),ISNUMBER(SEARCH("common-sense reasoning",$R21)),ISNUMBER(SEARCH("common-sense reasoning",$S23)),
ISNUMBER(SEARCH("latent variable models",$D23)),ISNUMBER(SEARCH("latent variable models",$T23)),ISNUMBER(SEARCH("latent variable models",$R23)),ISNUMBER(SEARCH("latent variable models",$S23))), 1, 0)</f>
        <v>0</v>
      </c>
      <c r="DM23" s="7">
        <f t="shared" si="70"/>
        <v>0</v>
      </c>
      <c r="DN23" s="7">
        <f t="shared" si="71"/>
        <v>0</v>
      </c>
      <c r="DO23" s="7">
        <f t="shared" si="72"/>
        <v>0</v>
      </c>
      <c r="DP23" s="8">
        <f t="shared" si="73"/>
        <v>0</v>
      </c>
      <c r="DQ23" s="8">
        <f t="shared" si="74"/>
        <v>1</v>
      </c>
      <c r="DR23" s="7">
        <f t="shared" si="75"/>
        <v>0</v>
      </c>
      <c r="DS23" s="7">
        <f t="shared" si="76"/>
        <v>0</v>
      </c>
      <c r="DT23" s="7">
        <f t="shared" si="77"/>
        <v>0</v>
      </c>
      <c r="DU23" s="9">
        <f t="shared" si="78"/>
        <v>0</v>
      </c>
      <c r="DV23" s="9">
        <f t="shared" si="79"/>
        <v>0</v>
      </c>
      <c r="DW23" s="9">
        <f t="shared" si="80"/>
        <v>0</v>
      </c>
      <c r="DX23" s="9">
        <f t="shared" si="81"/>
        <v>0</v>
      </c>
      <c r="DY23" s="9">
        <f t="shared" si="82"/>
        <v>0</v>
      </c>
      <c r="DZ23" s="9">
        <f t="shared" si="83"/>
        <v>0</v>
      </c>
      <c r="EA23" s="9">
        <f t="shared" si="84"/>
        <v>0</v>
      </c>
      <c r="EB23" s="9">
        <f t="shared" si="85"/>
        <v>0</v>
      </c>
      <c r="EC23" s="9">
        <f t="shared" si="86"/>
        <v>0</v>
      </c>
      <c r="ED23" s="9">
        <f t="shared" si="87"/>
        <v>0</v>
      </c>
      <c r="EE23" s="9">
        <f t="shared" si="88"/>
        <v>0</v>
      </c>
      <c r="EF23" s="9">
        <f t="shared" si="89"/>
        <v>0</v>
      </c>
      <c r="EG23" s="9">
        <f t="shared" si="90"/>
        <v>0</v>
      </c>
      <c r="EH23" s="9">
        <f t="shared" si="91"/>
        <v>0</v>
      </c>
      <c r="EI23" s="9">
        <f t="shared" si="92"/>
        <v>0</v>
      </c>
      <c r="EJ23" s="10">
        <f t="shared" si="93"/>
        <v>1</v>
      </c>
      <c r="EK23" s="10">
        <f t="shared" si="94"/>
        <v>0</v>
      </c>
      <c r="EL23" s="10">
        <f t="shared" ref="EL23:EM23" si="362">IF(OR(ISNUMBER(SEARCH("ai software toolkit", $D23)), ISNUMBER(SEARCH("ai software toolkit", $T23)), ISNUMBER(SEARCH("ai software toolkit", $R23)), ISNUMBER(SEARCH("ai software toolkit", $S23))), 1, 0)</f>
        <v>0</v>
      </c>
      <c r="EM23" s="10">
        <f t="shared" si="362"/>
        <v>0</v>
      </c>
      <c r="EN23" s="10">
        <f t="shared" si="96"/>
        <v>0</v>
      </c>
      <c r="EO23" s="10">
        <f t="shared" si="97"/>
        <v>0</v>
      </c>
      <c r="EP23" s="10">
        <f t="shared" si="98"/>
        <v>0</v>
      </c>
      <c r="EQ23" s="10">
        <f t="shared" si="99"/>
        <v>0</v>
      </c>
      <c r="ER23" s="10">
        <f t="shared" si="100"/>
        <v>0</v>
      </c>
      <c r="ES23" s="10">
        <f t="shared" si="101"/>
        <v>0</v>
      </c>
      <c r="ET23" s="10">
        <f t="shared" si="102"/>
        <v>0</v>
      </c>
      <c r="EU23" s="10">
        <f t="shared" si="103"/>
        <v>0</v>
      </c>
      <c r="EV23" s="10">
        <f t="shared" si="104"/>
        <v>0</v>
      </c>
      <c r="EW23" s="10">
        <f t="shared" si="105"/>
        <v>0</v>
      </c>
      <c r="EX23" s="10">
        <f t="shared" si="106"/>
        <v>0</v>
      </c>
      <c r="EY23" s="10">
        <f t="shared" si="107"/>
        <v>0</v>
      </c>
      <c r="EZ23" s="10">
        <f t="shared" si="108"/>
        <v>0</v>
      </c>
      <c r="FA23" s="10">
        <f t="shared" si="109"/>
        <v>0</v>
      </c>
      <c r="FB23" s="10">
        <f t="shared" si="110"/>
        <v>0</v>
      </c>
      <c r="FC23" s="10">
        <f t="shared" si="111"/>
        <v>0</v>
      </c>
      <c r="FD23" s="10">
        <f t="shared" si="112"/>
        <v>0</v>
      </c>
      <c r="FE23" s="10">
        <f t="shared" si="113"/>
        <v>0</v>
      </c>
      <c r="FF23" s="10">
        <f t="shared" si="114"/>
        <v>0</v>
      </c>
      <c r="FG23" s="10">
        <f t="shared" si="115"/>
        <v>0</v>
      </c>
      <c r="FH23" s="10">
        <f t="shared" si="116"/>
        <v>0</v>
      </c>
      <c r="FI23" s="10">
        <f t="shared" si="117"/>
        <v>0</v>
      </c>
      <c r="FJ23" s="10">
        <f t="shared" si="118"/>
        <v>0</v>
      </c>
      <c r="FK23" s="10">
        <f t="shared" si="119"/>
        <v>0</v>
      </c>
      <c r="FL23" s="10">
        <f t="shared" si="120"/>
        <v>0</v>
      </c>
      <c r="FM23" s="10">
        <f t="shared" si="121"/>
        <v>0</v>
      </c>
      <c r="FN23" s="10">
        <f t="shared" si="122"/>
        <v>0</v>
      </c>
      <c r="FO23" s="10">
        <f t="shared" si="123"/>
        <v>0</v>
      </c>
      <c r="FP23" s="10">
        <f t="shared" si="124"/>
        <v>0</v>
      </c>
      <c r="FQ23" s="10">
        <f t="shared" si="125"/>
        <v>0</v>
      </c>
      <c r="FR23" s="11">
        <f t="shared" ref="FR23:FR27" si="366">IF(
OR(
ISNUMBER(SEARCH("chatbot",$D23)),ISNUMBER(SEARCH("chatbot",$T23)),ISNUMBER(SEARCH("chatbot",#REF!)),ISNUMBER(SEARCH("chatbot",$S23)),
ISNUMBER(SEARCH("virtual assistance",$D23)),ISNUMBER(SEARCH("virtual assistance",$T23)),ISNUMBER(SEARCH("virtual assistance",$R23)),ISNUMBER(SEARCH("virtual assistance",$S23))), 1, 0)</f>
        <v>0</v>
      </c>
      <c r="FS23" s="11">
        <f t="shared" si="127"/>
        <v>0</v>
      </c>
      <c r="FT23" s="11">
        <f t="shared" si="128"/>
        <v>0</v>
      </c>
      <c r="FU23" s="11">
        <f t="shared" si="129"/>
        <v>0</v>
      </c>
      <c r="FV23" s="11">
        <f t="shared" si="130"/>
        <v>0</v>
      </c>
      <c r="FW23" s="11">
        <f t="shared" si="131"/>
        <v>0</v>
      </c>
      <c r="FX23" s="11">
        <f t="shared" si="132"/>
        <v>0</v>
      </c>
      <c r="FY23" s="11">
        <f t="shared" si="133"/>
        <v>0</v>
      </c>
      <c r="FZ23" s="11">
        <f t="shared" si="134"/>
        <v>0</v>
      </c>
      <c r="GA23" s="11">
        <f t="shared" si="135"/>
        <v>0</v>
      </c>
      <c r="GB23" s="11">
        <f t="shared" si="136"/>
        <v>0</v>
      </c>
      <c r="GC23" s="11">
        <f t="shared" si="137"/>
        <v>0</v>
      </c>
      <c r="GD23" s="11">
        <f t="shared" si="138"/>
        <v>0</v>
      </c>
      <c r="GE23" s="11">
        <f t="shared" si="139"/>
        <v>0</v>
      </c>
      <c r="GF23" s="11">
        <f t="shared" si="140"/>
        <v>0</v>
      </c>
      <c r="GG23" s="11">
        <f t="shared" si="141"/>
        <v>0</v>
      </c>
      <c r="GH23" s="11">
        <f t="shared" si="142"/>
        <v>0</v>
      </c>
      <c r="GI23" s="11">
        <f t="shared" si="143"/>
        <v>0</v>
      </c>
      <c r="GJ23" s="11">
        <f t="shared" si="144"/>
        <v>0</v>
      </c>
      <c r="GK23" s="11">
        <f t="shared" si="145"/>
        <v>0</v>
      </c>
      <c r="GL23" s="11">
        <f t="shared" si="146"/>
        <v>0</v>
      </c>
      <c r="GM23" s="11">
        <f t="shared" si="147"/>
        <v>0</v>
      </c>
      <c r="GN23" s="11">
        <f t="shared" si="148"/>
        <v>0</v>
      </c>
      <c r="GO23" s="11">
        <f t="shared" si="149"/>
        <v>0</v>
      </c>
      <c r="GP23" s="11">
        <f t="shared" si="150"/>
        <v>0</v>
      </c>
      <c r="GQ23" s="11">
        <f t="shared" si="151"/>
        <v>0</v>
      </c>
      <c r="GR23" s="11">
        <f t="shared" si="152"/>
        <v>0</v>
      </c>
      <c r="GS23" s="11">
        <f t="shared" si="153"/>
        <v>0</v>
      </c>
      <c r="GT23" s="11">
        <f t="shared" si="154"/>
        <v>0</v>
      </c>
      <c r="GU23" s="12">
        <f t="shared" si="155"/>
        <v>0</v>
      </c>
      <c r="GV23" s="12">
        <f t="shared" si="156"/>
        <v>0</v>
      </c>
      <c r="GW23" s="12">
        <f t="shared" si="157"/>
        <v>0</v>
      </c>
      <c r="GX23" s="12">
        <f t="shared" si="158"/>
        <v>0</v>
      </c>
      <c r="GY23" s="12">
        <f t="shared" si="159"/>
        <v>0</v>
      </c>
      <c r="GZ23" s="12">
        <f t="shared" si="160"/>
        <v>0</v>
      </c>
      <c r="HA23" s="12">
        <f t="shared" si="161"/>
        <v>0</v>
      </c>
      <c r="HB23" s="12">
        <f t="shared" si="162"/>
        <v>0</v>
      </c>
      <c r="HC23" s="12">
        <f t="shared" si="163"/>
        <v>0</v>
      </c>
      <c r="HD23" s="12">
        <f t="shared" si="164"/>
        <v>0</v>
      </c>
      <c r="HE23" s="12">
        <f t="shared" si="165"/>
        <v>0</v>
      </c>
      <c r="HF23" s="12">
        <f t="shared" si="166"/>
        <v>0</v>
      </c>
      <c r="HG23" s="12">
        <f t="shared" si="167"/>
        <v>0</v>
      </c>
      <c r="HH23" s="12">
        <f t="shared" si="168"/>
        <v>0</v>
      </c>
      <c r="HI23" s="12">
        <f t="shared" si="169"/>
        <v>0</v>
      </c>
      <c r="HJ23" s="12">
        <f t="shared" si="170"/>
        <v>0</v>
      </c>
      <c r="HK23" s="12">
        <f t="shared" si="171"/>
        <v>0</v>
      </c>
      <c r="HL23" s="12">
        <f t="shared" si="172"/>
        <v>0</v>
      </c>
      <c r="HM23" s="12">
        <f t="shared" si="173"/>
        <v>0</v>
      </c>
      <c r="HN23" s="12">
        <f t="shared" si="174"/>
        <v>0</v>
      </c>
      <c r="HO23" s="12">
        <f t="shared" si="175"/>
        <v>0</v>
      </c>
      <c r="HP23" s="12">
        <f t="shared" si="176"/>
        <v>0</v>
      </c>
      <c r="HQ23" s="12">
        <f t="shared" si="177"/>
        <v>0</v>
      </c>
      <c r="HR23" s="12">
        <f t="shared" si="178"/>
        <v>0</v>
      </c>
      <c r="HS23" s="12">
        <f t="shared" si="179"/>
        <v>0</v>
      </c>
      <c r="HT23" s="12">
        <f t="shared" si="180"/>
        <v>0</v>
      </c>
      <c r="HU23" s="12">
        <f t="shared" si="181"/>
        <v>0</v>
      </c>
      <c r="HV23" s="12">
        <f t="shared" si="182"/>
        <v>0</v>
      </c>
      <c r="HW23" s="12">
        <f t="shared" si="183"/>
        <v>0</v>
      </c>
      <c r="HX23" s="12">
        <f t="shared" si="184"/>
        <v>0</v>
      </c>
      <c r="HY23" s="12">
        <f t="shared" si="185"/>
        <v>0</v>
      </c>
      <c r="HZ23" s="12">
        <f t="shared" si="186"/>
        <v>0</v>
      </c>
      <c r="IA23" s="12">
        <f t="shared" si="187"/>
        <v>0</v>
      </c>
      <c r="IB23" s="12">
        <f t="shared" si="188"/>
        <v>0</v>
      </c>
      <c r="IC23" s="12">
        <f t="shared" si="189"/>
        <v>0</v>
      </c>
      <c r="ID23" s="12">
        <f t="shared" si="190"/>
        <v>0</v>
      </c>
      <c r="IE23" s="12">
        <f t="shared" si="191"/>
        <v>0</v>
      </c>
      <c r="IF23" s="12">
        <f t="shared" si="192"/>
        <v>0</v>
      </c>
      <c r="IG23" s="12">
        <f t="shared" si="193"/>
        <v>0</v>
      </c>
      <c r="IH23" s="12">
        <f t="shared" si="194"/>
        <v>0</v>
      </c>
      <c r="II23" s="12">
        <f t="shared" si="195"/>
        <v>0</v>
      </c>
      <c r="IJ23" s="12">
        <f t="shared" si="196"/>
        <v>0</v>
      </c>
      <c r="IK23" s="12">
        <f t="shared" si="197"/>
        <v>0</v>
      </c>
      <c r="IL23" s="12">
        <f t="shared" si="198"/>
        <v>0</v>
      </c>
      <c r="IM23" s="12">
        <f t="shared" si="199"/>
        <v>0</v>
      </c>
      <c r="IN23" s="12">
        <f t="shared" si="200"/>
        <v>0</v>
      </c>
      <c r="IO23" s="12">
        <f t="shared" si="201"/>
        <v>0</v>
      </c>
      <c r="IP23" s="12">
        <f t="shared" si="202"/>
        <v>0</v>
      </c>
      <c r="IQ23" s="12">
        <f t="shared" si="203"/>
        <v>0</v>
      </c>
      <c r="IR23" s="12">
        <f t="shared" si="204"/>
        <v>0</v>
      </c>
      <c r="IS23" s="12">
        <f t="shared" si="205"/>
        <v>0</v>
      </c>
      <c r="IT23" s="12">
        <f t="shared" si="206"/>
        <v>0</v>
      </c>
      <c r="IU23" s="12">
        <f t="shared" si="207"/>
        <v>0</v>
      </c>
      <c r="IV23" s="12">
        <f t="shared" si="208"/>
        <v>0</v>
      </c>
      <c r="IW23" s="12">
        <f t="shared" si="209"/>
        <v>0</v>
      </c>
      <c r="IX23" s="12">
        <f t="shared" si="210"/>
        <v>0</v>
      </c>
      <c r="IY23" s="12">
        <f t="shared" si="211"/>
        <v>0</v>
      </c>
      <c r="IZ23" s="12">
        <f t="shared" si="212"/>
        <v>0</v>
      </c>
      <c r="JA23" s="13">
        <f t="shared" si="213"/>
        <v>0</v>
      </c>
      <c r="JB23" s="13">
        <f t="shared" si="214"/>
        <v>0</v>
      </c>
      <c r="JC23" s="13">
        <f t="shared" si="215"/>
        <v>0</v>
      </c>
      <c r="JD23" s="13">
        <f t="shared" si="216"/>
        <v>0</v>
      </c>
      <c r="JE23" s="13">
        <f t="shared" si="217"/>
        <v>0</v>
      </c>
      <c r="JF23" s="13">
        <f t="shared" si="218"/>
        <v>0</v>
      </c>
      <c r="JG23" s="13">
        <f t="shared" si="219"/>
        <v>0</v>
      </c>
      <c r="JH23" s="13">
        <f t="shared" si="220"/>
        <v>0</v>
      </c>
      <c r="JI23" s="13">
        <f t="shared" si="221"/>
        <v>0</v>
      </c>
      <c r="JJ23" s="13">
        <f t="shared" si="222"/>
        <v>0</v>
      </c>
      <c r="JK23" s="13">
        <f t="shared" si="223"/>
        <v>0</v>
      </c>
      <c r="JL23" s="13">
        <f t="shared" si="224"/>
        <v>0</v>
      </c>
      <c r="JM23" s="13">
        <f t="shared" si="225"/>
        <v>0</v>
      </c>
      <c r="JN23" s="13">
        <f t="shared" si="226"/>
        <v>0</v>
      </c>
      <c r="JO23" s="13">
        <f t="shared" si="227"/>
        <v>0</v>
      </c>
      <c r="JP23" s="13">
        <f t="shared" si="228"/>
        <v>0</v>
      </c>
      <c r="JQ23" s="13">
        <f t="shared" si="229"/>
        <v>0</v>
      </c>
      <c r="JR23" s="13">
        <f t="shared" si="230"/>
        <v>0</v>
      </c>
      <c r="JS23" s="13">
        <f t="shared" si="231"/>
        <v>0</v>
      </c>
      <c r="JT23" s="13">
        <f t="shared" si="232"/>
        <v>0</v>
      </c>
      <c r="JU23" s="13">
        <f t="shared" si="233"/>
        <v>0</v>
      </c>
      <c r="JV23" s="12">
        <f t="shared" si="234"/>
        <v>0</v>
      </c>
      <c r="JW23" s="12">
        <f t="shared" si="235"/>
        <v>0</v>
      </c>
      <c r="JX23" s="12">
        <f t="shared" si="236"/>
        <v>0</v>
      </c>
      <c r="JY23" s="12">
        <f t="shared" si="237"/>
        <v>0</v>
      </c>
      <c r="JZ23" s="12">
        <f t="shared" si="238"/>
        <v>0</v>
      </c>
      <c r="KA23" s="12">
        <f t="shared" si="239"/>
        <v>0</v>
      </c>
      <c r="KB23" s="12">
        <f t="shared" si="240"/>
        <v>0</v>
      </c>
      <c r="KC23" s="12">
        <f t="shared" si="241"/>
        <v>0</v>
      </c>
      <c r="KD23" s="12">
        <f t="shared" si="242"/>
        <v>0</v>
      </c>
      <c r="KE23" s="12">
        <f t="shared" si="243"/>
        <v>0</v>
      </c>
      <c r="KF23" s="12">
        <f t="shared" si="244"/>
        <v>0</v>
      </c>
      <c r="KG23" s="12">
        <f t="shared" si="245"/>
        <v>0</v>
      </c>
      <c r="KH23" s="12">
        <f t="shared" si="246"/>
        <v>0</v>
      </c>
      <c r="KI23" s="12">
        <f t="shared" si="247"/>
        <v>0</v>
      </c>
      <c r="KJ23" s="12">
        <f t="shared" si="248"/>
        <v>0</v>
      </c>
      <c r="KK23" s="12">
        <f t="shared" si="249"/>
        <v>0</v>
      </c>
      <c r="KL23" s="12">
        <f t="shared" si="250"/>
        <v>0</v>
      </c>
      <c r="KM23" s="12">
        <f t="shared" si="251"/>
        <v>0</v>
      </c>
      <c r="KN23" s="12">
        <f t="shared" si="252"/>
        <v>0</v>
      </c>
      <c r="KO23" s="12">
        <f t="shared" si="253"/>
        <v>0</v>
      </c>
      <c r="KP23" s="12">
        <f t="shared" si="254"/>
        <v>0</v>
      </c>
      <c r="KQ23" s="12">
        <f t="shared" si="255"/>
        <v>0</v>
      </c>
      <c r="KR23" s="12">
        <f t="shared" si="256"/>
        <v>0</v>
      </c>
      <c r="KS23" s="12">
        <f t="shared" si="257"/>
        <v>0</v>
      </c>
      <c r="KT23" s="12">
        <f t="shared" si="258"/>
        <v>0</v>
      </c>
      <c r="KU23" s="12">
        <f t="shared" si="259"/>
        <v>0</v>
      </c>
      <c r="KV23" s="12">
        <f t="shared" si="260"/>
        <v>0</v>
      </c>
      <c r="KW23" s="12">
        <f t="shared" si="261"/>
        <v>0</v>
      </c>
      <c r="KX23" s="12">
        <f t="shared" si="262"/>
        <v>0</v>
      </c>
      <c r="KY23" s="12">
        <f t="shared" si="263"/>
        <v>0</v>
      </c>
      <c r="KZ23" s="12">
        <f t="shared" si="264"/>
        <v>0</v>
      </c>
      <c r="LA23" s="12">
        <f t="shared" si="265"/>
        <v>0</v>
      </c>
      <c r="LB23" s="12">
        <f t="shared" si="266"/>
        <v>0</v>
      </c>
      <c r="LC23" s="12">
        <f t="shared" si="267"/>
        <v>0</v>
      </c>
      <c r="LD23" s="12">
        <f t="shared" si="268"/>
        <v>0</v>
      </c>
      <c r="LE23" s="12">
        <f t="shared" si="269"/>
        <v>0</v>
      </c>
      <c r="LF23" s="12">
        <f t="shared" si="270"/>
        <v>0</v>
      </c>
      <c r="LG23" s="12">
        <f t="shared" si="271"/>
        <v>0</v>
      </c>
      <c r="LH23" s="12">
        <f t="shared" si="272"/>
        <v>0</v>
      </c>
      <c r="LI23" s="12">
        <f t="shared" si="273"/>
        <v>0</v>
      </c>
      <c r="LJ23" s="12">
        <f t="shared" si="274"/>
        <v>0</v>
      </c>
      <c r="LK23" s="12">
        <f t="shared" si="275"/>
        <v>0</v>
      </c>
      <c r="LL23" s="12">
        <f t="shared" si="276"/>
        <v>0</v>
      </c>
      <c r="LM23" s="12">
        <f t="shared" si="277"/>
        <v>0</v>
      </c>
      <c r="LN23" s="12">
        <f t="shared" si="278"/>
        <v>0</v>
      </c>
      <c r="LO23" s="12">
        <f t="shared" si="279"/>
        <v>0</v>
      </c>
      <c r="LP23" s="12">
        <f t="shared" si="280"/>
        <v>0</v>
      </c>
      <c r="LQ23" s="12">
        <f t="shared" si="281"/>
        <v>0</v>
      </c>
      <c r="LR23" s="12">
        <f t="shared" si="282"/>
        <v>0</v>
      </c>
      <c r="LS23" s="12">
        <f t="shared" si="283"/>
        <v>0</v>
      </c>
      <c r="LT23" s="13">
        <f t="shared" si="284"/>
        <v>0</v>
      </c>
      <c r="LU23" s="13">
        <f t="shared" si="285"/>
        <v>0</v>
      </c>
      <c r="LV23" s="13">
        <f t="shared" si="286"/>
        <v>0</v>
      </c>
      <c r="LW23" s="13">
        <f t="shared" si="287"/>
        <v>0</v>
      </c>
      <c r="LX23" s="13">
        <f t="shared" si="288"/>
        <v>0</v>
      </c>
      <c r="LY23" s="13">
        <f t="shared" si="289"/>
        <v>0</v>
      </c>
      <c r="LZ23" s="13">
        <f t="shared" si="290"/>
        <v>0</v>
      </c>
      <c r="MA23" s="13">
        <f t="shared" si="291"/>
        <v>0</v>
      </c>
      <c r="MB23" s="13">
        <f t="shared" si="292"/>
        <v>0</v>
      </c>
      <c r="MC23" s="13">
        <f t="shared" si="293"/>
        <v>0</v>
      </c>
      <c r="MD23" s="13">
        <f t="shared" si="294"/>
        <v>0</v>
      </c>
      <c r="ME23" s="13">
        <f t="shared" si="295"/>
        <v>0</v>
      </c>
      <c r="MF23" s="13">
        <f t="shared" si="296"/>
        <v>0</v>
      </c>
      <c r="MG23" s="13">
        <f t="shared" si="297"/>
        <v>0</v>
      </c>
      <c r="MH23" s="13">
        <f t="shared" si="298"/>
        <v>0</v>
      </c>
      <c r="MI23" s="13">
        <f t="shared" si="299"/>
        <v>0</v>
      </c>
      <c r="MJ23" s="13">
        <f t="shared" si="300"/>
        <v>0</v>
      </c>
      <c r="MK23" s="13">
        <f t="shared" si="301"/>
        <v>0</v>
      </c>
      <c r="ML23" s="14">
        <f t="shared" si="302"/>
        <v>0</v>
      </c>
      <c r="MM23" s="14">
        <f t="shared" si="303"/>
        <v>0</v>
      </c>
      <c r="MN23" s="14">
        <f t="shared" si="304"/>
        <v>0</v>
      </c>
      <c r="MO23" s="14">
        <f t="shared" si="305"/>
        <v>0</v>
      </c>
      <c r="MP23" s="14">
        <f t="shared" si="306"/>
        <v>1</v>
      </c>
      <c r="MQ23" s="14">
        <f t="shared" si="307"/>
        <v>0</v>
      </c>
      <c r="MR23" s="14">
        <f t="shared" si="308"/>
        <v>0</v>
      </c>
      <c r="MS23" s="14">
        <f t="shared" si="309"/>
        <v>0</v>
      </c>
      <c r="MT23" s="14">
        <f t="shared" si="310"/>
        <v>0</v>
      </c>
      <c r="MU23" s="14">
        <f t="shared" si="311"/>
        <v>0</v>
      </c>
      <c r="MV23" s="14">
        <f t="shared" si="312"/>
        <v>0</v>
      </c>
      <c r="MW23" s="14">
        <f t="shared" si="313"/>
        <v>0</v>
      </c>
      <c r="MX23" s="14">
        <f t="shared" si="314"/>
        <v>0</v>
      </c>
      <c r="MY23" s="14">
        <f t="shared" si="315"/>
        <v>0</v>
      </c>
      <c r="MZ23" s="14">
        <f t="shared" si="316"/>
        <v>0</v>
      </c>
      <c r="NA23" s="14">
        <f t="shared" si="317"/>
        <v>0</v>
      </c>
      <c r="NB23" s="14">
        <f t="shared" si="318"/>
        <v>0</v>
      </c>
    </row>
    <row r="24" ht="15.75" customHeight="1">
      <c r="A24" s="2">
        <v>214.0</v>
      </c>
      <c r="B24" s="2" t="s">
        <v>776</v>
      </c>
      <c r="C24" s="2" t="s">
        <v>777</v>
      </c>
      <c r="D24" s="2" t="s">
        <v>778</v>
      </c>
      <c r="E24" s="2">
        <v>2020.0</v>
      </c>
      <c r="F24" s="2" t="s">
        <v>779</v>
      </c>
      <c r="G24" s="2" t="s">
        <v>472</v>
      </c>
      <c r="H24" s="2" t="s">
        <v>432</v>
      </c>
      <c r="I24" s="2" t="s">
        <v>780</v>
      </c>
      <c r="J24" s="2" t="s">
        <v>781</v>
      </c>
      <c r="K24" s="2" t="s">
        <v>782</v>
      </c>
      <c r="M24" s="2">
        <v>63.0</v>
      </c>
      <c r="N24" s="2" t="s">
        <v>783</v>
      </c>
      <c r="O24" s="2" t="s">
        <v>784</v>
      </c>
      <c r="P24" s="2" t="s">
        <v>785</v>
      </c>
      <c r="Q24" s="2" t="s">
        <v>786</v>
      </c>
      <c r="R24" s="2" t="s">
        <v>787</v>
      </c>
      <c r="S24" s="2" t="s">
        <v>788</v>
      </c>
      <c r="T24" s="2" t="s">
        <v>789</v>
      </c>
      <c r="Y24" s="2" t="s">
        <v>790</v>
      </c>
      <c r="AB24" s="2" t="s">
        <v>668</v>
      </c>
      <c r="AG24" s="2" t="s">
        <v>791</v>
      </c>
      <c r="AK24" s="2" t="s">
        <v>792</v>
      </c>
      <c r="AL24" s="2" t="s">
        <v>384</v>
      </c>
      <c r="AM24" s="2" t="s">
        <v>723</v>
      </c>
      <c r="AN24" s="2" t="s">
        <v>386</v>
      </c>
      <c r="AO24" s="2" t="s">
        <v>793</v>
      </c>
      <c r="AP24" s="2" t="s">
        <v>386</v>
      </c>
      <c r="AQ24" s="2">
        <v>880.0</v>
      </c>
      <c r="AR24" s="2" t="s">
        <v>794</v>
      </c>
      <c r="AS24" s="2" t="b">
        <v>1</v>
      </c>
      <c r="AT24" s="3">
        <v>0.0</v>
      </c>
      <c r="AU24" s="4"/>
      <c r="AV24" s="4"/>
      <c r="AW24" s="5">
        <f t="shared" si="3"/>
        <v>0</v>
      </c>
      <c r="AX24" s="5">
        <f t="shared" si="4"/>
        <v>0</v>
      </c>
      <c r="AY24" s="5">
        <f t="shared" si="5"/>
        <v>0</v>
      </c>
      <c r="AZ24" s="5">
        <f t="shared" si="6"/>
        <v>0</v>
      </c>
      <c r="BA24" s="5">
        <f t="shared" si="7"/>
        <v>0</v>
      </c>
      <c r="BB24" s="5">
        <f t="shared" si="8"/>
        <v>0</v>
      </c>
      <c r="BC24" s="5">
        <f t="shared" si="9"/>
        <v>0</v>
      </c>
      <c r="BD24" s="5">
        <f t="shared" si="10"/>
        <v>0</v>
      </c>
      <c r="BE24" s="5">
        <f t="shared" si="11"/>
        <v>0</v>
      </c>
      <c r="BF24" s="5">
        <f t="shared" si="12"/>
        <v>0</v>
      </c>
      <c r="BG24" s="5">
        <f t="shared" si="13"/>
        <v>0</v>
      </c>
      <c r="BH24" s="5">
        <f t="shared" si="14"/>
        <v>0</v>
      </c>
      <c r="BI24" s="5">
        <f t="shared" si="15"/>
        <v>0</v>
      </c>
      <c r="BJ24" s="5">
        <f t="shared" si="16"/>
        <v>0</v>
      </c>
      <c r="BK24" s="5">
        <f t="shared" si="17"/>
        <v>0</v>
      </c>
      <c r="BL24" s="5">
        <f t="shared" si="18"/>
        <v>0</v>
      </c>
      <c r="BM24" s="5">
        <f t="shared" si="19"/>
        <v>0</v>
      </c>
      <c r="BN24" s="5">
        <f t="shared" si="20"/>
        <v>0</v>
      </c>
      <c r="BO24" s="5">
        <f t="shared" si="21"/>
        <v>0</v>
      </c>
      <c r="BP24" s="5">
        <f t="shared" si="22"/>
        <v>0</v>
      </c>
      <c r="BQ24" s="5">
        <f t="shared" si="23"/>
        <v>0</v>
      </c>
      <c r="BR24" s="5">
        <f t="shared" si="24"/>
        <v>0</v>
      </c>
      <c r="BS24" s="5">
        <f t="shared" si="25"/>
        <v>0</v>
      </c>
      <c r="BT24" s="5">
        <f t="shared" si="26"/>
        <v>0</v>
      </c>
      <c r="BU24" s="5">
        <f t="shared" si="27"/>
        <v>0</v>
      </c>
      <c r="BV24" s="5">
        <f t="shared" ref="BV24:BW24" si="363">IF(OR(ISNUMBER(SEARCH("grit",$D24)),ISNUMBER(SEARCH("grit",$T24)),ISNUMBER(SEARCH("grit",$R24)),ISNUMBER(SEARCH("grit",$S24)),
ISNUMBER(SEARCH("determination",$D24)),ISNUMBER(SEARCH("determination",$T24)),ISNUMBER(SEARCH("determination",$R24)),ISNUMBER(SEARCH("determination",$S24)),
ISNUMBER(SEARCH("tenacity",$D24)),ISNUMBER(SEARCH("tenacity",$T24)),ISNUMBER(SEARCH("tenacity",$R24)),ISNUMBER(SEARCH("tenacity",$S24)),
ISNUMBER(SEARCH("endurance",$D24)),ISNUMBER(SEARCH("endurance",$T24)),ISNUMBER(SEARCH("endurance",$R24)),ISNUMBER(SEARCH("endurance",$S24)),
ISNUMBER(SEARCH("fortitude",$D24)),ISNUMBER(SEARCH("fortitude",$T24)),ISNUMBER(SEARCH("fortitude",$R24)),ISNUMBER(SEARCH("fortitude",$S24)),
ISNUMBER(SEARCH("resolve",$D24)),ISNUMBER(SEARCH("resolve",$T24)),ISNUMBER(SEARCH("resolve",$R24)),ISNUMBER(SEARCH("resolve",$S24)),
ISNUMBER(SEARCH("stamina",$D24)),ISNUMBER(SEARCH("stamina",$T24)),ISNUMBER(SEARCH("stamina",$R24)),ISNUMBER(SEARCH("stamina",$S24)),
ISNUMBER(SEARCH("guts",$D24)),ISNUMBER(SEARCH("guts",$T24)),ISNUMBER(SEARCH("guts",$R24)),ISNUMBER(SEARCH("guts",$S24)),
ISNUMBER(SEARCH("spunk",$D24)),ISNUMBER(SEARCH("spunk",$T24)),ISNUMBER(SEARCH("spunk",$R24)),ISNUMBER(SEARCH("spunk",$S24))), 1, 0)</f>
        <v>0</v>
      </c>
      <c r="BW24" s="5">
        <f t="shared" si="363"/>
        <v>0</v>
      </c>
      <c r="BX24" s="5">
        <f t="shared" si="29"/>
        <v>0</v>
      </c>
      <c r="BY24" s="5">
        <f t="shared" si="30"/>
        <v>0</v>
      </c>
      <c r="BZ24" s="5">
        <f t="shared" si="31"/>
        <v>0</v>
      </c>
      <c r="CA24" s="5">
        <f t="shared" si="32"/>
        <v>0</v>
      </c>
      <c r="CB24" s="5">
        <f t="shared" si="33"/>
        <v>0</v>
      </c>
      <c r="CC24" s="5">
        <f t="shared" si="34"/>
        <v>0</v>
      </c>
      <c r="CD24" s="5">
        <f t="shared" si="35"/>
        <v>0</v>
      </c>
      <c r="CE24" s="5">
        <f t="shared" si="36"/>
        <v>0</v>
      </c>
      <c r="CF24" s="5">
        <f t="shared" si="37"/>
        <v>0</v>
      </c>
      <c r="CG24" s="5">
        <f t="shared" si="38"/>
        <v>0</v>
      </c>
      <c r="CH24" s="5">
        <f t="shared" si="39"/>
        <v>0</v>
      </c>
      <c r="CI24" s="5">
        <f t="shared" si="40"/>
        <v>0</v>
      </c>
      <c r="CJ24" s="5">
        <f t="shared" si="41"/>
        <v>0</v>
      </c>
      <c r="CK24" s="5">
        <f t="shared" si="42"/>
        <v>0</v>
      </c>
      <c r="CL24" s="5">
        <f t="shared" si="43"/>
        <v>0</v>
      </c>
      <c r="CM24" s="5">
        <f t="shared" si="44"/>
        <v>0</v>
      </c>
      <c r="CN24" s="5">
        <f t="shared" si="45"/>
        <v>0</v>
      </c>
      <c r="CO24" s="5">
        <f t="shared" si="46"/>
        <v>0</v>
      </c>
      <c r="CP24" s="6">
        <f t="shared" si="47"/>
        <v>0</v>
      </c>
      <c r="CQ24" s="6">
        <f t="shared" si="48"/>
        <v>0</v>
      </c>
      <c r="CR24" s="6">
        <f t="shared" si="49"/>
        <v>0</v>
      </c>
      <c r="CS24" s="6">
        <f t="shared" si="50"/>
        <v>0</v>
      </c>
      <c r="CT24" s="6">
        <f t="shared" si="51"/>
        <v>0</v>
      </c>
      <c r="CU24" s="6">
        <f t="shared" si="52"/>
        <v>0</v>
      </c>
      <c r="CV24" s="6">
        <f t="shared" si="53"/>
        <v>0</v>
      </c>
      <c r="CW24" s="6">
        <f t="shared" si="54"/>
        <v>0</v>
      </c>
      <c r="CX24" s="6">
        <f t="shared" si="55"/>
        <v>0</v>
      </c>
      <c r="CY24" s="6">
        <f t="shared" si="56"/>
        <v>0</v>
      </c>
      <c r="CZ24" s="6">
        <f t="shared" si="57"/>
        <v>0</v>
      </c>
      <c r="DA24" s="6">
        <f t="shared" si="58"/>
        <v>0</v>
      </c>
      <c r="DB24" s="6">
        <f t="shared" si="59"/>
        <v>0</v>
      </c>
      <c r="DC24" s="6">
        <f t="shared" si="60"/>
        <v>0</v>
      </c>
      <c r="DD24" s="6">
        <f t="shared" si="61"/>
        <v>0</v>
      </c>
      <c r="DE24" s="6">
        <f t="shared" si="62"/>
        <v>0</v>
      </c>
      <c r="DF24" s="6">
        <f t="shared" si="63"/>
        <v>0</v>
      </c>
      <c r="DG24" s="6">
        <f t="shared" si="64"/>
        <v>0</v>
      </c>
      <c r="DH24" s="6">
        <f t="shared" si="353"/>
        <v>0</v>
      </c>
      <c r="DI24" s="6">
        <f t="shared" si="66"/>
        <v>0</v>
      </c>
      <c r="DJ24" s="6">
        <f t="shared" si="67"/>
        <v>0</v>
      </c>
      <c r="DK24" s="7">
        <f t="shared" si="68"/>
        <v>0</v>
      </c>
      <c r="DL24" s="7">
        <f t="shared" si="364"/>
        <v>0</v>
      </c>
      <c r="DM24" s="7">
        <f t="shared" si="70"/>
        <v>0</v>
      </c>
      <c r="DN24" s="7">
        <f t="shared" si="71"/>
        <v>0</v>
      </c>
      <c r="DO24" s="7">
        <f t="shared" si="72"/>
        <v>1</v>
      </c>
      <c r="DP24" s="8">
        <f t="shared" si="73"/>
        <v>0</v>
      </c>
      <c r="DQ24" s="8">
        <f t="shared" si="74"/>
        <v>1</v>
      </c>
      <c r="DR24" s="7">
        <f t="shared" si="75"/>
        <v>0</v>
      </c>
      <c r="DS24" s="7">
        <f t="shared" si="76"/>
        <v>0</v>
      </c>
      <c r="DT24" s="7">
        <f t="shared" si="77"/>
        <v>0</v>
      </c>
      <c r="DU24" s="9">
        <f t="shared" si="78"/>
        <v>0</v>
      </c>
      <c r="DV24" s="9">
        <f t="shared" si="79"/>
        <v>0</v>
      </c>
      <c r="DW24" s="9">
        <f t="shared" si="80"/>
        <v>0</v>
      </c>
      <c r="DX24" s="9">
        <f t="shared" si="81"/>
        <v>0</v>
      </c>
      <c r="DY24" s="9">
        <f t="shared" si="82"/>
        <v>0</v>
      </c>
      <c r="DZ24" s="9">
        <f t="shared" si="83"/>
        <v>0</v>
      </c>
      <c r="EA24" s="9">
        <f t="shared" si="84"/>
        <v>0</v>
      </c>
      <c r="EB24" s="9">
        <f t="shared" si="85"/>
        <v>0</v>
      </c>
      <c r="EC24" s="9">
        <f t="shared" si="86"/>
        <v>0</v>
      </c>
      <c r="ED24" s="9">
        <f t="shared" si="87"/>
        <v>0</v>
      </c>
      <c r="EE24" s="9">
        <f t="shared" si="88"/>
        <v>0</v>
      </c>
      <c r="EF24" s="9">
        <f t="shared" si="89"/>
        <v>0</v>
      </c>
      <c r="EG24" s="9">
        <f t="shared" si="90"/>
        <v>0</v>
      </c>
      <c r="EH24" s="9">
        <f t="shared" si="91"/>
        <v>0</v>
      </c>
      <c r="EI24" s="9">
        <f t="shared" si="92"/>
        <v>0</v>
      </c>
      <c r="EJ24" s="10">
        <f t="shared" si="93"/>
        <v>0</v>
      </c>
      <c r="EK24" s="10">
        <f t="shared" si="94"/>
        <v>0</v>
      </c>
      <c r="EL24" s="10">
        <f t="shared" ref="EL24:EM24" si="365">IF(OR(ISNUMBER(SEARCH("ai software toolkit", $D24)), ISNUMBER(SEARCH("ai software toolkit", $T24)), ISNUMBER(SEARCH("ai software toolkit", $R24)), ISNUMBER(SEARCH("ai software toolkit", $S24))), 1, 0)</f>
        <v>0</v>
      </c>
      <c r="EM24" s="10">
        <f t="shared" si="365"/>
        <v>0</v>
      </c>
      <c r="EN24" s="10">
        <f t="shared" si="96"/>
        <v>0</v>
      </c>
      <c r="EO24" s="10">
        <f t="shared" si="97"/>
        <v>0</v>
      </c>
      <c r="EP24" s="10">
        <f t="shared" si="98"/>
        <v>0</v>
      </c>
      <c r="EQ24" s="10">
        <f t="shared" si="99"/>
        <v>0</v>
      </c>
      <c r="ER24" s="10">
        <f t="shared" si="100"/>
        <v>0</v>
      </c>
      <c r="ES24" s="10">
        <f t="shared" si="101"/>
        <v>0</v>
      </c>
      <c r="ET24" s="10">
        <f t="shared" si="102"/>
        <v>0</v>
      </c>
      <c r="EU24" s="10">
        <f t="shared" si="103"/>
        <v>0</v>
      </c>
      <c r="EV24" s="10">
        <f t="shared" si="104"/>
        <v>0</v>
      </c>
      <c r="EW24" s="10">
        <f t="shared" si="105"/>
        <v>0</v>
      </c>
      <c r="EX24" s="10">
        <f t="shared" si="106"/>
        <v>0</v>
      </c>
      <c r="EY24" s="10">
        <f t="shared" si="107"/>
        <v>0</v>
      </c>
      <c r="EZ24" s="10">
        <f t="shared" si="108"/>
        <v>0</v>
      </c>
      <c r="FA24" s="10">
        <f t="shared" si="109"/>
        <v>0</v>
      </c>
      <c r="FB24" s="10">
        <f t="shared" si="110"/>
        <v>0</v>
      </c>
      <c r="FC24" s="10">
        <f t="shared" si="111"/>
        <v>0</v>
      </c>
      <c r="FD24" s="10">
        <f t="shared" si="112"/>
        <v>0</v>
      </c>
      <c r="FE24" s="10">
        <f t="shared" si="113"/>
        <v>0</v>
      </c>
      <c r="FF24" s="10">
        <f t="shared" si="114"/>
        <v>0</v>
      </c>
      <c r="FG24" s="10">
        <f t="shared" si="115"/>
        <v>0</v>
      </c>
      <c r="FH24" s="10">
        <f t="shared" si="116"/>
        <v>0</v>
      </c>
      <c r="FI24" s="10">
        <f t="shared" si="117"/>
        <v>0</v>
      </c>
      <c r="FJ24" s="10">
        <f t="shared" si="118"/>
        <v>0</v>
      </c>
      <c r="FK24" s="10">
        <f t="shared" si="119"/>
        <v>0</v>
      </c>
      <c r="FL24" s="10">
        <f t="shared" si="120"/>
        <v>0</v>
      </c>
      <c r="FM24" s="10">
        <f t="shared" si="121"/>
        <v>0</v>
      </c>
      <c r="FN24" s="10">
        <f t="shared" si="122"/>
        <v>0</v>
      </c>
      <c r="FO24" s="10">
        <f t="shared" si="123"/>
        <v>0</v>
      </c>
      <c r="FP24" s="10">
        <f t="shared" si="124"/>
        <v>0</v>
      </c>
      <c r="FQ24" s="10">
        <f t="shared" si="125"/>
        <v>1</v>
      </c>
      <c r="FR24" s="11">
        <f t="shared" si="366"/>
        <v>0</v>
      </c>
      <c r="FS24" s="11">
        <f t="shared" si="127"/>
        <v>0</v>
      </c>
      <c r="FT24" s="11">
        <f t="shared" si="128"/>
        <v>0</v>
      </c>
      <c r="FU24" s="11">
        <f t="shared" si="129"/>
        <v>0</v>
      </c>
      <c r="FV24" s="11">
        <f t="shared" si="130"/>
        <v>0</v>
      </c>
      <c r="FW24" s="11">
        <f t="shared" si="131"/>
        <v>0</v>
      </c>
      <c r="FX24" s="11">
        <f t="shared" si="132"/>
        <v>0</v>
      </c>
      <c r="FY24" s="11">
        <f t="shared" si="133"/>
        <v>0</v>
      </c>
      <c r="FZ24" s="11">
        <f t="shared" si="134"/>
        <v>0</v>
      </c>
      <c r="GA24" s="11">
        <f t="shared" si="135"/>
        <v>0</v>
      </c>
      <c r="GB24" s="11">
        <f t="shared" si="136"/>
        <v>0</v>
      </c>
      <c r="GC24" s="11">
        <f t="shared" si="137"/>
        <v>0</v>
      </c>
      <c r="GD24" s="11">
        <f t="shared" si="138"/>
        <v>0</v>
      </c>
      <c r="GE24" s="11">
        <f t="shared" si="139"/>
        <v>0</v>
      </c>
      <c r="GF24" s="11">
        <f t="shared" si="140"/>
        <v>0</v>
      </c>
      <c r="GG24" s="11">
        <f t="shared" si="141"/>
        <v>0</v>
      </c>
      <c r="GH24" s="11">
        <f t="shared" si="142"/>
        <v>0</v>
      </c>
      <c r="GI24" s="11">
        <f t="shared" si="143"/>
        <v>0</v>
      </c>
      <c r="GJ24" s="11">
        <f t="shared" si="144"/>
        <v>0</v>
      </c>
      <c r="GK24" s="11">
        <f t="shared" si="145"/>
        <v>0</v>
      </c>
      <c r="GL24" s="11">
        <f t="shared" si="146"/>
        <v>0</v>
      </c>
      <c r="GM24" s="11">
        <f t="shared" si="147"/>
        <v>0</v>
      </c>
      <c r="GN24" s="11">
        <f t="shared" si="148"/>
        <v>0</v>
      </c>
      <c r="GO24" s="11">
        <f t="shared" si="149"/>
        <v>0</v>
      </c>
      <c r="GP24" s="11">
        <f t="shared" si="150"/>
        <v>0</v>
      </c>
      <c r="GQ24" s="11">
        <f t="shared" si="151"/>
        <v>0</v>
      </c>
      <c r="GR24" s="11">
        <f t="shared" si="152"/>
        <v>1</v>
      </c>
      <c r="GS24" s="11">
        <f t="shared" si="153"/>
        <v>0</v>
      </c>
      <c r="GT24" s="11">
        <f t="shared" si="154"/>
        <v>0</v>
      </c>
      <c r="GU24" s="12">
        <f t="shared" si="155"/>
        <v>0</v>
      </c>
      <c r="GV24" s="12">
        <f t="shared" si="156"/>
        <v>0</v>
      </c>
      <c r="GW24" s="12">
        <f t="shared" si="157"/>
        <v>0</v>
      </c>
      <c r="GX24" s="12">
        <f t="shared" si="158"/>
        <v>0</v>
      </c>
      <c r="GY24" s="12">
        <f t="shared" si="159"/>
        <v>0</v>
      </c>
      <c r="GZ24" s="12">
        <f t="shared" si="160"/>
        <v>0</v>
      </c>
      <c r="HA24" s="12">
        <f t="shared" si="161"/>
        <v>0</v>
      </c>
      <c r="HB24" s="12">
        <f t="shared" si="162"/>
        <v>0</v>
      </c>
      <c r="HC24" s="12">
        <f t="shared" si="163"/>
        <v>0</v>
      </c>
      <c r="HD24" s="12">
        <f t="shared" si="164"/>
        <v>0</v>
      </c>
      <c r="HE24" s="12">
        <f t="shared" si="165"/>
        <v>0</v>
      </c>
      <c r="HF24" s="12">
        <f t="shared" si="166"/>
        <v>0</v>
      </c>
      <c r="HG24" s="12">
        <f t="shared" si="167"/>
        <v>0</v>
      </c>
      <c r="HH24" s="12">
        <f t="shared" si="168"/>
        <v>0</v>
      </c>
      <c r="HI24" s="12">
        <f t="shared" si="169"/>
        <v>0</v>
      </c>
      <c r="HJ24" s="12">
        <f t="shared" si="170"/>
        <v>0</v>
      </c>
      <c r="HK24" s="12">
        <f t="shared" si="171"/>
        <v>0</v>
      </c>
      <c r="HL24" s="12">
        <f t="shared" si="172"/>
        <v>0</v>
      </c>
      <c r="HM24" s="12">
        <f t="shared" si="173"/>
        <v>0</v>
      </c>
      <c r="HN24" s="12">
        <f t="shared" si="174"/>
        <v>0</v>
      </c>
      <c r="HO24" s="12">
        <f t="shared" si="175"/>
        <v>0</v>
      </c>
      <c r="HP24" s="12">
        <f t="shared" si="176"/>
        <v>0</v>
      </c>
      <c r="HQ24" s="12">
        <f t="shared" si="177"/>
        <v>0</v>
      </c>
      <c r="HR24" s="12">
        <f t="shared" si="178"/>
        <v>0</v>
      </c>
      <c r="HS24" s="12">
        <f t="shared" si="179"/>
        <v>0</v>
      </c>
      <c r="HT24" s="12">
        <f t="shared" si="180"/>
        <v>0</v>
      </c>
      <c r="HU24" s="12">
        <f t="shared" si="181"/>
        <v>0</v>
      </c>
      <c r="HV24" s="12">
        <f t="shared" si="182"/>
        <v>0</v>
      </c>
      <c r="HW24" s="12">
        <f t="shared" si="183"/>
        <v>0</v>
      </c>
      <c r="HX24" s="12">
        <f t="shared" si="184"/>
        <v>0</v>
      </c>
      <c r="HY24" s="12">
        <f t="shared" si="185"/>
        <v>0</v>
      </c>
      <c r="HZ24" s="12">
        <f t="shared" si="186"/>
        <v>0</v>
      </c>
      <c r="IA24" s="12">
        <f t="shared" si="187"/>
        <v>0</v>
      </c>
      <c r="IB24" s="12">
        <f t="shared" si="188"/>
        <v>0</v>
      </c>
      <c r="IC24" s="12">
        <f t="shared" si="189"/>
        <v>0</v>
      </c>
      <c r="ID24" s="12">
        <f t="shared" si="190"/>
        <v>0</v>
      </c>
      <c r="IE24" s="12">
        <f t="shared" si="191"/>
        <v>0</v>
      </c>
      <c r="IF24" s="12">
        <f t="shared" si="192"/>
        <v>0</v>
      </c>
      <c r="IG24" s="12">
        <f t="shared" si="193"/>
        <v>0</v>
      </c>
      <c r="IH24" s="12">
        <f t="shared" si="194"/>
        <v>0</v>
      </c>
      <c r="II24" s="12">
        <f t="shared" si="195"/>
        <v>0</v>
      </c>
      <c r="IJ24" s="12">
        <f t="shared" si="196"/>
        <v>0</v>
      </c>
      <c r="IK24" s="12">
        <f t="shared" si="197"/>
        <v>0</v>
      </c>
      <c r="IL24" s="12">
        <f t="shared" si="198"/>
        <v>0</v>
      </c>
      <c r="IM24" s="12">
        <f t="shared" si="199"/>
        <v>0</v>
      </c>
      <c r="IN24" s="12">
        <f t="shared" si="200"/>
        <v>0</v>
      </c>
      <c r="IO24" s="12">
        <f t="shared" si="201"/>
        <v>0</v>
      </c>
      <c r="IP24" s="12">
        <f t="shared" si="202"/>
        <v>0</v>
      </c>
      <c r="IQ24" s="12">
        <f t="shared" si="203"/>
        <v>0</v>
      </c>
      <c r="IR24" s="12">
        <f t="shared" si="204"/>
        <v>0</v>
      </c>
      <c r="IS24" s="12">
        <f t="shared" si="205"/>
        <v>0</v>
      </c>
      <c r="IT24" s="12">
        <f t="shared" si="206"/>
        <v>0</v>
      </c>
      <c r="IU24" s="12">
        <f t="shared" si="207"/>
        <v>0</v>
      </c>
      <c r="IV24" s="12">
        <f t="shared" si="208"/>
        <v>0</v>
      </c>
      <c r="IW24" s="12">
        <f t="shared" si="209"/>
        <v>0</v>
      </c>
      <c r="IX24" s="12">
        <f t="shared" si="210"/>
        <v>0</v>
      </c>
      <c r="IY24" s="12">
        <f t="shared" si="211"/>
        <v>0</v>
      </c>
      <c r="IZ24" s="12">
        <f t="shared" si="212"/>
        <v>0</v>
      </c>
      <c r="JA24" s="13">
        <f t="shared" si="213"/>
        <v>0</v>
      </c>
      <c r="JB24" s="13">
        <f t="shared" si="214"/>
        <v>0</v>
      </c>
      <c r="JC24" s="13">
        <f t="shared" si="215"/>
        <v>0</v>
      </c>
      <c r="JD24" s="13">
        <f t="shared" si="216"/>
        <v>0</v>
      </c>
      <c r="JE24" s="13">
        <f t="shared" si="217"/>
        <v>0</v>
      </c>
      <c r="JF24" s="13">
        <f t="shared" si="218"/>
        <v>0</v>
      </c>
      <c r="JG24" s="13">
        <f t="shared" si="219"/>
        <v>0</v>
      </c>
      <c r="JH24" s="13">
        <f t="shared" si="220"/>
        <v>0</v>
      </c>
      <c r="JI24" s="13">
        <f t="shared" si="221"/>
        <v>0</v>
      </c>
      <c r="JJ24" s="13">
        <f t="shared" si="222"/>
        <v>0</v>
      </c>
      <c r="JK24" s="13">
        <f t="shared" si="223"/>
        <v>0</v>
      </c>
      <c r="JL24" s="13">
        <f t="shared" si="224"/>
        <v>0</v>
      </c>
      <c r="JM24" s="13">
        <f t="shared" si="225"/>
        <v>0</v>
      </c>
      <c r="JN24" s="13">
        <f t="shared" si="226"/>
        <v>0</v>
      </c>
      <c r="JO24" s="13">
        <f t="shared" si="227"/>
        <v>0</v>
      </c>
      <c r="JP24" s="13">
        <f t="shared" si="228"/>
        <v>0</v>
      </c>
      <c r="JQ24" s="13">
        <f t="shared" si="229"/>
        <v>0</v>
      </c>
      <c r="JR24" s="13">
        <f t="shared" si="230"/>
        <v>0</v>
      </c>
      <c r="JS24" s="13">
        <f t="shared" si="231"/>
        <v>0</v>
      </c>
      <c r="JT24" s="13">
        <f t="shared" si="232"/>
        <v>0</v>
      </c>
      <c r="JU24" s="13">
        <f t="shared" si="233"/>
        <v>0</v>
      </c>
      <c r="JV24" s="12">
        <f t="shared" si="234"/>
        <v>0</v>
      </c>
      <c r="JW24" s="12">
        <f t="shared" si="235"/>
        <v>0</v>
      </c>
      <c r="JX24" s="12">
        <f t="shared" si="236"/>
        <v>0</v>
      </c>
      <c r="JY24" s="12">
        <f t="shared" si="237"/>
        <v>0</v>
      </c>
      <c r="JZ24" s="12">
        <f t="shared" si="238"/>
        <v>0</v>
      </c>
      <c r="KA24" s="12">
        <f t="shared" si="239"/>
        <v>0</v>
      </c>
      <c r="KB24" s="12">
        <f t="shared" si="240"/>
        <v>0</v>
      </c>
      <c r="KC24" s="12">
        <f t="shared" si="241"/>
        <v>0</v>
      </c>
      <c r="KD24" s="12">
        <f t="shared" si="242"/>
        <v>0</v>
      </c>
      <c r="KE24" s="12">
        <f t="shared" si="243"/>
        <v>0</v>
      </c>
      <c r="KF24" s="12">
        <f t="shared" si="244"/>
        <v>0</v>
      </c>
      <c r="KG24" s="12">
        <f t="shared" si="245"/>
        <v>0</v>
      </c>
      <c r="KH24" s="12">
        <f t="shared" si="246"/>
        <v>0</v>
      </c>
      <c r="KI24" s="12">
        <f t="shared" si="247"/>
        <v>0</v>
      </c>
      <c r="KJ24" s="12">
        <f t="shared" si="248"/>
        <v>0</v>
      </c>
      <c r="KK24" s="12">
        <f t="shared" si="249"/>
        <v>0</v>
      </c>
      <c r="KL24" s="12">
        <f t="shared" si="250"/>
        <v>0</v>
      </c>
      <c r="KM24" s="12">
        <f t="shared" si="251"/>
        <v>0</v>
      </c>
      <c r="KN24" s="12">
        <f t="shared" si="252"/>
        <v>0</v>
      </c>
      <c r="KO24" s="12">
        <f t="shared" si="253"/>
        <v>0</v>
      </c>
      <c r="KP24" s="12">
        <f t="shared" si="254"/>
        <v>0</v>
      </c>
      <c r="KQ24" s="12">
        <f t="shared" si="255"/>
        <v>0</v>
      </c>
      <c r="KR24" s="12">
        <f t="shared" si="256"/>
        <v>0</v>
      </c>
      <c r="KS24" s="12">
        <f t="shared" si="257"/>
        <v>0</v>
      </c>
      <c r="KT24" s="12">
        <f t="shared" si="258"/>
        <v>0</v>
      </c>
      <c r="KU24" s="12">
        <f t="shared" si="259"/>
        <v>0</v>
      </c>
      <c r="KV24" s="12">
        <f t="shared" si="260"/>
        <v>0</v>
      </c>
      <c r="KW24" s="12">
        <f t="shared" si="261"/>
        <v>0</v>
      </c>
      <c r="KX24" s="12">
        <f t="shared" si="262"/>
        <v>0</v>
      </c>
      <c r="KY24" s="12">
        <f t="shared" si="263"/>
        <v>0</v>
      </c>
      <c r="KZ24" s="12">
        <f t="shared" si="264"/>
        <v>0</v>
      </c>
      <c r="LA24" s="12">
        <f t="shared" si="265"/>
        <v>0</v>
      </c>
      <c r="LB24" s="12">
        <f t="shared" si="266"/>
        <v>0</v>
      </c>
      <c r="LC24" s="12">
        <f t="shared" si="267"/>
        <v>0</v>
      </c>
      <c r="LD24" s="12">
        <f t="shared" si="268"/>
        <v>0</v>
      </c>
      <c r="LE24" s="12">
        <f t="shared" si="269"/>
        <v>0</v>
      </c>
      <c r="LF24" s="12">
        <f t="shared" si="270"/>
        <v>0</v>
      </c>
      <c r="LG24" s="12">
        <f t="shared" si="271"/>
        <v>0</v>
      </c>
      <c r="LH24" s="12">
        <f t="shared" si="272"/>
        <v>0</v>
      </c>
      <c r="LI24" s="12">
        <f t="shared" si="273"/>
        <v>0</v>
      </c>
      <c r="LJ24" s="12">
        <f t="shared" si="274"/>
        <v>0</v>
      </c>
      <c r="LK24" s="12">
        <f t="shared" si="275"/>
        <v>0</v>
      </c>
      <c r="LL24" s="12">
        <f t="shared" si="276"/>
        <v>0</v>
      </c>
      <c r="LM24" s="12">
        <f t="shared" si="277"/>
        <v>0</v>
      </c>
      <c r="LN24" s="12">
        <f t="shared" si="278"/>
        <v>0</v>
      </c>
      <c r="LO24" s="12">
        <f t="shared" si="279"/>
        <v>0</v>
      </c>
      <c r="LP24" s="12">
        <f t="shared" si="280"/>
        <v>0</v>
      </c>
      <c r="LQ24" s="12">
        <f t="shared" si="281"/>
        <v>0</v>
      </c>
      <c r="LR24" s="12">
        <f t="shared" si="282"/>
        <v>0</v>
      </c>
      <c r="LS24" s="12">
        <f t="shared" si="283"/>
        <v>0</v>
      </c>
      <c r="LT24" s="13">
        <f t="shared" si="284"/>
        <v>0</v>
      </c>
      <c r="LU24" s="13">
        <f t="shared" si="285"/>
        <v>0</v>
      </c>
      <c r="LV24" s="13">
        <f t="shared" si="286"/>
        <v>0</v>
      </c>
      <c r="LW24" s="13">
        <f t="shared" si="287"/>
        <v>0</v>
      </c>
      <c r="LX24" s="13">
        <f t="shared" si="288"/>
        <v>0</v>
      </c>
      <c r="LY24" s="13">
        <f t="shared" si="289"/>
        <v>0</v>
      </c>
      <c r="LZ24" s="13">
        <f t="shared" si="290"/>
        <v>0</v>
      </c>
      <c r="MA24" s="13">
        <f t="shared" si="291"/>
        <v>0</v>
      </c>
      <c r="MB24" s="13">
        <f t="shared" si="292"/>
        <v>0</v>
      </c>
      <c r="MC24" s="13">
        <f t="shared" si="293"/>
        <v>0</v>
      </c>
      <c r="MD24" s="13">
        <f t="shared" si="294"/>
        <v>0</v>
      </c>
      <c r="ME24" s="13">
        <f t="shared" si="295"/>
        <v>0</v>
      </c>
      <c r="MF24" s="13">
        <f t="shared" si="296"/>
        <v>0</v>
      </c>
      <c r="MG24" s="13">
        <f t="shared" si="297"/>
        <v>0</v>
      </c>
      <c r="MH24" s="13">
        <f t="shared" si="298"/>
        <v>0</v>
      </c>
      <c r="MI24" s="13">
        <f t="shared" si="299"/>
        <v>0</v>
      </c>
      <c r="MJ24" s="13">
        <f t="shared" si="300"/>
        <v>0</v>
      </c>
      <c r="MK24" s="13">
        <f t="shared" si="301"/>
        <v>0</v>
      </c>
      <c r="ML24" s="14">
        <f t="shared" si="302"/>
        <v>0</v>
      </c>
      <c r="MM24" s="14">
        <f t="shared" si="303"/>
        <v>0</v>
      </c>
      <c r="MN24" s="14">
        <f t="shared" si="304"/>
        <v>0</v>
      </c>
      <c r="MO24" s="14">
        <f t="shared" si="305"/>
        <v>0</v>
      </c>
      <c r="MP24" s="14">
        <f t="shared" si="306"/>
        <v>0</v>
      </c>
      <c r="MQ24" s="14">
        <f t="shared" si="307"/>
        <v>0</v>
      </c>
      <c r="MR24" s="14">
        <f t="shared" si="308"/>
        <v>0</v>
      </c>
      <c r="MS24" s="14">
        <f t="shared" si="309"/>
        <v>0</v>
      </c>
      <c r="MT24" s="14">
        <f t="shared" si="310"/>
        <v>0</v>
      </c>
      <c r="MU24" s="14">
        <f t="shared" si="311"/>
        <v>0</v>
      </c>
      <c r="MV24" s="14">
        <f t="shared" si="312"/>
        <v>0</v>
      </c>
      <c r="MW24" s="14">
        <f t="shared" si="313"/>
        <v>0</v>
      </c>
      <c r="MX24" s="14">
        <f t="shared" si="314"/>
        <v>0</v>
      </c>
      <c r="MY24" s="14">
        <f t="shared" si="315"/>
        <v>0</v>
      </c>
      <c r="MZ24" s="14">
        <f t="shared" si="316"/>
        <v>0</v>
      </c>
      <c r="NA24" s="14">
        <f t="shared" si="317"/>
        <v>0</v>
      </c>
      <c r="NB24" s="14">
        <f t="shared" si="318"/>
        <v>0</v>
      </c>
    </row>
    <row r="25" ht="15.75" customHeight="1">
      <c r="A25" s="2">
        <v>392.0</v>
      </c>
      <c r="B25" s="2" t="s">
        <v>795</v>
      </c>
      <c r="C25" s="2" t="s">
        <v>796</v>
      </c>
      <c r="D25" s="2" t="s">
        <v>797</v>
      </c>
      <c r="E25" s="2">
        <v>2015.0</v>
      </c>
      <c r="F25" s="2" t="s">
        <v>676</v>
      </c>
      <c r="G25" s="2" t="s">
        <v>564</v>
      </c>
      <c r="H25" s="2" t="s">
        <v>603</v>
      </c>
      <c r="J25" s="2" t="s">
        <v>798</v>
      </c>
      <c r="K25" s="2" t="s">
        <v>799</v>
      </c>
      <c r="M25" s="2">
        <v>63.0</v>
      </c>
      <c r="N25" s="2" t="s">
        <v>800</v>
      </c>
      <c r="O25" s="2" t="s">
        <v>801</v>
      </c>
      <c r="P25" s="2" t="s">
        <v>802</v>
      </c>
      <c r="Q25" s="2" t="s">
        <v>803</v>
      </c>
      <c r="R25" s="2" t="s">
        <v>804</v>
      </c>
      <c r="S25" s="2" t="s">
        <v>805</v>
      </c>
      <c r="T25" s="2" t="s">
        <v>806</v>
      </c>
      <c r="Y25" s="2" t="s">
        <v>807</v>
      </c>
      <c r="AB25" s="2" t="s">
        <v>687</v>
      </c>
      <c r="AG25" s="2" t="s">
        <v>688</v>
      </c>
      <c r="AJ25" s="2">
        <v>2.6007727E7</v>
      </c>
      <c r="AK25" s="2" t="s">
        <v>689</v>
      </c>
      <c r="AL25" s="2" t="s">
        <v>384</v>
      </c>
      <c r="AM25" s="2" t="s">
        <v>484</v>
      </c>
      <c r="AN25" s="2" t="s">
        <v>386</v>
      </c>
      <c r="AO25" s="2" t="s">
        <v>808</v>
      </c>
      <c r="AP25" s="2" t="s">
        <v>386</v>
      </c>
      <c r="AQ25" s="2">
        <v>1551.0</v>
      </c>
      <c r="AR25" s="2" t="s">
        <v>797</v>
      </c>
      <c r="AS25" s="2" t="b">
        <v>0</v>
      </c>
      <c r="AT25" s="3">
        <v>0.0</v>
      </c>
      <c r="AU25" s="4"/>
      <c r="AV25" s="4">
        <v>1.0</v>
      </c>
      <c r="AW25" s="5">
        <f t="shared" si="3"/>
        <v>0</v>
      </c>
      <c r="AX25" s="5">
        <f t="shared" si="4"/>
        <v>0</v>
      </c>
      <c r="AY25" s="5">
        <f t="shared" si="5"/>
        <v>0</v>
      </c>
      <c r="AZ25" s="5">
        <f t="shared" si="6"/>
        <v>0</v>
      </c>
      <c r="BA25" s="5">
        <f t="shared" si="7"/>
        <v>0</v>
      </c>
      <c r="BB25" s="5">
        <f t="shared" si="8"/>
        <v>0</v>
      </c>
      <c r="BC25" s="5">
        <f t="shared" si="9"/>
        <v>0</v>
      </c>
      <c r="BD25" s="5">
        <f t="shared" si="10"/>
        <v>0</v>
      </c>
      <c r="BE25" s="5">
        <f t="shared" si="11"/>
        <v>0</v>
      </c>
      <c r="BF25" s="5">
        <f t="shared" si="12"/>
        <v>0</v>
      </c>
      <c r="BG25" s="5">
        <f t="shared" si="13"/>
        <v>0</v>
      </c>
      <c r="BH25" s="5">
        <f t="shared" si="14"/>
        <v>0</v>
      </c>
      <c r="BI25" s="5">
        <f t="shared" si="15"/>
        <v>0</v>
      </c>
      <c r="BJ25" s="5">
        <f t="shared" si="16"/>
        <v>0</v>
      </c>
      <c r="BK25" s="5">
        <f t="shared" si="17"/>
        <v>0</v>
      </c>
      <c r="BL25" s="5">
        <f t="shared" si="18"/>
        <v>0</v>
      </c>
      <c r="BM25" s="5">
        <f t="shared" si="19"/>
        <v>0</v>
      </c>
      <c r="BN25" s="5">
        <f t="shared" si="20"/>
        <v>0</v>
      </c>
      <c r="BO25" s="5">
        <f t="shared" si="21"/>
        <v>0</v>
      </c>
      <c r="BP25" s="5">
        <f t="shared" si="22"/>
        <v>0</v>
      </c>
      <c r="BQ25" s="5">
        <f t="shared" si="23"/>
        <v>0</v>
      </c>
      <c r="BR25" s="5">
        <f t="shared" si="24"/>
        <v>0</v>
      </c>
      <c r="BS25" s="5">
        <f t="shared" si="25"/>
        <v>0</v>
      </c>
      <c r="BT25" s="5">
        <f t="shared" si="26"/>
        <v>0</v>
      </c>
      <c r="BU25" s="5">
        <f t="shared" si="27"/>
        <v>0</v>
      </c>
      <c r="BV25" s="5">
        <f t="shared" ref="BV25:BW25" si="367">IF(OR(ISNUMBER(SEARCH("grit",$D25)),ISNUMBER(SEARCH("grit",$T25)),ISNUMBER(SEARCH("grit",$R25)),ISNUMBER(SEARCH("grit",$S25)),
ISNUMBER(SEARCH("determination",$D25)),ISNUMBER(SEARCH("determination",$T25)),ISNUMBER(SEARCH("determination",$R25)),ISNUMBER(SEARCH("determination",$S25)),
ISNUMBER(SEARCH("tenacity",$D25)),ISNUMBER(SEARCH("tenacity",$T25)),ISNUMBER(SEARCH("tenacity",$R25)),ISNUMBER(SEARCH("tenacity",$S25)),
ISNUMBER(SEARCH("endurance",$D25)),ISNUMBER(SEARCH("endurance",$T25)),ISNUMBER(SEARCH("endurance",$R25)),ISNUMBER(SEARCH("endurance",$S25)),
ISNUMBER(SEARCH("fortitude",$D25)),ISNUMBER(SEARCH("fortitude",$T25)),ISNUMBER(SEARCH("fortitude",$R25)),ISNUMBER(SEARCH("fortitude",$S25)),
ISNUMBER(SEARCH("resolve",$D25)),ISNUMBER(SEARCH("resolve",$T25)),ISNUMBER(SEARCH("resolve",$R25)),ISNUMBER(SEARCH("resolve",$S25)),
ISNUMBER(SEARCH("stamina",$D25)),ISNUMBER(SEARCH("stamina",$T25)),ISNUMBER(SEARCH("stamina",$R25)),ISNUMBER(SEARCH("stamina",$S25)),
ISNUMBER(SEARCH("guts",$D25)),ISNUMBER(SEARCH("guts",$T25)),ISNUMBER(SEARCH("guts",$R25)),ISNUMBER(SEARCH("guts",$S25)),
ISNUMBER(SEARCH("spunk",$D25)),ISNUMBER(SEARCH("spunk",$T25)),ISNUMBER(SEARCH("spunk",$R25)),ISNUMBER(SEARCH("spunk",$S25))), 1, 0)</f>
        <v>0</v>
      </c>
      <c r="BW25" s="5">
        <f t="shared" si="367"/>
        <v>0</v>
      </c>
      <c r="BX25" s="5">
        <f t="shared" si="29"/>
        <v>0</v>
      </c>
      <c r="BY25" s="5">
        <f t="shared" si="30"/>
        <v>0</v>
      </c>
      <c r="BZ25" s="5">
        <f t="shared" si="31"/>
        <v>0</v>
      </c>
      <c r="CA25" s="5">
        <f t="shared" si="32"/>
        <v>0</v>
      </c>
      <c r="CB25" s="5">
        <f t="shared" si="33"/>
        <v>0</v>
      </c>
      <c r="CC25" s="5">
        <f t="shared" si="34"/>
        <v>0</v>
      </c>
      <c r="CD25" s="5">
        <f t="shared" si="35"/>
        <v>0</v>
      </c>
      <c r="CE25" s="5">
        <f t="shared" si="36"/>
        <v>0</v>
      </c>
      <c r="CF25" s="5">
        <f t="shared" si="37"/>
        <v>0</v>
      </c>
      <c r="CG25" s="5">
        <f t="shared" si="38"/>
        <v>0</v>
      </c>
      <c r="CH25" s="5">
        <f t="shared" si="39"/>
        <v>0</v>
      </c>
      <c r="CI25" s="5">
        <f t="shared" si="40"/>
        <v>0</v>
      </c>
      <c r="CJ25" s="5">
        <f t="shared" si="41"/>
        <v>0</v>
      </c>
      <c r="CK25" s="5">
        <f t="shared" si="42"/>
        <v>1</v>
      </c>
      <c r="CL25" s="5">
        <f t="shared" si="43"/>
        <v>0</v>
      </c>
      <c r="CM25" s="5">
        <f t="shared" si="44"/>
        <v>0</v>
      </c>
      <c r="CN25" s="5">
        <f t="shared" si="45"/>
        <v>0</v>
      </c>
      <c r="CO25" s="5">
        <f t="shared" si="46"/>
        <v>0</v>
      </c>
      <c r="CP25" s="6">
        <f t="shared" si="47"/>
        <v>0</v>
      </c>
      <c r="CQ25" s="6">
        <f t="shared" si="48"/>
        <v>1</v>
      </c>
      <c r="CR25" s="6">
        <f t="shared" si="49"/>
        <v>0</v>
      </c>
      <c r="CS25" s="6">
        <f t="shared" si="50"/>
        <v>0</v>
      </c>
      <c r="CT25" s="6">
        <f t="shared" si="51"/>
        <v>0</v>
      </c>
      <c r="CU25" s="6">
        <f t="shared" si="52"/>
        <v>0</v>
      </c>
      <c r="CV25" s="6">
        <f t="shared" si="53"/>
        <v>0</v>
      </c>
      <c r="CW25" s="6">
        <f t="shared" si="54"/>
        <v>0</v>
      </c>
      <c r="CX25" s="6">
        <f t="shared" si="55"/>
        <v>0</v>
      </c>
      <c r="CY25" s="6">
        <f t="shared" si="56"/>
        <v>0</v>
      </c>
      <c r="CZ25" s="6">
        <f t="shared" si="57"/>
        <v>0</v>
      </c>
      <c r="DA25" s="6">
        <f t="shared" si="58"/>
        <v>0</v>
      </c>
      <c r="DB25" s="6">
        <f t="shared" si="59"/>
        <v>0</v>
      </c>
      <c r="DC25" s="6">
        <f t="shared" si="60"/>
        <v>0</v>
      </c>
      <c r="DD25" s="6">
        <f t="shared" si="61"/>
        <v>0</v>
      </c>
      <c r="DE25" s="6">
        <f t="shared" si="62"/>
        <v>0</v>
      </c>
      <c r="DF25" s="6">
        <f t="shared" si="63"/>
        <v>0</v>
      </c>
      <c r="DG25" s="6">
        <f t="shared" si="64"/>
        <v>0</v>
      </c>
      <c r="DH25" s="6">
        <f t="shared" si="353"/>
        <v>0</v>
      </c>
      <c r="DI25" s="6">
        <f t="shared" si="66"/>
        <v>0</v>
      </c>
      <c r="DJ25" s="6">
        <f t="shared" si="67"/>
        <v>0</v>
      </c>
      <c r="DK25" s="7">
        <f t="shared" si="68"/>
        <v>0</v>
      </c>
      <c r="DL25" s="7">
        <f t="shared" si="364"/>
        <v>0</v>
      </c>
      <c r="DM25" s="7">
        <f t="shared" si="70"/>
        <v>0</v>
      </c>
      <c r="DN25" s="7">
        <f t="shared" si="71"/>
        <v>0</v>
      </c>
      <c r="DO25" s="7">
        <f t="shared" si="72"/>
        <v>1</v>
      </c>
      <c r="DP25" s="8">
        <f t="shared" si="73"/>
        <v>0</v>
      </c>
      <c r="DQ25" s="8">
        <f t="shared" si="74"/>
        <v>1</v>
      </c>
      <c r="DR25" s="7">
        <f t="shared" si="75"/>
        <v>0</v>
      </c>
      <c r="DS25" s="7">
        <f t="shared" si="76"/>
        <v>0</v>
      </c>
      <c r="DT25" s="7">
        <f t="shared" si="77"/>
        <v>0</v>
      </c>
      <c r="DU25" s="9">
        <f t="shared" si="78"/>
        <v>0</v>
      </c>
      <c r="DV25" s="9">
        <f t="shared" si="79"/>
        <v>0</v>
      </c>
      <c r="DW25" s="9">
        <f t="shared" si="80"/>
        <v>0</v>
      </c>
      <c r="DX25" s="9">
        <f t="shared" si="81"/>
        <v>0</v>
      </c>
      <c r="DY25" s="9">
        <f t="shared" si="82"/>
        <v>0</v>
      </c>
      <c r="DZ25" s="9">
        <f t="shared" si="83"/>
        <v>0</v>
      </c>
      <c r="EA25" s="9">
        <f t="shared" si="84"/>
        <v>0</v>
      </c>
      <c r="EB25" s="9">
        <f t="shared" si="85"/>
        <v>0</v>
      </c>
      <c r="EC25" s="9">
        <f t="shared" si="86"/>
        <v>0</v>
      </c>
      <c r="ED25" s="9">
        <f t="shared" si="87"/>
        <v>0</v>
      </c>
      <c r="EE25" s="9">
        <f t="shared" si="88"/>
        <v>0</v>
      </c>
      <c r="EF25" s="9">
        <f t="shared" si="89"/>
        <v>0</v>
      </c>
      <c r="EG25" s="9">
        <f t="shared" si="90"/>
        <v>0</v>
      </c>
      <c r="EH25" s="9">
        <f t="shared" si="91"/>
        <v>0</v>
      </c>
      <c r="EI25" s="9">
        <f t="shared" si="92"/>
        <v>0</v>
      </c>
      <c r="EJ25" s="10">
        <f t="shared" si="93"/>
        <v>0</v>
      </c>
      <c r="EK25" s="10">
        <f t="shared" si="94"/>
        <v>0</v>
      </c>
      <c r="EL25" s="10">
        <f t="shared" ref="EL25:EM25" si="368">IF(OR(ISNUMBER(SEARCH("ai software toolkit", $D25)), ISNUMBER(SEARCH("ai software toolkit", $T25)), ISNUMBER(SEARCH("ai software toolkit", $R25)), ISNUMBER(SEARCH("ai software toolkit", $S25))), 1, 0)</f>
        <v>0</v>
      </c>
      <c r="EM25" s="10">
        <f t="shared" si="368"/>
        <v>0</v>
      </c>
      <c r="EN25" s="10">
        <f t="shared" si="96"/>
        <v>0</v>
      </c>
      <c r="EO25" s="10">
        <f t="shared" si="97"/>
        <v>0</v>
      </c>
      <c r="EP25" s="10">
        <f t="shared" si="98"/>
        <v>0</v>
      </c>
      <c r="EQ25" s="10">
        <f t="shared" si="99"/>
        <v>0</v>
      </c>
      <c r="ER25" s="10">
        <f t="shared" si="100"/>
        <v>0</v>
      </c>
      <c r="ES25" s="10">
        <f t="shared" si="101"/>
        <v>0</v>
      </c>
      <c r="ET25" s="10">
        <f t="shared" si="102"/>
        <v>0</v>
      </c>
      <c r="EU25" s="10">
        <f t="shared" si="103"/>
        <v>0</v>
      </c>
      <c r="EV25" s="10">
        <f t="shared" si="104"/>
        <v>0</v>
      </c>
      <c r="EW25" s="10">
        <f t="shared" si="105"/>
        <v>0</v>
      </c>
      <c r="EX25" s="10">
        <f t="shared" si="106"/>
        <v>0</v>
      </c>
      <c r="EY25" s="10">
        <f t="shared" si="107"/>
        <v>0</v>
      </c>
      <c r="EZ25" s="10">
        <f t="shared" si="108"/>
        <v>0</v>
      </c>
      <c r="FA25" s="10">
        <f t="shared" si="109"/>
        <v>0</v>
      </c>
      <c r="FB25" s="10">
        <f t="shared" si="110"/>
        <v>0</v>
      </c>
      <c r="FC25" s="10">
        <f t="shared" si="111"/>
        <v>0</v>
      </c>
      <c r="FD25" s="10">
        <f t="shared" si="112"/>
        <v>0</v>
      </c>
      <c r="FE25" s="10">
        <f t="shared" si="113"/>
        <v>0</v>
      </c>
      <c r="FF25" s="10">
        <f t="shared" si="114"/>
        <v>0</v>
      </c>
      <c r="FG25" s="10">
        <f t="shared" si="115"/>
        <v>0</v>
      </c>
      <c r="FH25" s="10">
        <f t="shared" si="116"/>
        <v>0</v>
      </c>
      <c r="FI25" s="10">
        <f t="shared" si="117"/>
        <v>0</v>
      </c>
      <c r="FJ25" s="10">
        <f t="shared" si="118"/>
        <v>0</v>
      </c>
      <c r="FK25" s="10">
        <f t="shared" si="119"/>
        <v>0</v>
      </c>
      <c r="FL25" s="10">
        <f t="shared" si="120"/>
        <v>0</v>
      </c>
      <c r="FM25" s="10">
        <f t="shared" si="121"/>
        <v>0</v>
      </c>
      <c r="FN25" s="10">
        <f t="shared" si="122"/>
        <v>0</v>
      </c>
      <c r="FO25" s="10">
        <f t="shared" si="123"/>
        <v>0</v>
      </c>
      <c r="FP25" s="10">
        <f t="shared" si="124"/>
        <v>1</v>
      </c>
      <c r="FQ25" s="10">
        <f t="shared" si="125"/>
        <v>0</v>
      </c>
      <c r="FR25" s="11">
        <f t="shared" si="366"/>
        <v>0</v>
      </c>
      <c r="FS25" s="11">
        <f t="shared" si="127"/>
        <v>0</v>
      </c>
      <c r="FT25" s="11">
        <f t="shared" si="128"/>
        <v>0</v>
      </c>
      <c r="FU25" s="11">
        <f t="shared" si="129"/>
        <v>0</v>
      </c>
      <c r="FV25" s="11">
        <f t="shared" si="130"/>
        <v>0</v>
      </c>
      <c r="FW25" s="11">
        <f t="shared" si="131"/>
        <v>0</v>
      </c>
      <c r="FX25" s="11">
        <f t="shared" si="132"/>
        <v>0</v>
      </c>
      <c r="FY25" s="11">
        <f t="shared" si="133"/>
        <v>0</v>
      </c>
      <c r="FZ25" s="11">
        <f t="shared" si="134"/>
        <v>0</v>
      </c>
      <c r="GA25" s="11">
        <f t="shared" si="135"/>
        <v>0</v>
      </c>
      <c r="GB25" s="11">
        <f t="shared" si="136"/>
        <v>0</v>
      </c>
      <c r="GC25" s="11">
        <f t="shared" si="137"/>
        <v>0</v>
      </c>
      <c r="GD25" s="11">
        <f t="shared" si="138"/>
        <v>0</v>
      </c>
      <c r="GE25" s="11">
        <f t="shared" si="139"/>
        <v>0</v>
      </c>
      <c r="GF25" s="11">
        <f t="shared" si="140"/>
        <v>0</v>
      </c>
      <c r="GG25" s="11">
        <f t="shared" si="141"/>
        <v>0</v>
      </c>
      <c r="GH25" s="11">
        <f t="shared" si="142"/>
        <v>0</v>
      </c>
      <c r="GI25" s="11">
        <f t="shared" si="143"/>
        <v>0</v>
      </c>
      <c r="GJ25" s="11">
        <f t="shared" si="144"/>
        <v>0</v>
      </c>
      <c r="GK25" s="11">
        <f t="shared" si="145"/>
        <v>0</v>
      </c>
      <c r="GL25" s="11">
        <f t="shared" si="146"/>
        <v>0</v>
      </c>
      <c r="GM25" s="11">
        <f t="shared" si="147"/>
        <v>0</v>
      </c>
      <c r="GN25" s="11">
        <f t="shared" si="148"/>
        <v>0</v>
      </c>
      <c r="GO25" s="11">
        <f t="shared" si="149"/>
        <v>0</v>
      </c>
      <c r="GP25" s="11">
        <f t="shared" si="150"/>
        <v>0</v>
      </c>
      <c r="GQ25" s="11">
        <f t="shared" si="151"/>
        <v>1</v>
      </c>
      <c r="GR25" s="11">
        <f t="shared" si="152"/>
        <v>0</v>
      </c>
      <c r="GS25" s="11">
        <f t="shared" si="153"/>
        <v>0</v>
      </c>
      <c r="GT25" s="11">
        <f t="shared" si="154"/>
        <v>0</v>
      </c>
      <c r="GU25" s="12">
        <f t="shared" si="155"/>
        <v>0</v>
      </c>
      <c r="GV25" s="12">
        <f t="shared" si="156"/>
        <v>0</v>
      </c>
      <c r="GW25" s="12">
        <f t="shared" si="157"/>
        <v>0</v>
      </c>
      <c r="GX25" s="12">
        <f t="shared" si="158"/>
        <v>0</v>
      </c>
      <c r="GY25" s="12">
        <f t="shared" si="159"/>
        <v>0</v>
      </c>
      <c r="GZ25" s="12">
        <f t="shared" si="160"/>
        <v>0</v>
      </c>
      <c r="HA25" s="12">
        <f t="shared" si="161"/>
        <v>0</v>
      </c>
      <c r="HB25" s="12">
        <f t="shared" si="162"/>
        <v>0</v>
      </c>
      <c r="HC25" s="12">
        <f t="shared" si="163"/>
        <v>0</v>
      </c>
      <c r="HD25" s="12">
        <f t="shared" si="164"/>
        <v>0</v>
      </c>
      <c r="HE25" s="12">
        <f t="shared" si="165"/>
        <v>0</v>
      </c>
      <c r="HF25" s="12">
        <f t="shared" si="166"/>
        <v>0</v>
      </c>
      <c r="HG25" s="12">
        <f t="shared" si="167"/>
        <v>0</v>
      </c>
      <c r="HH25" s="12">
        <f t="shared" si="168"/>
        <v>0</v>
      </c>
      <c r="HI25" s="12">
        <f t="shared" si="169"/>
        <v>0</v>
      </c>
      <c r="HJ25" s="12">
        <f t="shared" si="170"/>
        <v>0</v>
      </c>
      <c r="HK25" s="12">
        <f t="shared" si="171"/>
        <v>0</v>
      </c>
      <c r="HL25" s="12">
        <f t="shared" si="172"/>
        <v>0</v>
      </c>
      <c r="HM25" s="12">
        <f t="shared" si="173"/>
        <v>0</v>
      </c>
      <c r="HN25" s="12">
        <f t="shared" si="174"/>
        <v>0</v>
      </c>
      <c r="HO25" s="12">
        <f t="shared" si="175"/>
        <v>0</v>
      </c>
      <c r="HP25" s="12">
        <f t="shared" si="176"/>
        <v>0</v>
      </c>
      <c r="HQ25" s="12">
        <f t="shared" si="177"/>
        <v>0</v>
      </c>
      <c r="HR25" s="12">
        <f t="shared" si="178"/>
        <v>0</v>
      </c>
      <c r="HS25" s="12">
        <f t="shared" si="179"/>
        <v>0</v>
      </c>
      <c r="HT25" s="12">
        <f t="shared" si="180"/>
        <v>0</v>
      </c>
      <c r="HU25" s="12">
        <f t="shared" si="181"/>
        <v>0</v>
      </c>
      <c r="HV25" s="12">
        <f t="shared" si="182"/>
        <v>0</v>
      </c>
      <c r="HW25" s="12">
        <f t="shared" si="183"/>
        <v>0</v>
      </c>
      <c r="HX25" s="12">
        <f t="shared" si="184"/>
        <v>0</v>
      </c>
      <c r="HY25" s="12">
        <f t="shared" si="185"/>
        <v>0</v>
      </c>
      <c r="HZ25" s="12">
        <f t="shared" si="186"/>
        <v>0</v>
      </c>
      <c r="IA25" s="12">
        <f t="shared" si="187"/>
        <v>0</v>
      </c>
      <c r="IB25" s="12">
        <f t="shared" si="188"/>
        <v>0</v>
      </c>
      <c r="IC25" s="12">
        <f t="shared" si="189"/>
        <v>0</v>
      </c>
      <c r="ID25" s="12">
        <f t="shared" si="190"/>
        <v>0</v>
      </c>
      <c r="IE25" s="12">
        <f t="shared" si="191"/>
        <v>0</v>
      </c>
      <c r="IF25" s="12">
        <f t="shared" si="192"/>
        <v>0</v>
      </c>
      <c r="IG25" s="12">
        <f t="shared" si="193"/>
        <v>0</v>
      </c>
      <c r="IH25" s="12">
        <f t="shared" si="194"/>
        <v>0</v>
      </c>
      <c r="II25" s="12">
        <f t="shared" si="195"/>
        <v>0</v>
      </c>
      <c r="IJ25" s="12">
        <f t="shared" si="196"/>
        <v>0</v>
      </c>
      <c r="IK25" s="12">
        <f t="shared" si="197"/>
        <v>0</v>
      </c>
      <c r="IL25" s="12">
        <f t="shared" si="198"/>
        <v>0</v>
      </c>
      <c r="IM25" s="12">
        <f t="shared" si="199"/>
        <v>0</v>
      </c>
      <c r="IN25" s="12">
        <f t="shared" si="200"/>
        <v>0</v>
      </c>
      <c r="IO25" s="12">
        <f t="shared" si="201"/>
        <v>0</v>
      </c>
      <c r="IP25" s="12">
        <f t="shared" si="202"/>
        <v>0</v>
      </c>
      <c r="IQ25" s="12">
        <f t="shared" si="203"/>
        <v>0</v>
      </c>
      <c r="IR25" s="12">
        <f t="shared" si="204"/>
        <v>0</v>
      </c>
      <c r="IS25" s="12">
        <f t="shared" si="205"/>
        <v>0</v>
      </c>
      <c r="IT25" s="12">
        <f t="shared" si="206"/>
        <v>0</v>
      </c>
      <c r="IU25" s="12">
        <f t="shared" si="207"/>
        <v>0</v>
      </c>
      <c r="IV25" s="12">
        <f t="shared" si="208"/>
        <v>0</v>
      </c>
      <c r="IW25" s="12">
        <f t="shared" si="209"/>
        <v>0</v>
      </c>
      <c r="IX25" s="12">
        <f t="shared" si="210"/>
        <v>0</v>
      </c>
      <c r="IY25" s="12">
        <f t="shared" si="211"/>
        <v>0</v>
      </c>
      <c r="IZ25" s="12">
        <f t="shared" si="212"/>
        <v>0</v>
      </c>
      <c r="JA25" s="13">
        <f t="shared" si="213"/>
        <v>0</v>
      </c>
      <c r="JB25" s="13">
        <f t="shared" si="214"/>
        <v>0</v>
      </c>
      <c r="JC25" s="13">
        <f t="shared" si="215"/>
        <v>0</v>
      </c>
      <c r="JD25" s="13">
        <f t="shared" si="216"/>
        <v>0</v>
      </c>
      <c r="JE25" s="13">
        <f t="shared" si="217"/>
        <v>0</v>
      </c>
      <c r="JF25" s="13">
        <f t="shared" si="218"/>
        <v>0</v>
      </c>
      <c r="JG25" s="13">
        <f t="shared" si="219"/>
        <v>0</v>
      </c>
      <c r="JH25" s="13">
        <f t="shared" si="220"/>
        <v>0</v>
      </c>
      <c r="JI25" s="13">
        <f t="shared" si="221"/>
        <v>0</v>
      </c>
      <c r="JJ25" s="13">
        <f t="shared" si="222"/>
        <v>0</v>
      </c>
      <c r="JK25" s="13">
        <f t="shared" si="223"/>
        <v>0</v>
      </c>
      <c r="JL25" s="13">
        <f t="shared" si="224"/>
        <v>0</v>
      </c>
      <c r="JM25" s="13">
        <f t="shared" si="225"/>
        <v>0</v>
      </c>
      <c r="JN25" s="13">
        <f t="shared" si="226"/>
        <v>0</v>
      </c>
      <c r="JO25" s="13">
        <f t="shared" si="227"/>
        <v>0</v>
      </c>
      <c r="JP25" s="13">
        <f t="shared" si="228"/>
        <v>0</v>
      </c>
      <c r="JQ25" s="13">
        <f t="shared" si="229"/>
        <v>0</v>
      </c>
      <c r="JR25" s="13">
        <f t="shared" si="230"/>
        <v>0</v>
      </c>
      <c r="JS25" s="13">
        <f t="shared" si="231"/>
        <v>0</v>
      </c>
      <c r="JT25" s="13">
        <f t="shared" si="232"/>
        <v>0</v>
      </c>
      <c r="JU25" s="13">
        <f t="shared" si="233"/>
        <v>0</v>
      </c>
      <c r="JV25" s="12">
        <f t="shared" si="234"/>
        <v>0</v>
      </c>
      <c r="JW25" s="12">
        <f t="shared" si="235"/>
        <v>0</v>
      </c>
      <c r="JX25" s="12">
        <f t="shared" si="236"/>
        <v>0</v>
      </c>
      <c r="JY25" s="12">
        <f t="shared" si="237"/>
        <v>0</v>
      </c>
      <c r="JZ25" s="12">
        <f t="shared" si="238"/>
        <v>0</v>
      </c>
      <c r="KA25" s="12">
        <f t="shared" si="239"/>
        <v>0</v>
      </c>
      <c r="KB25" s="12">
        <f t="shared" si="240"/>
        <v>0</v>
      </c>
      <c r="KC25" s="12">
        <f t="shared" si="241"/>
        <v>0</v>
      </c>
      <c r="KD25" s="12">
        <f t="shared" si="242"/>
        <v>0</v>
      </c>
      <c r="KE25" s="12">
        <f t="shared" si="243"/>
        <v>0</v>
      </c>
      <c r="KF25" s="12">
        <f t="shared" si="244"/>
        <v>0</v>
      </c>
      <c r="KG25" s="12">
        <f t="shared" si="245"/>
        <v>0</v>
      </c>
      <c r="KH25" s="12">
        <f t="shared" si="246"/>
        <v>0</v>
      </c>
      <c r="KI25" s="12">
        <f t="shared" si="247"/>
        <v>0</v>
      </c>
      <c r="KJ25" s="12">
        <f t="shared" si="248"/>
        <v>0</v>
      </c>
      <c r="KK25" s="12">
        <f t="shared" si="249"/>
        <v>0</v>
      </c>
      <c r="KL25" s="12">
        <f t="shared" si="250"/>
        <v>0</v>
      </c>
      <c r="KM25" s="12">
        <f t="shared" si="251"/>
        <v>0</v>
      </c>
      <c r="KN25" s="12">
        <f t="shared" si="252"/>
        <v>0</v>
      </c>
      <c r="KO25" s="12">
        <f t="shared" si="253"/>
        <v>0</v>
      </c>
      <c r="KP25" s="12">
        <f t="shared" si="254"/>
        <v>0</v>
      </c>
      <c r="KQ25" s="12">
        <f t="shared" si="255"/>
        <v>0</v>
      </c>
      <c r="KR25" s="12">
        <f t="shared" si="256"/>
        <v>0</v>
      </c>
      <c r="KS25" s="12">
        <f t="shared" si="257"/>
        <v>0</v>
      </c>
      <c r="KT25" s="12">
        <f t="shared" si="258"/>
        <v>0</v>
      </c>
      <c r="KU25" s="12">
        <f t="shared" si="259"/>
        <v>0</v>
      </c>
      <c r="KV25" s="12">
        <f t="shared" si="260"/>
        <v>0</v>
      </c>
      <c r="KW25" s="12">
        <f t="shared" si="261"/>
        <v>0</v>
      </c>
      <c r="KX25" s="12">
        <f t="shared" si="262"/>
        <v>0</v>
      </c>
      <c r="KY25" s="12">
        <f t="shared" si="263"/>
        <v>0</v>
      </c>
      <c r="KZ25" s="12">
        <f t="shared" si="264"/>
        <v>0</v>
      </c>
      <c r="LA25" s="12">
        <f t="shared" si="265"/>
        <v>0</v>
      </c>
      <c r="LB25" s="12">
        <f t="shared" si="266"/>
        <v>0</v>
      </c>
      <c r="LC25" s="12">
        <f t="shared" si="267"/>
        <v>0</v>
      </c>
      <c r="LD25" s="12">
        <f t="shared" si="268"/>
        <v>0</v>
      </c>
      <c r="LE25" s="12">
        <f t="shared" si="269"/>
        <v>0</v>
      </c>
      <c r="LF25" s="12">
        <f t="shared" si="270"/>
        <v>0</v>
      </c>
      <c r="LG25" s="12">
        <f t="shared" si="271"/>
        <v>0</v>
      </c>
      <c r="LH25" s="12">
        <f t="shared" si="272"/>
        <v>0</v>
      </c>
      <c r="LI25" s="12">
        <f t="shared" si="273"/>
        <v>0</v>
      </c>
      <c r="LJ25" s="12">
        <f t="shared" si="274"/>
        <v>0</v>
      </c>
      <c r="LK25" s="12">
        <f t="shared" si="275"/>
        <v>0</v>
      </c>
      <c r="LL25" s="12">
        <f t="shared" si="276"/>
        <v>0</v>
      </c>
      <c r="LM25" s="12">
        <f t="shared" si="277"/>
        <v>0</v>
      </c>
      <c r="LN25" s="12">
        <f t="shared" si="278"/>
        <v>0</v>
      </c>
      <c r="LO25" s="12">
        <f t="shared" si="279"/>
        <v>0</v>
      </c>
      <c r="LP25" s="12">
        <f t="shared" si="280"/>
        <v>0</v>
      </c>
      <c r="LQ25" s="12">
        <f t="shared" si="281"/>
        <v>0</v>
      </c>
      <c r="LR25" s="12">
        <f t="shared" si="282"/>
        <v>0</v>
      </c>
      <c r="LS25" s="12">
        <f t="shared" si="283"/>
        <v>0</v>
      </c>
      <c r="LT25" s="13">
        <f t="shared" si="284"/>
        <v>0</v>
      </c>
      <c r="LU25" s="13">
        <f t="shared" si="285"/>
        <v>0</v>
      </c>
      <c r="LV25" s="13">
        <f t="shared" si="286"/>
        <v>0</v>
      </c>
      <c r="LW25" s="13">
        <f t="shared" si="287"/>
        <v>0</v>
      </c>
      <c r="LX25" s="13">
        <f t="shared" si="288"/>
        <v>0</v>
      </c>
      <c r="LY25" s="13">
        <f t="shared" si="289"/>
        <v>0</v>
      </c>
      <c r="LZ25" s="13">
        <f t="shared" si="290"/>
        <v>0</v>
      </c>
      <c r="MA25" s="13">
        <f t="shared" si="291"/>
        <v>0</v>
      </c>
      <c r="MB25" s="13">
        <f t="shared" si="292"/>
        <v>0</v>
      </c>
      <c r="MC25" s="13">
        <f t="shared" si="293"/>
        <v>1</v>
      </c>
      <c r="MD25" s="13">
        <f t="shared" si="294"/>
        <v>0</v>
      </c>
      <c r="ME25" s="13">
        <f t="shared" si="295"/>
        <v>0</v>
      </c>
      <c r="MF25" s="13">
        <f t="shared" si="296"/>
        <v>0</v>
      </c>
      <c r="MG25" s="13">
        <f t="shared" si="297"/>
        <v>0</v>
      </c>
      <c r="MH25" s="13">
        <f t="shared" si="298"/>
        <v>0</v>
      </c>
      <c r="MI25" s="13">
        <f t="shared" si="299"/>
        <v>0</v>
      </c>
      <c r="MJ25" s="13">
        <f t="shared" si="300"/>
        <v>0</v>
      </c>
      <c r="MK25" s="13">
        <f t="shared" si="301"/>
        <v>0</v>
      </c>
      <c r="ML25" s="14">
        <f t="shared" si="302"/>
        <v>0</v>
      </c>
      <c r="MM25" s="14">
        <f t="shared" si="303"/>
        <v>0</v>
      </c>
      <c r="MN25" s="14">
        <f t="shared" si="304"/>
        <v>0</v>
      </c>
      <c r="MO25" s="14">
        <f t="shared" si="305"/>
        <v>0</v>
      </c>
      <c r="MP25" s="14">
        <f t="shared" si="306"/>
        <v>0</v>
      </c>
      <c r="MQ25" s="14">
        <f t="shared" si="307"/>
        <v>0</v>
      </c>
      <c r="MR25" s="14">
        <f t="shared" si="308"/>
        <v>0</v>
      </c>
      <c r="MS25" s="14">
        <f t="shared" si="309"/>
        <v>0</v>
      </c>
      <c r="MT25" s="14">
        <f t="shared" si="310"/>
        <v>0</v>
      </c>
      <c r="MU25" s="14">
        <f t="shared" si="311"/>
        <v>0</v>
      </c>
      <c r="MV25" s="14">
        <f t="shared" si="312"/>
        <v>0</v>
      </c>
      <c r="MW25" s="14">
        <f t="shared" si="313"/>
        <v>0</v>
      </c>
      <c r="MX25" s="14">
        <f t="shared" si="314"/>
        <v>0</v>
      </c>
      <c r="MY25" s="14">
        <f t="shared" si="315"/>
        <v>0</v>
      </c>
      <c r="MZ25" s="14">
        <f t="shared" si="316"/>
        <v>0</v>
      </c>
      <c r="NA25" s="14">
        <f t="shared" si="317"/>
        <v>0</v>
      </c>
      <c r="NB25" s="14">
        <f t="shared" si="318"/>
        <v>0</v>
      </c>
    </row>
    <row r="26" ht="15.75" customHeight="1">
      <c r="A26" s="15">
        <v>423.0</v>
      </c>
      <c r="B26" s="2" t="s">
        <v>809</v>
      </c>
      <c r="C26" s="2" t="s">
        <v>810</v>
      </c>
      <c r="D26" s="2" t="s">
        <v>811</v>
      </c>
      <c r="E26" s="2">
        <v>2012.0</v>
      </c>
      <c r="F26" s="2" t="s">
        <v>812</v>
      </c>
      <c r="G26" s="2" t="s">
        <v>451</v>
      </c>
      <c r="H26" s="2" t="s">
        <v>510</v>
      </c>
      <c r="J26" s="2" t="s">
        <v>813</v>
      </c>
      <c r="K26" s="2" t="s">
        <v>814</v>
      </c>
      <c r="M26" s="2">
        <v>58.0</v>
      </c>
      <c r="N26" s="2" t="s">
        <v>815</v>
      </c>
      <c r="O26" s="2" t="s">
        <v>816</v>
      </c>
      <c r="P26" s="2" t="s">
        <v>817</v>
      </c>
      <c r="Q26" s="2" t="s">
        <v>818</v>
      </c>
      <c r="R26" s="2" t="s">
        <v>819</v>
      </c>
      <c r="S26" s="2" t="s">
        <v>820</v>
      </c>
      <c r="Y26" s="2" t="s">
        <v>821</v>
      </c>
      <c r="AG26" s="2" t="s">
        <v>822</v>
      </c>
      <c r="AI26" s="2" t="s">
        <v>823</v>
      </c>
      <c r="AK26" s="2" t="s">
        <v>824</v>
      </c>
      <c r="AL26" s="2" t="s">
        <v>384</v>
      </c>
      <c r="AN26" s="2" t="s">
        <v>386</v>
      </c>
      <c r="AO26" s="2" t="s">
        <v>825</v>
      </c>
      <c r="AP26" s="2" t="s">
        <v>386</v>
      </c>
      <c r="AQ26" s="2">
        <v>1661.0</v>
      </c>
      <c r="AR26" s="2" t="s">
        <v>826</v>
      </c>
      <c r="AS26" s="2" t="b">
        <v>1</v>
      </c>
      <c r="AT26" s="3">
        <v>0.0</v>
      </c>
      <c r="AU26" s="4"/>
      <c r="AV26" s="4"/>
      <c r="AW26" s="5">
        <f t="shared" si="3"/>
        <v>0</v>
      </c>
      <c r="AX26" s="5">
        <f t="shared" si="4"/>
        <v>0</v>
      </c>
      <c r="AY26" s="5">
        <f t="shared" si="5"/>
        <v>0</v>
      </c>
      <c r="AZ26" s="5">
        <f t="shared" si="6"/>
        <v>0</v>
      </c>
      <c r="BA26" s="5">
        <f t="shared" si="7"/>
        <v>0</v>
      </c>
      <c r="BB26" s="5">
        <f t="shared" si="8"/>
        <v>0</v>
      </c>
      <c r="BC26" s="5">
        <f t="shared" si="9"/>
        <v>0</v>
      </c>
      <c r="BD26" s="5">
        <f t="shared" si="10"/>
        <v>0</v>
      </c>
      <c r="BE26" s="5">
        <f t="shared" si="11"/>
        <v>0</v>
      </c>
      <c r="BF26" s="5">
        <f t="shared" si="12"/>
        <v>0</v>
      </c>
      <c r="BG26" s="5">
        <f t="shared" si="13"/>
        <v>0</v>
      </c>
      <c r="BH26" s="5">
        <f t="shared" si="14"/>
        <v>0</v>
      </c>
      <c r="BI26" s="5">
        <f t="shared" si="15"/>
        <v>0</v>
      </c>
      <c r="BJ26" s="5">
        <f t="shared" si="16"/>
        <v>0</v>
      </c>
      <c r="BK26" s="5">
        <f t="shared" si="17"/>
        <v>0</v>
      </c>
      <c r="BL26" s="5">
        <f t="shared" si="18"/>
        <v>0</v>
      </c>
      <c r="BM26" s="5">
        <f t="shared" si="19"/>
        <v>0</v>
      </c>
      <c r="BN26" s="5">
        <f t="shared" si="20"/>
        <v>0</v>
      </c>
      <c r="BO26" s="5">
        <f t="shared" si="21"/>
        <v>0</v>
      </c>
      <c r="BP26" s="5">
        <f t="shared" si="22"/>
        <v>0</v>
      </c>
      <c r="BQ26" s="5">
        <f t="shared" si="23"/>
        <v>0</v>
      </c>
      <c r="BR26" s="5">
        <f t="shared" si="24"/>
        <v>0</v>
      </c>
      <c r="BS26" s="5">
        <f t="shared" si="25"/>
        <v>0</v>
      </c>
      <c r="BT26" s="5">
        <f t="shared" si="26"/>
        <v>0</v>
      </c>
      <c r="BU26" s="5">
        <f t="shared" si="27"/>
        <v>0</v>
      </c>
      <c r="BV26" s="5">
        <f t="shared" ref="BV26:BW26" si="369">IF(OR(ISNUMBER(SEARCH("grit",$D26)),ISNUMBER(SEARCH("grit",$T26)),ISNUMBER(SEARCH("grit",$R26)),ISNUMBER(SEARCH("grit",$S26)),
ISNUMBER(SEARCH("determination",$D26)),ISNUMBER(SEARCH("determination",$T26)),ISNUMBER(SEARCH("determination",$R26)),ISNUMBER(SEARCH("determination",$S26)),
ISNUMBER(SEARCH("tenacity",$D26)),ISNUMBER(SEARCH("tenacity",$T26)),ISNUMBER(SEARCH("tenacity",$R26)),ISNUMBER(SEARCH("tenacity",$S26)),
ISNUMBER(SEARCH("endurance",$D26)),ISNUMBER(SEARCH("endurance",$T26)),ISNUMBER(SEARCH("endurance",$R26)),ISNUMBER(SEARCH("endurance",$S26)),
ISNUMBER(SEARCH("fortitude",$D26)),ISNUMBER(SEARCH("fortitude",$T26)),ISNUMBER(SEARCH("fortitude",$R26)),ISNUMBER(SEARCH("fortitude",$S26)),
ISNUMBER(SEARCH("resolve",$D26)),ISNUMBER(SEARCH("resolve",$T26)),ISNUMBER(SEARCH("resolve",$R26)),ISNUMBER(SEARCH("resolve",$S26)),
ISNUMBER(SEARCH("stamina",$D26)),ISNUMBER(SEARCH("stamina",$T26)),ISNUMBER(SEARCH("stamina",$R26)),ISNUMBER(SEARCH("stamina",$S26)),
ISNUMBER(SEARCH("guts",$D26)),ISNUMBER(SEARCH("guts",$T26)),ISNUMBER(SEARCH("guts",$R26)),ISNUMBER(SEARCH("guts",$S26)),
ISNUMBER(SEARCH("spunk",$D26)),ISNUMBER(SEARCH("spunk",$T26)),ISNUMBER(SEARCH("spunk",$R26)),ISNUMBER(SEARCH("spunk",$S26))), 1, 0)</f>
        <v>0</v>
      </c>
      <c r="BW26" s="5">
        <f t="shared" si="369"/>
        <v>0</v>
      </c>
      <c r="BX26" s="5">
        <f t="shared" si="29"/>
        <v>0</v>
      </c>
      <c r="BY26" s="5">
        <f t="shared" si="30"/>
        <v>0</v>
      </c>
      <c r="BZ26" s="5">
        <f t="shared" si="31"/>
        <v>0</v>
      </c>
      <c r="CA26" s="5">
        <f t="shared" si="32"/>
        <v>0</v>
      </c>
      <c r="CB26" s="5">
        <f t="shared" si="33"/>
        <v>1</v>
      </c>
      <c r="CC26" s="5">
        <f t="shared" si="34"/>
        <v>0</v>
      </c>
      <c r="CD26" s="5">
        <f t="shared" si="35"/>
        <v>0</v>
      </c>
      <c r="CE26" s="5">
        <f t="shared" si="36"/>
        <v>0</v>
      </c>
      <c r="CF26" s="5">
        <f t="shared" si="37"/>
        <v>0</v>
      </c>
      <c r="CG26" s="5">
        <f t="shared" si="38"/>
        <v>0</v>
      </c>
      <c r="CH26" s="5">
        <f t="shared" si="39"/>
        <v>0</v>
      </c>
      <c r="CI26" s="5">
        <f t="shared" si="40"/>
        <v>0</v>
      </c>
      <c r="CJ26" s="5">
        <f t="shared" si="41"/>
        <v>0</v>
      </c>
      <c r="CK26" s="5">
        <f t="shared" si="42"/>
        <v>0</v>
      </c>
      <c r="CL26" s="5">
        <f t="shared" si="43"/>
        <v>0</v>
      </c>
      <c r="CM26" s="5">
        <f t="shared" si="44"/>
        <v>0</v>
      </c>
      <c r="CN26" s="5">
        <f t="shared" si="45"/>
        <v>0</v>
      </c>
      <c r="CO26" s="5">
        <f t="shared" si="46"/>
        <v>0</v>
      </c>
      <c r="CP26" s="6">
        <f t="shared" si="47"/>
        <v>0</v>
      </c>
      <c r="CQ26" s="6">
        <f t="shared" si="48"/>
        <v>0</v>
      </c>
      <c r="CR26" s="6">
        <f t="shared" si="49"/>
        <v>0</v>
      </c>
      <c r="CS26" s="6">
        <f t="shared" si="50"/>
        <v>0</v>
      </c>
      <c r="CT26" s="6">
        <f t="shared" si="51"/>
        <v>0</v>
      </c>
      <c r="CU26" s="6">
        <f t="shared" si="52"/>
        <v>0</v>
      </c>
      <c r="CV26" s="6">
        <f t="shared" si="53"/>
        <v>0</v>
      </c>
      <c r="CW26" s="6">
        <f t="shared" si="54"/>
        <v>0</v>
      </c>
      <c r="CX26" s="6">
        <f t="shared" si="55"/>
        <v>0</v>
      </c>
      <c r="CY26" s="6">
        <f t="shared" si="56"/>
        <v>0</v>
      </c>
      <c r="CZ26" s="6">
        <f t="shared" si="57"/>
        <v>0</v>
      </c>
      <c r="DA26" s="6">
        <f t="shared" si="58"/>
        <v>0</v>
      </c>
      <c r="DB26" s="6">
        <f t="shared" si="59"/>
        <v>0</v>
      </c>
      <c r="DC26" s="6">
        <f t="shared" si="60"/>
        <v>0</v>
      </c>
      <c r="DD26" s="6">
        <f t="shared" si="61"/>
        <v>0</v>
      </c>
      <c r="DE26" s="6">
        <f t="shared" si="62"/>
        <v>0</v>
      </c>
      <c r="DF26" s="6">
        <f t="shared" si="63"/>
        <v>0</v>
      </c>
      <c r="DG26" s="6">
        <f t="shared" si="64"/>
        <v>0</v>
      </c>
      <c r="DH26" s="6">
        <f t="shared" si="353"/>
        <v>0</v>
      </c>
      <c r="DI26" s="6">
        <f t="shared" si="66"/>
        <v>0</v>
      </c>
      <c r="DJ26" s="6">
        <f t="shared" si="67"/>
        <v>0</v>
      </c>
      <c r="DK26" s="7">
        <f t="shared" si="68"/>
        <v>0</v>
      </c>
      <c r="DL26" s="7">
        <f>IF(
OR(
ISNUMBER(SEARCH("common-sense reasoning",$D26)),ISNUMBER(SEARCH("common-sense reasoning",$T26)),ISNUMBER(SEARCH("common-sense reasoning",$R24)),ISNUMBER(SEARCH("common-sense reasoning",$S26)),
ISNUMBER(SEARCH("religio",$D26)),ISNUMBER(SEARCH("religio",$T26)),ISNUMBER(SEARCH("religio",$R26)),ISNUMBER(SEARCH("religio",$S26))), 1, 0)</f>
        <v>0</v>
      </c>
      <c r="DM26" s="7">
        <f t="shared" si="70"/>
        <v>0</v>
      </c>
      <c r="DN26" s="7">
        <f t="shared" si="71"/>
        <v>0</v>
      </c>
      <c r="DO26" s="7">
        <f t="shared" si="72"/>
        <v>0</v>
      </c>
      <c r="DP26" s="8">
        <f t="shared" si="73"/>
        <v>0</v>
      </c>
      <c r="DQ26" s="8">
        <f t="shared" si="74"/>
        <v>1</v>
      </c>
      <c r="DR26" s="7">
        <f t="shared" si="75"/>
        <v>0</v>
      </c>
      <c r="DS26" s="7">
        <f t="shared" si="76"/>
        <v>0</v>
      </c>
      <c r="DT26" s="7">
        <f t="shared" si="77"/>
        <v>0</v>
      </c>
      <c r="DU26" s="9">
        <f t="shared" si="78"/>
        <v>0</v>
      </c>
      <c r="DV26" s="9">
        <f t="shared" si="79"/>
        <v>0</v>
      </c>
      <c r="DW26" s="9">
        <f t="shared" si="80"/>
        <v>0</v>
      </c>
      <c r="DX26" s="9">
        <f t="shared" si="81"/>
        <v>0</v>
      </c>
      <c r="DY26" s="9">
        <f t="shared" si="82"/>
        <v>0</v>
      </c>
      <c r="DZ26" s="9">
        <f t="shared" si="83"/>
        <v>0</v>
      </c>
      <c r="EA26" s="9">
        <f t="shared" si="84"/>
        <v>0</v>
      </c>
      <c r="EB26" s="9">
        <f t="shared" si="85"/>
        <v>0</v>
      </c>
      <c r="EC26" s="9">
        <f t="shared" si="86"/>
        <v>0</v>
      </c>
      <c r="ED26" s="9">
        <f t="shared" si="87"/>
        <v>0</v>
      </c>
      <c r="EE26" s="9">
        <f t="shared" si="88"/>
        <v>0</v>
      </c>
      <c r="EF26" s="9">
        <f t="shared" si="89"/>
        <v>0</v>
      </c>
      <c r="EG26" s="9">
        <f t="shared" si="90"/>
        <v>0</v>
      </c>
      <c r="EH26" s="9">
        <f t="shared" si="91"/>
        <v>0</v>
      </c>
      <c r="EI26" s="9">
        <f t="shared" si="92"/>
        <v>0</v>
      </c>
      <c r="EJ26" s="10">
        <f t="shared" si="93"/>
        <v>0</v>
      </c>
      <c r="EK26" s="10">
        <f t="shared" si="94"/>
        <v>0</v>
      </c>
      <c r="EL26" s="10">
        <f t="shared" ref="EL26:EM26" si="370">IF(OR(ISNUMBER(SEARCH("ai software toolkit", $D26)), ISNUMBER(SEARCH("ai software toolkit", $T26)), ISNUMBER(SEARCH("ai software toolkit", $R26)), ISNUMBER(SEARCH("ai software toolkit", $S26))), 1, 0)</f>
        <v>0</v>
      </c>
      <c r="EM26" s="10">
        <f t="shared" si="370"/>
        <v>0</v>
      </c>
      <c r="EN26" s="10">
        <f t="shared" si="96"/>
        <v>0</v>
      </c>
      <c r="EO26" s="10">
        <f t="shared" si="97"/>
        <v>0</v>
      </c>
      <c r="EP26" s="10">
        <f t="shared" si="98"/>
        <v>0</v>
      </c>
      <c r="EQ26" s="10">
        <f t="shared" si="99"/>
        <v>0</v>
      </c>
      <c r="ER26" s="10">
        <f t="shared" si="100"/>
        <v>0</v>
      </c>
      <c r="ES26" s="10">
        <f t="shared" si="101"/>
        <v>0</v>
      </c>
      <c r="ET26" s="10">
        <f t="shared" si="102"/>
        <v>0</v>
      </c>
      <c r="EU26" s="10">
        <f t="shared" si="103"/>
        <v>0</v>
      </c>
      <c r="EV26" s="10">
        <f t="shared" si="104"/>
        <v>0</v>
      </c>
      <c r="EW26" s="10">
        <f t="shared" si="105"/>
        <v>0</v>
      </c>
      <c r="EX26" s="10">
        <f t="shared" si="106"/>
        <v>0</v>
      </c>
      <c r="EY26" s="10">
        <f t="shared" si="107"/>
        <v>0</v>
      </c>
      <c r="EZ26" s="10">
        <f t="shared" si="108"/>
        <v>0</v>
      </c>
      <c r="FA26" s="10">
        <f t="shared" si="109"/>
        <v>0</v>
      </c>
      <c r="FB26" s="10">
        <f t="shared" si="110"/>
        <v>0</v>
      </c>
      <c r="FC26" s="10">
        <f t="shared" si="111"/>
        <v>0</v>
      </c>
      <c r="FD26" s="10">
        <f t="shared" si="112"/>
        <v>0</v>
      </c>
      <c r="FE26" s="10">
        <f t="shared" si="113"/>
        <v>0</v>
      </c>
      <c r="FF26" s="10">
        <f t="shared" si="114"/>
        <v>0</v>
      </c>
      <c r="FG26" s="10">
        <f t="shared" si="115"/>
        <v>0</v>
      </c>
      <c r="FH26" s="10">
        <f t="shared" si="116"/>
        <v>0</v>
      </c>
      <c r="FI26" s="10">
        <f t="shared" si="117"/>
        <v>0</v>
      </c>
      <c r="FJ26" s="10">
        <f t="shared" si="118"/>
        <v>0</v>
      </c>
      <c r="FK26" s="10">
        <f t="shared" si="119"/>
        <v>0</v>
      </c>
      <c r="FL26" s="10">
        <f t="shared" si="120"/>
        <v>0</v>
      </c>
      <c r="FM26" s="10">
        <f t="shared" si="121"/>
        <v>0</v>
      </c>
      <c r="FN26" s="10">
        <f t="shared" si="122"/>
        <v>0</v>
      </c>
      <c r="FO26" s="10">
        <f t="shared" si="123"/>
        <v>0</v>
      </c>
      <c r="FP26" s="10">
        <f t="shared" si="124"/>
        <v>0</v>
      </c>
      <c r="FQ26" s="10">
        <f t="shared" si="125"/>
        <v>0</v>
      </c>
      <c r="FR26" s="11">
        <f t="shared" si="366"/>
        <v>0</v>
      </c>
      <c r="FS26" s="11">
        <f t="shared" si="127"/>
        <v>0</v>
      </c>
      <c r="FT26" s="11">
        <f t="shared" si="128"/>
        <v>0</v>
      </c>
      <c r="FU26" s="11">
        <f t="shared" si="129"/>
        <v>0</v>
      </c>
      <c r="FV26" s="11">
        <f t="shared" si="130"/>
        <v>0</v>
      </c>
      <c r="FW26" s="11">
        <f t="shared" si="131"/>
        <v>0</v>
      </c>
      <c r="FX26" s="11">
        <f t="shared" si="132"/>
        <v>0</v>
      </c>
      <c r="FY26" s="11">
        <f t="shared" si="133"/>
        <v>0</v>
      </c>
      <c r="FZ26" s="11">
        <f t="shared" si="134"/>
        <v>0</v>
      </c>
      <c r="GA26" s="11">
        <f t="shared" si="135"/>
        <v>0</v>
      </c>
      <c r="GB26" s="11">
        <f t="shared" si="136"/>
        <v>0</v>
      </c>
      <c r="GC26" s="11">
        <f t="shared" si="137"/>
        <v>0</v>
      </c>
      <c r="GD26" s="11">
        <f t="shared" si="138"/>
        <v>0</v>
      </c>
      <c r="GE26" s="11">
        <f t="shared" si="139"/>
        <v>0</v>
      </c>
      <c r="GF26" s="11">
        <f t="shared" si="140"/>
        <v>0</v>
      </c>
      <c r="GG26" s="11">
        <f t="shared" si="141"/>
        <v>0</v>
      </c>
      <c r="GH26" s="11">
        <f t="shared" si="142"/>
        <v>0</v>
      </c>
      <c r="GI26" s="11">
        <f t="shared" si="143"/>
        <v>0</v>
      </c>
      <c r="GJ26" s="11">
        <f t="shared" si="144"/>
        <v>0</v>
      </c>
      <c r="GK26" s="11">
        <f t="shared" si="145"/>
        <v>0</v>
      </c>
      <c r="GL26" s="11">
        <f t="shared" si="146"/>
        <v>0</v>
      </c>
      <c r="GM26" s="11">
        <f t="shared" si="147"/>
        <v>0</v>
      </c>
      <c r="GN26" s="11">
        <f t="shared" si="148"/>
        <v>0</v>
      </c>
      <c r="GO26" s="11">
        <f t="shared" si="149"/>
        <v>0</v>
      </c>
      <c r="GP26" s="11">
        <f t="shared" si="150"/>
        <v>0</v>
      </c>
      <c r="GQ26" s="11">
        <f t="shared" si="151"/>
        <v>0</v>
      </c>
      <c r="GR26" s="11">
        <f t="shared" si="152"/>
        <v>0</v>
      </c>
      <c r="GS26" s="11">
        <f t="shared" si="153"/>
        <v>0</v>
      </c>
      <c r="GT26" s="11">
        <f t="shared" si="154"/>
        <v>0</v>
      </c>
      <c r="GU26" s="12">
        <f t="shared" si="155"/>
        <v>0</v>
      </c>
      <c r="GV26" s="12">
        <f t="shared" si="156"/>
        <v>0</v>
      </c>
      <c r="GW26" s="12">
        <f t="shared" si="157"/>
        <v>0</v>
      </c>
      <c r="GX26" s="12">
        <f t="shared" si="158"/>
        <v>0</v>
      </c>
      <c r="GY26" s="12">
        <f t="shared" si="159"/>
        <v>0</v>
      </c>
      <c r="GZ26" s="12">
        <f t="shared" si="160"/>
        <v>0</v>
      </c>
      <c r="HA26" s="12">
        <f t="shared" si="161"/>
        <v>0</v>
      </c>
      <c r="HB26" s="12">
        <f t="shared" si="162"/>
        <v>0</v>
      </c>
      <c r="HC26" s="12">
        <f t="shared" si="163"/>
        <v>0</v>
      </c>
      <c r="HD26" s="12">
        <f t="shared" si="164"/>
        <v>0</v>
      </c>
      <c r="HE26" s="12">
        <f t="shared" si="165"/>
        <v>0</v>
      </c>
      <c r="HF26" s="12">
        <f t="shared" si="166"/>
        <v>0</v>
      </c>
      <c r="HG26" s="12">
        <f t="shared" si="167"/>
        <v>0</v>
      </c>
      <c r="HH26" s="12">
        <f t="shared" si="168"/>
        <v>0</v>
      </c>
      <c r="HI26" s="12">
        <f t="shared" si="169"/>
        <v>0</v>
      </c>
      <c r="HJ26" s="12">
        <f t="shared" si="170"/>
        <v>0</v>
      </c>
      <c r="HK26" s="12">
        <f t="shared" si="171"/>
        <v>0</v>
      </c>
      <c r="HL26" s="12">
        <f t="shared" si="172"/>
        <v>0</v>
      </c>
      <c r="HM26" s="12">
        <f t="shared" si="173"/>
        <v>0</v>
      </c>
      <c r="HN26" s="12">
        <f t="shared" si="174"/>
        <v>0</v>
      </c>
      <c r="HO26" s="12">
        <f t="shared" si="175"/>
        <v>0</v>
      </c>
      <c r="HP26" s="12">
        <f t="shared" si="176"/>
        <v>0</v>
      </c>
      <c r="HQ26" s="12">
        <f t="shared" si="177"/>
        <v>0</v>
      </c>
      <c r="HR26" s="12">
        <f t="shared" si="178"/>
        <v>0</v>
      </c>
      <c r="HS26" s="12">
        <f t="shared" si="179"/>
        <v>0</v>
      </c>
      <c r="HT26" s="12">
        <f t="shared" si="180"/>
        <v>0</v>
      </c>
      <c r="HU26" s="12">
        <f t="shared" si="181"/>
        <v>0</v>
      </c>
      <c r="HV26" s="12">
        <f t="shared" si="182"/>
        <v>0</v>
      </c>
      <c r="HW26" s="12">
        <f t="shared" si="183"/>
        <v>0</v>
      </c>
      <c r="HX26" s="12">
        <f t="shared" si="184"/>
        <v>0</v>
      </c>
      <c r="HY26" s="12">
        <f t="shared" si="185"/>
        <v>0</v>
      </c>
      <c r="HZ26" s="12">
        <f t="shared" si="186"/>
        <v>0</v>
      </c>
      <c r="IA26" s="12">
        <f t="shared" si="187"/>
        <v>0</v>
      </c>
      <c r="IB26" s="12">
        <f t="shared" si="188"/>
        <v>0</v>
      </c>
      <c r="IC26" s="12">
        <f t="shared" si="189"/>
        <v>0</v>
      </c>
      <c r="ID26" s="12">
        <f t="shared" si="190"/>
        <v>0</v>
      </c>
      <c r="IE26" s="12">
        <f t="shared" si="191"/>
        <v>0</v>
      </c>
      <c r="IF26" s="12">
        <f t="shared" si="192"/>
        <v>0</v>
      </c>
      <c r="IG26" s="12">
        <f t="shared" si="193"/>
        <v>0</v>
      </c>
      <c r="IH26" s="12">
        <f t="shared" si="194"/>
        <v>0</v>
      </c>
      <c r="II26" s="12">
        <f t="shared" si="195"/>
        <v>0</v>
      </c>
      <c r="IJ26" s="12">
        <f t="shared" si="196"/>
        <v>0</v>
      </c>
      <c r="IK26" s="12">
        <f t="shared" si="197"/>
        <v>0</v>
      </c>
      <c r="IL26" s="12">
        <f t="shared" si="198"/>
        <v>0</v>
      </c>
      <c r="IM26" s="12">
        <f t="shared" si="199"/>
        <v>0</v>
      </c>
      <c r="IN26" s="12">
        <f t="shared" si="200"/>
        <v>0</v>
      </c>
      <c r="IO26" s="12">
        <f t="shared" si="201"/>
        <v>0</v>
      </c>
      <c r="IP26" s="12">
        <f t="shared" si="202"/>
        <v>0</v>
      </c>
      <c r="IQ26" s="12">
        <f t="shared" si="203"/>
        <v>0</v>
      </c>
      <c r="IR26" s="12">
        <f t="shared" si="204"/>
        <v>0</v>
      </c>
      <c r="IS26" s="12">
        <f t="shared" si="205"/>
        <v>0</v>
      </c>
      <c r="IT26" s="12">
        <f t="shared" si="206"/>
        <v>0</v>
      </c>
      <c r="IU26" s="12">
        <f t="shared" si="207"/>
        <v>0</v>
      </c>
      <c r="IV26" s="12">
        <f t="shared" si="208"/>
        <v>0</v>
      </c>
      <c r="IW26" s="12">
        <f t="shared" si="209"/>
        <v>0</v>
      </c>
      <c r="IX26" s="12">
        <f t="shared" si="210"/>
        <v>0</v>
      </c>
      <c r="IY26" s="12">
        <f t="shared" si="211"/>
        <v>0</v>
      </c>
      <c r="IZ26" s="12">
        <f t="shared" si="212"/>
        <v>0</v>
      </c>
      <c r="JA26" s="13">
        <f t="shared" si="213"/>
        <v>0</v>
      </c>
      <c r="JB26" s="13">
        <f t="shared" si="214"/>
        <v>0</v>
      </c>
      <c r="JC26" s="13">
        <f t="shared" si="215"/>
        <v>0</v>
      </c>
      <c r="JD26" s="13">
        <f t="shared" si="216"/>
        <v>0</v>
      </c>
      <c r="JE26" s="13">
        <f t="shared" si="217"/>
        <v>0</v>
      </c>
      <c r="JF26" s="13">
        <f t="shared" si="218"/>
        <v>0</v>
      </c>
      <c r="JG26" s="13">
        <f t="shared" si="219"/>
        <v>0</v>
      </c>
      <c r="JH26" s="13">
        <f t="shared" si="220"/>
        <v>0</v>
      </c>
      <c r="JI26" s="13">
        <f t="shared" si="221"/>
        <v>0</v>
      </c>
      <c r="JJ26" s="13">
        <f t="shared" si="222"/>
        <v>0</v>
      </c>
      <c r="JK26" s="13">
        <f t="shared" si="223"/>
        <v>0</v>
      </c>
      <c r="JL26" s="13">
        <f t="shared" si="224"/>
        <v>0</v>
      </c>
      <c r="JM26" s="13">
        <f t="shared" si="225"/>
        <v>0</v>
      </c>
      <c r="JN26" s="13">
        <f t="shared" si="226"/>
        <v>0</v>
      </c>
      <c r="JO26" s="13">
        <f t="shared" si="227"/>
        <v>0</v>
      </c>
      <c r="JP26" s="13">
        <f t="shared" si="228"/>
        <v>0</v>
      </c>
      <c r="JQ26" s="13">
        <f t="shared" si="229"/>
        <v>0</v>
      </c>
      <c r="JR26" s="13">
        <f t="shared" si="230"/>
        <v>0</v>
      </c>
      <c r="JS26" s="13">
        <f t="shared" si="231"/>
        <v>0</v>
      </c>
      <c r="JT26" s="13">
        <f t="shared" si="232"/>
        <v>0</v>
      </c>
      <c r="JU26" s="13">
        <f t="shared" si="233"/>
        <v>0</v>
      </c>
      <c r="JV26" s="12">
        <f t="shared" si="234"/>
        <v>0</v>
      </c>
      <c r="JW26" s="12">
        <f t="shared" si="235"/>
        <v>0</v>
      </c>
      <c r="JX26" s="12">
        <f t="shared" si="236"/>
        <v>0</v>
      </c>
      <c r="JY26" s="12">
        <f t="shared" si="237"/>
        <v>0</v>
      </c>
      <c r="JZ26" s="12">
        <f t="shared" si="238"/>
        <v>0</v>
      </c>
      <c r="KA26" s="12">
        <f t="shared" si="239"/>
        <v>0</v>
      </c>
      <c r="KB26" s="12">
        <f t="shared" si="240"/>
        <v>0</v>
      </c>
      <c r="KC26" s="12">
        <f t="shared" si="241"/>
        <v>0</v>
      </c>
      <c r="KD26" s="12">
        <f t="shared" si="242"/>
        <v>0</v>
      </c>
      <c r="KE26" s="12">
        <f t="shared" si="243"/>
        <v>0</v>
      </c>
      <c r="KF26" s="12">
        <f t="shared" si="244"/>
        <v>0</v>
      </c>
      <c r="KG26" s="12">
        <f t="shared" si="245"/>
        <v>0</v>
      </c>
      <c r="KH26" s="12">
        <f t="shared" si="246"/>
        <v>0</v>
      </c>
      <c r="KI26" s="12">
        <f t="shared" si="247"/>
        <v>0</v>
      </c>
      <c r="KJ26" s="12">
        <f t="shared" si="248"/>
        <v>0</v>
      </c>
      <c r="KK26" s="12">
        <f t="shared" si="249"/>
        <v>0</v>
      </c>
      <c r="KL26" s="12">
        <f t="shared" si="250"/>
        <v>0</v>
      </c>
      <c r="KM26" s="12">
        <f t="shared" si="251"/>
        <v>0</v>
      </c>
      <c r="KN26" s="12">
        <f t="shared" si="252"/>
        <v>0</v>
      </c>
      <c r="KO26" s="12">
        <f t="shared" si="253"/>
        <v>0</v>
      </c>
      <c r="KP26" s="12">
        <f t="shared" si="254"/>
        <v>0</v>
      </c>
      <c r="KQ26" s="12">
        <f t="shared" si="255"/>
        <v>0</v>
      </c>
      <c r="KR26" s="12">
        <f t="shared" si="256"/>
        <v>0</v>
      </c>
      <c r="KS26" s="12">
        <f t="shared" si="257"/>
        <v>0</v>
      </c>
      <c r="KT26" s="12">
        <f t="shared" si="258"/>
        <v>0</v>
      </c>
      <c r="KU26" s="12">
        <f t="shared" si="259"/>
        <v>0</v>
      </c>
      <c r="KV26" s="12">
        <f t="shared" si="260"/>
        <v>0</v>
      </c>
      <c r="KW26" s="12">
        <f t="shared" si="261"/>
        <v>0</v>
      </c>
      <c r="KX26" s="12">
        <f t="shared" si="262"/>
        <v>0</v>
      </c>
      <c r="KY26" s="12">
        <f t="shared" si="263"/>
        <v>0</v>
      </c>
      <c r="KZ26" s="12">
        <f t="shared" si="264"/>
        <v>0</v>
      </c>
      <c r="LA26" s="12">
        <f t="shared" si="265"/>
        <v>0</v>
      </c>
      <c r="LB26" s="12">
        <f t="shared" si="266"/>
        <v>0</v>
      </c>
      <c r="LC26" s="12">
        <f t="shared" si="267"/>
        <v>0</v>
      </c>
      <c r="LD26" s="12">
        <f t="shared" si="268"/>
        <v>0</v>
      </c>
      <c r="LE26" s="12">
        <f t="shared" si="269"/>
        <v>0</v>
      </c>
      <c r="LF26" s="12">
        <f t="shared" si="270"/>
        <v>0</v>
      </c>
      <c r="LG26" s="12">
        <f t="shared" si="271"/>
        <v>0</v>
      </c>
      <c r="LH26" s="12">
        <f t="shared" si="272"/>
        <v>0</v>
      </c>
      <c r="LI26" s="12">
        <f t="shared" si="273"/>
        <v>0</v>
      </c>
      <c r="LJ26" s="12">
        <f t="shared" si="274"/>
        <v>0</v>
      </c>
      <c r="LK26" s="12">
        <f t="shared" si="275"/>
        <v>0</v>
      </c>
      <c r="LL26" s="12">
        <f t="shared" si="276"/>
        <v>0</v>
      </c>
      <c r="LM26" s="12">
        <f t="shared" si="277"/>
        <v>0</v>
      </c>
      <c r="LN26" s="12">
        <f t="shared" si="278"/>
        <v>0</v>
      </c>
      <c r="LO26" s="12">
        <f t="shared" si="279"/>
        <v>0</v>
      </c>
      <c r="LP26" s="12">
        <f t="shared" si="280"/>
        <v>0</v>
      </c>
      <c r="LQ26" s="12">
        <f t="shared" si="281"/>
        <v>0</v>
      </c>
      <c r="LR26" s="12">
        <f t="shared" si="282"/>
        <v>0</v>
      </c>
      <c r="LS26" s="12">
        <f t="shared" si="283"/>
        <v>0</v>
      </c>
      <c r="LT26" s="13">
        <f t="shared" si="284"/>
        <v>0</v>
      </c>
      <c r="LU26" s="13">
        <f t="shared" si="285"/>
        <v>0</v>
      </c>
      <c r="LV26" s="13">
        <f t="shared" si="286"/>
        <v>0</v>
      </c>
      <c r="LW26" s="13">
        <f t="shared" si="287"/>
        <v>0</v>
      </c>
      <c r="LX26" s="13">
        <f t="shared" si="288"/>
        <v>0</v>
      </c>
      <c r="LY26" s="13">
        <f t="shared" si="289"/>
        <v>0</v>
      </c>
      <c r="LZ26" s="13">
        <f t="shared" si="290"/>
        <v>0</v>
      </c>
      <c r="MA26" s="13">
        <f t="shared" si="291"/>
        <v>0</v>
      </c>
      <c r="MB26" s="13">
        <f t="shared" si="292"/>
        <v>0</v>
      </c>
      <c r="MC26" s="13">
        <f t="shared" si="293"/>
        <v>0</v>
      </c>
      <c r="MD26" s="13">
        <f t="shared" si="294"/>
        <v>0</v>
      </c>
      <c r="ME26" s="13">
        <f t="shared" si="295"/>
        <v>0</v>
      </c>
      <c r="MF26" s="13">
        <f t="shared" si="296"/>
        <v>0</v>
      </c>
      <c r="MG26" s="13">
        <f t="shared" si="297"/>
        <v>0</v>
      </c>
      <c r="MH26" s="13">
        <f t="shared" si="298"/>
        <v>0</v>
      </c>
      <c r="MI26" s="13">
        <f t="shared" si="299"/>
        <v>0</v>
      </c>
      <c r="MJ26" s="13">
        <f t="shared" si="300"/>
        <v>0</v>
      </c>
      <c r="MK26" s="13">
        <f t="shared" si="301"/>
        <v>0</v>
      </c>
      <c r="ML26" s="14">
        <f t="shared" si="302"/>
        <v>0</v>
      </c>
      <c r="MM26" s="14">
        <f t="shared" si="303"/>
        <v>0</v>
      </c>
      <c r="MN26" s="14">
        <f t="shared" si="304"/>
        <v>0</v>
      </c>
      <c r="MO26" s="14">
        <f t="shared" si="305"/>
        <v>0</v>
      </c>
      <c r="MP26" s="14">
        <f t="shared" si="306"/>
        <v>0</v>
      </c>
      <c r="MQ26" s="14">
        <f t="shared" si="307"/>
        <v>0</v>
      </c>
      <c r="MR26" s="14">
        <f t="shared" si="308"/>
        <v>0</v>
      </c>
      <c r="MS26" s="14">
        <f t="shared" si="309"/>
        <v>0</v>
      </c>
      <c r="MT26" s="14">
        <f t="shared" si="310"/>
        <v>0</v>
      </c>
      <c r="MU26" s="14">
        <f t="shared" si="311"/>
        <v>0</v>
      </c>
      <c r="MV26" s="14">
        <f t="shared" si="312"/>
        <v>0</v>
      </c>
      <c r="MW26" s="14">
        <f t="shared" si="313"/>
        <v>0</v>
      </c>
      <c r="MX26" s="14">
        <f t="shared" si="314"/>
        <v>0</v>
      </c>
      <c r="MY26" s="14">
        <f t="shared" si="315"/>
        <v>0</v>
      </c>
      <c r="MZ26" s="14">
        <f t="shared" si="316"/>
        <v>0</v>
      </c>
      <c r="NA26" s="14">
        <f t="shared" si="317"/>
        <v>0</v>
      </c>
      <c r="NB26" s="14">
        <f t="shared" si="318"/>
        <v>0</v>
      </c>
    </row>
    <row r="27" ht="15.75" customHeight="1">
      <c r="A27" s="2">
        <v>180.0</v>
      </c>
      <c r="B27" s="2" t="s">
        <v>827</v>
      </c>
      <c r="C27" s="2" t="s">
        <v>828</v>
      </c>
      <c r="D27" s="2" t="s">
        <v>829</v>
      </c>
      <c r="E27" s="2">
        <v>2020.0</v>
      </c>
      <c r="F27" s="2" t="s">
        <v>830</v>
      </c>
      <c r="G27" s="2" t="s">
        <v>831</v>
      </c>
      <c r="H27" s="2" t="s">
        <v>471</v>
      </c>
      <c r="I27" s="2" t="s">
        <v>832</v>
      </c>
      <c r="J27" s="2" t="s">
        <v>833</v>
      </c>
      <c r="K27" s="2" t="s">
        <v>834</v>
      </c>
      <c r="M27" s="2">
        <v>57.0</v>
      </c>
      <c r="N27" s="2" t="s">
        <v>835</v>
      </c>
      <c r="O27" s="2" t="s">
        <v>836</v>
      </c>
      <c r="P27" s="2" t="s">
        <v>837</v>
      </c>
      <c r="Q27" s="2" t="s">
        <v>838</v>
      </c>
      <c r="R27" s="2" t="s">
        <v>839</v>
      </c>
      <c r="S27" s="2" t="s">
        <v>840</v>
      </c>
      <c r="T27" s="2" t="s">
        <v>841</v>
      </c>
      <c r="Y27" s="2" t="s">
        <v>842</v>
      </c>
      <c r="AB27" s="2" t="s">
        <v>668</v>
      </c>
      <c r="AG27" s="2" t="s">
        <v>843</v>
      </c>
      <c r="AI27" s="2" t="s">
        <v>404</v>
      </c>
      <c r="AJ27" s="2">
        <v>3.1841425E7</v>
      </c>
      <c r="AK27" s="2" t="s">
        <v>844</v>
      </c>
      <c r="AL27" s="2" t="s">
        <v>384</v>
      </c>
      <c r="AN27" s="2" t="s">
        <v>386</v>
      </c>
      <c r="AO27" s="2" t="s">
        <v>845</v>
      </c>
      <c r="AP27" s="2" t="s">
        <v>386</v>
      </c>
      <c r="AQ27" s="2">
        <v>817.0</v>
      </c>
      <c r="AR27" s="2" t="s">
        <v>846</v>
      </c>
      <c r="AS27" s="2" t="b">
        <v>0</v>
      </c>
      <c r="AT27" s="3">
        <v>0.0</v>
      </c>
      <c r="AU27" s="4">
        <v>1.0</v>
      </c>
      <c r="AV27" s="4"/>
      <c r="AW27" s="5">
        <f t="shared" si="3"/>
        <v>0</v>
      </c>
      <c r="AX27" s="5">
        <f t="shared" si="4"/>
        <v>0</v>
      </c>
      <c r="AY27" s="5">
        <f t="shared" si="5"/>
        <v>0</v>
      </c>
      <c r="AZ27" s="5">
        <f t="shared" si="6"/>
        <v>0</v>
      </c>
      <c r="BA27" s="5">
        <f t="shared" si="7"/>
        <v>0</v>
      </c>
      <c r="BB27" s="5">
        <f t="shared" si="8"/>
        <v>1</v>
      </c>
      <c r="BC27" s="5">
        <f t="shared" si="9"/>
        <v>0</v>
      </c>
      <c r="BD27" s="5">
        <f t="shared" si="10"/>
        <v>0</v>
      </c>
      <c r="BE27" s="5">
        <f t="shared" si="11"/>
        <v>0</v>
      </c>
      <c r="BF27" s="5">
        <f t="shared" si="12"/>
        <v>0</v>
      </c>
      <c r="BG27" s="5">
        <f t="shared" si="13"/>
        <v>0</v>
      </c>
      <c r="BH27" s="5">
        <f t="shared" si="14"/>
        <v>0</v>
      </c>
      <c r="BI27" s="5">
        <f t="shared" si="15"/>
        <v>0</v>
      </c>
      <c r="BJ27" s="5">
        <f t="shared" si="16"/>
        <v>0</v>
      </c>
      <c r="BK27" s="5">
        <f t="shared" si="17"/>
        <v>0</v>
      </c>
      <c r="BL27" s="5">
        <f t="shared" si="18"/>
        <v>0</v>
      </c>
      <c r="BM27" s="5">
        <f t="shared" si="19"/>
        <v>0</v>
      </c>
      <c r="BN27" s="5">
        <f t="shared" si="20"/>
        <v>0</v>
      </c>
      <c r="BO27" s="5">
        <f t="shared" si="21"/>
        <v>0</v>
      </c>
      <c r="BP27" s="5">
        <f t="shared" si="22"/>
        <v>0</v>
      </c>
      <c r="BQ27" s="5">
        <f t="shared" si="23"/>
        <v>0</v>
      </c>
      <c r="BR27" s="5">
        <f t="shared" si="24"/>
        <v>0</v>
      </c>
      <c r="BS27" s="5">
        <f t="shared" si="25"/>
        <v>0</v>
      </c>
      <c r="BT27" s="5">
        <f t="shared" si="26"/>
        <v>0</v>
      </c>
      <c r="BU27" s="5">
        <f t="shared" si="27"/>
        <v>0</v>
      </c>
      <c r="BV27" s="5">
        <f t="shared" ref="BV27:BW27" si="371">IF(OR(ISNUMBER(SEARCH("grit",$D27)),ISNUMBER(SEARCH("grit",$T27)),ISNUMBER(SEARCH("grit",$R27)),ISNUMBER(SEARCH("grit",$S27)),
ISNUMBER(SEARCH("determination",$D27)),ISNUMBER(SEARCH("determination",$T27)),ISNUMBER(SEARCH("determination",$R27)),ISNUMBER(SEARCH("determination",$S27)),
ISNUMBER(SEARCH("tenacity",$D27)),ISNUMBER(SEARCH("tenacity",$T27)),ISNUMBER(SEARCH("tenacity",$R27)),ISNUMBER(SEARCH("tenacity",$S27)),
ISNUMBER(SEARCH("endurance",$D27)),ISNUMBER(SEARCH("endurance",$T27)),ISNUMBER(SEARCH("endurance",$R27)),ISNUMBER(SEARCH("endurance",$S27)),
ISNUMBER(SEARCH("fortitude",$D27)),ISNUMBER(SEARCH("fortitude",$T27)),ISNUMBER(SEARCH("fortitude",$R27)),ISNUMBER(SEARCH("fortitude",$S27)),
ISNUMBER(SEARCH("resolve",$D27)),ISNUMBER(SEARCH("resolve",$T27)),ISNUMBER(SEARCH("resolve",$R27)),ISNUMBER(SEARCH("resolve",$S27)),
ISNUMBER(SEARCH("stamina",$D27)),ISNUMBER(SEARCH("stamina",$T27)),ISNUMBER(SEARCH("stamina",$R27)),ISNUMBER(SEARCH("stamina",$S27)),
ISNUMBER(SEARCH("guts",$D27)),ISNUMBER(SEARCH("guts",$T27)),ISNUMBER(SEARCH("guts",$R27)),ISNUMBER(SEARCH("guts",$S27)),
ISNUMBER(SEARCH("spunk",$D27)),ISNUMBER(SEARCH("spunk",$T27)),ISNUMBER(SEARCH("spunk",$R27)),ISNUMBER(SEARCH("spunk",$S27))), 1, 0)</f>
        <v>0</v>
      </c>
      <c r="BW27" s="5">
        <f t="shared" si="371"/>
        <v>0</v>
      </c>
      <c r="BX27" s="5">
        <f t="shared" si="29"/>
        <v>0</v>
      </c>
      <c r="BY27" s="5">
        <f t="shared" si="30"/>
        <v>0</v>
      </c>
      <c r="BZ27" s="5">
        <f t="shared" si="31"/>
        <v>0</v>
      </c>
      <c r="CA27" s="5">
        <f t="shared" si="32"/>
        <v>0</v>
      </c>
      <c r="CB27" s="5">
        <f t="shared" si="33"/>
        <v>0</v>
      </c>
      <c r="CC27" s="5">
        <f t="shared" si="34"/>
        <v>0</v>
      </c>
      <c r="CD27" s="5">
        <f t="shared" si="35"/>
        <v>0</v>
      </c>
      <c r="CE27" s="5">
        <f t="shared" si="36"/>
        <v>0</v>
      </c>
      <c r="CF27" s="5">
        <f t="shared" si="37"/>
        <v>0</v>
      </c>
      <c r="CG27" s="5">
        <f t="shared" si="38"/>
        <v>0</v>
      </c>
      <c r="CH27" s="5">
        <f t="shared" si="39"/>
        <v>0</v>
      </c>
      <c r="CI27" s="5">
        <f t="shared" si="40"/>
        <v>0</v>
      </c>
      <c r="CJ27" s="5">
        <f t="shared" si="41"/>
        <v>0</v>
      </c>
      <c r="CK27" s="5">
        <f t="shared" si="42"/>
        <v>0</v>
      </c>
      <c r="CL27" s="5">
        <f t="shared" si="43"/>
        <v>0</v>
      </c>
      <c r="CM27" s="5">
        <f t="shared" si="44"/>
        <v>0</v>
      </c>
      <c r="CN27" s="5">
        <f t="shared" si="45"/>
        <v>0</v>
      </c>
      <c r="CO27" s="5">
        <f t="shared" si="46"/>
        <v>0</v>
      </c>
      <c r="CP27" s="6">
        <f t="shared" si="47"/>
        <v>0</v>
      </c>
      <c r="CQ27" s="6">
        <f t="shared" si="48"/>
        <v>0</v>
      </c>
      <c r="CR27" s="6">
        <f t="shared" si="49"/>
        <v>0</v>
      </c>
      <c r="CS27" s="6">
        <f t="shared" si="50"/>
        <v>0</v>
      </c>
      <c r="CT27" s="6">
        <f t="shared" si="51"/>
        <v>0</v>
      </c>
      <c r="CU27" s="6">
        <f t="shared" si="52"/>
        <v>0</v>
      </c>
      <c r="CV27" s="6">
        <f t="shared" si="53"/>
        <v>0</v>
      </c>
      <c r="CW27" s="6">
        <f t="shared" si="54"/>
        <v>0</v>
      </c>
      <c r="CX27" s="6">
        <f t="shared" si="55"/>
        <v>0</v>
      </c>
      <c r="CY27" s="6">
        <f t="shared" si="56"/>
        <v>0</v>
      </c>
      <c r="CZ27" s="6">
        <f t="shared" si="57"/>
        <v>1</v>
      </c>
      <c r="DA27" s="6">
        <f t="shared" si="58"/>
        <v>1</v>
      </c>
      <c r="DB27" s="6">
        <f t="shared" si="59"/>
        <v>0</v>
      </c>
      <c r="DC27" s="6">
        <f t="shared" si="60"/>
        <v>0</v>
      </c>
      <c r="DD27" s="6">
        <f t="shared" si="61"/>
        <v>0</v>
      </c>
      <c r="DE27" s="6">
        <f t="shared" si="62"/>
        <v>0</v>
      </c>
      <c r="DF27" s="6">
        <f t="shared" si="63"/>
        <v>0</v>
      </c>
      <c r="DG27" s="6">
        <f t="shared" si="64"/>
        <v>0</v>
      </c>
      <c r="DH27" s="6">
        <f t="shared" si="353"/>
        <v>0</v>
      </c>
      <c r="DI27" s="6">
        <f t="shared" si="66"/>
        <v>0</v>
      </c>
      <c r="DJ27" s="6">
        <f t="shared" si="67"/>
        <v>0</v>
      </c>
      <c r="DK27" s="7">
        <f t="shared" si="68"/>
        <v>0</v>
      </c>
      <c r="DL27" s="7">
        <f t="shared" ref="DL27:DL36" si="374">IF(
OR(
ISNUMBER(SEARCH("common-sense reasoning",$D27)),ISNUMBER(SEARCH("common-sense reasoning",$T27)),ISNUMBER(SEARCH("common-sense reasoning",$R25)),ISNUMBER(SEARCH("common-sense reasoning",$S27)),
ISNUMBER(SEARCH("latent variable models",$D27)),ISNUMBER(SEARCH("latent variable models",$T27)),ISNUMBER(SEARCH("latent variable models",$R27)),ISNUMBER(SEARCH("latent variable models",$S27))), 1, 0)</f>
        <v>0</v>
      </c>
      <c r="DM27" s="7">
        <f t="shared" si="70"/>
        <v>0</v>
      </c>
      <c r="DN27" s="7">
        <f t="shared" si="71"/>
        <v>0</v>
      </c>
      <c r="DO27" s="7">
        <f t="shared" si="72"/>
        <v>1</v>
      </c>
      <c r="DP27" s="8">
        <f t="shared" si="73"/>
        <v>0</v>
      </c>
      <c r="DQ27" s="8">
        <f t="shared" si="74"/>
        <v>1</v>
      </c>
      <c r="DR27" s="7">
        <f t="shared" si="75"/>
        <v>0</v>
      </c>
      <c r="DS27" s="7">
        <f t="shared" si="76"/>
        <v>0</v>
      </c>
      <c r="DT27" s="7">
        <f t="shared" si="77"/>
        <v>0</v>
      </c>
      <c r="DU27" s="9">
        <f t="shared" si="78"/>
        <v>0</v>
      </c>
      <c r="DV27" s="9">
        <f t="shared" si="79"/>
        <v>0</v>
      </c>
      <c r="DW27" s="9">
        <f t="shared" si="80"/>
        <v>0</v>
      </c>
      <c r="DX27" s="9">
        <f t="shared" si="81"/>
        <v>0</v>
      </c>
      <c r="DY27" s="9">
        <f t="shared" si="82"/>
        <v>0</v>
      </c>
      <c r="DZ27" s="9">
        <f t="shared" si="83"/>
        <v>0</v>
      </c>
      <c r="EA27" s="9">
        <f t="shared" si="84"/>
        <v>0</v>
      </c>
      <c r="EB27" s="9">
        <f t="shared" si="85"/>
        <v>0</v>
      </c>
      <c r="EC27" s="9">
        <f t="shared" si="86"/>
        <v>0</v>
      </c>
      <c r="ED27" s="9">
        <f t="shared" si="87"/>
        <v>0</v>
      </c>
      <c r="EE27" s="9">
        <f t="shared" si="88"/>
        <v>0</v>
      </c>
      <c r="EF27" s="9">
        <f t="shared" si="89"/>
        <v>0</v>
      </c>
      <c r="EG27" s="9">
        <f t="shared" si="90"/>
        <v>0</v>
      </c>
      <c r="EH27" s="9">
        <f t="shared" si="91"/>
        <v>0</v>
      </c>
      <c r="EI27" s="9">
        <f t="shared" si="92"/>
        <v>0</v>
      </c>
      <c r="EJ27" s="10">
        <f t="shared" si="93"/>
        <v>0</v>
      </c>
      <c r="EK27" s="10">
        <f t="shared" si="94"/>
        <v>0</v>
      </c>
      <c r="EL27" s="10">
        <f t="shared" ref="EL27:EM27" si="372">IF(OR(ISNUMBER(SEARCH("ai software toolkit", $D27)), ISNUMBER(SEARCH("ai software toolkit", $T27)), ISNUMBER(SEARCH("ai software toolkit", $R27)), ISNUMBER(SEARCH("ai software toolkit", $S27))), 1, 0)</f>
        <v>0</v>
      </c>
      <c r="EM27" s="10">
        <f t="shared" si="372"/>
        <v>0</v>
      </c>
      <c r="EN27" s="10">
        <f t="shared" si="96"/>
        <v>0</v>
      </c>
      <c r="EO27" s="10">
        <f t="shared" si="97"/>
        <v>0</v>
      </c>
      <c r="EP27" s="10">
        <f t="shared" si="98"/>
        <v>0</v>
      </c>
      <c r="EQ27" s="10">
        <f t="shared" si="99"/>
        <v>0</v>
      </c>
      <c r="ER27" s="10">
        <f t="shared" si="100"/>
        <v>0</v>
      </c>
      <c r="ES27" s="10">
        <f t="shared" si="101"/>
        <v>0</v>
      </c>
      <c r="ET27" s="10">
        <f t="shared" si="102"/>
        <v>0</v>
      </c>
      <c r="EU27" s="10">
        <f t="shared" si="103"/>
        <v>0</v>
      </c>
      <c r="EV27" s="10">
        <f t="shared" si="104"/>
        <v>0</v>
      </c>
      <c r="EW27" s="10">
        <f t="shared" si="105"/>
        <v>0</v>
      </c>
      <c r="EX27" s="10">
        <f t="shared" si="106"/>
        <v>0</v>
      </c>
      <c r="EY27" s="10">
        <f t="shared" si="107"/>
        <v>0</v>
      </c>
      <c r="EZ27" s="10">
        <f t="shared" si="108"/>
        <v>0</v>
      </c>
      <c r="FA27" s="10">
        <f t="shared" si="109"/>
        <v>0</v>
      </c>
      <c r="FB27" s="10">
        <f t="shared" si="110"/>
        <v>0</v>
      </c>
      <c r="FC27" s="10">
        <f t="shared" si="111"/>
        <v>0</v>
      </c>
      <c r="FD27" s="10">
        <f t="shared" si="112"/>
        <v>0</v>
      </c>
      <c r="FE27" s="10">
        <f t="shared" si="113"/>
        <v>0</v>
      </c>
      <c r="FF27" s="10">
        <f t="shared" si="114"/>
        <v>0</v>
      </c>
      <c r="FG27" s="10">
        <f t="shared" si="115"/>
        <v>0</v>
      </c>
      <c r="FH27" s="10">
        <f t="shared" si="116"/>
        <v>0</v>
      </c>
      <c r="FI27" s="10">
        <f t="shared" si="117"/>
        <v>0</v>
      </c>
      <c r="FJ27" s="10">
        <f t="shared" si="118"/>
        <v>0</v>
      </c>
      <c r="FK27" s="10">
        <f t="shared" si="119"/>
        <v>0</v>
      </c>
      <c r="FL27" s="10">
        <f t="shared" si="120"/>
        <v>0</v>
      </c>
      <c r="FM27" s="10">
        <f t="shared" si="121"/>
        <v>0</v>
      </c>
      <c r="FN27" s="10">
        <f t="shared" si="122"/>
        <v>0</v>
      </c>
      <c r="FO27" s="10">
        <f t="shared" si="123"/>
        <v>0</v>
      </c>
      <c r="FP27" s="10">
        <f t="shared" si="124"/>
        <v>0</v>
      </c>
      <c r="FQ27" s="10">
        <f t="shared" si="125"/>
        <v>0</v>
      </c>
      <c r="FR27" s="11">
        <f t="shared" si="366"/>
        <v>0</v>
      </c>
      <c r="FS27" s="11">
        <f t="shared" si="127"/>
        <v>0</v>
      </c>
      <c r="FT27" s="11">
        <f t="shared" si="128"/>
        <v>0</v>
      </c>
      <c r="FU27" s="11">
        <f t="shared" si="129"/>
        <v>0</v>
      </c>
      <c r="FV27" s="11">
        <f t="shared" si="130"/>
        <v>0</v>
      </c>
      <c r="FW27" s="11">
        <f t="shared" si="131"/>
        <v>0</v>
      </c>
      <c r="FX27" s="11">
        <f t="shared" si="132"/>
        <v>0</v>
      </c>
      <c r="FY27" s="11">
        <f t="shared" si="133"/>
        <v>0</v>
      </c>
      <c r="FZ27" s="11">
        <f t="shared" si="134"/>
        <v>0</v>
      </c>
      <c r="GA27" s="11">
        <f t="shared" si="135"/>
        <v>0</v>
      </c>
      <c r="GB27" s="11">
        <f t="shared" si="136"/>
        <v>0</v>
      </c>
      <c r="GC27" s="11">
        <f t="shared" si="137"/>
        <v>0</v>
      </c>
      <c r="GD27" s="11">
        <f t="shared" si="138"/>
        <v>0</v>
      </c>
      <c r="GE27" s="11">
        <f t="shared" si="139"/>
        <v>0</v>
      </c>
      <c r="GF27" s="11">
        <f t="shared" si="140"/>
        <v>0</v>
      </c>
      <c r="GG27" s="11">
        <f t="shared" si="141"/>
        <v>0</v>
      </c>
      <c r="GH27" s="11">
        <f t="shared" si="142"/>
        <v>0</v>
      </c>
      <c r="GI27" s="11">
        <f t="shared" si="143"/>
        <v>0</v>
      </c>
      <c r="GJ27" s="11">
        <f t="shared" si="144"/>
        <v>0</v>
      </c>
      <c r="GK27" s="11">
        <f t="shared" si="145"/>
        <v>0</v>
      </c>
      <c r="GL27" s="11">
        <f t="shared" si="146"/>
        <v>0</v>
      </c>
      <c r="GM27" s="11">
        <f t="shared" si="147"/>
        <v>0</v>
      </c>
      <c r="GN27" s="11">
        <f t="shared" si="148"/>
        <v>0</v>
      </c>
      <c r="GO27" s="11">
        <f t="shared" si="149"/>
        <v>0</v>
      </c>
      <c r="GP27" s="11">
        <f t="shared" si="150"/>
        <v>0</v>
      </c>
      <c r="GQ27" s="11">
        <f t="shared" si="151"/>
        <v>0</v>
      </c>
      <c r="GR27" s="11">
        <f t="shared" si="152"/>
        <v>0</v>
      </c>
      <c r="GS27" s="11">
        <f t="shared" si="153"/>
        <v>0</v>
      </c>
      <c r="GT27" s="11">
        <f t="shared" si="154"/>
        <v>0</v>
      </c>
      <c r="GU27" s="12">
        <f t="shared" si="155"/>
        <v>0</v>
      </c>
      <c r="GV27" s="12">
        <f t="shared" si="156"/>
        <v>0</v>
      </c>
      <c r="GW27" s="12">
        <f t="shared" si="157"/>
        <v>0</v>
      </c>
      <c r="GX27" s="12">
        <f t="shared" si="158"/>
        <v>0</v>
      </c>
      <c r="GY27" s="12">
        <f t="shared" si="159"/>
        <v>0</v>
      </c>
      <c r="GZ27" s="12">
        <f t="shared" si="160"/>
        <v>0</v>
      </c>
      <c r="HA27" s="12">
        <f t="shared" si="161"/>
        <v>0</v>
      </c>
      <c r="HB27" s="12">
        <f t="shared" si="162"/>
        <v>0</v>
      </c>
      <c r="HC27" s="12">
        <f t="shared" si="163"/>
        <v>0</v>
      </c>
      <c r="HD27" s="12">
        <f t="shared" si="164"/>
        <v>0</v>
      </c>
      <c r="HE27" s="12">
        <f t="shared" si="165"/>
        <v>0</v>
      </c>
      <c r="HF27" s="12">
        <f t="shared" si="166"/>
        <v>0</v>
      </c>
      <c r="HG27" s="12">
        <f t="shared" si="167"/>
        <v>0</v>
      </c>
      <c r="HH27" s="12">
        <f t="shared" si="168"/>
        <v>0</v>
      </c>
      <c r="HI27" s="12">
        <f t="shared" si="169"/>
        <v>0</v>
      </c>
      <c r="HJ27" s="12">
        <f t="shared" si="170"/>
        <v>0</v>
      </c>
      <c r="HK27" s="12">
        <f t="shared" si="171"/>
        <v>0</v>
      </c>
      <c r="HL27" s="12">
        <f t="shared" si="172"/>
        <v>0</v>
      </c>
      <c r="HM27" s="12">
        <f t="shared" si="173"/>
        <v>0</v>
      </c>
      <c r="HN27" s="12">
        <f t="shared" si="174"/>
        <v>0</v>
      </c>
      <c r="HO27" s="12">
        <f t="shared" si="175"/>
        <v>0</v>
      </c>
      <c r="HP27" s="12">
        <f t="shared" si="176"/>
        <v>0</v>
      </c>
      <c r="HQ27" s="12">
        <f t="shared" si="177"/>
        <v>0</v>
      </c>
      <c r="HR27" s="12">
        <f t="shared" si="178"/>
        <v>0</v>
      </c>
      <c r="HS27" s="12">
        <f t="shared" si="179"/>
        <v>0</v>
      </c>
      <c r="HT27" s="12">
        <f t="shared" si="180"/>
        <v>0</v>
      </c>
      <c r="HU27" s="12">
        <f t="shared" si="181"/>
        <v>0</v>
      </c>
      <c r="HV27" s="12">
        <f t="shared" si="182"/>
        <v>0</v>
      </c>
      <c r="HW27" s="12">
        <f t="shared" si="183"/>
        <v>0</v>
      </c>
      <c r="HX27" s="12">
        <f t="shared" si="184"/>
        <v>0</v>
      </c>
      <c r="HY27" s="12">
        <f t="shared" si="185"/>
        <v>0</v>
      </c>
      <c r="HZ27" s="12">
        <f t="shared" si="186"/>
        <v>0</v>
      </c>
      <c r="IA27" s="12">
        <f t="shared" si="187"/>
        <v>0</v>
      </c>
      <c r="IB27" s="12">
        <f t="shared" si="188"/>
        <v>0</v>
      </c>
      <c r="IC27" s="12">
        <f t="shared" si="189"/>
        <v>0</v>
      </c>
      <c r="ID27" s="12">
        <f t="shared" si="190"/>
        <v>0</v>
      </c>
      <c r="IE27" s="12">
        <f t="shared" si="191"/>
        <v>0</v>
      </c>
      <c r="IF27" s="12">
        <f t="shared" si="192"/>
        <v>0</v>
      </c>
      <c r="IG27" s="12">
        <f t="shared" si="193"/>
        <v>0</v>
      </c>
      <c r="IH27" s="12">
        <f t="shared" si="194"/>
        <v>0</v>
      </c>
      <c r="II27" s="12">
        <f t="shared" si="195"/>
        <v>0</v>
      </c>
      <c r="IJ27" s="12">
        <f t="shared" si="196"/>
        <v>0</v>
      </c>
      <c r="IK27" s="12">
        <f t="shared" si="197"/>
        <v>0</v>
      </c>
      <c r="IL27" s="12">
        <f t="shared" si="198"/>
        <v>0</v>
      </c>
      <c r="IM27" s="12">
        <f t="shared" si="199"/>
        <v>0</v>
      </c>
      <c r="IN27" s="12">
        <f t="shared" si="200"/>
        <v>0</v>
      </c>
      <c r="IO27" s="12">
        <f t="shared" si="201"/>
        <v>0</v>
      </c>
      <c r="IP27" s="12">
        <f t="shared" si="202"/>
        <v>0</v>
      </c>
      <c r="IQ27" s="12">
        <f t="shared" si="203"/>
        <v>0</v>
      </c>
      <c r="IR27" s="12">
        <f t="shared" si="204"/>
        <v>0</v>
      </c>
      <c r="IS27" s="12">
        <f t="shared" si="205"/>
        <v>0</v>
      </c>
      <c r="IT27" s="12">
        <f t="shared" si="206"/>
        <v>0</v>
      </c>
      <c r="IU27" s="12">
        <f t="shared" si="207"/>
        <v>0</v>
      </c>
      <c r="IV27" s="12">
        <f t="shared" si="208"/>
        <v>0</v>
      </c>
      <c r="IW27" s="12">
        <f t="shared" si="209"/>
        <v>0</v>
      </c>
      <c r="IX27" s="12">
        <f t="shared" si="210"/>
        <v>0</v>
      </c>
      <c r="IY27" s="12">
        <f t="shared" si="211"/>
        <v>0</v>
      </c>
      <c r="IZ27" s="12">
        <f t="shared" si="212"/>
        <v>1</v>
      </c>
      <c r="JA27" s="13">
        <f t="shared" si="213"/>
        <v>0</v>
      </c>
      <c r="JB27" s="13">
        <f t="shared" si="214"/>
        <v>0</v>
      </c>
      <c r="JC27" s="13">
        <f t="shared" si="215"/>
        <v>1</v>
      </c>
      <c r="JD27" s="13">
        <f t="shared" si="216"/>
        <v>0</v>
      </c>
      <c r="JE27" s="13">
        <f t="shared" si="217"/>
        <v>0</v>
      </c>
      <c r="JF27" s="13">
        <f t="shared" si="218"/>
        <v>0</v>
      </c>
      <c r="JG27" s="13">
        <f t="shared" si="219"/>
        <v>0</v>
      </c>
      <c r="JH27" s="13">
        <f t="shared" si="220"/>
        <v>0</v>
      </c>
      <c r="JI27" s="13">
        <f t="shared" si="221"/>
        <v>0</v>
      </c>
      <c r="JJ27" s="13">
        <f t="shared" si="222"/>
        <v>0</v>
      </c>
      <c r="JK27" s="13">
        <f t="shared" si="223"/>
        <v>0</v>
      </c>
      <c r="JL27" s="13">
        <f t="shared" si="224"/>
        <v>0</v>
      </c>
      <c r="JM27" s="13">
        <f t="shared" si="225"/>
        <v>0</v>
      </c>
      <c r="JN27" s="13">
        <f t="shared" si="226"/>
        <v>0</v>
      </c>
      <c r="JO27" s="13">
        <f t="shared" si="227"/>
        <v>0</v>
      </c>
      <c r="JP27" s="13">
        <f t="shared" si="228"/>
        <v>0</v>
      </c>
      <c r="JQ27" s="13">
        <f t="shared" si="229"/>
        <v>0</v>
      </c>
      <c r="JR27" s="13">
        <f t="shared" si="230"/>
        <v>0</v>
      </c>
      <c r="JS27" s="13">
        <f t="shared" si="231"/>
        <v>0</v>
      </c>
      <c r="JT27" s="13">
        <f t="shared" si="232"/>
        <v>0</v>
      </c>
      <c r="JU27" s="13">
        <f t="shared" si="233"/>
        <v>0</v>
      </c>
      <c r="JV27" s="12">
        <f t="shared" si="234"/>
        <v>0</v>
      </c>
      <c r="JW27" s="12">
        <f t="shared" si="235"/>
        <v>0</v>
      </c>
      <c r="JX27" s="12">
        <f t="shared" si="236"/>
        <v>0</v>
      </c>
      <c r="JY27" s="12">
        <f t="shared" si="237"/>
        <v>0</v>
      </c>
      <c r="JZ27" s="12">
        <f t="shared" si="238"/>
        <v>0</v>
      </c>
      <c r="KA27" s="12">
        <f t="shared" si="239"/>
        <v>0</v>
      </c>
      <c r="KB27" s="12">
        <f t="shared" si="240"/>
        <v>0</v>
      </c>
      <c r="KC27" s="12">
        <f t="shared" si="241"/>
        <v>0</v>
      </c>
      <c r="KD27" s="12">
        <f t="shared" si="242"/>
        <v>0</v>
      </c>
      <c r="KE27" s="12">
        <f t="shared" si="243"/>
        <v>0</v>
      </c>
      <c r="KF27" s="12">
        <f t="shared" si="244"/>
        <v>0</v>
      </c>
      <c r="KG27" s="12">
        <f t="shared" si="245"/>
        <v>0</v>
      </c>
      <c r="KH27" s="12">
        <f t="shared" si="246"/>
        <v>0</v>
      </c>
      <c r="KI27" s="12">
        <f t="shared" si="247"/>
        <v>0</v>
      </c>
      <c r="KJ27" s="12">
        <f t="shared" si="248"/>
        <v>0</v>
      </c>
      <c r="KK27" s="12">
        <f t="shared" si="249"/>
        <v>0</v>
      </c>
      <c r="KL27" s="12">
        <f t="shared" si="250"/>
        <v>0</v>
      </c>
      <c r="KM27" s="12">
        <f t="shared" si="251"/>
        <v>0</v>
      </c>
      <c r="KN27" s="12">
        <f t="shared" si="252"/>
        <v>0</v>
      </c>
      <c r="KO27" s="12">
        <f t="shared" si="253"/>
        <v>0</v>
      </c>
      <c r="KP27" s="12">
        <f t="shared" si="254"/>
        <v>0</v>
      </c>
      <c r="KQ27" s="12">
        <f t="shared" si="255"/>
        <v>0</v>
      </c>
      <c r="KR27" s="12">
        <f t="shared" si="256"/>
        <v>0</v>
      </c>
      <c r="KS27" s="12">
        <f t="shared" si="257"/>
        <v>0</v>
      </c>
      <c r="KT27" s="12">
        <f t="shared" si="258"/>
        <v>0</v>
      </c>
      <c r="KU27" s="12">
        <f t="shared" si="259"/>
        <v>0</v>
      </c>
      <c r="KV27" s="12">
        <f t="shared" si="260"/>
        <v>0</v>
      </c>
      <c r="KW27" s="12">
        <f t="shared" si="261"/>
        <v>0</v>
      </c>
      <c r="KX27" s="12">
        <f t="shared" si="262"/>
        <v>0</v>
      </c>
      <c r="KY27" s="12">
        <f t="shared" si="263"/>
        <v>0</v>
      </c>
      <c r="KZ27" s="12">
        <f t="shared" si="264"/>
        <v>0</v>
      </c>
      <c r="LA27" s="12">
        <f t="shared" si="265"/>
        <v>0</v>
      </c>
      <c r="LB27" s="12">
        <f t="shared" si="266"/>
        <v>0</v>
      </c>
      <c r="LC27" s="12">
        <f t="shared" si="267"/>
        <v>0</v>
      </c>
      <c r="LD27" s="12">
        <f t="shared" si="268"/>
        <v>0</v>
      </c>
      <c r="LE27" s="12">
        <f t="shared" si="269"/>
        <v>0</v>
      </c>
      <c r="LF27" s="12">
        <f t="shared" si="270"/>
        <v>0</v>
      </c>
      <c r="LG27" s="12">
        <f t="shared" si="271"/>
        <v>0</v>
      </c>
      <c r="LH27" s="12">
        <f t="shared" si="272"/>
        <v>0</v>
      </c>
      <c r="LI27" s="12">
        <f t="shared" si="273"/>
        <v>0</v>
      </c>
      <c r="LJ27" s="12">
        <f t="shared" si="274"/>
        <v>0</v>
      </c>
      <c r="LK27" s="12">
        <f t="shared" si="275"/>
        <v>0</v>
      </c>
      <c r="LL27" s="12">
        <f t="shared" si="276"/>
        <v>0</v>
      </c>
      <c r="LM27" s="12">
        <f t="shared" si="277"/>
        <v>0</v>
      </c>
      <c r="LN27" s="12">
        <f t="shared" si="278"/>
        <v>0</v>
      </c>
      <c r="LO27" s="12">
        <f t="shared" si="279"/>
        <v>0</v>
      </c>
      <c r="LP27" s="12">
        <f t="shared" si="280"/>
        <v>0</v>
      </c>
      <c r="LQ27" s="12">
        <f t="shared" si="281"/>
        <v>0</v>
      </c>
      <c r="LR27" s="12">
        <f t="shared" si="282"/>
        <v>0</v>
      </c>
      <c r="LS27" s="12">
        <f t="shared" si="283"/>
        <v>0</v>
      </c>
      <c r="LT27" s="13">
        <f t="shared" si="284"/>
        <v>0</v>
      </c>
      <c r="LU27" s="13">
        <f t="shared" si="285"/>
        <v>0</v>
      </c>
      <c r="LV27" s="13">
        <f t="shared" si="286"/>
        <v>0</v>
      </c>
      <c r="LW27" s="13">
        <f t="shared" si="287"/>
        <v>0</v>
      </c>
      <c r="LX27" s="13">
        <f t="shared" si="288"/>
        <v>0</v>
      </c>
      <c r="LY27" s="13">
        <f t="shared" si="289"/>
        <v>0</v>
      </c>
      <c r="LZ27" s="13">
        <f t="shared" si="290"/>
        <v>0</v>
      </c>
      <c r="MA27" s="13">
        <f t="shared" si="291"/>
        <v>0</v>
      </c>
      <c r="MB27" s="13">
        <f t="shared" si="292"/>
        <v>0</v>
      </c>
      <c r="MC27" s="13">
        <f t="shared" si="293"/>
        <v>0</v>
      </c>
      <c r="MD27" s="13">
        <f t="shared" si="294"/>
        <v>0</v>
      </c>
      <c r="ME27" s="13">
        <f t="shared" si="295"/>
        <v>0</v>
      </c>
      <c r="MF27" s="13">
        <f t="shared" si="296"/>
        <v>0</v>
      </c>
      <c r="MG27" s="13">
        <f t="shared" si="297"/>
        <v>0</v>
      </c>
      <c r="MH27" s="13">
        <f t="shared" si="298"/>
        <v>0</v>
      </c>
      <c r="MI27" s="13">
        <f t="shared" si="299"/>
        <v>0</v>
      </c>
      <c r="MJ27" s="13">
        <f t="shared" si="300"/>
        <v>0</v>
      </c>
      <c r="MK27" s="13">
        <f t="shared" si="301"/>
        <v>0</v>
      </c>
      <c r="ML27" s="14">
        <f t="shared" si="302"/>
        <v>0</v>
      </c>
      <c r="MM27" s="14">
        <f t="shared" si="303"/>
        <v>0</v>
      </c>
      <c r="MN27" s="14">
        <f t="shared" si="304"/>
        <v>0</v>
      </c>
      <c r="MO27" s="14">
        <f t="shared" si="305"/>
        <v>0</v>
      </c>
      <c r="MP27" s="14">
        <f t="shared" si="306"/>
        <v>0</v>
      </c>
      <c r="MQ27" s="14">
        <f t="shared" si="307"/>
        <v>0</v>
      </c>
      <c r="MR27" s="14">
        <f t="shared" si="308"/>
        <v>0</v>
      </c>
      <c r="MS27" s="14">
        <f t="shared" si="309"/>
        <v>0</v>
      </c>
      <c r="MT27" s="14">
        <f t="shared" si="310"/>
        <v>0</v>
      </c>
      <c r="MU27" s="14">
        <f t="shared" si="311"/>
        <v>0</v>
      </c>
      <c r="MV27" s="14">
        <f t="shared" si="312"/>
        <v>0</v>
      </c>
      <c r="MW27" s="14">
        <f t="shared" si="313"/>
        <v>0</v>
      </c>
      <c r="MX27" s="14">
        <f t="shared" si="314"/>
        <v>0</v>
      </c>
      <c r="MY27" s="14">
        <f t="shared" si="315"/>
        <v>0</v>
      </c>
      <c r="MZ27" s="14">
        <f t="shared" si="316"/>
        <v>0</v>
      </c>
      <c r="NA27" s="14">
        <f t="shared" si="317"/>
        <v>0</v>
      </c>
      <c r="NB27" s="14">
        <f t="shared" si="318"/>
        <v>0</v>
      </c>
    </row>
    <row r="28" ht="15.75" customHeight="1">
      <c r="A28" s="2">
        <v>181.0</v>
      </c>
      <c r="B28" s="2" t="s">
        <v>847</v>
      </c>
      <c r="C28" s="2" t="s">
        <v>848</v>
      </c>
      <c r="D28" s="2" t="s">
        <v>849</v>
      </c>
      <c r="E28" s="2">
        <v>2018.0</v>
      </c>
      <c r="F28" s="2" t="s">
        <v>850</v>
      </c>
      <c r="G28" s="2" t="s">
        <v>851</v>
      </c>
      <c r="J28" s="2" t="s">
        <v>852</v>
      </c>
      <c r="K28" s="2" t="s">
        <v>853</v>
      </c>
      <c r="M28" s="2">
        <v>57.0</v>
      </c>
      <c r="N28" s="2" t="s">
        <v>854</v>
      </c>
      <c r="O28" s="2" t="s">
        <v>855</v>
      </c>
      <c r="P28" s="2" t="s">
        <v>856</v>
      </c>
      <c r="Q28" s="2" t="s">
        <v>857</v>
      </c>
      <c r="R28" s="2" t="s">
        <v>858</v>
      </c>
      <c r="S28" s="2" t="s">
        <v>859</v>
      </c>
      <c r="T28" s="2" t="s">
        <v>860</v>
      </c>
      <c r="Y28" s="2" t="s">
        <v>861</v>
      </c>
      <c r="AB28" s="2" t="s">
        <v>862</v>
      </c>
      <c r="AG28" s="2" t="s">
        <v>863</v>
      </c>
      <c r="AI28" s="2" t="s">
        <v>864</v>
      </c>
      <c r="AK28" s="2" t="s">
        <v>850</v>
      </c>
      <c r="AL28" s="2" t="s">
        <v>384</v>
      </c>
      <c r="AN28" s="2" t="s">
        <v>386</v>
      </c>
      <c r="AO28" s="2" t="s">
        <v>865</v>
      </c>
      <c r="AP28" s="2" t="s">
        <v>386</v>
      </c>
      <c r="AQ28" s="2">
        <v>1330.0</v>
      </c>
      <c r="AR28" s="2" t="s">
        <v>849</v>
      </c>
      <c r="AS28" s="2" t="b">
        <v>0</v>
      </c>
      <c r="AT28" s="3">
        <v>0.0</v>
      </c>
      <c r="AU28" s="4"/>
      <c r="AV28" s="4"/>
      <c r="AW28" s="5">
        <f t="shared" si="3"/>
        <v>0</v>
      </c>
      <c r="AX28" s="5">
        <f t="shared" si="4"/>
        <v>0</v>
      </c>
      <c r="AY28" s="5">
        <f t="shared" si="5"/>
        <v>0</v>
      </c>
      <c r="AZ28" s="5">
        <f t="shared" si="6"/>
        <v>0</v>
      </c>
      <c r="BA28" s="5">
        <f t="shared" si="7"/>
        <v>0</v>
      </c>
      <c r="BB28" s="5">
        <f t="shared" si="8"/>
        <v>1</v>
      </c>
      <c r="BC28" s="5">
        <f t="shared" si="9"/>
        <v>0</v>
      </c>
      <c r="BD28" s="5">
        <f t="shared" si="10"/>
        <v>0</v>
      </c>
      <c r="BE28" s="5">
        <f t="shared" si="11"/>
        <v>0</v>
      </c>
      <c r="BF28" s="5">
        <f t="shared" si="12"/>
        <v>0</v>
      </c>
      <c r="BG28" s="5">
        <f t="shared" si="13"/>
        <v>0</v>
      </c>
      <c r="BH28" s="5">
        <f t="shared" si="14"/>
        <v>0</v>
      </c>
      <c r="BI28" s="5">
        <f t="shared" si="15"/>
        <v>0</v>
      </c>
      <c r="BJ28" s="5">
        <f t="shared" si="16"/>
        <v>0</v>
      </c>
      <c r="BK28" s="5">
        <f t="shared" si="17"/>
        <v>0</v>
      </c>
      <c r="BL28" s="5">
        <f t="shared" si="18"/>
        <v>0</v>
      </c>
      <c r="BM28" s="5">
        <f t="shared" si="19"/>
        <v>0</v>
      </c>
      <c r="BN28" s="5">
        <f t="shared" si="20"/>
        <v>0</v>
      </c>
      <c r="BO28" s="5">
        <f t="shared" si="21"/>
        <v>0</v>
      </c>
      <c r="BP28" s="5">
        <f t="shared" si="22"/>
        <v>0</v>
      </c>
      <c r="BQ28" s="5">
        <f t="shared" si="23"/>
        <v>0</v>
      </c>
      <c r="BR28" s="5">
        <f t="shared" si="24"/>
        <v>0</v>
      </c>
      <c r="BS28" s="5">
        <f t="shared" si="25"/>
        <v>0</v>
      </c>
      <c r="BT28" s="5">
        <f t="shared" si="26"/>
        <v>0</v>
      </c>
      <c r="BU28" s="5">
        <f t="shared" si="27"/>
        <v>0</v>
      </c>
      <c r="BV28" s="5">
        <f t="shared" ref="BV28:BW28" si="373">IF(OR(ISNUMBER(SEARCH("grit",$D28)),ISNUMBER(SEARCH("grit",$T28)),ISNUMBER(SEARCH("grit",$R28)),ISNUMBER(SEARCH("grit",$S28)),
ISNUMBER(SEARCH("determination",$D28)),ISNUMBER(SEARCH("determination",$T28)),ISNUMBER(SEARCH("determination",$R28)),ISNUMBER(SEARCH("determination",$S28)),
ISNUMBER(SEARCH("tenacity",$D28)),ISNUMBER(SEARCH("tenacity",$T28)),ISNUMBER(SEARCH("tenacity",$R28)),ISNUMBER(SEARCH("tenacity",$S28)),
ISNUMBER(SEARCH("endurance",$D28)),ISNUMBER(SEARCH("endurance",$T28)),ISNUMBER(SEARCH("endurance",$R28)),ISNUMBER(SEARCH("endurance",$S28)),
ISNUMBER(SEARCH("fortitude",$D28)),ISNUMBER(SEARCH("fortitude",$T28)),ISNUMBER(SEARCH("fortitude",$R28)),ISNUMBER(SEARCH("fortitude",$S28)),
ISNUMBER(SEARCH("resolve",$D28)),ISNUMBER(SEARCH("resolve",$T28)),ISNUMBER(SEARCH("resolve",$R28)),ISNUMBER(SEARCH("resolve",$S28)),
ISNUMBER(SEARCH("stamina",$D28)),ISNUMBER(SEARCH("stamina",$T28)),ISNUMBER(SEARCH("stamina",$R28)),ISNUMBER(SEARCH("stamina",$S28)),
ISNUMBER(SEARCH("guts",$D28)),ISNUMBER(SEARCH("guts",$T28)),ISNUMBER(SEARCH("guts",$R28)),ISNUMBER(SEARCH("guts",$S28)),
ISNUMBER(SEARCH("spunk",$D28)),ISNUMBER(SEARCH("spunk",$T28)),ISNUMBER(SEARCH("spunk",$R28)),ISNUMBER(SEARCH("spunk",$S28))), 1, 0)</f>
        <v>0</v>
      </c>
      <c r="BW28" s="5">
        <f t="shared" si="373"/>
        <v>0</v>
      </c>
      <c r="BX28" s="5">
        <f t="shared" si="29"/>
        <v>0</v>
      </c>
      <c r="BY28" s="5">
        <f t="shared" si="30"/>
        <v>0</v>
      </c>
      <c r="BZ28" s="5">
        <f t="shared" si="31"/>
        <v>0</v>
      </c>
      <c r="CA28" s="5">
        <f t="shared" si="32"/>
        <v>0</v>
      </c>
      <c r="CB28" s="5">
        <f t="shared" si="33"/>
        <v>0</v>
      </c>
      <c r="CC28" s="5">
        <f t="shared" si="34"/>
        <v>0</v>
      </c>
      <c r="CD28" s="5">
        <f t="shared" si="35"/>
        <v>0</v>
      </c>
      <c r="CE28" s="5">
        <f t="shared" si="36"/>
        <v>0</v>
      </c>
      <c r="CF28" s="5">
        <f t="shared" si="37"/>
        <v>0</v>
      </c>
      <c r="CG28" s="5">
        <f t="shared" si="38"/>
        <v>0</v>
      </c>
      <c r="CH28" s="5">
        <f t="shared" si="39"/>
        <v>0</v>
      </c>
      <c r="CI28" s="5">
        <f t="shared" si="40"/>
        <v>0</v>
      </c>
      <c r="CJ28" s="5">
        <f t="shared" si="41"/>
        <v>0</v>
      </c>
      <c r="CK28" s="5">
        <f t="shared" si="42"/>
        <v>0</v>
      </c>
      <c r="CL28" s="5">
        <f t="shared" si="43"/>
        <v>0</v>
      </c>
      <c r="CM28" s="5">
        <f t="shared" si="44"/>
        <v>0</v>
      </c>
      <c r="CN28" s="5">
        <f t="shared" si="45"/>
        <v>0</v>
      </c>
      <c r="CO28" s="5">
        <f t="shared" si="46"/>
        <v>0</v>
      </c>
      <c r="CP28" s="6">
        <f t="shared" si="47"/>
        <v>0</v>
      </c>
      <c r="CQ28" s="6">
        <f t="shared" si="48"/>
        <v>0</v>
      </c>
      <c r="CR28" s="6">
        <f t="shared" si="49"/>
        <v>0</v>
      </c>
      <c r="CS28" s="6">
        <f t="shared" si="50"/>
        <v>0</v>
      </c>
      <c r="CT28" s="6">
        <f t="shared" si="51"/>
        <v>0</v>
      </c>
      <c r="CU28" s="6">
        <f t="shared" si="52"/>
        <v>0</v>
      </c>
      <c r="CV28" s="6">
        <f t="shared" si="53"/>
        <v>0</v>
      </c>
      <c r="CW28" s="6">
        <f t="shared" si="54"/>
        <v>0</v>
      </c>
      <c r="CX28" s="6">
        <f t="shared" si="55"/>
        <v>0</v>
      </c>
      <c r="CY28" s="6">
        <f t="shared" si="56"/>
        <v>0</v>
      </c>
      <c r="CZ28" s="6">
        <f t="shared" si="57"/>
        <v>0</v>
      </c>
      <c r="DA28" s="6">
        <f t="shared" si="58"/>
        <v>1</v>
      </c>
      <c r="DB28" s="6">
        <f t="shared" si="59"/>
        <v>0</v>
      </c>
      <c r="DC28" s="6">
        <f t="shared" si="60"/>
        <v>0</v>
      </c>
      <c r="DD28" s="6">
        <f t="shared" si="61"/>
        <v>0</v>
      </c>
      <c r="DE28" s="6">
        <f t="shared" si="62"/>
        <v>0</v>
      </c>
      <c r="DF28" s="6">
        <f t="shared" si="63"/>
        <v>0</v>
      </c>
      <c r="DG28" s="6">
        <f t="shared" si="64"/>
        <v>0</v>
      </c>
      <c r="DH28" s="6">
        <f t="shared" si="353"/>
        <v>0</v>
      </c>
      <c r="DI28" s="6">
        <f t="shared" si="66"/>
        <v>0</v>
      </c>
      <c r="DJ28" s="6">
        <f t="shared" si="67"/>
        <v>0</v>
      </c>
      <c r="DK28" s="7">
        <f t="shared" si="68"/>
        <v>0</v>
      </c>
      <c r="DL28" s="7">
        <f t="shared" si="374"/>
        <v>0</v>
      </c>
      <c r="DM28" s="7">
        <f t="shared" si="70"/>
        <v>0</v>
      </c>
      <c r="DN28" s="7">
        <f t="shared" si="71"/>
        <v>0</v>
      </c>
      <c r="DO28" s="7">
        <f t="shared" si="72"/>
        <v>1</v>
      </c>
      <c r="DP28" s="8">
        <f t="shared" si="73"/>
        <v>0</v>
      </c>
      <c r="DQ28" s="8">
        <f t="shared" si="74"/>
        <v>1</v>
      </c>
      <c r="DR28" s="7">
        <f t="shared" si="75"/>
        <v>0</v>
      </c>
      <c r="DS28" s="7">
        <f t="shared" si="76"/>
        <v>0</v>
      </c>
      <c r="DT28" s="7">
        <f t="shared" si="77"/>
        <v>1</v>
      </c>
      <c r="DU28" s="9">
        <f t="shared" si="78"/>
        <v>0</v>
      </c>
      <c r="DV28" s="9">
        <f t="shared" si="79"/>
        <v>0</v>
      </c>
      <c r="DW28" s="9">
        <f t="shared" si="80"/>
        <v>0</v>
      </c>
      <c r="DX28" s="9">
        <f t="shared" si="81"/>
        <v>0</v>
      </c>
      <c r="DY28" s="9">
        <f t="shared" si="82"/>
        <v>0</v>
      </c>
      <c r="DZ28" s="9">
        <f t="shared" si="83"/>
        <v>0</v>
      </c>
      <c r="EA28" s="9">
        <f t="shared" si="84"/>
        <v>0</v>
      </c>
      <c r="EB28" s="9">
        <f t="shared" si="85"/>
        <v>0</v>
      </c>
      <c r="EC28" s="9">
        <f t="shared" si="86"/>
        <v>0</v>
      </c>
      <c r="ED28" s="9">
        <f t="shared" si="87"/>
        <v>0</v>
      </c>
      <c r="EE28" s="9">
        <f t="shared" si="88"/>
        <v>0</v>
      </c>
      <c r="EF28" s="9">
        <f t="shared" si="89"/>
        <v>0</v>
      </c>
      <c r="EG28" s="9">
        <f t="shared" si="90"/>
        <v>0</v>
      </c>
      <c r="EH28" s="9">
        <f t="shared" si="91"/>
        <v>0</v>
      </c>
      <c r="EI28" s="9">
        <f t="shared" si="92"/>
        <v>0</v>
      </c>
      <c r="EJ28" s="10">
        <f t="shared" si="93"/>
        <v>0</v>
      </c>
      <c r="EK28" s="10">
        <f t="shared" si="94"/>
        <v>0</v>
      </c>
      <c r="EL28" s="10">
        <f t="shared" ref="EL28:EM28" si="375">IF(OR(ISNUMBER(SEARCH("ai software toolkit", $D28)), ISNUMBER(SEARCH("ai software toolkit", $T28)), ISNUMBER(SEARCH("ai software toolkit", $R28)), ISNUMBER(SEARCH("ai software toolkit", $S28))), 1, 0)</f>
        <v>0</v>
      </c>
      <c r="EM28" s="10">
        <f t="shared" si="375"/>
        <v>0</v>
      </c>
      <c r="EN28" s="10">
        <f t="shared" si="96"/>
        <v>0</v>
      </c>
      <c r="EO28" s="10">
        <f t="shared" si="97"/>
        <v>0</v>
      </c>
      <c r="EP28" s="10">
        <f t="shared" si="98"/>
        <v>0</v>
      </c>
      <c r="EQ28" s="10">
        <f t="shared" si="99"/>
        <v>0</v>
      </c>
      <c r="ER28" s="10">
        <f t="shared" si="100"/>
        <v>0</v>
      </c>
      <c r="ES28" s="10">
        <f t="shared" si="101"/>
        <v>0</v>
      </c>
      <c r="ET28" s="10">
        <f t="shared" si="102"/>
        <v>0</v>
      </c>
      <c r="EU28" s="10">
        <f t="shared" si="103"/>
        <v>0</v>
      </c>
      <c r="EV28" s="10">
        <f t="shared" si="104"/>
        <v>0</v>
      </c>
      <c r="EW28" s="10">
        <f t="shared" si="105"/>
        <v>0</v>
      </c>
      <c r="EX28" s="10">
        <f t="shared" si="106"/>
        <v>0</v>
      </c>
      <c r="EY28" s="10">
        <f t="shared" si="107"/>
        <v>0</v>
      </c>
      <c r="EZ28" s="10">
        <f t="shared" si="108"/>
        <v>0</v>
      </c>
      <c r="FA28" s="10">
        <f t="shared" si="109"/>
        <v>0</v>
      </c>
      <c r="FB28" s="10">
        <f t="shared" si="110"/>
        <v>0</v>
      </c>
      <c r="FC28" s="10">
        <f t="shared" si="111"/>
        <v>0</v>
      </c>
      <c r="FD28" s="10">
        <f t="shared" si="112"/>
        <v>0</v>
      </c>
      <c r="FE28" s="10">
        <f t="shared" si="113"/>
        <v>0</v>
      </c>
      <c r="FF28" s="10">
        <f t="shared" si="114"/>
        <v>0</v>
      </c>
      <c r="FG28" s="10">
        <f t="shared" si="115"/>
        <v>0</v>
      </c>
      <c r="FH28" s="10">
        <f t="shared" si="116"/>
        <v>0</v>
      </c>
      <c r="FI28" s="10">
        <f t="shared" si="117"/>
        <v>0</v>
      </c>
      <c r="FJ28" s="10">
        <f t="shared" si="118"/>
        <v>0</v>
      </c>
      <c r="FK28" s="10">
        <f t="shared" si="119"/>
        <v>0</v>
      </c>
      <c r="FL28" s="10">
        <f t="shared" si="120"/>
        <v>0</v>
      </c>
      <c r="FM28" s="10">
        <f t="shared" si="121"/>
        <v>0</v>
      </c>
      <c r="FN28" s="10">
        <f t="shared" si="122"/>
        <v>0</v>
      </c>
      <c r="FO28" s="10">
        <f t="shared" si="123"/>
        <v>0</v>
      </c>
      <c r="FP28" s="10">
        <f t="shared" si="124"/>
        <v>0</v>
      </c>
      <c r="FQ28" s="10">
        <f t="shared" si="125"/>
        <v>0</v>
      </c>
      <c r="FR28" s="11">
        <f>IF(
OR(
ISNUMBER(SEARCH("chatbot",$D28)),ISNUMBER(SEARCH("chatbot",$T28)),ISNUMBER(SEARCH("chatbot",$R27)),ISNUMBER(SEARCH("chatbot",$S28)),
ISNUMBER(SEARCH("virtual assistance",$D28)),ISNUMBER(SEARCH("virtual assistance",$T28)),ISNUMBER(SEARCH("virtual assistance",$R28)),ISNUMBER(SEARCH("virtual assistance",$S28))), 1, 0)</f>
        <v>0</v>
      </c>
      <c r="FS28" s="11">
        <f t="shared" si="127"/>
        <v>0</v>
      </c>
      <c r="FT28" s="11">
        <f t="shared" si="128"/>
        <v>0</v>
      </c>
      <c r="FU28" s="11">
        <f t="shared" si="129"/>
        <v>0</v>
      </c>
      <c r="FV28" s="11">
        <f t="shared" si="130"/>
        <v>0</v>
      </c>
      <c r="FW28" s="11">
        <f t="shared" si="131"/>
        <v>0</v>
      </c>
      <c r="FX28" s="11">
        <f t="shared" si="132"/>
        <v>0</v>
      </c>
      <c r="FY28" s="11">
        <f t="shared" si="133"/>
        <v>0</v>
      </c>
      <c r="FZ28" s="11">
        <f t="shared" si="134"/>
        <v>1</v>
      </c>
      <c r="GA28" s="11">
        <f t="shared" si="135"/>
        <v>0</v>
      </c>
      <c r="GB28" s="11">
        <f t="shared" si="136"/>
        <v>0</v>
      </c>
      <c r="GC28" s="11">
        <f t="shared" si="137"/>
        <v>0</v>
      </c>
      <c r="GD28" s="11">
        <f t="shared" si="138"/>
        <v>0</v>
      </c>
      <c r="GE28" s="11">
        <f t="shared" si="139"/>
        <v>0</v>
      </c>
      <c r="GF28" s="11">
        <f t="shared" si="140"/>
        <v>0</v>
      </c>
      <c r="GG28" s="11">
        <f t="shared" si="141"/>
        <v>0</v>
      </c>
      <c r="GH28" s="11">
        <f t="shared" si="142"/>
        <v>0</v>
      </c>
      <c r="GI28" s="11">
        <f t="shared" si="143"/>
        <v>0</v>
      </c>
      <c r="GJ28" s="11">
        <f t="shared" si="144"/>
        <v>0</v>
      </c>
      <c r="GK28" s="11">
        <f t="shared" si="145"/>
        <v>0</v>
      </c>
      <c r="GL28" s="11">
        <f t="shared" si="146"/>
        <v>0</v>
      </c>
      <c r="GM28" s="11">
        <f t="shared" si="147"/>
        <v>0</v>
      </c>
      <c r="GN28" s="11">
        <f t="shared" si="148"/>
        <v>0</v>
      </c>
      <c r="GO28" s="11">
        <f t="shared" si="149"/>
        <v>0</v>
      </c>
      <c r="GP28" s="11">
        <f t="shared" si="150"/>
        <v>0</v>
      </c>
      <c r="GQ28" s="11">
        <f t="shared" si="151"/>
        <v>0</v>
      </c>
      <c r="GR28" s="11">
        <f t="shared" si="152"/>
        <v>0</v>
      </c>
      <c r="GS28" s="11">
        <f t="shared" si="153"/>
        <v>0</v>
      </c>
      <c r="GT28" s="11">
        <f t="shared" si="154"/>
        <v>0</v>
      </c>
      <c r="GU28" s="12">
        <f t="shared" si="155"/>
        <v>0</v>
      </c>
      <c r="GV28" s="12">
        <f t="shared" si="156"/>
        <v>0</v>
      </c>
      <c r="GW28" s="12">
        <f t="shared" si="157"/>
        <v>0</v>
      </c>
      <c r="GX28" s="12">
        <f t="shared" si="158"/>
        <v>0</v>
      </c>
      <c r="GY28" s="12">
        <f t="shared" si="159"/>
        <v>0</v>
      </c>
      <c r="GZ28" s="12">
        <f t="shared" si="160"/>
        <v>0</v>
      </c>
      <c r="HA28" s="12">
        <f t="shared" si="161"/>
        <v>0</v>
      </c>
      <c r="HB28" s="12">
        <f t="shared" si="162"/>
        <v>0</v>
      </c>
      <c r="HC28" s="12">
        <f t="shared" si="163"/>
        <v>0</v>
      </c>
      <c r="HD28" s="12">
        <f t="shared" si="164"/>
        <v>0</v>
      </c>
      <c r="HE28" s="12">
        <f t="shared" si="165"/>
        <v>0</v>
      </c>
      <c r="HF28" s="12">
        <f t="shared" si="166"/>
        <v>0</v>
      </c>
      <c r="HG28" s="12">
        <f t="shared" si="167"/>
        <v>0</v>
      </c>
      <c r="HH28" s="12">
        <f t="shared" si="168"/>
        <v>0</v>
      </c>
      <c r="HI28" s="12">
        <f t="shared" si="169"/>
        <v>0</v>
      </c>
      <c r="HJ28" s="12">
        <f t="shared" si="170"/>
        <v>0</v>
      </c>
      <c r="HK28" s="12">
        <f t="shared" si="171"/>
        <v>0</v>
      </c>
      <c r="HL28" s="12">
        <f t="shared" si="172"/>
        <v>0</v>
      </c>
      <c r="HM28" s="12">
        <f t="shared" si="173"/>
        <v>0</v>
      </c>
      <c r="HN28" s="12">
        <f t="shared" si="174"/>
        <v>0</v>
      </c>
      <c r="HO28" s="12">
        <f t="shared" si="175"/>
        <v>0</v>
      </c>
      <c r="HP28" s="12">
        <f t="shared" si="176"/>
        <v>0</v>
      </c>
      <c r="HQ28" s="12">
        <f t="shared" si="177"/>
        <v>0</v>
      </c>
      <c r="HR28" s="12">
        <f t="shared" si="178"/>
        <v>0</v>
      </c>
      <c r="HS28" s="12">
        <f t="shared" si="179"/>
        <v>0</v>
      </c>
      <c r="HT28" s="12">
        <f t="shared" si="180"/>
        <v>0</v>
      </c>
      <c r="HU28" s="12">
        <f t="shared" si="181"/>
        <v>0</v>
      </c>
      <c r="HV28" s="12">
        <f t="shared" si="182"/>
        <v>0</v>
      </c>
      <c r="HW28" s="12">
        <f t="shared" si="183"/>
        <v>0</v>
      </c>
      <c r="HX28" s="12">
        <f t="shared" si="184"/>
        <v>0</v>
      </c>
      <c r="HY28" s="12">
        <f t="shared" si="185"/>
        <v>0</v>
      </c>
      <c r="HZ28" s="12">
        <f t="shared" si="186"/>
        <v>0</v>
      </c>
      <c r="IA28" s="12">
        <f t="shared" si="187"/>
        <v>0</v>
      </c>
      <c r="IB28" s="12">
        <f t="shared" si="188"/>
        <v>0</v>
      </c>
      <c r="IC28" s="12">
        <f t="shared" si="189"/>
        <v>0</v>
      </c>
      <c r="ID28" s="12">
        <f t="shared" si="190"/>
        <v>0</v>
      </c>
      <c r="IE28" s="12">
        <f t="shared" si="191"/>
        <v>0</v>
      </c>
      <c r="IF28" s="12">
        <f t="shared" si="192"/>
        <v>0</v>
      </c>
      <c r="IG28" s="12">
        <f t="shared" si="193"/>
        <v>0</v>
      </c>
      <c r="IH28" s="12">
        <f t="shared" si="194"/>
        <v>0</v>
      </c>
      <c r="II28" s="12">
        <f t="shared" si="195"/>
        <v>0</v>
      </c>
      <c r="IJ28" s="12">
        <f t="shared" si="196"/>
        <v>0</v>
      </c>
      <c r="IK28" s="12">
        <f t="shared" si="197"/>
        <v>0</v>
      </c>
      <c r="IL28" s="12">
        <f t="shared" si="198"/>
        <v>0</v>
      </c>
      <c r="IM28" s="12">
        <f t="shared" si="199"/>
        <v>0</v>
      </c>
      <c r="IN28" s="12">
        <f t="shared" si="200"/>
        <v>0</v>
      </c>
      <c r="IO28" s="12">
        <f t="shared" si="201"/>
        <v>0</v>
      </c>
      <c r="IP28" s="12">
        <f t="shared" si="202"/>
        <v>0</v>
      </c>
      <c r="IQ28" s="12">
        <f t="shared" si="203"/>
        <v>0</v>
      </c>
      <c r="IR28" s="12">
        <f t="shared" si="204"/>
        <v>0</v>
      </c>
      <c r="IS28" s="12">
        <f t="shared" si="205"/>
        <v>0</v>
      </c>
      <c r="IT28" s="12">
        <f t="shared" si="206"/>
        <v>0</v>
      </c>
      <c r="IU28" s="12">
        <f t="shared" si="207"/>
        <v>0</v>
      </c>
      <c r="IV28" s="12">
        <f t="shared" si="208"/>
        <v>0</v>
      </c>
      <c r="IW28" s="12">
        <f t="shared" si="209"/>
        <v>0</v>
      </c>
      <c r="IX28" s="12">
        <f t="shared" si="210"/>
        <v>0</v>
      </c>
      <c r="IY28" s="12">
        <f t="shared" si="211"/>
        <v>0</v>
      </c>
      <c r="IZ28" s="12">
        <f t="shared" si="212"/>
        <v>0</v>
      </c>
      <c r="JA28" s="13">
        <f t="shared" si="213"/>
        <v>0</v>
      </c>
      <c r="JB28" s="13">
        <f t="shared" si="214"/>
        <v>0</v>
      </c>
      <c r="JC28" s="13">
        <f t="shared" si="215"/>
        <v>0</v>
      </c>
      <c r="JD28" s="13">
        <f t="shared" si="216"/>
        <v>0</v>
      </c>
      <c r="JE28" s="13">
        <f t="shared" si="217"/>
        <v>0</v>
      </c>
      <c r="JF28" s="13">
        <f t="shared" si="218"/>
        <v>0</v>
      </c>
      <c r="JG28" s="13">
        <f t="shared" si="219"/>
        <v>0</v>
      </c>
      <c r="JH28" s="13">
        <f t="shared" si="220"/>
        <v>0</v>
      </c>
      <c r="JI28" s="13">
        <f t="shared" si="221"/>
        <v>0</v>
      </c>
      <c r="JJ28" s="13">
        <f t="shared" si="222"/>
        <v>0</v>
      </c>
      <c r="JK28" s="13">
        <f t="shared" si="223"/>
        <v>0</v>
      </c>
      <c r="JL28" s="13">
        <f t="shared" si="224"/>
        <v>0</v>
      </c>
      <c r="JM28" s="13">
        <f t="shared" si="225"/>
        <v>0</v>
      </c>
      <c r="JN28" s="13">
        <f t="shared" si="226"/>
        <v>0</v>
      </c>
      <c r="JO28" s="13">
        <f t="shared" si="227"/>
        <v>0</v>
      </c>
      <c r="JP28" s="13">
        <f t="shared" si="228"/>
        <v>0</v>
      </c>
      <c r="JQ28" s="13">
        <f t="shared" si="229"/>
        <v>0</v>
      </c>
      <c r="JR28" s="13">
        <f t="shared" si="230"/>
        <v>0</v>
      </c>
      <c r="JS28" s="13">
        <f t="shared" si="231"/>
        <v>0</v>
      </c>
      <c r="JT28" s="13">
        <f t="shared" si="232"/>
        <v>0</v>
      </c>
      <c r="JU28" s="13">
        <f t="shared" si="233"/>
        <v>0</v>
      </c>
      <c r="JV28" s="12">
        <f t="shared" si="234"/>
        <v>0</v>
      </c>
      <c r="JW28" s="12">
        <f t="shared" si="235"/>
        <v>0</v>
      </c>
      <c r="JX28" s="12">
        <f t="shared" si="236"/>
        <v>0</v>
      </c>
      <c r="JY28" s="12">
        <f t="shared" si="237"/>
        <v>0</v>
      </c>
      <c r="JZ28" s="12">
        <f t="shared" si="238"/>
        <v>0</v>
      </c>
      <c r="KA28" s="12">
        <f t="shared" si="239"/>
        <v>0</v>
      </c>
      <c r="KB28" s="12">
        <f t="shared" si="240"/>
        <v>0</v>
      </c>
      <c r="KC28" s="12">
        <f t="shared" si="241"/>
        <v>0</v>
      </c>
      <c r="KD28" s="12">
        <f t="shared" si="242"/>
        <v>0</v>
      </c>
      <c r="KE28" s="12">
        <f t="shared" si="243"/>
        <v>0</v>
      </c>
      <c r="KF28" s="12">
        <f t="shared" si="244"/>
        <v>0</v>
      </c>
      <c r="KG28" s="12">
        <f t="shared" si="245"/>
        <v>0</v>
      </c>
      <c r="KH28" s="12">
        <f t="shared" si="246"/>
        <v>0</v>
      </c>
      <c r="KI28" s="12">
        <f t="shared" si="247"/>
        <v>0</v>
      </c>
      <c r="KJ28" s="12">
        <f t="shared" si="248"/>
        <v>0</v>
      </c>
      <c r="KK28" s="12">
        <f t="shared" si="249"/>
        <v>0</v>
      </c>
      <c r="KL28" s="12">
        <f t="shared" si="250"/>
        <v>0</v>
      </c>
      <c r="KM28" s="12">
        <f t="shared" si="251"/>
        <v>0</v>
      </c>
      <c r="KN28" s="12">
        <f t="shared" si="252"/>
        <v>0</v>
      </c>
      <c r="KO28" s="12">
        <f t="shared" si="253"/>
        <v>0</v>
      </c>
      <c r="KP28" s="12">
        <f t="shared" si="254"/>
        <v>0</v>
      </c>
      <c r="KQ28" s="12">
        <f t="shared" si="255"/>
        <v>0</v>
      </c>
      <c r="KR28" s="12">
        <f t="shared" si="256"/>
        <v>0</v>
      </c>
      <c r="KS28" s="12">
        <f t="shared" si="257"/>
        <v>0</v>
      </c>
      <c r="KT28" s="12">
        <f t="shared" si="258"/>
        <v>0</v>
      </c>
      <c r="KU28" s="12">
        <f t="shared" si="259"/>
        <v>0</v>
      </c>
      <c r="KV28" s="12">
        <f t="shared" si="260"/>
        <v>0</v>
      </c>
      <c r="KW28" s="12">
        <f t="shared" si="261"/>
        <v>0</v>
      </c>
      <c r="KX28" s="12">
        <f t="shared" si="262"/>
        <v>0</v>
      </c>
      <c r="KY28" s="12">
        <f t="shared" si="263"/>
        <v>0</v>
      </c>
      <c r="KZ28" s="12">
        <f t="shared" si="264"/>
        <v>0</v>
      </c>
      <c r="LA28" s="12">
        <f t="shared" si="265"/>
        <v>0</v>
      </c>
      <c r="LB28" s="12">
        <f t="shared" si="266"/>
        <v>0</v>
      </c>
      <c r="LC28" s="12">
        <f t="shared" si="267"/>
        <v>0</v>
      </c>
      <c r="LD28" s="12">
        <f t="shared" si="268"/>
        <v>0</v>
      </c>
      <c r="LE28" s="12">
        <f t="shared" si="269"/>
        <v>0</v>
      </c>
      <c r="LF28" s="12">
        <f t="shared" si="270"/>
        <v>0</v>
      </c>
      <c r="LG28" s="12">
        <f t="shared" si="271"/>
        <v>0</v>
      </c>
      <c r="LH28" s="12">
        <f t="shared" si="272"/>
        <v>0</v>
      </c>
      <c r="LI28" s="12">
        <f t="shared" si="273"/>
        <v>0</v>
      </c>
      <c r="LJ28" s="12">
        <f t="shared" si="274"/>
        <v>0</v>
      </c>
      <c r="LK28" s="12">
        <f t="shared" si="275"/>
        <v>0</v>
      </c>
      <c r="LL28" s="12">
        <f t="shared" si="276"/>
        <v>0</v>
      </c>
      <c r="LM28" s="12">
        <f t="shared" si="277"/>
        <v>0</v>
      </c>
      <c r="LN28" s="12">
        <f t="shared" si="278"/>
        <v>0</v>
      </c>
      <c r="LO28" s="12">
        <f t="shared" si="279"/>
        <v>0</v>
      </c>
      <c r="LP28" s="12">
        <f t="shared" si="280"/>
        <v>0</v>
      </c>
      <c r="LQ28" s="12">
        <f t="shared" si="281"/>
        <v>0</v>
      </c>
      <c r="LR28" s="12">
        <f t="shared" si="282"/>
        <v>0</v>
      </c>
      <c r="LS28" s="12">
        <f t="shared" si="283"/>
        <v>0</v>
      </c>
      <c r="LT28" s="13">
        <f t="shared" si="284"/>
        <v>0</v>
      </c>
      <c r="LU28" s="13">
        <f t="shared" si="285"/>
        <v>0</v>
      </c>
      <c r="LV28" s="13">
        <f t="shared" si="286"/>
        <v>0</v>
      </c>
      <c r="LW28" s="13">
        <f t="shared" si="287"/>
        <v>0</v>
      </c>
      <c r="LX28" s="13">
        <f t="shared" si="288"/>
        <v>0</v>
      </c>
      <c r="LY28" s="13">
        <f t="shared" si="289"/>
        <v>0</v>
      </c>
      <c r="LZ28" s="13">
        <f t="shared" si="290"/>
        <v>0</v>
      </c>
      <c r="MA28" s="13">
        <f t="shared" si="291"/>
        <v>0</v>
      </c>
      <c r="MB28" s="13">
        <f t="shared" si="292"/>
        <v>0</v>
      </c>
      <c r="MC28" s="13">
        <f t="shared" si="293"/>
        <v>0</v>
      </c>
      <c r="MD28" s="13">
        <f t="shared" si="294"/>
        <v>0</v>
      </c>
      <c r="ME28" s="13">
        <f t="shared" si="295"/>
        <v>0</v>
      </c>
      <c r="MF28" s="13">
        <f t="shared" si="296"/>
        <v>0</v>
      </c>
      <c r="MG28" s="13">
        <f t="shared" si="297"/>
        <v>0</v>
      </c>
      <c r="MH28" s="13">
        <f t="shared" si="298"/>
        <v>0</v>
      </c>
      <c r="MI28" s="13">
        <f t="shared" si="299"/>
        <v>0</v>
      </c>
      <c r="MJ28" s="13">
        <f t="shared" si="300"/>
        <v>0</v>
      </c>
      <c r="MK28" s="13">
        <f t="shared" si="301"/>
        <v>0</v>
      </c>
      <c r="ML28" s="14">
        <f t="shared" si="302"/>
        <v>0</v>
      </c>
      <c r="MM28" s="14">
        <f t="shared" si="303"/>
        <v>0</v>
      </c>
      <c r="MN28" s="14">
        <f t="shared" si="304"/>
        <v>0</v>
      </c>
      <c r="MO28" s="14">
        <f t="shared" si="305"/>
        <v>0</v>
      </c>
      <c r="MP28" s="14">
        <f t="shared" si="306"/>
        <v>0</v>
      </c>
      <c r="MQ28" s="14">
        <f t="shared" si="307"/>
        <v>0</v>
      </c>
      <c r="MR28" s="14">
        <f t="shared" si="308"/>
        <v>0</v>
      </c>
      <c r="MS28" s="14">
        <f t="shared" si="309"/>
        <v>0</v>
      </c>
      <c r="MT28" s="14">
        <f t="shared" si="310"/>
        <v>0</v>
      </c>
      <c r="MU28" s="14">
        <f t="shared" si="311"/>
        <v>0</v>
      </c>
      <c r="MV28" s="14">
        <f t="shared" si="312"/>
        <v>0</v>
      </c>
      <c r="MW28" s="14">
        <f t="shared" si="313"/>
        <v>0</v>
      </c>
      <c r="MX28" s="14">
        <f t="shared" si="314"/>
        <v>0</v>
      </c>
      <c r="MY28" s="14">
        <f t="shared" si="315"/>
        <v>0</v>
      </c>
      <c r="MZ28" s="14">
        <f t="shared" si="316"/>
        <v>0</v>
      </c>
      <c r="NA28" s="14">
        <f t="shared" si="317"/>
        <v>0</v>
      </c>
      <c r="NB28" s="14">
        <f t="shared" si="318"/>
        <v>0</v>
      </c>
    </row>
    <row r="29" ht="15.75" customHeight="1">
      <c r="A29" s="2">
        <v>435.0</v>
      </c>
      <c r="B29" s="2" t="s">
        <v>866</v>
      </c>
      <c r="C29" s="2" t="s">
        <v>867</v>
      </c>
      <c r="D29" s="2" t="s">
        <v>868</v>
      </c>
      <c r="E29" s="2">
        <v>2009.0</v>
      </c>
      <c r="F29" s="2" t="s">
        <v>869</v>
      </c>
      <c r="G29" s="2" t="s">
        <v>870</v>
      </c>
      <c r="H29" s="2" t="s">
        <v>452</v>
      </c>
      <c r="J29" s="2" t="s">
        <v>431</v>
      </c>
      <c r="K29" s="2" t="s">
        <v>871</v>
      </c>
      <c r="M29" s="2">
        <v>57.0</v>
      </c>
      <c r="N29" s="2" t="s">
        <v>872</v>
      </c>
      <c r="O29" s="2" t="s">
        <v>873</v>
      </c>
      <c r="P29" s="2" t="s">
        <v>874</v>
      </c>
      <c r="Q29" s="2" t="s">
        <v>875</v>
      </c>
      <c r="R29" s="2" t="s">
        <v>876</v>
      </c>
      <c r="T29" s="2" t="s">
        <v>877</v>
      </c>
      <c r="Y29" s="2" t="s">
        <v>878</v>
      </c>
      <c r="AB29" s="2" t="s">
        <v>879</v>
      </c>
      <c r="AG29" s="2" t="s">
        <v>880</v>
      </c>
      <c r="AI29" s="2" t="s">
        <v>881</v>
      </c>
      <c r="AK29" s="2" t="s">
        <v>882</v>
      </c>
      <c r="AL29" s="2" t="s">
        <v>384</v>
      </c>
      <c r="AN29" s="2" t="s">
        <v>386</v>
      </c>
      <c r="AO29" s="2" t="s">
        <v>883</v>
      </c>
      <c r="AP29" s="2" t="s">
        <v>386</v>
      </c>
      <c r="AQ29" s="2">
        <v>1711.0</v>
      </c>
      <c r="AR29" s="2" t="s">
        <v>884</v>
      </c>
      <c r="AS29" s="2" t="b">
        <v>0</v>
      </c>
      <c r="AT29" s="3">
        <v>0.0</v>
      </c>
      <c r="AU29" s="4"/>
      <c r="AV29" s="4">
        <v>1.0</v>
      </c>
      <c r="AW29" s="5">
        <f t="shared" si="3"/>
        <v>0</v>
      </c>
      <c r="AX29" s="5">
        <f t="shared" si="4"/>
        <v>0</v>
      </c>
      <c r="AY29" s="5">
        <f t="shared" si="5"/>
        <v>0</v>
      </c>
      <c r="AZ29" s="5">
        <f t="shared" si="6"/>
        <v>0</v>
      </c>
      <c r="BA29" s="5">
        <f t="shared" si="7"/>
        <v>0</v>
      </c>
      <c r="BB29" s="5">
        <f t="shared" si="8"/>
        <v>0</v>
      </c>
      <c r="BC29" s="5">
        <f t="shared" si="9"/>
        <v>0</v>
      </c>
      <c r="BD29" s="5">
        <f t="shared" si="10"/>
        <v>0</v>
      </c>
      <c r="BE29" s="5">
        <f t="shared" si="11"/>
        <v>0</v>
      </c>
      <c r="BF29" s="5">
        <f t="shared" si="12"/>
        <v>0</v>
      </c>
      <c r="BG29" s="5">
        <f t="shared" si="13"/>
        <v>0</v>
      </c>
      <c r="BH29" s="5">
        <f t="shared" si="14"/>
        <v>0</v>
      </c>
      <c r="BI29" s="5">
        <f t="shared" si="15"/>
        <v>0</v>
      </c>
      <c r="BJ29" s="5">
        <f t="shared" si="16"/>
        <v>0</v>
      </c>
      <c r="BK29" s="5">
        <f t="shared" si="17"/>
        <v>0</v>
      </c>
      <c r="BL29" s="5">
        <f t="shared" si="18"/>
        <v>0</v>
      </c>
      <c r="BM29" s="5">
        <f t="shared" si="19"/>
        <v>0</v>
      </c>
      <c r="BN29" s="5">
        <f t="shared" si="20"/>
        <v>0</v>
      </c>
      <c r="BO29" s="5">
        <f t="shared" si="21"/>
        <v>0</v>
      </c>
      <c r="BP29" s="5">
        <f t="shared" si="22"/>
        <v>0</v>
      </c>
      <c r="BQ29" s="5">
        <f t="shared" si="23"/>
        <v>0</v>
      </c>
      <c r="BR29" s="5">
        <f t="shared" si="24"/>
        <v>0</v>
      </c>
      <c r="BS29" s="5">
        <f t="shared" si="25"/>
        <v>0</v>
      </c>
      <c r="BT29" s="5">
        <f t="shared" si="26"/>
        <v>0</v>
      </c>
      <c r="BU29" s="5">
        <f t="shared" si="27"/>
        <v>0</v>
      </c>
      <c r="BV29" s="5">
        <f t="shared" ref="BV29:BW29" si="376">IF(OR(ISNUMBER(SEARCH("grit",$D29)),ISNUMBER(SEARCH("grit",$T29)),ISNUMBER(SEARCH("grit",$R29)),ISNUMBER(SEARCH("grit",$S29)),
ISNUMBER(SEARCH("determination",$D29)),ISNUMBER(SEARCH("determination",$T29)),ISNUMBER(SEARCH("determination",$R29)),ISNUMBER(SEARCH("determination",$S29)),
ISNUMBER(SEARCH("tenacity",$D29)),ISNUMBER(SEARCH("tenacity",$T29)),ISNUMBER(SEARCH("tenacity",$R29)),ISNUMBER(SEARCH("tenacity",$S29)),
ISNUMBER(SEARCH("endurance",$D29)),ISNUMBER(SEARCH("endurance",$T29)),ISNUMBER(SEARCH("endurance",$R29)),ISNUMBER(SEARCH("endurance",$S29)),
ISNUMBER(SEARCH("fortitude",$D29)),ISNUMBER(SEARCH("fortitude",$T29)),ISNUMBER(SEARCH("fortitude",$R29)),ISNUMBER(SEARCH("fortitude",$S29)),
ISNUMBER(SEARCH("resolve",$D29)),ISNUMBER(SEARCH("resolve",$T29)),ISNUMBER(SEARCH("resolve",$R29)),ISNUMBER(SEARCH("resolve",$S29)),
ISNUMBER(SEARCH("stamina",$D29)),ISNUMBER(SEARCH("stamina",$T29)),ISNUMBER(SEARCH("stamina",$R29)),ISNUMBER(SEARCH("stamina",$S29)),
ISNUMBER(SEARCH("guts",$D29)),ISNUMBER(SEARCH("guts",$T29)),ISNUMBER(SEARCH("guts",$R29)),ISNUMBER(SEARCH("guts",$S29)),
ISNUMBER(SEARCH("spunk",$D29)),ISNUMBER(SEARCH("spunk",$T29)),ISNUMBER(SEARCH("spunk",$R29)),ISNUMBER(SEARCH("spunk",$S29))), 1, 0)</f>
        <v>0</v>
      </c>
      <c r="BW29" s="5">
        <f t="shared" si="376"/>
        <v>0</v>
      </c>
      <c r="BX29" s="5">
        <f t="shared" si="29"/>
        <v>0</v>
      </c>
      <c r="BY29" s="5">
        <f t="shared" si="30"/>
        <v>0</v>
      </c>
      <c r="BZ29" s="5">
        <f t="shared" si="31"/>
        <v>0</v>
      </c>
      <c r="CA29" s="5">
        <f t="shared" si="32"/>
        <v>0</v>
      </c>
      <c r="CB29" s="5">
        <f t="shared" si="33"/>
        <v>0</v>
      </c>
      <c r="CC29" s="5">
        <f t="shared" si="34"/>
        <v>0</v>
      </c>
      <c r="CD29" s="5">
        <f t="shared" si="35"/>
        <v>0</v>
      </c>
      <c r="CE29" s="5">
        <f t="shared" si="36"/>
        <v>0</v>
      </c>
      <c r="CF29" s="5">
        <f t="shared" si="37"/>
        <v>0</v>
      </c>
      <c r="CG29" s="5">
        <f t="shared" si="38"/>
        <v>0</v>
      </c>
      <c r="CH29" s="5">
        <f t="shared" si="39"/>
        <v>0</v>
      </c>
      <c r="CI29" s="5">
        <f t="shared" si="40"/>
        <v>0</v>
      </c>
      <c r="CJ29" s="5">
        <f t="shared" si="41"/>
        <v>0</v>
      </c>
      <c r="CK29" s="5">
        <f t="shared" si="42"/>
        <v>0</v>
      </c>
      <c r="CL29" s="5">
        <f t="shared" si="43"/>
        <v>0</v>
      </c>
      <c r="CM29" s="5">
        <f t="shared" si="44"/>
        <v>0</v>
      </c>
      <c r="CN29" s="5">
        <f t="shared" si="45"/>
        <v>0</v>
      </c>
      <c r="CO29" s="5">
        <f t="shared" si="46"/>
        <v>0</v>
      </c>
      <c r="CP29" s="6">
        <f t="shared" si="47"/>
        <v>0</v>
      </c>
      <c r="CQ29" s="6">
        <f t="shared" si="48"/>
        <v>0</v>
      </c>
      <c r="CR29" s="6">
        <f t="shared" si="49"/>
        <v>0</v>
      </c>
      <c r="CS29" s="6">
        <f t="shared" si="50"/>
        <v>0</v>
      </c>
      <c r="CT29" s="6">
        <f t="shared" si="51"/>
        <v>0</v>
      </c>
      <c r="CU29" s="6">
        <f t="shared" si="52"/>
        <v>0</v>
      </c>
      <c r="CV29" s="6">
        <f t="shared" si="53"/>
        <v>0</v>
      </c>
      <c r="CW29" s="6">
        <f t="shared" si="54"/>
        <v>0</v>
      </c>
      <c r="CX29" s="6">
        <f t="shared" si="55"/>
        <v>0</v>
      </c>
      <c r="CY29" s="6">
        <f t="shared" si="56"/>
        <v>0</v>
      </c>
      <c r="CZ29" s="6">
        <f t="shared" si="57"/>
        <v>0</v>
      </c>
      <c r="DA29" s="6">
        <f t="shared" si="58"/>
        <v>0</v>
      </c>
      <c r="DB29" s="6">
        <f t="shared" si="59"/>
        <v>0</v>
      </c>
      <c r="DC29" s="6">
        <f t="shared" si="60"/>
        <v>0</v>
      </c>
      <c r="DD29" s="6">
        <f t="shared" si="61"/>
        <v>0</v>
      </c>
      <c r="DE29" s="6">
        <f t="shared" si="62"/>
        <v>0</v>
      </c>
      <c r="DF29" s="6">
        <f t="shared" si="63"/>
        <v>0</v>
      </c>
      <c r="DG29" s="6">
        <f t="shared" si="64"/>
        <v>0</v>
      </c>
      <c r="DH29" s="6">
        <f t="shared" si="353"/>
        <v>0</v>
      </c>
      <c r="DI29" s="6">
        <f t="shared" si="66"/>
        <v>0</v>
      </c>
      <c r="DJ29" s="6">
        <f t="shared" si="67"/>
        <v>0</v>
      </c>
      <c r="DK29" s="7">
        <f t="shared" si="68"/>
        <v>0</v>
      </c>
      <c r="DL29" s="7">
        <f t="shared" si="374"/>
        <v>0</v>
      </c>
      <c r="DM29" s="7">
        <f t="shared" si="70"/>
        <v>0</v>
      </c>
      <c r="DN29" s="7">
        <f t="shared" si="71"/>
        <v>0</v>
      </c>
      <c r="DO29" s="7">
        <f t="shared" si="72"/>
        <v>0</v>
      </c>
      <c r="DP29" s="8">
        <f t="shared" si="73"/>
        <v>0</v>
      </c>
      <c r="DQ29" s="8">
        <f t="shared" si="74"/>
        <v>0</v>
      </c>
      <c r="DR29" s="7">
        <f t="shared" si="75"/>
        <v>0</v>
      </c>
      <c r="DS29" s="7">
        <f t="shared" si="76"/>
        <v>0</v>
      </c>
      <c r="DT29" s="7">
        <f t="shared" si="77"/>
        <v>0</v>
      </c>
      <c r="DU29" s="9">
        <f t="shared" si="78"/>
        <v>0</v>
      </c>
      <c r="DV29" s="9">
        <f t="shared" si="79"/>
        <v>0</v>
      </c>
      <c r="DW29" s="9">
        <f t="shared" si="80"/>
        <v>0</v>
      </c>
      <c r="DX29" s="9">
        <f t="shared" si="81"/>
        <v>0</v>
      </c>
      <c r="DY29" s="9">
        <f t="shared" si="82"/>
        <v>0</v>
      </c>
      <c r="DZ29" s="9">
        <f t="shared" si="83"/>
        <v>0</v>
      </c>
      <c r="EA29" s="9">
        <f t="shared" si="84"/>
        <v>0</v>
      </c>
      <c r="EB29" s="9">
        <f t="shared" si="85"/>
        <v>0</v>
      </c>
      <c r="EC29" s="9">
        <f t="shared" si="86"/>
        <v>0</v>
      </c>
      <c r="ED29" s="9">
        <f t="shared" si="87"/>
        <v>0</v>
      </c>
      <c r="EE29" s="9">
        <f t="shared" si="88"/>
        <v>0</v>
      </c>
      <c r="EF29" s="9">
        <f t="shared" si="89"/>
        <v>0</v>
      </c>
      <c r="EG29" s="9">
        <f t="shared" si="90"/>
        <v>0</v>
      </c>
      <c r="EH29" s="9">
        <f t="shared" si="91"/>
        <v>0</v>
      </c>
      <c r="EI29" s="9">
        <f t="shared" si="92"/>
        <v>0</v>
      </c>
      <c r="EJ29" s="10">
        <f t="shared" si="93"/>
        <v>0</v>
      </c>
      <c r="EK29" s="10">
        <f t="shared" si="94"/>
        <v>0</v>
      </c>
      <c r="EL29" s="10">
        <f t="shared" ref="EL29:EM29" si="377">IF(OR(ISNUMBER(SEARCH("ai software toolkit", $D29)), ISNUMBER(SEARCH("ai software toolkit", $T29)), ISNUMBER(SEARCH("ai software toolkit", $R29)), ISNUMBER(SEARCH("ai software toolkit", $S29))), 1, 0)</f>
        <v>0</v>
      </c>
      <c r="EM29" s="10">
        <f t="shared" si="377"/>
        <v>0</v>
      </c>
      <c r="EN29" s="10">
        <f t="shared" si="96"/>
        <v>0</v>
      </c>
      <c r="EO29" s="10">
        <f t="shared" si="97"/>
        <v>0</v>
      </c>
      <c r="EP29" s="10">
        <f t="shared" si="98"/>
        <v>0</v>
      </c>
      <c r="EQ29" s="10">
        <f t="shared" si="99"/>
        <v>0</v>
      </c>
      <c r="ER29" s="10">
        <f t="shared" si="100"/>
        <v>0</v>
      </c>
      <c r="ES29" s="10">
        <f t="shared" si="101"/>
        <v>0</v>
      </c>
      <c r="ET29" s="10">
        <f t="shared" si="102"/>
        <v>0</v>
      </c>
      <c r="EU29" s="10">
        <f t="shared" si="103"/>
        <v>0</v>
      </c>
      <c r="EV29" s="10">
        <f t="shared" si="104"/>
        <v>0</v>
      </c>
      <c r="EW29" s="10">
        <f t="shared" si="105"/>
        <v>0</v>
      </c>
      <c r="EX29" s="10">
        <f t="shared" si="106"/>
        <v>0</v>
      </c>
      <c r="EY29" s="10">
        <f t="shared" si="107"/>
        <v>0</v>
      </c>
      <c r="EZ29" s="10">
        <f t="shared" si="108"/>
        <v>0</v>
      </c>
      <c r="FA29" s="10">
        <f t="shared" si="109"/>
        <v>0</v>
      </c>
      <c r="FB29" s="10">
        <f t="shared" si="110"/>
        <v>0</v>
      </c>
      <c r="FC29" s="10">
        <f t="shared" si="111"/>
        <v>0</v>
      </c>
      <c r="FD29" s="10">
        <f t="shared" si="112"/>
        <v>0</v>
      </c>
      <c r="FE29" s="10">
        <f t="shared" si="113"/>
        <v>0</v>
      </c>
      <c r="FF29" s="10">
        <f t="shared" si="114"/>
        <v>0</v>
      </c>
      <c r="FG29" s="10">
        <f t="shared" si="115"/>
        <v>0</v>
      </c>
      <c r="FH29" s="10">
        <f t="shared" si="116"/>
        <v>0</v>
      </c>
      <c r="FI29" s="10">
        <f t="shared" si="117"/>
        <v>0</v>
      </c>
      <c r="FJ29" s="10">
        <f t="shared" si="118"/>
        <v>0</v>
      </c>
      <c r="FK29" s="10">
        <f t="shared" si="119"/>
        <v>0</v>
      </c>
      <c r="FL29" s="10">
        <f t="shared" si="120"/>
        <v>0</v>
      </c>
      <c r="FM29" s="10">
        <f t="shared" si="121"/>
        <v>0</v>
      </c>
      <c r="FN29" s="10">
        <f t="shared" si="122"/>
        <v>0</v>
      </c>
      <c r="FO29" s="10">
        <f t="shared" si="123"/>
        <v>0</v>
      </c>
      <c r="FP29" s="10">
        <f t="shared" si="124"/>
        <v>0</v>
      </c>
      <c r="FQ29" s="10">
        <f t="shared" si="125"/>
        <v>0</v>
      </c>
      <c r="FR29" s="11">
        <f t="shared" ref="FR29:FR30" si="380">IF(
OR(
ISNUMBER(SEARCH("chatbot",$D29)),ISNUMBER(SEARCH("chatbot",$T29)),ISNUMBER(SEARCH("chatbot",$R27)),ISNUMBER(SEARCH("chatbot",$S29)),
ISNUMBER(SEARCH("virtual assistance",$D29)),ISNUMBER(SEARCH("virtual assistance",$T29)),ISNUMBER(SEARCH("virtual assistance",$R29)),ISNUMBER(SEARCH("virtual assistance",$S29))), 1, 0)</f>
        <v>0</v>
      </c>
      <c r="FS29" s="11">
        <f t="shared" si="127"/>
        <v>0</v>
      </c>
      <c r="FT29" s="11">
        <f t="shared" si="128"/>
        <v>0</v>
      </c>
      <c r="FU29" s="11">
        <f t="shared" si="129"/>
        <v>0</v>
      </c>
      <c r="FV29" s="11">
        <f t="shared" si="130"/>
        <v>0</v>
      </c>
      <c r="FW29" s="11">
        <f t="shared" si="131"/>
        <v>0</v>
      </c>
      <c r="FX29" s="11">
        <f t="shared" si="132"/>
        <v>0</v>
      </c>
      <c r="FY29" s="11">
        <f t="shared" si="133"/>
        <v>0</v>
      </c>
      <c r="FZ29" s="11">
        <f t="shared" si="134"/>
        <v>0</v>
      </c>
      <c r="GA29" s="11">
        <f t="shared" si="135"/>
        <v>0</v>
      </c>
      <c r="GB29" s="11">
        <f t="shared" si="136"/>
        <v>0</v>
      </c>
      <c r="GC29" s="11">
        <f t="shared" si="137"/>
        <v>0</v>
      </c>
      <c r="GD29" s="11">
        <f t="shared" si="138"/>
        <v>0</v>
      </c>
      <c r="GE29" s="11">
        <f t="shared" si="139"/>
        <v>0</v>
      </c>
      <c r="GF29" s="11">
        <f t="shared" si="140"/>
        <v>0</v>
      </c>
      <c r="GG29" s="11">
        <f t="shared" si="141"/>
        <v>0</v>
      </c>
      <c r="GH29" s="11">
        <f t="shared" si="142"/>
        <v>0</v>
      </c>
      <c r="GI29" s="11">
        <f t="shared" si="143"/>
        <v>0</v>
      </c>
      <c r="GJ29" s="11">
        <f t="shared" si="144"/>
        <v>0</v>
      </c>
      <c r="GK29" s="11">
        <f t="shared" si="145"/>
        <v>0</v>
      </c>
      <c r="GL29" s="11">
        <f t="shared" si="146"/>
        <v>0</v>
      </c>
      <c r="GM29" s="11">
        <f t="shared" si="147"/>
        <v>0</v>
      </c>
      <c r="GN29" s="11">
        <f t="shared" si="148"/>
        <v>0</v>
      </c>
      <c r="GO29" s="11">
        <f t="shared" si="149"/>
        <v>0</v>
      </c>
      <c r="GP29" s="11">
        <f t="shared" si="150"/>
        <v>0</v>
      </c>
      <c r="GQ29" s="11">
        <f t="shared" si="151"/>
        <v>0</v>
      </c>
      <c r="GR29" s="11">
        <f t="shared" si="152"/>
        <v>0</v>
      </c>
      <c r="GS29" s="11">
        <f t="shared" si="153"/>
        <v>0</v>
      </c>
      <c r="GT29" s="11">
        <f t="shared" si="154"/>
        <v>0</v>
      </c>
      <c r="GU29" s="12">
        <f t="shared" si="155"/>
        <v>0</v>
      </c>
      <c r="GV29" s="12">
        <f t="shared" si="156"/>
        <v>0</v>
      </c>
      <c r="GW29" s="12">
        <f t="shared" si="157"/>
        <v>0</v>
      </c>
      <c r="GX29" s="12">
        <f t="shared" si="158"/>
        <v>0</v>
      </c>
      <c r="GY29" s="12">
        <f t="shared" si="159"/>
        <v>0</v>
      </c>
      <c r="GZ29" s="12">
        <f t="shared" si="160"/>
        <v>0</v>
      </c>
      <c r="HA29" s="12">
        <f t="shared" si="161"/>
        <v>0</v>
      </c>
      <c r="HB29" s="12">
        <f t="shared" si="162"/>
        <v>0</v>
      </c>
      <c r="HC29" s="12">
        <f t="shared" si="163"/>
        <v>0</v>
      </c>
      <c r="HD29" s="12">
        <f t="shared" si="164"/>
        <v>0</v>
      </c>
      <c r="HE29" s="12">
        <f t="shared" si="165"/>
        <v>0</v>
      </c>
      <c r="HF29" s="12">
        <f t="shared" si="166"/>
        <v>0</v>
      </c>
      <c r="HG29" s="12">
        <f t="shared" si="167"/>
        <v>0</v>
      </c>
      <c r="HH29" s="12">
        <f t="shared" si="168"/>
        <v>0</v>
      </c>
      <c r="HI29" s="12">
        <f t="shared" si="169"/>
        <v>0</v>
      </c>
      <c r="HJ29" s="12">
        <f t="shared" si="170"/>
        <v>0</v>
      </c>
      <c r="HK29" s="12">
        <f t="shared" si="171"/>
        <v>0</v>
      </c>
      <c r="HL29" s="12">
        <f t="shared" si="172"/>
        <v>0</v>
      </c>
      <c r="HM29" s="12">
        <f t="shared" si="173"/>
        <v>0</v>
      </c>
      <c r="HN29" s="12">
        <f t="shared" si="174"/>
        <v>0</v>
      </c>
      <c r="HO29" s="12">
        <f t="shared" si="175"/>
        <v>0</v>
      </c>
      <c r="HP29" s="12">
        <f t="shared" si="176"/>
        <v>0</v>
      </c>
      <c r="HQ29" s="12">
        <f t="shared" si="177"/>
        <v>0</v>
      </c>
      <c r="HR29" s="12">
        <f t="shared" si="178"/>
        <v>0</v>
      </c>
      <c r="HS29" s="12">
        <f t="shared" si="179"/>
        <v>0</v>
      </c>
      <c r="HT29" s="12">
        <f t="shared" si="180"/>
        <v>0</v>
      </c>
      <c r="HU29" s="12">
        <f t="shared" si="181"/>
        <v>0</v>
      </c>
      <c r="HV29" s="12">
        <f t="shared" si="182"/>
        <v>0</v>
      </c>
      <c r="HW29" s="12">
        <f t="shared" si="183"/>
        <v>0</v>
      </c>
      <c r="HX29" s="12">
        <f t="shared" si="184"/>
        <v>0</v>
      </c>
      <c r="HY29" s="12">
        <f t="shared" si="185"/>
        <v>0</v>
      </c>
      <c r="HZ29" s="12">
        <f t="shared" si="186"/>
        <v>0</v>
      </c>
      <c r="IA29" s="12">
        <f t="shared" si="187"/>
        <v>0</v>
      </c>
      <c r="IB29" s="12">
        <f t="shared" si="188"/>
        <v>0</v>
      </c>
      <c r="IC29" s="12">
        <f t="shared" si="189"/>
        <v>0</v>
      </c>
      <c r="ID29" s="12">
        <f t="shared" si="190"/>
        <v>0</v>
      </c>
      <c r="IE29" s="12">
        <f t="shared" si="191"/>
        <v>0</v>
      </c>
      <c r="IF29" s="12">
        <f t="shared" si="192"/>
        <v>0</v>
      </c>
      <c r="IG29" s="12">
        <f t="shared" si="193"/>
        <v>0</v>
      </c>
      <c r="IH29" s="12">
        <f t="shared" si="194"/>
        <v>0</v>
      </c>
      <c r="II29" s="12">
        <f t="shared" si="195"/>
        <v>0</v>
      </c>
      <c r="IJ29" s="12">
        <f t="shared" si="196"/>
        <v>0</v>
      </c>
      <c r="IK29" s="12">
        <f t="shared" si="197"/>
        <v>0</v>
      </c>
      <c r="IL29" s="12">
        <f t="shared" si="198"/>
        <v>0</v>
      </c>
      <c r="IM29" s="12">
        <f t="shared" si="199"/>
        <v>0</v>
      </c>
      <c r="IN29" s="12">
        <f t="shared" si="200"/>
        <v>0</v>
      </c>
      <c r="IO29" s="12">
        <f t="shared" si="201"/>
        <v>0</v>
      </c>
      <c r="IP29" s="12">
        <f t="shared" si="202"/>
        <v>0</v>
      </c>
      <c r="IQ29" s="12">
        <f t="shared" si="203"/>
        <v>0</v>
      </c>
      <c r="IR29" s="12">
        <f t="shared" si="204"/>
        <v>0</v>
      </c>
      <c r="IS29" s="12">
        <f t="shared" si="205"/>
        <v>0</v>
      </c>
      <c r="IT29" s="12">
        <f t="shared" si="206"/>
        <v>0</v>
      </c>
      <c r="IU29" s="12">
        <f t="shared" si="207"/>
        <v>0</v>
      </c>
      <c r="IV29" s="12">
        <f t="shared" si="208"/>
        <v>0</v>
      </c>
      <c r="IW29" s="12">
        <f t="shared" si="209"/>
        <v>0</v>
      </c>
      <c r="IX29" s="12">
        <f t="shared" si="210"/>
        <v>0</v>
      </c>
      <c r="IY29" s="12">
        <f t="shared" si="211"/>
        <v>0</v>
      </c>
      <c r="IZ29" s="12">
        <f t="shared" si="212"/>
        <v>1</v>
      </c>
      <c r="JA29" s="13">
        <f t="shared" si="213"/>
        <v>0</v>
      </c>
      <c r="JB29" s="13">
        <f t="shared" si="214"/>
        <v>0</v>
      </c>
      <c r="JC29" s="13">
        <f t="shared" si="215"/>
        <v>0</v>
      </c>
      <c r="JD29" s="13">
        <f t="shared" si="216"/>
        <v>0</v>
      </c>
      <c r="JE29" s="13">
        <f t="shared" si="217"/>
        <v>0</v>
      </c>
      <c r="JF29" s="13">
        <f t="shared" si="218"/>
        <v>0</v>
      </c>
      <c r="JG29" s="13">
        <f t="shared" si="219"/>
        <v>0</v>
      </c>
      <c r="JH29" s="13">
        <f t="shared" si="220"/>
        <v>0</v>
      </c>
      <c r="JI29" s="13">
        <f t="shared" si="221"/>
        <v>0</v>
      </c>
      <c r="JJ29" s="13">
        <f t="shared" si="222"/>
        <v>0</v>
      </c>
      <c r="JK29" s="13">
        <f t="shared" si="223"/>
        <v>0</v>
      </c>
      <c r="JL29" s="13">
        <f t="shared" si="224"/>
        <v>0</v>
      </c>
      <c r="JM29" s="13">
        <f t="shared" si="225"/>
        <v>0</v>
      </c>
      <c r="JN29" s="13">
        <f t="shared" si="226"/>
        <v>0</v>
      </c>
      <c r="JO29" s="13">
        <f t="shared" si="227"/>
        <v>0</v>
      </c>
      <c r="JP29" s="13">
        <f t="shared" si="228"/>
        <v>0</v>
      </c>
      <c r="JQ29" s="13">
        <f t="shared" si="229"/>
        <v>0</v>
      </c>
      <c r="JR29" s="13">
        <f t="shared" si="230"/>
        <v>0</v>
      </c>
      <c r="JS29" s="13">
        <f t="shared" si="231"/>
        <v>0</v>
      </c>
      <c r="JT29" s="13">
        <f t="shared" si="232"/>
        <v>0</v>
      </c>
      <c r="JU29" s="13">
        <f t="shared" si="233"/>
        <v>0</v>
      </c>
      <c r="JV29" s="12">
        <f t="shared" si="234"/>
        <v>0</v>
      </c>
      <c r="JW29" s="12">
        <f t="shared" si="235"/>
        <v>0</v>
      </c>
      <c r="JX29" s="12">
        <f t="shared" si="236"/>
        <v>0</v>
      </c>
      <c r="JY29" s="12">
        <f t="shared" si="237"/>
        <v>0</v>
      </c>
      <c r="JZ29" s="12">
        <f t="shared" si="238"/>
        <v>0</v>
      </c>
      <c r="KA29" s="12">
        <f t="shared" si="239"/>
        <v>0</v>
      </c>
      <c r="KB29" s="12">
        <f t="shared" si="240"/>
        <v>0</v>
      </c>
      <c r="KC29" s="12">
        <f t="shared" si="241"/>
        <v>0</v>
      </c>
      <c r="KD29" s="12">
        <f t="shared" si="242"/>
        <v>0</v>
      </c>
      <c r="KE29" s="12">
        <f t="shared" si="243"/>
        <v>0</v>
      </c>
      <c r="KF29" s="12">
        <f t="shared" si="244"/>
        <v>0</v>
      </c>
      <c r="KG29" s="12">
        <f t="shared" si="245"/>
        <v>0</v>
      </c>
      <c r="KH29" s="12">
        <f t="shared" si="246"/>
        <v>0</v>
      </c>
      <c r="KI29" s="12">
        <f t="shared" si="247"/>
        <v>0</v>
      </c>
      <c r="KJ29" s="12">
        <f t="shared" si="248"/>
        <v>0</v>
      </c>
      <c r="KK29" s="12">
        <f t="shared" si="249"/>
        <v>0</v>
      </c>
      <c r="KL29" s="12">
        <f t="shared" si="250"/>
        <v>0</v>
      </c>
      <c r="KM29" s="12">
        <f t="shared" si="251"/>
        <v>0</v>
      </c>
      <c r="KN29" s="12">
        <f t="shared" si="252"/>
        <v>0</v>
      </c>
      <c r="KO29" s="12">
        <f t="shared" si="253"/>
        <v>0</v>
      </c>
      <c r="KP29" s="12">
        <f t="shared" si="254"/>
        <v>0</v>
      </c>
      <c r="KQ29" s="12">
        <f t="shared" si="255"/>
        <v>0</v>
      </c>
      <c r="KR29" s="12">
        <f t="shared" si="256"/>
        <v>0</v>
      </c>
      <c r="KS29" s="12">
        <f t="shared" si="257"/>
        <v>0</v>
      </c>
      <c r="KT29" s="12">
        <f t="shared" si="258"/>
        <v>0</v>
      </c>
      <c r="KU29" s="12">
        <f t="shared" si="259"/>
        <v>0</v>
      </c>
      <c r="KV29" s="12">
        <f t="shared" si="260"/>
        <v>0</v>
      </c>
      <c r="KW29" s="12">
        <f t="shared" si="261"/>
        <v>0</v>
      </c>
      <c r="KX29" s="12">
        <f t="shared" si="262"/>
        <v>0</v>
      </c>
      <c r="KY29" s="12">
        <f t="shared" si="263"/>
        <v>0</v>
      </c>
      <c r="KZ29" s="12">
        <f t="shared" si="264"/>
        <v>0</v>
      </c>
      <c r="LA29" s="12">
        <f t="shared" si="265"/>
        <v>0</v>
      </c>
      <c r="LB29" s="12">
        <f t="shared" si="266"/>
        <v>0</v>
      </c>
      <c r="LC29" s="12">
        <f t="shared" si="267"/>
        <v>0</v>
      </c>
      <c r="LD29" s="12">
        <f t="shared" si="268"/>
        <v>0</v>
      </c>
      <c r="LE29" s="12">
        <f t="shared" si="269"/>
        <v>0</v>
      </c>
      <c r="LF29" s="12">
        <f t="shared" si="270"/>
        <v>0</v>
      </c>
      <c r="LG29" s="12">
        <f t="shared" si="271"/>
        <v>0</v>
      </c>
      <c r="LH29" s="12">
        <f t="shared" si="272"/>
        <v>0</v>
      </c>
      <c r="LI29" s="12">
        <f t="shared" si="273"/>
        <v>0</v>
      </c>
      <c r="LJ29" s="12">
        <f t="shared" si="274"/>
        <v>0</v>
      </c>
      <c r="LK29" s="12">
        <f t="shared" si="275"/>
        <v>0</v>
      </c>
      <c r="LL29" s="12">
        <f t="shared" si="276"/>
        <v>0</v>
      </c>
      <c r="LM29" s="12">
        <f t="shared" si="277"/>
        <v>0</v>
      </c>
      <c r="LN29" s="12">
        <f t="shared" si="278"/>
        <v>0</v>
      </c>
      <c r="LO29" s="12">
        <f t="shared" si="279"/>
        <v>0</v>
      </c>
      <c r="LP29" s="12">
        <f t="shared" si="280"/>
        <v>0</v>
      </c>
      <c r="LQ29" s="12">
        <f t="shared" si="281"/>
        <v>0</v>
      </c>
      <c r="LR29" s="12">
        <f t="shared" si="282"/>
        <v>0</v>
      </c>
      <c r="LS29" s="12">
        <f t="shared" si="283"/>
        <v>0</v>
      </c>
      <c r="LT29" s="13">
        <f t="shared" si="284"/>
        <v>0</v>
      </c>
      <c r="LU29" s="13">
        <f t="shared" si="285"/>
        <v>0</v>
      </c>
      <c r="LV29" s="13">
        <f t="shared" si="286"/>
        <v>0</v>
      </c>
      <c r="LW29" s="13">
        <f t="shared" si="287"/>
        <v>0</v>
      </c>
      <c r="LX29" s="13">
        <f t="shared" si="288"/>
        <v>0</v>
      </c>
      <c r="LY29" s="13">
        <f t="shared" si="289"/>
        <v>0</v>
      </c>
      <c r="LZ29" s="13">
        <f t="shared" si="290"/>
        <v>0</v>
      </c>
      <c r="MA29" s="13">
        <f t="shared" si="291"/>
        <v>0</v>
      </c>
      <c r="MB29" s="13">
        <f t="shared" si="292"/>
        <v>0</v>
      </c>
      <c r="MC29" s="13">
        <f t="shared" si="293"/>
        <v>0</v>
      </c>
      <c r="MD29" s="13">
        <f t="shared" si="294"/>
        <v>0</v>
      </c>
      <c r="ME29" s="13">
        <f t="shared" si="295"/>
        <v>0</v>
      </c>
      <c r="MF29" s="13">
        <f t="shared" si="296"/>
        <v>0</v>
      </c>
      <c r="MG29" s="13">
        <f t="shared" si="297"/>
        <v>0</v>
      </c>
      <c r="MH29" s="13">
        <f t="shared" si="298"/>
        <v>0</v>
      </c>
      <c r="MI29" s="13">
        <f t="shared" si="299"/>
        <v>0</v>
      </c>
      <c r="MJ29" s="13">
        <f t="shared" si="300"/>
        <v>0</v>
      </c>
      <c r="MK29" s="13">
        <f t="shared" si="301"/>
        <v>0</v>
      </c>
      <c r="ML29" s="14">
        <f t="shared" si="302"/>
        <v>0</v>
      </c>
      <c r="MM29" s="14">
        <f t="shared" si="303"/>
        <v>0</v>
      </c>
      <c r="MN29" s="14">
        <f t="shared" si="304"/>
        <v>0</v>
      </c>
      <c r="MO29" s="14">
        <f t="shared" si="305"/>
        <v>0</v>
      </c>
      <c r="MP29" s="14">
        <f t="shared" si="306"/>
        <v>0</v>
      </c>
      <c r="MQ29" s="14">
        <f t="shared" si="307"/>
        <v>0</v>
      </c>
      <c r="MR29" s="14">
        <f t="shared" si="308"/>
        <v>0</v>
      </c>
      <c r="MS29" s="14">
        <f t="shared" si="309"/>
        <v>0</v>
      </c>
      <c r="MT29" s="14">
        <f t="shared" si="310"/>
        <v>0</v>
      </c>
      <c r="MU29" s="14">
        <f t="shared" si="311"/>
        <v>0</v>
      </c>
      <c r="MV29" s="14">
        <f t="shared" si="312"/>
        <v>0</v>
      </c>
      <c r="MW29" s="14">
        <f t="shared" si="313"/>
        <v>0</v>
      </c>
      <c r="MX29" s="14">
        <f t="shared" si="314"/>
        <v>0</v>
      </c>
      <c r="MY29" s="14">
        <f t="shared" si="315"/>
        <v>0</v>
      </c>
      <c r="MZ29" s="14">
        <f t="shared" si="316"/>
        <v>0</v>
      </c>
      <c r="NA29" s="14">
        <f t="shared" si="317"/>
        <v>0</v>
      </c>
      <c r="NB29" s="14">
        <f t="shared" si="318"/>
        <v>0</v>
      </c>
    </row>
    <row r="30" ht="15.75" customHeight="1">
      <c r="A30" s="2">
        <v>2.0</v>
      </c>
      <c r="B30" s="2" t="s">
        <v>885</v>
      </c>
      <c r="C30" s="2" t="s">
        <v>886</v>
      </c>
      <c r="D30" s="2" t="s">
        <v>887</v>
      </c>
      <c r="E30" s="2">
        <v>2021.0</v>
      </c>
      <c r="F30" s="2" t="s">
        <v>888</v>
      </c>
      <c r="G30" s="2" t="s">
        <v>564</v>
      </c>
      <c r="H30" s="2" t="s">
        <v>371</v>
      </c>
      <c r="J30" s="2" t="s">
        <v>889</v>
      </c>
      <c r="K30" s="2" t="s">
        <v>890</v>
      </c>
      <c r="M30" s="2">
        <v>54.0</v>
      </c>
      <c r="N30" s="2" t="s">
        <v>891</v>
      </c>
      <c r="O30" s="2" t="s">
        <v>892</v>
      </c>
      <c r="P30" s="2" t="s">
        <v>893</v>
      </c>
      <c r="Q30" s="2" t="s">
        <v>894</v>
      </c>
      <c r="R30" s="2" t="s">
        <v>895</v>
      </c>
      <c r="S30" s="2" t="s">
        <v>896</v>
      </c>
      <c r="T30" s="2" t="s">
        <v>897</v>
      </c>
      <c r="Y30" s="2" t="s">
        <v>898</v>
      </c>
      <c r="AB30" s="2" t="s">
        <v>899</v>
      </c>
      <c r="AG30" s="2" t="s">
        <v>900</v>
      </c>
      <c r="AJ30" s="2">
        <v>3.4308631E7</v>
      </c>
      <c r="AK30" s="2" t="s">
        <v>888</v>
      </c>
      <c r="AL30" s="2" t="s">
        <v>384</v>
      </c>
      <c r="AN30" s="2" t="s">
        <v>386</v>
      </c>
      <c r="AO30" s="2" t="s">
        <v>901</v>
      </c>
      <c r="AP30" s="2" t="s">
        <v>386</v>
      </c>
      <c r="AQ30" s="2">
        <v>2.0</v>
      </c>
      <c r="AR30" s="2" t="s">
        <v>902</v>
      </c>
      <c r="AS30" s="2" t="b">
        <v>1</v>
      </c>
      <c r="AT30" s="3">
        <v>0.0</v>
      </c>
      <c r="AU30" s="4"/>
      <c r="AV30" s="4"/>
      <c r="AW30" s="5">
        <f t="shared" si="3"/>
        <v>0</v>
      </c>
      <c r="AX30" s="5">
        <f t="shared" si="4"/>
        <v>0</v>
      </c>
      <c r="AY30" s="5">
        <f t="shared" si="5"/>
        <v>0</v>
      </c>
      <c r="AZ30" s="5">
        <f t="shared" si="6"/>
        <v>0</v>
      </c>
      <c r="BA30" s="5">
        <f t="shared" si="7"/>
        <v>0</v>
      </c>
      <c r="BB30" s="5">
        <f t="shared" si="8"/>
        <v>0</v>
      </c>
      <c r="BC30" s="5">
        <f t="shared" si="9"/>
        <v>0</v>
      </c>
      <c r="BD30" s="5">
        <f t="shared" si="10"/>
        <v>0</v>
      </c>
      <c r="BE30" s="5">
        <f t="shared" si="11"/>
        <v>0</v>
      </c>
      <c r="BF30" s="5">
        <f t="shared" si="12"/>
        <v>0</v>
      </c>
      <c r="BG30" s="5">
        <f t="shared" si="13"/>
        <v>0</v>
      </c>
      <c r="BH30" s="5">
        <f t="shared" si="14"/>
        <v>0</v>
      </c>
      <c r="BI30" s="5">
        <f t="shared" si="15"/>
        <v>0</v>
      </c>
      <c r="BJ30" s="5">
        <f t="shared" si="16"/>
        <v>0</v>
      </c>
      <c r="BK30" s="5">
        <f t="shared" si="17"/>
        <v>0</v>
      </c>
      <c r="BL30" s="5">
        <f t="shared" si="18"/>
        <v>0</v>
      </c>
      <c r="BM30" s="5">
        <f t="shared" si="19"/>
        <v>0</v>
      </c>
      <c r="BN30" s="5">
        <f t="shared" si="20"/>
        <v>0</v>
      </c>
      <c r="BO30" s="5">
        <f t="shared" si="21"/>
        <v>0</v>
      </c>
      <c r="BP30" s="5">
        <f t="shared" si="22"/>
        <v>0</v>
      </c>
      <c r="BQ30" s="5">
        <f t="shared" si="23"/>
        <v>0</v>
      </c>
      <c r="BR30" s="5">
        <f t="shared" si="24"/>
        <v>0</v>
      </c>
      <c r="BS30" s="5">
        <f t="shared" si="25"/>
        <v>0</v>
      </c>
      <c r="BT30" s="5">
        <f t="shared" si="26"/>
        <v>0</v>
      </c>
      <c r="BU30" s="5">
        <f t="shared" si="27"/>
        <v>0</v>
      </c>
      <c r="BV30" s="5">
        <f t="shared" ref="BV30:BW30" si="378">IF(OR(ISNUMBER(SEARCH("grit",$D30)),ISNUMBER(SEARCH("grit",$T30)),ISNUMBER(SEARCH("grit",$R30)),ISNUMBER(SEARCH("grit",$S30)),
ISNUMBER(SEARCH("determination",$D30)),ISNUMBER(SEARCH("determination",$T30)),ISNUMBER(SEARCH("determination",$R30)),ISNUMBER(SEARCH("determination",$S30)),
ISNUMBER(SEARCH("tenacity",$D30)),ISNUMBER(SEARCH("tenacity",$T30)),ISNUMBER(SEARCH("tenacity",$R30)),ISNUMBER(SEARCH("tenacity",$S30)),
ISNUMBER(SEARCH("endurance",$D30)),ISNUMBER(SEARCH("endurance",$T30)),ISNUMBER(SEARCH("endurance",$R30)),ISNUMBER(SEARCH("endurance",$S30)),
ISNUMBER(SEARCH("fortitude",$D30)),ISNUMBER(SEARCH("fortitude",$T30)),ISNUMBER(SEARCH("fortitude",$R30)),ISNUMBER(SEARCH("fortitude",$S30)),
ISNUMBER(SEARCH("resolve",$D30)),ISNUMBER(SEARCH("resolve",$T30)),ISNUMBER(SEARCH("resolve",$R30)),ISNUMBER(SEARCH("resolve",$S30)),
ISNUMBER(SEARCH("stamina",$D30)),ISNUMBER(SEARCH("stamina",$T30)),ISNUMBER(SEARCH("stamina",$R30)),ISNUMBER(SEARCH("stamina",$S30)),
ISNUMBER(SEARCH("guts",$D30)),ISNUMBER(SEARCH("guts",$T30)),ISNUMBER(SEARCH("guts",$R30)),ISNUMBER(SEARCH("guts",$S30)),
ISNUMBER(SEARCH("spunk",$D30)),ISNUMBER(SEARCH("spunk",$T30)),ISNUMBER(SEARCH("spunk",$R30)),ISNUMBER(SEARCH("spunk",$S30))), 1, 0)</f>
        <v>0</v>
      </c>
      <c r="BW30" s="5">
        <f t="shared" si="378"/>
        <v>0</v>
      </c>
      <c r="BX30" s="5">
        <f t="shared" si="29"/>
        <v>0</v>
      </c>
      <c r="BY30" s="5">
        <f t="shared" si="30"/>
        <v>0</v>
      </c>
      <c r="BZ30" s="5">
        <f t="shared" si="31"/>
        <v>0</v>
      </c>
      <c r="CA30" s="5">
        <f t="shared" si="32"/>
        <v>0</v>
      </c>
      <c r="CB30" s="5">
        <f t="shared" si="33"/>
        <v>0</v>
      </c>
      <c r="CC30" s="5">
        <f t="shared" si="34"/>
        <v>0</v>
      </c>
      <c r="CD30" s="5">
        <f t="shared" si="35"/>
        <v>0</v>
      </c>
      <c r="CE30" s="5">
        <f t="shared" si="36"/>
        <v>0</v>
      </c>
      <c r="CF30" s="5">
        <f t="shared" si="37"/>
        <v>0</v>
      </c>
      <c r="CG30" s="5">
        <f t="shared" si="38"/>
        <v>0</v>
      </c>
      <c r="CH30" s="5">
        <f t="shared" si="39"/>
        <v>0</v>
      </c>
      <c r="CI30" s="5">
        <f t="shared" si="40"/>
        <v>0</v>
      </c>
      <c r="CJ30" s="5">
        <f t="shared" si="41"/>
        <v>0</v>
      </c>
      <c r="CK30" s="5">
        <f t="shared" si="42"/>
        <v>0</v>
      </c>
      <c r="CL30" s="5">
        <f t="shared" si="43"/>
        <v>0</v>
      </c>
      <c r="CM30" s="5">
        <f t="shared" si="44"/>
        <v>0</v>
      </c>
      <c r="CN30" s="5">
        <f t="shared" si="45"/>
        <v>0</v>
      </c>
      <c r="CO30" s="5">
        <f t="shared" si="46"/>
        <v>0</v>
      </c>
      <c r="CP30" s="6">
        <f t="shared" si="47"/>
        <v>0</v>
      </c>
      <c r="CQ30" s="6">
        <f t="shared" si="48"/>
        <v>0</v>
      </c>
      <c r="CR30" s="6">
        <f t="shared" si="49"/>
        <v>0</v>
      </c>
      <c r="CS30" s="6">
        <f t="shared" si="50"/>
        <v>0</v>
      </c>
      <c r="CT30" s="6">
        <f t="shared" si="51"/>
        <v>0</v>
      </c>
      <c r="CU30" s="6">
        <f t="shared" si="52"/>
        <v>0</v>
      </c>
      <c r="CV30" s="6">
        <f t="shared" si="53"/>
        <v>0</v>
      </c>
      <c r="CW30" s="6">
        <f t="shared" si="54"/>
        <v>0</v>
      </c>
      <c r="CX30" s="6">
        <f t="shared" si="55"/>
        <v>0</v>
      </c>
      <c r="CY30" s="6">
        <f t="shared" si="56"/>
        <v>0</v>
      </c>
      <c r="CZ30" s="6">
        <f t="shared" si="57"/>
        <v>0</v>
      </c>
      <c r="DA30" s="6">
        <f t="shared" si="58"/>
        <v>0</v>
      </c>
      <c r="DB30" s="6">
        <f t="shared" si="59"/>
        <v>0</v>
      </c>
      <c r="DC30" s="6">
        <f t="shared" si="60"/>
        <v>0</v>
      </c>
      <c r="DD30" s="6">
        <f t="shared" si="61"/>
        <v>0</v>
      </c>
      <c r="DE30" s="6">
        <f t="shared" si="62"/>
        <v>0</v>
      </c>
      <c r="DF30" s="6">
        <f t="shared" si="63"/>
        <v>0</v>
      </c>
      <c r="DG30" s="6">
        <f t="shared" si="64"/>
        <v>0</v>
      </c>
      <c r="DH30" s="6">
        <f>IF(
OR(
ISNUMBER(SEARCH("Spirituality",$D30)),ISNUMBER(SEARCH("Spirituality",$T30)),ISNUMBER(SEARCH("Spirituality",$R28)),ISNUMBER(SEARCH("Spirituality",$S30)),
ISNUMBER(SEARCH("religiosity",$D30)),ISNUMBER(SEARCH("religiosity",$T30)),ISNUMBER(SEARCH("religiosity",$R30)),ISNUMBER(SEARCH("religiosity",$S30))), 1, 0)</f>
        <v>0</v>
      </c>
      <c r="DI30" s="6">
        <f t="shared" si="66"/>
        <v>0</v>
      </c>
      <c r="DJ30" s="6">
        <f>IF(OR(ISNUMBER(SEARCH("Emotional Balance", $D30)), ISNUMBER(SEARCH("Emotional Balance", $T30)), ISNUMBER(SEARCH("Emotional Balance", $R30)), ISNUMBER(SEARCH("Emotional Balance", $S30))), 1, 0)</f>
        <v>0</v>
      </c>
      <c r="DK30" s="7">
        <f t="shared" si="68"/>
        <v>0</v>
      </c>
      <c r="DL30" s="7">
        <f t="shared" si="374"/>
        <v>0</v>
      </c>
      <c r="DM30" s="7">
        <f t="shared" si="70"/>
        <v>0</v>
      </c>
      <c r="DN30" s="7">
        <f t="shared" si="71"/>
        <v>0</v>
      </c>
      <c r="DO30" s="7">
        <f t="shared" si="72"/>
        <v>1</v>
      </c>
      <c r="DP30" s="8">
        <f t="shared" si="73"/>
        <v>0</v>
      </c>
      <c r="DQ30" s="8">
        <f t="shared" si="74"/>
        <v>1</v>
      </c>
      <c r="DR30" s="7">
        <f t="shared" si="75"/>
        <v>0</v>
      </c>
      <c r="DS30" s="7">
        <f t="shared" si="76"/>
        <v>0</v>
      </c>
      <c r="DT30" s="7">
        <f t="shared" si="77"/>
        <v>0</v>
      </c>
      <c r="DU30" s="9">
        <f t="shared" si="78"/>
        <v>0</v>
      </c>
      <c r="DV30" s="9">
        <f t="shared" si="79"/>
        <v>0</v>
      </c>
      <c r="DW30" s="9">
        <f t="shared" si="80"/>
        <v>0</v>
      </c>
      <c r="DX30" s="9">
        <f t="shared" si="81"/>
        <v>0</v>
      </c>
      <c r="DY30" s="9">
        <f t="shared" si="82"/>
        <v>0</v>
      </c>
      <c r="DZ30" s="9">
        <f t="shared" si="83"/>
        <v>0</v>
      </c>
      <c r="EA30" s="9">
        <f t="shared" si="84"/>
        <v>0</v>
      </c>
      <c r="EB30" s="9">
        <f t="shared" si="85"/>
        <v>0</v>
      </c>
      <c r="EC30" s="9">
        <f t="shared" si="86"/>
        <v>0</v>
      </c>
      <c r="ED30" s="9">
        <f t="shared" si="87"/>
        <v>0</v>
      </c>
      <c r="EE30" s="9">
        <f t="shared" si="88"/>
        <v>0</v>
      </c>
      <c r="EF30" s="9">
        <f t="shared" si="89"/>
        <v>0</v>
      </c>
      <c r="EG30" s="9">
        <f t="shared" si="90"/>
        <v>0</v>
      </c>
      <c r="EH30" s="9">
        <f t="shared" si="91"/>
        <v>0</v>
      </c>
      <c r="EI30" s="9">
        <f t="shared" si="92"/>
        <v>0</v>
      </c>
      <c r="EJ30" s="10">
        <f t="shared" si="93"/>
        <v>0</v>
      </c>
      <c r="EK30" s="10">
        <f t="shared" si="94"/>
        <v>0</v>
      </c>
      <c r="EL30" s="10">
        <f t="shared" ref="EL30:EM30" si="379">IF(OR(ISNUMBER(SEARCH("ai software toolkit", $D30)), ISNUMBER(SEARCH("ai software toolkit", $T30)), ISNUMBER(SEARCH("ai software toolkit", $R30)), ISNUMBER(SEARCH("ai software toolkit", $S30))), 1, 0)</f>
        <v>0</v>
      </c>
      <c r="EM30" s="10">
        <f t="shared" si="379"/>
        <v>0</v>
      </c>
      <c r="EN30" s="10">
        <f t="shared" si="96"/>
        <v>0</v>
      </c>
      <c r="EO30" s="10">
        <f t="shared" si="97"/>
        <v>0</v>
      </c>
      <c r="EP30" s="10">
        <f t="shared" si="98"/>
        <v>0</v>
      </c>
      <c r="EQ30" s="10">
        <f t="shared" si="99"/>
        <v>0</v>
      </c>
      <c r="ER30" s="10">
        <f t="shared" si="100"/>
        <v>0</v>
      </c>
      <c r="ES30" s="10">
        <f t="shared" si="101"/>
        <v>0</v>
      </c>
      <c r="ET30" s="10">
        <f t="shared" si="102"/>
        <v>0</v>
      </c>
      <c r="EU30" s="10">
        <f t="shared" si="103"/>
        <v>0</v>
      </c>
      <c r="EV30" s="10">
        <f t="shared" si="104"/>
        <v>0</v>
      </c>
      <c r="EW30" s="10">
        <f t="shared" si="105"/>
        <v>0</v>
      </c>
      <c r="EX30" s="10">
        <f t="shared" si="106"/>
        <v>0</v>
      </c>
      <c r="EY30" s="10">
        <f t="shared" si="107"/>
        <v>0</v>
      </c>
      <c r="EZ30" s="10">
        <f t="shared" si="108"/>
        <v>0</v>
      </c>
      <c r="FA30" s="10">
        <f t="shared" si="109"/>
        <v>0</v>
      </c>
      <c r="FB30" s="10">
        <f t="shared" si="110"/>
        <v>0</v>
      </c>
      <c r="FC30" s="10">
        <f t="shared" si="111"/>
        <v>0</v>
      </c>
      <c r="FD30" s="10">
        <f t="shared" si="112"/>
        <v>0</v>
      </c>
      <c r="FE30" s="10">
        <f t="shared" si="113"/>
        <v>1</v>
      </c>
      <c r="FF30" s="10">
        <f t="shared" si="114"/>
        <v>0</v>
      </c>
      <c r="FG30" s="10">
        <f t="shared" si="115"/>
        <v>0</v>
      </c>
      <c r="FH30" s="10">
        <f t="shared" si="116"/>
        <v>0</v>
      </c>
      <c r="FI30" s="10">
        <f t="shared" si="117"/>
        <v>0</v>
      </c>
      <c r="FJ30" s="10">
        <f t="shared" si="118"/>
        <v>0</v>
      </c>
      <c r="FK30" s="10">
        <f t="shared" si="119"/>
        <v>0</v>
      </c>
      <c r="FL30" s="10">
        <f t="shared" si="120"/>
        <v>0</v>
      </c>
      <c r="FM30" s="10">
        <f t="shared" si="121"/>
        <v>0</v>
      </c>
      <c r="FN30" s="10">
        <f t="shared" si="122"/>
        <v>0</v>
      </c>
      <c r="FO30" s="10">
        <f t="shared" si="123"/>
        <v>0</v>
      </c>
      <c r="FP30" s="10">
        <f t="shared" si="124"/>
        <v>0</v>
      </c>
      <c r="FQ30" s="10">
        <f t="shared" si="125"/>
        <v>0</v>
      </c>
      <c r="FR30" s="11">
        <f t="shared" si="380"/>
        <v>0</v>
      </c>
      <c r="FS30" s="11">
        <f t="shared" si="127"/>
        <v>0</v>
      </c>
      <c r="FT30" s="11">
        <f t="shared" si="128"/>
        <v>0</v>
      </c>
      <c r="FU30" s="11">
        <f t="shared" si="129"/>
        <v>0</v>
      </c>
      <c r="FV30" s="11">
        <f t="shared" si="130"/>
        <v>0</v>
      </c>
      <c r="FW30" s="11">
        <f t="shared" si="131"/>
        <v>0</v>
      </c>
      <c r="FX30" s="11">
        <f t="shared" si="132"/>
        <v>0</v>
      </c>
      <c r="FY30" s="11">
        <f t="shared" si="133"/>
        <v>0</v>
      </c>
      <c r="FZ30" s="11">
        <f t="shared" si="134"/>
        <v>0</v>
      </c>
      <c r="GA30" s="11">
        <f t="shared" si="135"/>
        <v>0</v>
      </c>
      <c r="GB30" s="11">
        <f t="shared" si="136"/>
        <v>0</v>
      </c>
      <c r="GC30" s="11">
        <f t="shared" si="137"/>
        <v>0</v>
      </c>
      <c r="GD30" s="11">
        <f t="shared" si="138"/>
        <v>0</v>
      </c>
      <c r="GE30" s="11">
        <f t="shared" si="139"/>
        <v>0</v>
      </c>
      <c r="GF30" s="11">
        <f t="shared" si="140"/>
        <v>0</v>
      </c>
      <c r="GG30" s="11">
        <f t="shared" si="141"/>
        <v>0</v>
      </c>
      <c r="GH30" s="11">
        <f t="shared" si="142"/>
        <v>0</v>
      </c>
      <c r="GI30" s="11">
        <f t="shared" si="143"/>
        <v>0</v>
      </c>
      <c r="GJ30" s="11">
        <f t="shared" si="144"/>
        <v>0</v>
      </c>
      <c r="GK30" s="11">
        <f t="shared" si="145"/>
        <v>0</v>
      </c>
      <c r="GL30" s="11">
        <f t="shared" si="146"/>
        <v>0</v>
      </c>
      <c r="GM30" s="11">
        <f t="shared" si="147"/>
        <v>0</v>
      </c>
      <c r="GN30" s="11">
        <f t="shared" si="148"/>
        <v>0</v>
      </c>
      <c r="GO30" s="11">
        <f t="shared" si="149"/>
        <v>0</v>
      </c>
      <c r="GP30" s="11">
        <f t="shared" si="150"/>
        <v>0</v>
      </c>
      <c r="GQ30" s="11">
        <f t="shared" si="151"/>
        <v>0</v>
      </c>
      <c r="GR30" s="11">
        <f t="shared" si="152"/>
        <v>0</v>
      </c>
      <c r="GS30" s="11">
        <f t="shared" si="153"/>
        <v>0</v>
      </c>
      <c r="GT30" s="11">
        <f t="shared" si="154"/>
        <v>0</v>
      </c>
      <c r="GU30" s="12">
        <f t="shared" si="155"/>
        <v>0</v>
      </c>
      <c r="GV30" s="12">
        <f t="shared" si="156"/>
        <v>0</v>
      </c>
      <c r="GW30" s="12">
        <f t="shared" si="157"/>
        <v>0</v>
      </c>
      <c r="GX30" s="12">
        <f t="shared" si="158"/>
        <v>0</v>
      </c>
      <c r="GY30" s="12">
        <f t="shared" si="159"/>
        <v>0</v>
      </c>
      <c r="GZ30" s="12">
        <f t="shared" si="160"/>
        <v>0</v>
      </c>
      <c r="HA30" s="12">
        <f t="shared" si="161"/>
        <v>0</v>
      </c>
      <c r="HB30" s="12">
        <f t="shared" si="162"/>
        <v>0</v>
      </c>
      <c r="HC30" s="12">
        <f t="shared" si="163"/>
        <v>0</v>
      </c>
      <c r="HD30" s="12">
        <f t="shared" si="164"/>
        <v>0</v>
      </c>
      <c r="HE30" s="12">
        <f t="shared" si="165"/>
        <v>0</v>
      </c>
      <c r="HF30" s="12">
        <f t="shared" si="166"/>
        <v>0</v>
      </c>
      <c r="HG30" s="12">
        <f t="shared" si="167"/>
        <v>0</v>
      </c>
      <c r="HH30" s="12">
        <f t="shared" si="168"/>
        <v>0</v>
      </c>
      <c r="HI30" s="12">
        <f t="shared" si="169"/>
        <v>0</v>
      </c>
      <c r="HJ30" s="12">
        <f t="shared" si="170"/>
        <v>0</v>
      </c>
      <c r="HK30" s="12">
        <f t="shared" si="171"/>
        <v>0</v>
      </c>
      <c r="HL30" s="12">
        <f t="shared" si="172"/>
        <v>0</v>
      </c>
      <c r="HM30" s="12">
        <f t="shared" si="173"/>
        <v>0</v>
      </c>
      <c r="HN30" s="12">
        <f t="shared" si="174"/>
        <v>0</v>
      </c>
      <c r="HO30" s="12">
        <f t="shared" si="175"/>
        <v>0</v>
      </c>
      <c r="HP30" s="12">
        <f t="shared" si="176"/>
        <v>0</v>
      </c>
      <c r="HQ30" s="12">
        <f t="shared" si="177"/>
        <v>0</v>
      </c>
      <c r="HR30" s="12">
        <f t="shared" si="178"/>
        <v>0</v>
      </c>
      <c r="HS30" s="12">
        <f t="shared" si="179"/>
        <v>0</v>
      </c>
      <c r="HT30" s="12">
        <f t="shared" si="180"/>
        <v>0</v>
      </c>
      <c r="HU30" s="12">
        <f t="shared" si="181"/>
        <v>0</v>
      </c>
      <c r="HV30" s="12">
        <f t="shared" si="182"/>
        <v>0</v>
      </c>
      <c r="HW30" s="12">
        <f t="shared" si="183"/>
        <v>0</v>
      </c>
      <c r="HX30" s="12">
        <f t="shared" si="184"/>
        <v>0</v>
      </c>
      <c r="HY30" s="12">
        <f t="shared" si="185"/>
        <v>0</v>
      </c>
      <c r="HZ30" s="12">
        <f t="shared" si="186"/>
        <v>0</v>
      </c>
      <c r="IA30" s="12">
        <f t="shared" si="187"/>
        <v>0</v>
      </c>
      <c r="IB30" s="12">
        <f t="shared" si="188"/>
        <v>0</v>
      </c>
      <c r="IC30" s="12">
        <f t="shared" si="189"/>
        <v>0</v>
      </c>
      <c r="ID30" s="12">
        <f t="shared" si="190"/>
        <v>0</v>
      </c>
      <c r="IE30" s="12">
        <f t="shared" si="191"/>
        <v>0</v>
      </c>
      <c r="IF30" s="12">
        <f t="shared" si="192"/>
        <v>0</v>
      </c>
      <c r="IG30" s="12">
        <f t="shared" si="193"/>
        <v>0</v>
      </c>
      <c r="IH30" s="12">
        <f t="shared" si="194"/>
        <v>0</v>
      </c>
      <c r="II30" s="12">
        <f t="shared" si="195"/>
        <v>0</v>
      </c>
      <c r="IJ30" s="12">
        <f t="shared" si="196"/>
        <v>0</v>
      </c>
      <c r="IK30" s="12">
        <f t="shared" si="197"/>
        <v>0</v>
      </c>
      <c r="IL30" s="12">
        <f t="shared" si="198"/>
        <v>0</v>
      </c>
      <c r="IM30" s="12">
        <f t="shared" si="199"/>
        <v>0</v>
      </c>
      <c r="IN30" s="12">
        <f t="shared" si="200"/>
        <v>0</v>
      </c>
      <c r="IO30" s="12">
        <f t="shared" si="201"/>
        <v>0</v>
      </c>
      <c r="IP30" s="12">
        <f t="shared" si="202"/>
        <v>0</v>
      </c>
      <c r="IQ30" s="12">
        <f t="shared" si="203"/>
        <v>0</v>
      </c>
      <c r="IR30" s="12">
        <f t="shared" si="204"/>
        <v>0</v>
      </c>
      <c r="IS30" s="12">
        <f t="shared" si="205"/>
        <v>0</v>
      </c>
      <c r="IT30" s="12">
        <f t="shared" si="206"/>
        <v>0</v>
      </c>
      <c r="IU30" s="12">
        <f t="shared" si="207"/>
        <v>0</v>
      </c>
      <c r="IV30" s="12">
        <f t="shared" si="208"/>
        <v>0</v>
      </c>
      <c r="IW30" s="12">
        <f t="shared" si="209"/>
        <v>0</v>
      </c>
      <c r="IX30" s="12">
        <f t="shared" si="210"/>
        <v>0</v>
      </c>
      <c r="IY30" s="12">
        <f t="shared" si="211"/>
        <v>0</v>
      </c>
      <c r="IZ30" s="12">
        <f t="shared" si="212"/>
        <v>0</v>
      </c>
      <c r="JA30" s="13">
        <f t="shared" si="213"/>
        <v>0</v>
      </c>
      <c r="JB30" s="13">
        <f t="shared" si="214"/>
        <v>1</v>
      </c>
      <c r="JC30" s="13">
        <f t="shared" si="215"/>
        <v>0</v>
      </c>
      <c r="JD30" s="13">
        <f t="shared" si="216"/>
        <v>0</v>
      </c>
      <c r="JE30" s="13">
        <f t="shared" si="217"/>
        <v>0</v>
      </c>
      <c r="JF30" s="13">
        <f t="shared" si="218"/>
        <v>0</v>
      </c>
      <c r="JG30" s="13">
        <f t="shared" si="219"/>
        <v>0</v>
      </c>
      <c r="JH30" s="13">
        <f t="shared" si="220"/>
        <v>0</v>
      </c>
      <c r="JI30" s="13">
        <f t="shared" si="221"/>
        <v>0</v>
      </c>
      <c r="JJ30" s="13">
        <f t="shared" si="222"/>
        <v>0</v>
      </c>
      <c r="JK30" s="13">
        <f t="shared" si="223"/>
        <v>0</v>
      </c>
      <c r="JL30" s="13">
        <f t="shared" si="224"/>
        <v>0</v>
      </c>
      <c r="JM30" s="13">
        <f t="shared" si="225"/>
        <v>0</v>
      </c>
      <c r="JN30" s="13">
        <f t="shared" si="226"/>
        <v>0</v>
      </c>
      <c r="JO30" s="13">
        <f t="shared" si="227"/>
        <v>0</v>
      </c>
      <c r="JP30" s="13">
        <f t="shared" si="228"/>
        <v>0</v>
      </c>
      <c r="JQ30" s="13">
        <f t="shared" si="229"/>
        <v>0</v>
      </c>
      <c r="JR30" s="13">
        <f t="shared" si="230"/>
        <v>0</v>
      </c>
      <c r="JS30" s="13">
        <f t="shared" si="231"/>
        <v>0</v>
      </c>
      <c r="JT30" s="13">
        <f t="shared" si="232"/>
        <v>0</v>
      </c>
      <c r="JU30" s="13">
        <f t="shared" si="233"/>
        <v>0</v>
      </c>
      <c r="JV30" s="12">
        <f t="shared" si="234"/>
        <v>0</v>
      </c>
      <c r="JW30" s="12">
        <f t="shared" si="235"/>
        <v>0</v>
      </c>
      <c r="JX30" s="12">
        <f t="shared" si="236"/>
        <v>0</v>
      </c>
      <c r="JY30" s="12">
        <f t="shared" si="237"/>
        <v>0</v>
      </c>
      <c r="JZ30" s="12">
        <f t="shared" si="238"/>
        <v>0</v>
      </c>
      <c r="KA30" s="12">
        <f t="shared" si="239"/>
        <v>0</v>
      </c>
      <c r="KB30" s="12">
        <f t="shared" si="240"/>
        <v>0</v>
      </c>
      <c r="KC30" s="12">
        <f t="shared" si="241"/>
        <v>0</v>
      </c>
      <c r="KD30" s="12">
        <f t="shared" si="242"/>
        <v>0</v>
      </c>
      <c r="KE30" s="12">
        <f t="shared" si="243"/>
        <v>0</v>
      </c>
      <c r="KF30" s="12">
        <f t="shared" si="244"/>
        <v>0</v>
      </c>
      <c r="KG30" s="12">
        <f t="shared" si="245"/>
        <v>0</v>
      </c>
      <c r="KH30" s="12">
        <f t="shared" si="246"/>
        <v>0</v>
      </c>
      <c r="KI30" s="12">
        <f t="shared" si="247"/>
        <v>0</v>
      </c>
      <c r="KJ30" s="12">
        <f t="shared" si="248"/>
        <v>0</v>
      </c>
      <c r="KK30" s="12">
        <f t="shared" si="249"/>
        <v>0</v>
      </c>
      <c r="KL30" s="12">
        <f t="shared" si="250"/>
        <v>0</v>
      </c>
      <c r="KM30" s="12">
        <f t="shared" si="251"/>
        <v>0</v>
      </c>
      <c r="KN30" s="12">
        <f t="shared" si="252"/>
        <v>0</v>
      </c>
      <c r="KO30" s="12">
        <f t="shared" si="253"/>
        <v>0</v>
      </c>
      <c r="KP30" s="12">
        <f t="shared" si="254"/>
        <v>0</v>
      </c>
      <c r="KQ30" s="12">
        <f t="shared" si="255"/>
        <v>0</v>
      </c>
      <c r="KR30" s="12">
        <f t="shared" si="256"/>
        <v>0</v>
      </c>
      <c r="KS30" s="12">
        <f t="shared" si="257"/>
        <v>0</v>
      </c>
      <c r="KT30" s="12">
        <f t="shared" si="258"/>
        <v>0</v>
      </c>
      <c r="KU30" s="12">
        <f t="shared" si="259"/>
        <v>0</v>
      </c>
      <c r="KV30" s="12">
        <f t="shared" si="260"/>
        <v>0</v>
      </c>
      <c r="KW30" s="12">
        <f t="shared" si="261"/>
        <v>0</v>
      </c>
      <c r="KX30" s="12">
        <f t="shared" si="262"/>
        <v>0</v>
      </c>
      <c r="KY30" s="12">
        <f t="shared" si="263"/>
        <v>0</v>
      </c>
      <c r="KZ30" s="12">
        <f t="shared" si="264"/>
        <v>0</v>
      </c>
      <c r="LA30" s="12">
        <f t="shared" si="265"/>
        <v>0</v>
      </c>
      <c r="LB30" s="12">
        <f t="shared" si="266"/>
        <v>0</v>
      </c>
      <c r="LC30" s="12">
        <f t="shared" si="267"/>
        <v>0</v>
      </c>
      <c r="LD30" s="12">
        <f t="shared" si="268"/>
        <v>0</v>
      </c>
      <c r="LE30" s="12">
        <f t="shared" si="269"/>
        <v>0</v>
      </c>
      <c r="LF30" s="12">
        <f t="shared" si="270"/>
        <v>0</v>
      </c>
      <c r="LG30" s="12">
        <f t="shared" si="271"/>
        <v>0</v>
      </c>
      <c r="LH30" s="12">
        <f t="shared" si="272"/>
        <v>0</v>
      </c>
      <c r="LI30" s="12">
        <f t="shared" si="273"/>
        <v>0</v>
      </c>
      <c r="LJ30" s="12">
        <f t="shared" si="274"/>
        <v>0</v>
      </c>
      <c r="LK30" s="12">
        <f t="shared" si="275"/>
        <v>0</v>
      </c>
      <c r="LL30" s="12">
        <f t="shared" si="276"/>
        <v>0</v>
      </c>
      <c r="LM30" s="12">
        <f t="shared" si="277"/>
        <v>0</v>
      </c>
      <c r="LN30" s="12">
        <f t="shared" si="278"/>
        <v>0</v>
      </c>
      <c r="LO30" s="12">
        <f t="shared" si="279"/>
        <v>0</v>
      </c>
      <c r="LP30" s="12">
        <f t="shared" si="280"/>
        <v>0</v>
      </c>
      <c r="LQ30" s="12">
        <f t="shared" si="281"/>
        <v>0</v>
      </c>
      <c r="LR30" s="12">
        <f t="shared" si="282"/>
        <v>0</v>
      </c>
      <c r="LS30" s="12">
        <f t="shared" si="283"/>
        <v>0</v>
      </c>
      <c r="LT30" s="13">
        <f t="shared" si="284"/>
        <v>0</v>
      </c>
      <c r="LU30" s="13">
        <f t="shared" si="285"/>
        <v>0</v>
      </c>
      <c r="LV30" s="13">
        <f t="shared" si="286"/>
        <v>0</v>
      </c>
      <c r="LW30" s="13">
        <f t="shared" si="287"/>
        <v>0</v>
      </c>
      <c r="LX30" s="13">
        <f t="shared" si="288"/>
        <v>0</v>
      </c>
      <c r="LY30" s="13">
        <f t="shared" si="289"/>
        <v>0</v>
      </c>
      <c r="LZ30" s="13">
        <f t="shared" si="290"/>
        <v>0</v>
      </c>
      <c r="MA30" s="13">
        <f t="shared" si="291"/>
        <v>0</v>
      </c>
      <c r="MB30" s="13">
        <f t="shared" si="292"/>
        <v>0</v>
      </c>
      <c r="MC30" s="13">
        <f t="shared" si="293"/>
        <v>0</v>
      </c>
      <c r="MD30" s="13">
        <f t="shared" si="294"/>
        <v>0</v>
      </c>
      <c r="ME30" s="13">
        <f t="shared" si="295"/>
        <v>0</v>
      </c>
      <c r="MF30" s="13">
        <f t="shared" si="296"/>
        <v>0</v>
      </c>
      <c r="MG30" s="13">
        <f t="shared" si="297"/>
        <v>0</v>
      </c>
      <c r="MH30" s="13">
        <f t="shared" si="298"/>
        <v>0</v>
      </c>
      <c r="MI30" s="13">
        <f t="shared" si="299"/>
        <v>0</v>
      </c>
      <c r="MJ30" s="13">
        <f t="shared" si="300"/>
        <v>0</v>
      </c>
      <c r="MK30" s="13">
        <f t="shared" si="301"/>
        <v>0</v>
      </c>
      <c r="ML30" s="14">
        <f t="shared" si="302"/>
        <v>0</v>
      </c>
      <c r="MM30" s="14">
        <f t="shared" si="303"/>
        <v>0</v>
      </c>
      <c r="MN30" s="14">
        <f t="shared" si="304"/>
        <v>0</v>
      </c>
      <c r="MO30" s="14">
        <f t="shared" si="305"/>
        <v>0</v>
      </c>
      <c r="MP30" s="14">
        <f t="shared" si="306"/>
        <v>0</v>
      </c>
      <c r="MQ30" s="14">
        <f t="shared" si="307"/>
        <v>0</v>
      </c>
      <c r="MR30" s="14">
        <f t="shared" si="308"/>
        <v>0</v>
      </c>
      <c r="MS30" s="14">
        <f t="shared" si="309"/>
        <v>0</v>
      </c>
      <c r="MT30" s="14">
        <f t="shared" si="310"/>
        <v>0</v>
      </c>
      <c r="MU30" s="14">
        <f t="shared" si="311"/>
        <v>0</v>
      </c>
      <c r="MV30" s="14">
        <f t="shared" si="312"/>
        <v>0</v>
      </c>
      <c r="MW30" s="14">
        <f t="shared" si="313"/>
        <v>0</v>
      </c>
      <c r="MX30" s="14">
        <f t="shared" si="314"/>
        <v>0</v>
      </c>
      <c r="MY30" s="14">
        <f t="shared" si="315"/>
        <v>0</v>
      </c>
      <c r="MZ30" s="14">
        <f t="shared" si="316"/>
        <v>0</v>
      </c>
      <c r="NA30" s="14">
        <f t="shared" si="317"/>
        <v>0</v>
      </c>
      <c r="NB30" s="14">
        <f t="shared" si="318"/>
        <v>0</v>
      </c>
    </row>
    <row r="31" ht="15.75" customHeight="1">
      <c r="A31" s="2">
        <v>197.0</v>
      </c>
      <c r="B31" s="2" t="s">
        <v>903</v>
      </c>
      <c r="C31" s="2" t="s">
        <v>904</v>
      </c>
      <c r="D31" s="2" t="s">
        <v>905</v>
      </c>
      <c r="E31" s="2">
        <v>2013.0</v>
      </c>
      <c r="F31" s="2" t="s">
        <v>906</v>
      </c>
      <c r="G31" s="2" t="s">
        <v>907</v>
      </c>
      <c r="H31" s="2" t="s">
        <v>452</v>
      </c>
      <c r="J31" s="2" t="s">
        <v>908</v>
      </c>
      <c r="K31" s="2" t="s">
        <v>909</v>
      </c>
      <c r="M31" s="2">
        <v>54.0</v>
      </c>
      <c r="N31" s="2" t="s">
        <v>910</v>
      </c>
      <c r="O31" s="2" t="s">
        <v>911</v>
      </c>
      <c r="P31" s="2" t="s">
        <v>912</v>
      </c>
      <c r="Q31" s="2" t="s">
        <v>913</v>
      </c>
      <c r="R31" s="2" t="s">
        <v>914</v>
      </c>
      <c r="S31" s="2" t="s">
        <v>915</v>
      </c>
      <c r="T31" s="2" t="s">
        <v>916</v>
      </c>
      <c r="Y31" s="2" t="s">
        <v>917</v>
      </c>
      <c r="AG31" s="2" t="s">
        <v>918</v>
      </c>
      <c r="AI31" s="2" t="s">
        <v>919</v>
      </c>
      <c r="AJ31" s="2">
        <v>2.3730828E7</v>
      </c>
      <c r="AK31" s="2" t="s">
        <v>920</v>
      </c>
      <c r="AL31" s="2" t="s">
        <v>384</v>
      </c>
      <c r="AM31" s="2" t="s">
        <v>385</v>
      </c>
      <c r="AN31" s="2" t="s">
        <v>386</v>
      </c>
      <c r="AO31" s="2" t="s">
        <v>921</v>
      </c>
      <c r="AP31" s="2" t="s">
        <v>386</v>
      </c>
      <c r="AQ31" s="2">
        <v>1621.0</v>
      </c>
      <c r="AR31" s="2" t="s">
        <v>905</v>
      </c>
      <c r="AS31" s="2" t="b">
        <v>0</v>
      </c>
      <c r="AT31" s="3">
        <v>0.0</v>
      </c>
      <c r="AU31" s="4"/>
      <c r="AV31" s="4"/>
      <c r="AW31" s="5">
        <f t="shared" si="3"/>
        <v>0</v>
      </c>
      <c r="AX31" s="5">
        <f t="shared" si="4"/>
        <v>0</v>
      </c>
      <c r="AY31" s="5">
        <f t="shared" si="5"/>
        <v>0</v>
      </c>
      <c r="AZ31" s="5">
        <f t="shared" si="6"/>
        <v>0</v>
      </c>
      <c r="BA31" s="5">
        <f t="shared" si="7"/>
        <v>0</v>
      </c>
      <c r="BB31" s="5">
        <f t="shared" si="8"/>
        <v>1</v>
      </c>
      <c r="BC31" s="5">
        <f t="shared" si="9"/>
        <v>0</v>
      </c>
      <c r="BD31" s="5">
        <f t="shared" si="10"/>
        <v>0</v>
      </c>
      <c r="BE31" s="5">
        <f t="shared" si="11"/>
        <v>0</v>
      </c>
      <c r="BF31" s="5">
        <f t="shared" si="12"/>
        <v>0</v>
      </c>
      <c r="BG31" s="5">
        <f t="shared" si="13"/>
        <v>0</v>
      </c>
      <c r="BH31" s="5">
        <f t="shared" si="14"/>
        <v>0</v>
      </c>
      <c r="BI31" s="5">
        <f t="shared" si="15"/>
        <v>0</v>
      </c>
      <c r="BJ31" s="5">
        <f t="shared" si="16"/>
        <v>0</v>
      </c>
      <c r="BK31" s="5">
        <f t="shared" si="17"/>
        <v>0</v>
      </c>
      <c r="BL31" s="5">
        <f t="shared" si="18"/>
        <v>0</v>
      </c>
      <c r="BM31" s="5">
        <f t="shared" si="19"/>
        <v>0</v>
      </c>
      <c r="BN31" s="5">
        <f t="shared" si="20"/>
        <v>0</v>
      </c>
      <c r="BO31" s="5">
        <f t="shared" si="21"/>
        <v>0</v>
      </c>
      <c r="BP31" s="5">
        <f t="shared" si="22"/>
        <v>0</v>
      </c>
      <c r="BQ31" s="5">
        <f t="shared" si="23"/>
        <v>0</v>
      </c>
      <c r="BR31" s="5">
        <f t="shared" si="24"/>
        <v>0</v>
      </c>
      <c r="BS31" s="5">
        <f t="shared" si="25"/>
        <v>0</v>
      </c>
      <c r="BT31" s="5">
        <f t="shared" si="26"/>
        <v>0</v>
      </c>
      <c r="BU31" s="5">
        <f t="shared" si="27"/>
        <v>0</v>
      </c>
      <c r="BV31" s="5">
        <f t="shared" ref="BV31:BW31" si="381">IF(OR(ISNUMBER(SEARCH("grit",$D31)),ISNUMBER(SEARCH("grit",$T31)),ISNUMBER(SEARCH("grit",$R31)),ISNUMBER(SEARCH("grit",$S31)),
ISNUMBER(SEARCH("determination",$D31)),ISNUMBER(SEARCH("determination",$T31)),ISNUMBER(SEARCH("determination",$R31)),ISNUMBER(SEARCH("determination",$S31)),
ISNUMBER(SEARCH("tenacity",$D31)),ISNUMBER(SEARCH("tenacity",$T31)),ISNUMBER(SEARCH("tenacity",$R31)),ISNUMBER(SEARCH("tenacity",$S31)),
ISNUMBER(SEARCH("endurance",$D31)),ISNUMBER(SEARCH("endurance",$T31)),ISNUMBER(SEARCH("endurance",$R31)),ISNUMBER(SEARCH("endurance",$S31)),
ISNUMBER(SEARCH("fortitude",$D31)),ISNUMBER(SEARCH("fortitude",$T31)),ISNUMBER(SEARCH("fortitude",$R31)),ISNUMBER(SEARCH("fortitude",$S31)),
ISNUMBER(SEARCH("resolve",$D31)),ISNUMBER(SEARCH("resolve",$T31)),ISNUMBER(SEARCH("resolve",$R31)),ISNUMBER(SEARCH("resolve",$S31)),
ISNUMBER(SEARCH("stamina",$D31)),ISNUMBER(SEARCH("stamina",$T31)),ISNUMBER(SEARCH("stamina",$R31)),ISNUMBER(SEARCH("stamina",$S31)),
ISNUMBER(SEARCH("guts",$D31)),ISNUMBER(SEARCH("guts",$T31)),ISNUMBER(SEARCH("guts",$R31)),ISNUMBER(SEARCH("guts",$S31)),
ISNUMBER(SEARCH("spunk",$D31)),ISNUMBER(SEARCH("spunk",$T31)),ISNUMBER(SEARCH("spunk",$R31)),ISNUMBER(SEARCH("spunk",$S31))), 1, 0)</f>
        <v>0</v>
      </c>
      <c r="BW31" s="5">
        <f t="shared" si="381"/>
        <v>0</v>
      </c>
      <c r="BX31" s="5">
        <f t="shared" si="29"/>
        <v>0</v>
      </c>
      <c r="BY31" s="5">
        <f t="shared" si="30"/>
        <v>0</v>
      </c>
      <c r="BZ31" s="5">
        <f t="shared" si="31"/>
        <v>0</v>
      </c>
      <c r="CA31" s="5">
        <f t="shared" si="32"/>
        <v>0</v>
      </c>
      <c r="CB31" s="5">
        <f t="shared" si="33"/>
        <v>0</v>
      </c>
      <c r="CC31" s="5">
        <f t="shared" si="34"/>
        <v>0</v>
      </c>
      <c r="CD31" s="5">
        <f t="shared" si="35"/>
        <v>0</v>
      </c>
      <c r="CE31" s="5">
        <f t="shared" si="36"/>
        <v>0</v>
      </c>
      <c r="CF31" s="5">
        <f t="shared" si="37"/>
        <v>0</v>
      </c>
      <c r="CG31" s="5">
        <f t="shared" si="38"/>
        <v>0</v>
      </c>
      <c r="CH31" s="5">
        <f t="shared" si="39"/>
        <v>0</v>
      </c>
      <c r="CI31" s="5">
        <f t="shared" si="40"/>
        <v>0</v>
      </c>
      <c r="CJ31" s="5">
        <f t="shared" si="41"/>
        <v>0</v>
      </c>
      <c r="CK31" s="5">
        <f t="shared" si="42"/>
        <v>0</v>
      </c>
      <c r="CL31" s="5">
        <f t="shared" si="43"/>
        <v>0</v>
      </c>
      <c r="CM31" s="5">
        <f t="shared" si="44"/>
        <v>0</v>
      </c>
      <c r="CN31" s="5">
        <f t="shared" si="45"/>
        <v>0</v>
      </c>
      <c r="CO31" s="5">
        <f t="shared" si="46"/>
        <v>0</v>
      </c>
      <c r="CP31" s="6">
        <f t="shared" si="47"/>
        <v>1</v>
      </c>
      <c r="CQ31" s="6">
        <f t="shared" si="48"/>
        <v>0</v>
      </c>
      <c r="CR31" s="6">
        <f t="shared" si="49"/>
        <v>0</v>
      </c>
      <c r="CS31" s="6">
        <f t="shared" si="50"/>
        <v>0</v>
      </c>
      <c r="CT31" s="6">
        <f t="shared" si="51"/>
        <v>0</v>
      </c>
      <c r="CU31" s="6">
        <f t="shared" si="52"/>
        <v>0</v>
      </c>
      <c r="CV31" s="6">
        <f t="shared" si="53"/>
        <v>0</v>
      </c>
      <c r="CW31" s="6">
        <f t="shared" si="54"/>
        <v>0</v>
      </c>
      <c r="CX31" s="6">
        <f t="shared" si="55"/>
        <v>0</v>
      </c>
      <c r="CY31" s="6">
        <f t="shared" si="56"/>
        <v>0</v>
      </c>
      <c r="CZ31" s="6">
        <f t="shared" si="57"/>
        <v>0</v>
      </c>
      <c r="DA31" s="6">
        <f t="shared" si="58"/>
        <v>1</v>
      </c>
      <c r="DB31" s="6">
        <f t="shared" si="59"/>
        <v>0</v>
      </c>
      <c r="DC31" s="6">
        <f t="shared" si="60"/>
        <v>1</v>
      </c>
      <c r="DD31" s="6">
        <f t="shared" si="61"/>
        <v>0</v>
      </c>
      <c r="DE31" s="6">
        <f t="shared" si="62"/>
        <v>0</v>
      </c>
      <c r="DF31" s="6">
        <f t="shared" si="63"/>
        <v>0</v>
      </c>
      <c r="DG31" s="6">
        <f t="shared" si="64"/>
        <v>0</v>
      </c>
      <c r="DH31" s="6">
        <f t="shared" ref="DH31:DH50" si="384">IF(
OR(
ISNUMBER(SEARCH("Spirituality",$D31)),ISNUMBER(SEARCH("Spirituality",$T31)),ISNUMBER(SEARCH("Spirituality",$R29)),ISNUMBER(SEARCH("Spirituality",$S31)),
ISNUMBER(SEARCH("religio",$D31)),ISNUMBER(SEARCH("religio",$T31)),ISNUMBER(SEARCH("religio",$R31)),ISNUMBER(SEARCH("religio",$S31))), 1, 0)</f>
        <v>0</v>
      </c>
      <c r="DI31" s="6">
        <f t="shared" si="66"/>
        <v>0</v>
      </c>
      <c r="DJ31" s="6">
        <f t="shared" ref="DJ31:DJ50" si="385">IF(OR(ISNUMBER(SEARCH("Emotional stability", $D31)), ISNUMBER(SEARCH("Emotional stability", $T31)), ISNUMBER(SEARCH("Emotional stability", $R31)), ISNUMBER(SEARCH("Emotional stability", $S31))), 1, 0)</f>
        <v>0</v>
      </c>
      <c r="DK31" s="7">
        <f t="shared" si="68"/>
        <v>0</v>
      </c>
      <c r="DL31" s="7">
        <f t="shared" si="374"/>
        <v>0</v>
      </c>
      <c r="DM31" s="7">
        <f t="shared" si="70"/>
        <v>0</v>
      </c>
      <c r="DN31" s="7">
        <f t="shared" si="71"/>
        <v>0</v>
      </c>
      <c r="DO31" s="7">
        <f t="shared" si="72"/>
        <v>0</v>
      </c>
      <c r="DP31" s="8">
        <f t="shared" si="73"/>
        <v>0</v>
      </c>
      <c r="DQ31" s="8">
        <f t="shared" si="74"/>
        <v>0</v>
      </c>
      <c r="DR31" s="7">
        <f t="shared" si="75"/>
        <v>0</v>
      </c>
      <c r="DS31" s="7">
        <f t="shared" si="76"/>
        <v>0</v>
      </c>
      <c r="DT31" s="7">
        <f t="shared" si="77"/>
        <v>0</v>
      </c>
      <c r="DU31" s="9">
        <f t="shared" si="78"/>
        <v>0</v>
      </c>
      <c r="DV31" s="9">
        <f t="shared" si="79"/>
        <v>0</v>
      </c>
      <c r="DW31" s="9">
        <f t="shared" si="80"/>
        <v>0</v>
      </c>
      <c r="DX31" s="9">
        <f t="shared" si="81"/>
        <v>0</v>
      </c>
      <c r="DY31" s="9">
        <f t="shared" si="82"/>
        <v>0</v>
      </c>
      <c r="DZ31" s="9">
        <f t="shared" si="83"/>
        <v>0</v>
      </c>
      <c r="EA31" s="9">
        <f t="shared" si="84"/>
        <v>0</v>
      </c>
      <c r="EB31" s="9">
        <f t="shared" si="85"/>
        <v>0</v>
      </c>
      <c r="EC31" s="9">
        <f t="shared" si="86"/>
        <v>0</v>
      </c>
      <c r="ED31" s="9">
        <f t="shared" si="87"/>
        <v>0</v>
      </c>
      <c r="EE31" s="9">
        <f t="shared" si="88"/>
        <v>0</v>
      </c>
      <c r="EF31" s="9">
        <f t="shared" si="89"/>
        <v>0</v>
      </c>
      <c r="EG31" s="9">
        <f t="shared" si="90"/>
        <v>0</v>
      </c>
      <c r="EH31" s="9">
        <f t="shared" si="91"/>
        <v>0</v>
      </c>
      <c r="EI31" s="9">
        <f t="shared" si="92"/>
        <v>0</v>
      </c>
      <c r="EJ31" s="10">
        <f t="shared" si="93"/>
        <v>0</v>
      </c>
      <c r="EK31" s="10">
        <f t="shared" si="94"/>
        <v>0</v>
      </c>
      <c r="EL31" s="10">
        <f t="shared" ref="EL31:EM31" si="382">IF(OR(ISNUMBER(SEARCH("ai software toolkit", $D31)), ISNUMBER(SEARCH("ai software toolkit", $T31)), ISNUMBER(SEARCH("ai software toolkit", $R31)), ISNUMBER(SEARCH("ai software toolkit", $S31))), 1, 0)</f>
        <v>0</v>
      </c>
      <c r="EM31" s="10">
        <f t="shared" si="382"/>
        <v>0</v>
      </c>
      <c r="EN31" s="10">
        <f t="shared" si="96"/>
        <v>0</v>
      </c>
      <c r="EO31" s="10">
        <f t="shared" si="97"/>
        <v>0</v>
      </c>
      <c r="EP31" s="10">
        <f t="shared" si="98"/>
        <v>0</v>
      </c>
      <c r="EQ31" s="10">
        <f t="shared" si="99"/>
        <v>0</v>
      </c>
      <c r="ER31" s="10">
        <f t="shared" si="100"/>
        <v>0</v>
      </c>
      <c r="ES31" s="10">
        <f t="shared" si="101"/>
        <v>0</v>
      </c>
      <c r="ET31" s="10">
        <f t="shared" si="102"/>
        <v>0</v>
      </c>
      <c r="EU31" s="10">
        <f t="shared" si="103"/>
        <v>0</v>
      </c>
      <c r="EV31" s="10">
        <f t="shared" si="104"/>
        <v>0</v>
      </c>
      <c r="EW31" s="10">
        <f t="shared" si="105"/>
        <v>0</v>
      </c>
      <c r="EX31" s="10">
        <f t="shared" si="106"/>
        <v>0</v>
      </c>
      <c r="EY31" s="10">
        <f t="shared" si="107"/>
        <v>0</v>
      </c>
      <c r="EZ31" s="10">
        <f t="shared" si="108"/>
        <v>0</v>
      </c>
      <c r="FA31" s="10">
        <f t="shared" si="109"/>
        <v>0</v>
      </c>
      <c r="FB31" s="10">
        <f t="shared" si="110"/>
        <v>0</v>
      </c>
      <c r="FC31" s="10">
        <f t="shared" si="111"/>
        <v>0</v>
      </c>
      <c r="FD31" s="10">
        <f t="shared" si="112"/>
        <v>0</v>
      </c>
      <c r="FE31" s="10">
        <f t="shared" si="113"/>
        <v>0</v>
      </c>
      <c r="FF31" s="10">
        <f t="shared" si="114"/>
        <v>0</v>
      </c>
      <c r="FG31" s="10">
        <f t="shared" si="115"/>
        <v>0</v>
      </c>
      <c r="FH31" s="10">
        <f t="shared" si="116"/>
        <v>0</v>
      </c>
      <c r="FI31" s="10">
        <f t="shared" si="117"/>
        <v>0</v>
      </c>
      <c r="FJ31" s="10">
        <f t="shared" si="118"/>
        <v>0</v>
      </c>
      <c r="FK31" s="10">
        <f t="shared" si="119"/>
        <v>0</v>
      </c>
      <c r="FL31" s="10">
        <f t="shared" si="120"/>
        <v>0</v>
      </c>
      <c r="FM31" s="10">
        <f t="shared" si="121"/>
        <v>0</v>
      </c>
      <c r="FN31" s="10">
        <f t="shared" si="122"/>
        <v>0</v>
      </c>
      <c r="FO31" s="10">
        <f t="shared" si="123"/>
        <v>0</v>
      </c>
      <c r="FP31" s="10">
        <f t="shared" si="124"/>
        <v>0</v>
      </c>
      <c r="FQ31" s="10">
        <f t="shared" si="125"/>
        <v>0</v>
      </c>
      <c r="FR31" s="11">
        <f t="shared" ref="FR31:FR32" si="387">IF(
OR(
ISNUMBER(SEARCH("chatbot",$D31)),ISNUMBER(SEARCH("chatbot",$T31)),ISNUMBER(SEARCH("chatbot",#REF!)),ISNUMBER(SEARCH("chatbot",$S31)),
ISNUMBER(SEARCH("virtual assistance",$D31)),ISNUMBER(SEARCH("virtual assistance",$T31)),ISNUMBER(SEARCH("virtual assistance",$R31)),ISNUMBER(SEARCH("virtual assistance",$S31))), 1, 0)</f>
        <v>0</v>
      </c>
      <c r="FS31" s="11">
        <f t="shared" si="127"/>
        <v>0</v>
      </c>
      <c r="FT31" s="11">
        <f t="shared" si="128"/>
        <v>0</v>
      </c>
      <c r="FU31" s="11">
        <f t="shared" si="129"/>
        <v>0</v>
      </c>
      <c r="FV31" s="11">
        <f t="shared" si="130"/>
        <v>0</v>
      </c>
      <c r="FW31" s="11">
        <f t="shared" si="131"/>
        <v>0</v>
      </c>
      <c r="FX31" s="11">
        <f t="shared" si="132"/>
        <v>0</v>
      </c>
      <c r="FY31" s="11">
        <f t="shared" si="133"/>
        <v>0</v>
      </c>
      <c r="FZ31" s="11">
        <f t="shared" si="134"/>
        <v>0</v>
      </c>
      <c r="GA31" s="11">
        <f t="shared" si="135"/>
        <v>0</v>
      </c>
      <c r="GB31" s="11">
        <f t="shared" si="136"/>
        <v>0</v>
      </c>
      <c r="GC31" s="11">
        <f t="shared" si="137"/>
        <v>0</v>
      </c>
      <c r="GD31" s="11">
        <f t="shared" si="138"/>
        <v>0</v>
      </c>
      <c r="GE31" s="11">
        <f t="shared" si="139"/>
        <v>0</v>
      </c>
      <c r="GF31" s="11">
        <f t="shared" si="140"/>
        <v>0</v>
      </c>
      <c r="GG31" s="11">
        <f t="shared" si="141"/>
        <v>0</v>
      </c>
      <c r="GH31" s="11">
        <f t="shared" si="142"/>
        <v>0</v>
      </c>
      <c r="GI31" s="11">
        <f t="shared" si="143"/>
        <v>0</v>
      </c>
      <c r="GJ31" s="11">
        <f t="shared" si="144"/>
        <v>0</v>
      </c>
      <c r="GK31" s="11">
        <f t="shared" si="145"/>
        <v>0</v>
      </c>
      <c r="GL31" s="11">
        <f t="shared" si="146"/>
        <v>0</v>
      </c>
      <c r="GM31" s="11">
        <f t="shared" si="147"/>
        <v>0</v>
      </c>
      <c r="GN31" s="11">
        <f t="shared" si="148"/>
        <v>0</v>
      </c>
      <c r="GO31" s="11">
        <f t="shared" si="149"/>
        <v>0</v>
      </c>
      <c r="GP31" s="11">
        <f t="shared" si="150"/>
        <v>0</v>
      </c>
      <c r="GQ31" s="11">
        <f t="shared" si="151"/>
        <v>0</v>
      </c>
      <c r="GR31" s="11">
        <f t="shared" si="152"/>
        <v>0</v>
      </c>
      <c r="GS31" s="11">
        <f t="shared" si="153"/>
        <v>0</v>
      </c>
      <c r="GT31" s="11">
        <f t="shared" si="154"/>
        <v>0</v>
      </c>
      <c r="GU31" s="12">
        <f t="shared" si="155"/>
        <v>0</v>
      </c>
      <c r="GV31" s="12">
        <f t="shared" si="156"/>
        <v>0</v>
      </c>
      <c r="GW31" s="12">
        <f t="shared" si="157"/>
        <v>0</v>
      </c>
      <c r="GX31" s="12">
        <f t="shared" si="158"/>
        <v>0</v>
      </c>
      <c r="GY31" s="12">
        <f t="shared" si="159"/>
        <v>0</v>
      </c>
      <c r="GZ31" s="12">
        <f t="shared" si="160"/>
        <v>0</v>
      </c>
      <c r="HA31" s="12">
        <f t="shared" si="161"/>
        <v>0</v>
      </c>
      <c r="HB31" s="12">
        <f t="shared" si="162"/>
        <v>0</v>
      </c>
      <c r="HC31" s="12">
        <f t="shared" si="163"/>
        <v>0</v>
      </c>
      <c r="HD31" s="12">
        <f t="shared" si="164"/>
        <v>0</v>
      </c>
      <c r="HE31" s="12">
        <f t="shared" si="165"/>
        <v>0</v>
      </c>
      <c r="HF31" s="12">
        <f t="shared" si="166"/>
        <v>0</v>
      </c>
      <c r="HG31" s="12">
        <f t="shared" si="167"/>
        <v>0</v>
      </c>
      <c r="HH31" s="12">
        <f t="shared" si="168"/>
        <v>0</v>
      </c>
      <c r="HI31" s="12">
        <f t="shared" si="169"/>
        <v>0</v>
      </c>
      <c r="HJ31" s="12">
        <f t="shared" si="170"/>
        <v>0</v>
      </c>
      <c r="HK31" s="12">
        <f t="shared" si="171"/>
        <v>0</v>
      </c>
      <c r="HL31" s="12">
        <f t="shared" si="172"/>
        <v>0</v>
      </c>
      <c r="HM31" s="12">
        <f t="shared" si="173"/>
        <v>0</v>
      </c>
      <c r="HN31" s="12">
        <f t="shared" si="174"/>
        <v>0</v>
      </c>
      <c r="HO31" s="12">
        <f t="shared" si="175"/>
        <v>0</v>
      </c>
      <c r="HP31" s="12">
        <f t="shared" si="176"/>
        <v>0</v>
      </c>
      <c r="HQ31" s="12">
        <f t="shared" si="177"/>
        <v>0</v>
      </c>
      <c r="HR31" s="12">
        <f t="shared" si="178"/>
        <v>0</v>
      </c>
      <c r="HS31" s="12">
        <f t="shared" si="179"/>
        <v>0</v>
      </c>
      <c r="HT31" s="12">
        <f t="shared" si="180"/>
        <v>0</v>
      </c>
      <c r="HU31" s="12">
        <f t="shared" si="181"/>
        <v>0</v>
      </c>
      <c r="HV31" s="12">
        <f t="shared" si="182"/>
        <v>0</v>
      </c>
      <c r="HW31" s="12">
        <f t="shared" si="183"/>
        <v>0</v>
      </c>
      <c r="HX31" s="12">
        <f t="shared" si="184"/>
        <v>0</v>
      </c>
      <c r="HY31" s="12">
        <f t="shared" si="185"/>
        <v>0</v>
      </c>
      <c r="HZ31" s="12">
        <f t="shared" si="186"/>
        <v>0</v>
      </c>
      <c r="IA31" s="12">
        <f t="shared" si="187"/>
        <v>0</v>
      </c>
      <c r="IB31" s="12">
        <f t="shared" si="188"/>
        <v>0</v>
      </c>
      <c r="IC31" s="12">
        <f t="shared" si="189"/>
        <v>0</v>
      </c>
      <c r="ID31" s="12">
        <f t="shared" si="190"/>
        <v>0</v>
      </c>
      <c r="IE31" s="12">
        <f t="shared" si="191"/>
        <v>0</v>
      </c>
      <c r="IF31" s="12">
        <f t="shared" si="192"/>
        <v>0</v>
      </c>
      <c r="IG31" s="12">
        <f t="shared" si="193"/>
        <v>0</v>
      </c>
      <c r="IH31" s="12">
        <f t="shared" si="194"/>
        <v>0</v>
      </c>
      <c r="II31" s="12">
        <f t="shared" si="195"/>
        <v>0</v>
      </c>
      <c r="IJ31" s="12">
        <f t="shared" si="196"/>
        <v>0</v>
      </c>
      <c r="IK31" s="12">
        <f t="shared" si="197"/>
        <v>0</v>
      </c>
      <c r="IL31" s="12">
        <f t="shared" si="198"/>
        <v>0</v>
      </c>
      <c r="IM31" s="12">
        <f t="shared" si="199"/>
        <v>0</v>
      </c>
      <c r="IN31" s="12">
        <f t="shared" si="200"/>
        <v>0</v>
      </c>
      <c r="IO31" s="12">
        <f t="shared" si="201"/>
        <v>0</v>
      </c>
      <c r="IP31" s="12">
        <f t="shared" si="202"/>
        <v>0</v>
      </c>
      <c r="IQ31" s="12">
        <f t="shared" si="203"/>
        <v>0</v>
      </c>
      <c r="IR31" s="12">
        <f t="shared" si="204"/>
        <v>0</v>
      </c>
      <c r="IS31" s="12">
        <f t="shared" si="205"/>
        <v>0</v>
      </c>
      <c r="IT31" s="12">
        <f t="shared" si="206"/>
        <v>0</v>
      </c>
      <c r="IU31" s="12">
        <f t="shared" si="207"/>
        <v>0</v>
      </c>
      <c r="IV31" s="12">
        <f t="shared" si="208"/>
        <v>0</v>
      </c>
      <c r="IW31" s="12">
        <f t="shared" si="209"/>
        <v>0</v>
      </c>
      <c r="IX31" s="12">
        <f t="shared" si="210"/>
        <v>0</v>
      </c>
      <c r="IY31" s="12">
        <f t="shared" si="211"/>
        <v>0</v>
      </c>
      <c r="IZ31" s="12">
        <f t="shared" si="212"/>
        <v>0</v>
      </c>
      <c r="JA31" s="13">
        <f t="shared" si="213"/>
        <v>0</v>
      </c>
      <c r="JB31" s="13">
        <f t="shared" si="214"/>
        <v>0</v>
      </c>
      <c r="JC31" s="13">
        <f t="shared" si="215"/>
        <v>0</v>
      </c>
      <c r="JD31" s="13">
        <f t="shared" si="216"/>
        <v>0</v>
      </c>
      <c r="JE31" s="13">
        <f t="shared" si="217"/>
        <v>0</v>
      </c>
      <c r="JF31" s="13">
        <f t="shared" si="218"/>
        <v>0</v>
      </c>
      <c r="JG31" s="13">
        <f t="shared" si="219"/>
        <v>0</v>
      </c>
      <c r="JH31" s="13">
        <f t="shared" si="220"/>
        <v>0</v>
      </c>
      <c r="JI31" s="13">
        <f t="shared" si="221"/>
        <v>0</v>
      </c>
      <c r="JJ31" s="13">
        <f t="shared" si="222"/>
        <v>0</v>
      </c>
      <c r="JK31" s="13">
        <f t="shared" si="223"/>
        <v>0</v>
      </c>
      <c r="JL31" s="13">
        <f t="shared" si="224"/>
        <v>0</v>
      </c>
      <c r="JM31" s="13">
        <f t="shared" si="225"/>
        <v>0</v>
      </c>
      <c r="JN31" s="13">
        <f t="shared" si="226"/>
        <v>0</v>
      </c>
      <c r="JO31" s="13">
        <f t="shared" si="227"/>
        <v>0</v>
      </c>
      <c r="JP31" s="13">
        <f t="shared" si="228"/>
        <v>0</v>
      </c>
      <c r="JQ31" s="13">
        <f t="shared" si="229"/>
        <v>0</v>
      </c>
      <c r="JR31" s="13">
        <f t="shared" si="230"/>
        <v>0</v>
      </c>
      <c r="JS31" s="13">
        <f t="shared" si="231"/>
        <v>0</v>
      </c>
      <c r="JT31" s="13">
        <f t="shared" si="232"/>
        <v>0</v>
      </c>
      <c r="JU31" s="13">
        <f t="shared" si="233"/>
        <v>0</v>
      </c>
      <c r="JV31" s="12">
        <f t="shared" si="234"/>
        <v>0</v>
      </c>
      <c r="JW31" s="12">
        <f t="shared" si="235"/>
        <v>0</v>
      </c>
      <c r="JX31" s="12">
        <f t="shared" si="236"/>
        <v>0</v>
      </c>
      <c r="JY31" s="12">
        <f t="shared" si="237"/>
        <v>0</v>
      </c>
      <c r="JZ31" s="12">
        <f t="shared" si="238"/>
        <v>0</v>
      </c>
      <c r="KA31" s="12">
        <f t="shared" si="239"/>
        <v>0</v>
      </c>
      <c r="KB31" s="12">
        <f t="shared" si="240"/>
        <v>0</v>
      </c>
      <c r="KC31" s="12">
        <f t="shared" si="241"/>
        <v>0</v>
      </c>
      <c r="KD31" s="12">
        <f t="shared" si="242"/>
        <v>0</v>
      </c>
      <c r="KE31" s="12">
        <f t="shared" si="243"/>
        <v>0</v>
      </c>
      <c r="KF31" s="12">
        <f t="shared" si="244"/>
        <v>0</v>
      </c>
      <c r="KG31" s="12">
        <f t="shared" si="245"/>
        <v>0</v>
      </c>
      <c r="KH31" s="12">
        <f t="shared" si="246"/>
        <v>0</v>
      </c>
      <c r="KI31" s="12">
        <f t="shared" si="247"/>
        <v>0</v>
      </c>
      <c r="KJ31" s="12">
        <f t="shared" si="248"/>
        <v>0</v>
      </c>
      <c r="KK31" s="12">
        <f t="shared" si="249"/>
        <v>0</v>
      </c>
      <c r="KL31" s="12">
        <f t="shared" si="250"/>
        <v>0</v>
      </c>
      <c r="KM31" s="12">
        <f t="shared" si="251"/>
        <v>0</v>
      </c>
      <c r="KN31" s="12">
        <f t="shared" si="252"/>
        <v>0</v>
      </c>
      <c r="KO31" s="12">
        <f t="shared" si="253"/>
        <v>0</v>
      </c>
      <c r="KP31" s="12">
        <f t="shared" si="254"/>
        <v>0</v>
      </c>
      <c r="KQ31" s="12">
        <f t="shared" si="255"/>
        <v>0</v>
      </c>
      <c r="KR31" s="12">
        <f t="shared" si="256"/>
        <v>0</v>
      </c>
      <c r="KS31" s="12">
        <f t="shared" si="257"/>
        <v>0</v>
      </c>
      <c r="KT31" s="12">
        <f t="shared" si="258"/>
        <v>0</v>
      </c>
      <c r="KU31" s="12">
        <f t="shared" si="259"/>
        <v>0</v>
      </c>
      <c r="KV31" s="12">
        <f t="shared" si="260"/>
        <v>0</v>
      </c>
      <c r="KW31" s="12">
        <f t="shared" si="261"/>
        <v>0</v>
      </c>
      <c r="KX31" s="12">
        <f t="shared" si="262"/>
        <v>0</v>
      </c>
      <c r="KY31" s="12">
        <f t="shared" si="263"/>
        <v>0</v>
      </c>
      <c r="KZ31" s="12">
        <f t="shared" si="264"/>
        <v>0</v>
      </c>
      <c r="LA31" s="12">
        <f t="shared" si="265"/>
        <v>0</v>
      </c>
      <c r="LB31" s="12">
        <f t="shared" si="266"/>
        <v>0</v>
      </c>
      <c r="LC31" s="12">
        <f t="shared" si="267"/>
        <v>0</v>
      </c>
      <c r="LD31" s="12">
        <f t="shared" si="268"/>
        <v>0</v>
      </c>
      <c r="LE31" s="12">
        <f t="shared" si="269"/>
        <v>0</v>
      </c>
      <c r="LF31" s="12">
        <f t="shared" si="270"/>
        <v>0</v>
      </c>
      <c r="LG31" s="12">
        <f t="shared" si="271"/>
        <v>0</v>
      </c>
      <c r="LH31" s="12">
        <f t="shared" si="272"/>
        <v>0</v>
      </c>
      <c r="LI31" s="12">
        <f t="shared" si="273"/>
        <v>0</v>
      </c>
      <c r="LJ31" s="12">
        <f t="shared" si="274"/>
        <v>0</v>
      </c>
      <c r="LK31" s="12">
        <f t="shared" si="275"/>
        <v>0</v>
      </c>
      <c r="LL31" s="12">
        <f t="shared" si="276"/>
        <v>0</v>
      </c>
      <c r="LM31" s="12">
        <f t="shared" si="277"/>
        <v>0</v>
      </c>
      <c r="LN31" s="12">
        <f t="shared" si="278"/>
        <v>0</v>
      </c>
      <c r="LO31" s="12">
        <f t="shared" si="279"/>
        <v>0</v>
      </c>
      <c r="LP31" s="12">
        <f t="shared" si="280"/>
        <v>0</v>
      </c>
      <c r="LQ31" s="12">
        <f t="shared" si="281"/>
        <v>0</v>
      </c>
      <c r="LR31" s="12">
        <f t="shared" si="282"/>
        <v>0</v>
      </c>
      <c r="LS31" s="12">
        <f t="shared" si="283"/>
        <v>0</v>
      </c>
      <c r="LT31" s="13">
        <f t="shared" si="284"/>
        <v>0</v>
      </c>
      <c r="LU31" s="13">
        <f t="shared" si="285"/>
        <v>0</v>
      </c>
      <c r="LV31" s="13">
        <f t="shared" si="286"/>
        <v>0</v>
      </c>
      <c r="LW31" s="13">
        <f t="shared" si="287"/>
        <v>0</v>
      </c>
      <c r="LX31" s="13">
        <f t="shared" si="288"/>
        <v>0</v>
      </c>
      <c r="LY31" s="13">
        <f t="shared" si="289"/>
        <v>0</v>
      </c>
      <c r="LZ31" s="13">
        <f t="shared" si="290"/>
        <v>0</v>
      </c>
      <c r="MA31" s="13">
        <f t="shared" si="291"/>
        <v>0</v>
      </c>
      <c r="MB31" s="13">
        <f t="shared" si="292"/>
        <v>0</v>
      </c>
      <c r="MC31" s="13">
        <f t="shared" si="293"/>
        <v>0</v>
      </c>
      <c r="MD31" s="13">
        <f t="shared" si="294"/>
        <v>0</v>
      </c>
      <c r="ME31" s="13">
        <f t="shared" si="295"/>
        <v>0</v>
      </c>
      <c r="MF31" s="13">
        <f t="shared" si="296"/>
        <v>0</v>
      </c>
      <c r="MG31" s="13">
        <f t="shared" si="297"/>
        <v>0</v>
      </c>
      <c r="MH31" s="13">
        <f t="shared" si="298"/>
        <v>0</v>
      </c>
      <c r="MI31" s="13">
        <f t="shared" si="299"/>
        <v>0</v>
      </c>
      <c r="MJ31" s="13">
        <f t="shared" si="300"/>
        <v>0</v>
      </c>
      <c r="MK31" s="13">
        <f t="shared" si="301"/>
        <v>0</v>
      </c>
      <c r="ML31" s="14">
        <f t="shared" si="302"/>
        <v>0</v>
      </c>
      <c r="MM31" s="14">
        <f t="shared" si="303"/>
        <v>0</v>
      </c>
      <c r="MN31" s="14">
        <f t="shared" si="304"/>
        <v>0</v>
      </c>
      <c r="MO31" s="14">
        <f t="shared" si="305"/>
        <v>0</v>
      </c>
      <c r="MP31" s="14">
        <f t="shared" si="306"/>
        <v>0</v>
      </c>
      <c r="MQ31" s="14">
        <f t="shared" si="307"/>
        <v>0</v>
      </c>
      <c r="MR31" s="14">
        <f t="shared" si="308"/>
        <v>0</v>
      </c>
      <c r="MS31" s="14">
        <f t="shared" si="309"/>
        <v>0</v>
      </c>
      <c r="MT31" s="14">
        <f t="shared" si="310"/>
        <v>0</v>
      </c>
      <c r="MU31" s="14">
        <f t="shared" si="311"/>
        <v>0</v>
      </c>
      <c r="MV31" s="14">
        <f t="shared" si="312"/>
        <v>0</v>
      </c>
      <c r="MW31" s="14">
        <f t="shared" si="313"/>
        <v>0</v>
      </c>
      <c r="MX31" s="14">
        <f t="shared" si="314"/>
        <v>0</v>
      </c>
      <c r="MY31" s="14">
        <f t="shared" si="315"/>
        <v>0</v>
      </c>
      <c r="MZ31" s="14">
        <f t="shared" si="316"/>
        <v>0</v>
      </c>
      <c r="NA31" s="14">
        <f t="shared" si="317"/>
        <v>0</v>
      </c>
      <c r="NB31" s="14">
        <f t="shared" si="318"/>
        <v>0</v>
      </c>
    </row>
    <row r="32" ht="15.75" customHeight="1">
      <c r="A32" s="2">
        <v>221.0</v>
      </c>
      <c r="B32" s="2" t="s">
        <v>922</v>
      </c>
      <c r="C32" s="2" t="s">
        <v>923</v>
      </c>
      <c r="D32" s="2" t="s">
        <v>924</v>
      </c>
      <c r="E32" s="2">
        <v>2020.0</v>
      </c>
      <c r="F32" s="2" t="s">
        <v>762</v>
      </c>
      <c r="G32" s="2" t="s">
        <v>925</v>
      </c>
      <c r="H32" s="2" t="s">
        <v>510</v>
      </c>
      <c r="I32" s="2" t="s">
        <v>926</v>
      </c>
      <c r="M32" s="2">
        <v>53.0</v>
      </c>
      <c r="N32" s="2" t="s">
        <v>927</v>
      </c>
      <c r="O32" s="2" t="s">
        <v>928</v>
      </c>
      <c r="P32" s="2" t="s">
        <v>929</v>
      </c>
      <c r="Q32" s="2" t="s">
        <v>930</v>
      </c>
      <c r="R32" s="2" t="s">
        <v>931</v>
      </c>
      <c r="S32" s="2" t="s">
        <v>932</v>
      </c>
      <c r="T32" s="2" t="s">
        <v>933</v>
      </c>
      <c r="Y32" s="2" t="s">
        <v>934</v>
      </c>
      <c r="AB32" s="2" t="s">
        <v>687</v>
      </c>
      <c r="AG32" s="2" t="s">
        <v>772</v>
      </c>
      <c r="AJ32" s="2">
        <v>3.2046302E7</v>
      </c>
      <c r="AK32" s="2" t="s">
        <v>773</v>
      </c>
      <c r="AL32" s="2" t="s">
        <v>384</v>
      </c>
      <c r="AM32" s="2" t="s">
        <v>484</v>
      </c>
      <c r="AN32" s="2" t="s">
        <v>386</v>
      </c>
      <c r="AO32" s="2" t="s">
        <v>935</v>
      </c>
      <c r="AP32" s="2" t="s">
        <v>386</v>
      </c>
      <c r="AQ32" s="2">
        <v>908.0</v>
      </c>
      <c r="AR32" s="2" t="s">
        <v>924</v>
      </c>
      <c r="AS32" s="2" t="b">
        <v>1</v>
      </c>
      <c r="AT32" s="3">
        <v>0.0</v>
      </c>
      <c r="AU32" s="4"/>
      <c r="AV32" s="4"/>
      <c r="AW32" s="5">
        <f t="shared" si="3"/>
        <v>0</v>
      </c>
      <c r="AX32" s="5">
        <f t="shared" si="4"/>
        <v>0</v>
      </c>
      <c r="AY32" s="5">
        <f t="shared" si="5"/>
        <v>0</v>
      </c>
      <c r="AZ32" s="5">
        <f t="shared" si="6"/>
        <v>0</v>
      </c>
      <c r="BA32" s="5">
        <f t="shared" si="7"/>
        <v>0</v>
      </c>
      <c r="BB32" s="5">
        <f t="shared" si="8"/>
        <v>0</v>
      </c>
      <c r="BC32" s="5">
        <f t="shared" si="9"/>
        <v>0</v>
      </c>
      <c r="BD32" s="5">
        <f t="shared" si="10"/>
        <v>0</v>
      </c>
      <c r="BE32" s="5">
        <f t="shared" si="11"/>
        <v>0</v>
      </c>
      <c r="BF32" s="5">
        <f t="shared" si="12"/>
        <v>0</v>
      </c>
      <c r="BG32" s="5">
        <f t="shared" si="13"/>
        <v>0</v>
      </c>
      <c r="BH32" s="5">
        <f t="shared" si="14"/>
        <v>0</v>
      </c>
      <c r="BI32" s="5">
        <f t="shared" si="15"/>
        <v>0</v>
      </c>
      <c r="BJ32" s="5">
        <f t="shared" si="16"/>
        <v>0</v>
      </c>
      <c r="BK32" s="5">
        <f t="shared" si="17"/>
        <v>0</v>
      </c>
      <c r="BL32" s="5">
        <f t="shared" si="18"/>
        <v>0</v>
      </c>
      <c r="BM32" s="5">
        <f t="shared" si="19"/>
        <v>0</v>
      </c>
      <c r="BN32" s="5">
        <f t="shared" si="20"/>
        <v>0</v>
      </c>
      <c r="BO32" s="5">
        <f t="shared" si="21"/>
        <v>0</v>
      </c>
      <c r="BP32" s="5">
        <f t="shared" si="22"/>
        <v>0</v>
      </c>
      <c r="BQ32" s="5">
        <f t="shared" si="23"/>
        <v>0</v>
      </c>
      <c r="BR32" s="5">
        <f t="shared" si="24"/>
        <v>0</v>
      </c>
      <c r="BS32" s="5">
        <f t="shared" si="25"/>
        <v>0</v>
      </c>
      <c r="BT32" s="5">
        <f t="shared" si="26"/>
        <v>0</v>
      </c>
      <c r="BU32" s="5">
        <f t="shared" si="27"/>
        <v>0</v>
      </c>
      <c r="BV32" s="5">
        <f t="shared" ref="BV32:BW32" si="383">IF(OR(ISNUMBER(SEARCH("grit",$D32)),ISNUMBER(SEARCH("grit",$T32)),ISNUMBER(SEARCH("grit",$R32)),ISNUMBER(SEARCH("grit",$S32)),
ISNUMBER(SEARCH("determination",$D32)),ISNUMBER(SEARCH("determination",$T32)),ISNUMBER(SEARCH("determination",$R32)),ISNUMBER(SEARCH("determination",$S32)),
ISNUMBER(SEARCH("tenacity",$D32)),ISNUMBER(SEARCH("tenacity",$T32)),ISNUMBER(SEARCH("tenacity",$R32)),ISNUMBER(SEARCH("tenacity",$S32)),
ISNUMBER(SEARCH("endurance",$D32)),ISNUMBER(SEARCH("endurance",$T32)),ISNUMBER(SEARCH("endurance",$R32)),ISNUMBER(SEARCH("endurance",$S32)),
ISNUMBER(SEARCH("fortitude",$D32)),ISNUMBER(SEARCH("fortitude",$T32)),ISNUMBER(SEARCH("fortitude",$R32)),ISNUMBER(SEARCH("fortitude",$S32)),
ISNUMBER(SEARCH("resolve",$D32)),ISNUMBER(SEARCH("resolve",$T32)),ISNUMBER(SEARCH("resolve",$R32)),ISNUMBER(SEARCH("resolve",$S32)),
ISNUMBER(SEARCH("stamina",$D32)),ISNUMBER(SEARCH("stamina",$T32)),ISNUMBER(SEARCH("stamina",$R32)),ISNUMBER(SEARCH("stamina",$S32)),
ISNUMBER(SEARCH("guts",$D32)),ISNUMBER(SEARCH("guts",$T32)),ISNUMBER(SEARCH("guts",$R32)),ISNUMBER(SEARCH("guts",$S32)),
ISNUMBER(SEARCH("spunk",$D32)),ISNUMBER(SEARCH("spunk",$T32)),ISNUMBER(SEARCH("spunk",$R32)),ISNUMBER(SEARCH("spunk",$S32))), 1, 0)</f>
        <v>0</v>
      </c>
      <c r="BW32" s="5">
        <f t="shared" si="383"/>
        <v>0</v>
      </c>
      <c r="BX32" s="5">
        <f t="shared" si="29"/>
        <v>0</v>
      </c>
      <c r="BY32" s="5">
        <f t="shared" si="30"/>
        <v>0</v>
      </c>
      <c r="BZ32" s="5">
        <f t="shared" si="31"/>
        <v>0</v>
      </c>
      <c r="CA32" s="5">
        <f t="shared" si="32"/>
        <v>0</v>
      </c>
      <c r="CB32" s="5">
        <f t="shared" si="33"/>
        <v>0</v>
      </c>
      <c r="CC32" s="5">
        <f t="shared" si="34"/>
        <v>0</v>
      </c>
      <c r="CD32" s="5">
        <f t="shared" si="35"/>
        <v>0</v>
      </c>
      <c r="CE32" s="5">
        <f t="shared" si="36"/>
        <v>0</v>
      </c>
      <c r="CF32" s="5">
        <f t="shared" si="37"/>
        <v>0</v>
      </c>
      <c r="CG32" s="5">
        <f t="shared" si="38"/>
        <v>0</v>
      </c>
      <c r="CH32" s="5">
        <f t="shared" si="39"/>
        <v>0</v>
      </c>
      <c r="CI32" s="5">
        <f t="shared" si="40"/>
        <v>0</v>
      </c>
      <c r="CJ32" s="5">
        <f t="shared" si="41"/>
        <v>0</v>
      </c>
      <c r="CK32" s="5">
        <f t="shared" si="42"/>
        <v>0</v>
      </c>
      <c r="CL32" s="5">
        <f t="shared" si="43"/>
        <v>0</v>
      </c>
      <c r="CM32" s="5">
        <f t="shared" si="44"/>
        <v>0</v>
      </c>
      <c r="CN32" s="5">
        <f t="shared" si="45"/>
        <v>0</v>
      </c>
      <c r="CO32" s="5">
        <f t="shared" si="46"/>
        <v>0</v>
      </c>
      <c r="CP32" s="6">
        <f t="shared" si="47"/>
        <v>0</v>
      </c>
      <c r="CQ32" s="6">
        <f t="shared" si="48"/>
        <v>0</v>
      </c>
      <c r="CR32" s="6">
        <f t="shared" si="49"/>
        <v>0</v>
      </c>
      <c r="CS32" s="6">
        <f t="shared" si="50"/>
        <v>0</v>
      </c>
      <c r="CT32" s="6">
        <f t="shared" si="51"/>
        <v>0</v>
      </c>
      <c r="CU32" s="6">
        <f t="shared" si="52"/>
        <v>0</v>
      </c>
      <c r="CV32" s="6">
        <f t="shared" si="53"/>
        <v>0</v>
      </c>
      <c r="CW32" s="6">
        <f t="shared" si="54"/>
        <v>0</v>
      </c>
      <c r="CX32" s="6">
        <f t="shared" si="55"/>
        <v>0</v>
      </c>
      <c r="CY32" s="6">
        <f t="shared" si="56"/>
        <v>0</v>
      </c>
      <c r="CZ32" s="6">
        <f t="shared" si="57"/>
        <v>0</v>
      </c>
      <c r="DA32" s="6">
        <f t="shared" si="58"/>
        <v>0</v>
      </c>
      <c r="DB32" s="6">
        <f t="shared" si="59"/>
        <v>0</v>
      </c>
      <c r="DC32" s="6">
        <f t="shared" si="60"/>
        <v>1</v>
      </c>
      <c r="DD32" s="6">
        <f t="shared" si="61"/>
        <v>0</v>
      </c>
      <c r="DE32" s="6">
        <f t="shared" si="62"/>
        <v>0</v>
      </c>
      <c r="DF32" s="6">
        <f t="shared" si="63"/>
        <v>0</v>
      </c>
      <c r="DG32" s="6">
        <f t="shared" si="64"/>
        <v>0</v>
      </c>
      <c r="DH32" s="6">
        <f t="shared" si="384"/>
        <v>0</v>
      </c>
      <c r="DI32" s="6">
        <f t="shared" si="66"/>
        <v>0</v>
      </c>
      <c r="DJ32" s="6">
        <f t="shared" si="385"/>
        <v>0</v>
      </c>
      <c r="DK32" s="7">
        <f t="shared" si="68"/>
        <v>0</v>
      </c>
      <c r="DL32" s="7">
        <f t="shared" si="374"/>
        <v>0</v>
      </c>
      <c r="DM32" s="7">
        <f t="shared" si="70"/>
        <v>0</v>
      </c>
      <c r="DN32" s="7">
        <f t="shared" si="71"/>
        <v>0</v>
      </c>
      <c r="DO32" s="7">
        <f t="shared" si="72"/>
        <v>1</v>
      </c>
      <c r="DP32" s="8">
        <f t="shared" si="73"/>
        <v>0</v>
      </c>
      <c r="DQ32" s="8">
        <f t="shared" si="74"/>
        <v>1</v>
      </c>
      <c r="DR32" s="7">
        <f t="shared" si="75"/>
        <v>0</v>
      </c>
      <c r="DS32" s="7">
        <f t="shared" si="76"/>
        <v>0</v>
      </c>
      <c r="DT32" s="7">
        <f t="shared" si="77"/>
        <v>0</v>
      </c>
      <c r="DU32" s="9">
        <f t="shared" si="78"/>
        <v>0</v>
      </c>
      <c r="DV32" s="9">
        <f t="shared" si="79"/>
        <v>0</v>
      </c>
      <c r="DW32" s="9">
        <f t="shared" si="80"/>
        <v>0</v>
      </c>
      <c r="DX32" s="9">
        <f t="shared" si="81"/>
        <v>0</v>
      </c>
      <c r="DY32" s="9">
        <f t="shared" si="82"/>
        <v>0</v>
      </c>
      <c r="DZ32" s="9">
        <f t="shared" si="83"/>
        <v>0</v>
      </c>
      <c r="EA32" s="9">
        <f t="shared" si="84"/>
        <v>0</v>
      </c>
      <c r="EB32" s="9">
        <f t="shared" si="85"/>
        <v>0</v>
      </c>
      <c r="EC32" s="9">
        <f t="shared" si="86"/>
        <v>0</v>
      </c>
      <c r="ED32" s="9">
        <f t="shared" si="87"/>
        <v>0</v>
      </c>
      <c r="EE32" s="9">
        <f t="shared" si="88"/>
        <v>0</v>
      </c>
      <c r="EF32" s="9">
        <f t="shared" si="89"/>
        <v>0</v>
      </c>
      <c r="EG32" s="9">
        <f t="shared" si="90"/>
        <v>0</v>
      </c>
      <c r="EH32" s="9">
        <f t="shared" si="91"/>
        <v>0</v>
      </c>
      <c r="EI32" s="9">
        <f t="shared" si="92"/>
        <v>0</v>
      </c>
      <c r="EJ32" s="10">
        <f t="shared" si="93"/>
        <v>0</v>
      </c>
      <c r="EK32" s="10">
        <f t="shared" si="94"/>
        <v>0</v>
      </c>
      <c r="EL32" s="10">
        <f t="shared" ref="EL32:EM32" si="386">IF(OR(ISNUMBER(SEARCH("ai software toolkit", $D32)), ISNUMBER(SEARCH("ai software toolkit", $T32)), ISNUMBER(SEARCH("ai software toolkit", $R32)), ISNUMBER(SEARCH("ai software toolkit", $S32))), 1, 0)</f>
        <v>0</v>
      </c>
      <c r="EM32" s="10">
        <f t="shared" si="386"/>
        <v>0</v>
      </c>
      <c r="EN32" s="10">
        <f t="shared" si="96"/>
        <v>0</v>
      </c>
      <c r="EO32" s="10">
        <f t="shared" si="97"/>
        <v>0</v>
      </c>
      <c r="EP32" s="10">
        <f t="shared" si="98"/>
        <v>0</v>
      </c>
      <c r="EQ32" s="10">
        <f t="shared" si="99"/>
        <v>0</v>
      </c>
      <c r="ER32" s="10">
        <f t="shared" si="100"/>
        <v>0</v>
      </c>
      <c r="ES32" s="10">
        <f t="shared" si="101"/>
        <v>0</v>
      </c>
      <c r="ET32" s="10">
        <f t="shared" si="102"/>
        <v>0</v>
      </c>
      <c r="EU32" s="10">
        <f t="shared" si="103"/>
        <v>0</v>
      </c>
      <c r="EV32" s="10">
        <f t="shared" si="104"/>
        <v>0</v>
      </c>
      <c r="EW32" s="10">
        <f t="shared" si="105"/>
        <v>0</v>
      </c>
      <c r="EX32" s="10">
        <f t="shared" si="106"/>
        <v>0</v>
      </c>
      <c r="EY32" s="10">
        <f t="shared" si="107"/>
        <v>0</v>
      </c>
      <c r="EZ32" s="10">
        <f t="shared" si="108"/>
        <v>0</v>
      </c>
      <c r="FA32" s="10">
        <f t="shared" si="109"/>
        <v>0</v>
      </c>
      <c r="FB32" s="10">
        <f t="shared" si="110"/>
        <v>0</v>
      </c>
      <c r="FC32" s="10">
        <f t="shared" si="111"/>
        <v>0</v>
      </c>
      <c r="FD32" s="10">
        <f t="shared" si="112"/>
        <v>0</v>
      </c>
      <c r="FE32" s="10">
        <f t="shared" si="113"/>
        <v>0</v>
      </c>
      <c r="FF32" s="10">
        <f t="shared" si="114"/>
        <v>0</v>
      </c>
      <c r="FG32" s="10">
        <f t="shared" si="115"/>
        <v>0</v>
      </c>
      <c r="FH32" s="10">
        <f t="shared" si="116"/>
        <v>0</v>
      </c>
      <c r="FI32" s="10">
        <f t="shared" si="117"/>
        <v>0</v>
      </c>
      <c r="FJ32" s="10">
        <f t="shared" si="118"/>
        <v>0</v>
      </c>
      <c r="FK32" s="10">
        <f t="shared" si="119"/>
        <v>0</v>
      </c>
      <c r="FL32" s="10">
        <f t="shared" si="120"/>
        <v>0</v>
      </c>
      <c r="FM32" s="10">
        <f t="shared" si="121"/>
        <v>0</v>
      </c>
      <c r="FN32" s="10">
        <f t="shared" si="122"/>
        <v>0</v>
      </c>
      <c r="FO32" s="10">
        <f t="shared" si="123"/>
        <v>0</v>
      </c>
      <c r="FP32" s="10">
        <f t="shared" si="124"/>
        <v>0</v>
      </c>
      <c r="FQ32" s="10">
        <f t="shared" si="125"/>
        <v>1</v>
      </c>
      <c r="FR32" s="11">
        <f t="shared" si="387"/>
        <v>0</v>
      </c>
      <c r="FS32" s="11">
        <f t="shared" si="127"/>
        <v>0</v>
      </c>
      <c r="FT32" s="11">
        <f t="shared" si="128"/>
        <v>0</v>
      </c>
      <c r="FU32" s="11">
        <f t="shared" si="129"/>
        <v>0</v>
      </c>
      <c r="FV32" s="11">
        <f t="shared" si="130"/>
        <v>0</v>
      </c>
      <c r="FW32" s="11">
        <f t="shared" si="131"/>
        <v>0</v>
      </c>
      <c r="FX32" s="11">
        <f t="shared" si="132"/>
        <v>0</v>
      </c>
      <c r="FY32" s="11">
        <f t="shared" si="133"/>
        <v>0</v>
      </c>
      <c r="FZ32" s="11">
        <f t="shared" si="134"/>
        <v>0</v>
      </c>
      <c r="GA32" s="11">
        <f t="shared" si="135"/>
        <v>0</v>
      </c>
      <c r="GB32" s="11">
        <f t="shared" si="136"/>
        <v>0</v>
      </c>
      <c r="GC32" s="11">
        <f t="shared" si="137"/>
        <v>0</v>
      </c>
      <c r="GD32" s="11">
        <f t="shared" si="138"/>
        <v>0</v>
      </c>
      <c r="GE32" s="11">
        <f t="shared" si="139"/>
        <v>0</v>
      </c>
      <c r="GF32" s="11">
        <f t="shared" si="140"/>
        <v>0</v>
      </c>
      <c r="GG32" s="11">
        <f t="shared" si="141"/>
        <v>0</v>
      </c>
      <c r="GH32" s="11">
        <f t="shared" si="142"/>
        <v>0</v>
      </c>
      <c r="GI32" s="11">
        <f t="shared" si="143"/>
        <v>0</v>
      </c>
      <c r="GJ32" s="11">
        <f t="shared" si="144"/>
        <v>0</v>
      </c>
      <c r="GK32" s="11">
        <f t="shared" si="145"/>
        <v>0</v>
      </c>
      <c r="GL32" s="11">
        <f t="shared" si="146"/>
        <v>0</v>
      </c>
      <c r="GM32" s="11">
        <f t="shared" si="147"/>
        <v>0</v>
      </c>
      <c r="GN32" s="11">
        <f t="shared" si="148"/>
        <v>0</v>
      </c>
      <c r="GO32" s="11">
        <f t="shared" si="149"/>
        <v>0</v>
      </c>
      <c r="GP32" s="11">
        <f t="shared" si="150"/>
        <v>0</v>
      </c>
      <c r="GQ32" s="11">
        <f t="shared" si="151"/>
        <v>0</v>
      </c>
      <c r="GR32" s="11">
        <f t="shared" si="152"/>
        <v>1</v>
      </c>
      <c r="GS32" s="11">
        <f t="shared" si="153"/>
        <v>0</v>
      </c>
      <c r="GT32" s="11">
        <f t="shared" si="154"/>
        <v>0</v>
      </c>
      <c r="GU32" s="12">
        <f t="shared" si="155"/>
        <v>0</v>
      </c>
      <c r="GV32" s="12">
        <f t="shared" si="156"/>
        <v>0</v>
      </c>
      <c r="GW32" s="12">
        <f t="shared" si="157"/>
        <v>0</v>
      </c>
      <c r="GX32" s="12">
        <f t="shared" si="158"/>
        <v>0</v>
      </c>
      <c r="GY32" s="12">
        <f t="shared" si="159"/>
        <v>0</v>
      </c>
      <c r="GZ32" s="12">
        <f t="shared" si="160"/>
        <v>0</v>
      </c>
      <c r="HA32" s="12">
        <f t="shared" si="161"/>
        <v>0</v>
      </c>
      <c r="HB32" s="12">
        <f t="shared" si="162"/>
        <v>0</v>
      </c>
      <c r="HC32" s="12">
        <f t="shared" si="163"/>
        <v>0</v>
      </c>
      <c r="HD32" s="12">
        <f t="shared" si="164"/>
        <v>0</v>
      </c>
      <c r="HE32" s="12">
        <f t="shared" si="165"/>
        <v>0</v>
      </c>
      <c r="HF32" s="12">
        <f t="shared" si="166"/>
        <v>0</v>
      </c>
      <c r="HG32" s="12">
        <f t="shared" si="167"/>
        <v>0</v>
      </c>
      <c r="HH32" s="12">
        <f t="shared" si="168"/>
        <v>0</v>
      </c>
      <c r="HI32" s="12">
        <f t="shared" si="169"/>
        <v>0</v>
      </c>
      <c r="HJ32" s="12">
        <f t="shared" si="170"/>
        <v>0</v>
      </c>
      <c r="HK32" s="12">
        <f t="shared" si="171"/>
        <v>0</v>
      </c>
      <c r="HL32" s="12">
        <f t="shared" si="172"/>
        <v>0</v>
      </c>
      <c r="HM32" s="12">
        <f t="shared" si="173"/>
        <v>0</v>
      </c>
      <c r="HN32" s="12">
        <f t="shared" si="174"/>
        <v>0</v>
      </c>
      <c r="HO32" s="12">
        <f t="shared" si="175"/>
        <v>0</v>
      </c>
      <c r="HP32" s="12">
        <f t="shared" si="176"/>
        <v>0</v>
      </c>
      <c r="HQ32" s="12">
        <f t="shared" si="177"/>
        <v>0</v>
      </c>
      <c r="HR32" s="12">
        <f t="shared" si="178"/>
        <v>0</v>
      </c>
      <c r="HS32" s="12">
        <f t="shared" si="179"/>
        <v>0</v>
      </c>
      <c r="HT32" s="12">
        <f t="shared" si="180"/>
        <v>0</v>
      </c>
      <c r="HU32" s="12">
        <f t="shared" si="181"/>
        <v>0</v>
      </c>
      <c r="HV32" s="12">
        <f t="shared" si="182"/>
        <v>0</v>
      </c>
      <c r="HW32" s="12">
        <f t="shared" si="183"/>
        <v>0</v>
      </c>
      <c r="HX32" s="12">
        <f t="shared" si="184"/>
        <v>0</v>
      </c>
      <c r="HY32" s="12">
        <f t="shared" si="185"/>
        <v>0</v>
      </c>
      <c r="HZ32" s="12">
        <f t="shared" si="186"/>
        <v>0</v>
      </c>
      <c r="IA32" s="12">
        <f t="shared" si="187"/>
        <v>0</v>
      </c>
      <c r="IB32" s="12">
        <f t="shared" si="188"/>
        <v>0</v>
      </c>
      <c r="IC32" s="12">
        <f t="shared" si="189"/>
        <v>0</v>
      </c>
      <c r="ID32" s="12">
        <f t="shared" si="190"/>
        <v>0</v>
      </c>
      <c r="IE32" s="12">
        <f t="shared" si="191"/>
        <v>0</v>
      </c>
      <c r="IF32" s="12">
        <f t="shared" si="192"/>
        <v>0</v>
      </c>
      <c r="IG32" s="12">
        <f t="shared" si="193"/>
        <v>0</v>
      </c>
      <c r="IH32" s="12">
        <f t="shared" si="194"/>
        <v>0</v>
      </c>
      <c r="II32" s="12">
        <f t="shared" si="195"/>
        <v>0</v>
      </c>
      <c r="IJ32" s="12">
        <f t="shared" si="196"/>
        <v>0</v>
      </c>
      <c r="IK32" s="12">
        <f t="shared" si="197"/>
        <v>0</v>
      </c>
      <c r="IL32" s="12">
        <f t="shared" si="198"/>
        <v>0</v>
      </c>
      <c r="IM32" s="12">
        <f t="shared" si="199"/>
        <v>0</v>
      </c>
      <c r="IN32" s="12">
        <f t="shared" si="200"/>
        <v>0</v>
      </c>
      <c r="IO32" s="12">
        <f t="shared" si="201"/>
        <v>0</v>
      </c>
      <c r="IP32" s="12">
        <f t="shared" si="202"/>
        <v>0</v>
      </c>
      <c r="IQ32" s="12">
        <f t="shared" si="203"/>
        <v>0</v>
      </c>
      <c r="IR32" s="12">
        <f t="shared" si="204"/>
        <v>0</v>
      </c>
      <c r="IS32" s="12">
        <f t="shared" si="205"/>
        <v>0</v>
      </c>
      <c r="IT32" s="12">
        <f t="shared" si="206"/>
        <v>0</v>
      </c>
      <c r="IU32" s="12">
        <f t="shared" si="207"/>
        <v>0</v>
      </c>
      <c r="IV32" s="12">
        <f t="shared" si="208"/>
        <v>0</v>
      </c>
      <c r="IW32" s="12">
        <f t="shared" si="209"/>
        <v>0</v>
      </c>
      <c r="IX32" s="12">
        <f t="shared" si="210"/>
        <v>0</v>
      </c>
      <c r="IY32" s="12">
        <f t="shared" si="211"/>
        <v>0</v>
      </c>
      <c r="IZ32" s="12">
        <f t="shared" si="212"/>
        <v>1</v>
      </c>
      <c r="JA32" s="13">
        <f t="shared" si="213"/>
        <v>0</v>
      </c>
      <c r="JB32" s="13">
        <f t="shared" si="214"/>
        <v>0</v>
      </c>
      <c r="JC32" s="13">
        <f t="shared" si="215"/>
        <v>0</v>
      </c>
      <c r="JD32" s="13">
        <f t="shared" si="216"/>
        <v>0</v>
      </c>
      <c r="JE32" s="13">
        <f t="shared" si="217"/>
        <v>0</v>
      </c>
      <c r="JF32" s="13">
        <f t="shared" si="218"/>
        <v>0</v>
      </c>
      <c r="JG32" s="13">
        <f t="shared" si="219"/>
        <v>0</v>
      </c>
      <c r="JH32" s="13">
        <f t="shared" si="220"/>
        <v>0</v>
      </c>
      <c r="JI32" s="13">
        <f t="shared" si="221"/>
        <v>0</v>
      </c>
      <c r="JJ32" s="13">
        <f t="shared" si="222"/>
        <v>0</v>
      </c>
      <c r="JK32" s="13">
        <f t="shared" si="223"/>
        <v>0</v>
      </c>
      <c r="JL32" s="13">
        <f t="shared" si="224"/>
        <v>0</v>
      </c>
      <c r="JM32" s="13">
        <f t="shared" si="225"/>
        <v>0</v>
      </c>
      <c r="JN32" s="13">
        <f t="shared" si="226"/>
        <v>0</v>
      </c>
      <c r="JO32" s="13">
        <f t="shared" si="227"/>
        <v>0</v>
      </c>
      <c r="JP32" s="13">
        <f t="shared" si="228"/>
        <v>0</v>
      </c>
      <c r="JQ32" s="13">
        <f t="shared" si="229"/>
        <v>0</v>
      </c>
      <c r="JR32" s="13">
        <f t="shared" si="230"/>
        <v>0</v>
      </c>
      <c r="JS32" s="13">
        <f t="shared" si="231"/>
        <v>0</v>
      </c>
      <c r="JT32" s="13">
        <f t="shared" si="232"/>
        <v>0</v>
      </c>
      <c r="JU32" s="13">
        <f t="shared" si="233"/>
        <v>0</v>
      </c>
      <c r="JV32" s="12">
        <f t="shared" si="234"/>
        <v>0</v>
      </c>
      <c r="JW32" s="12">
        <f t="shared" si="235"/>
        <v>0</v>
      </c>
      <c r="JX32" s="12">
        <f t="shared" si="236"/>
        <v>0</v>
      </c>
      <c r="JY32" s="12">
        <f t="shared" si="237"/>
        <v>0</v>
      </c>
      <c r="JZ32" s="12">
        <f t="shared" si="238"/>
        <v>0</v>
      </c>
      <c r="KA32" s="12">
        <f t="shared" si="239"/>
        <v>0</v>
      </c>
      <c r="KB32" s="12">
        <f t="shared" si="240"/>
        <v>0</v>
      </c>
      <c r="KC32" s="12">
        <f t="shared" si="241"/>
        <v>0</v>
      </c>
      <c r="KD32" s="12">
        <f t="shared" si="242"/>
        <v>0</v>
      </c>
      <c r="KE32" s="12">
        <f t="shared" si="243"/>
        <v>0</v>
      </c>
      <c r="KF32" s="12">
        <f t="shared" si="244"/>
        <v>0</v>
      </c>
      <c r="KG32" s="12">
        <f t="shared" si="245"/>
        <v>0</v>
      </c>
      <c r="KH32" s="12">
        <f t="shared" si="246"/>
        <v>0</v>
      </c>
      <c r="KI32" s="12">
        <f t="shared" si="247"/>
        <v>0</v>
      </c>
      <c r="KJ32" s="12">
        <f t="shared" si="248"/>
        <v>0</v>
      </c>
      <c r="KK32" s="12">
        <f t="shared" si="249"/>
        <v>0</v>
      </c>
      <c r="KL32" s="12">
        <f t="shared" si="250"/>
        <v>0</v>
      </c>
      <c r="KM32" s="12">
        <f t="shared" si="251"/>
        <v>0</v>
      </c>
      <c r="KN32" s="12">
        <f t="shared" si="252"/>
        <v>0</v>
      </c>
      <c r="KO32" s="12">
        <f t="shared" si="253"/>
        <v>0</v>
      </c>
      <c r="KP32" s="12">
        <f t="shared" si="254"/>
        <v>0</v>
      </c>
      <c r="KQ32" s="12">
        <f t="shared" si="255"/>
        <v>0</v>
      </c>
      <c r="KR32" s="12">
        <f t="shared" si="256"/>
        <v>0</v>
      </c>
      <c r="KS32" s="12">
        <f t="shared" si="257"/>
        <v>0</v>
      </c>
      <c r="KT32" s="12">
        <f t="shared" si="258"/>
        <v>0</v>
      </c>
      <c r="KU32" s="12">
        <f t="shared" si="259"/>
        <v>0</v>
      </c>
      <c r="KV32" s="12">
        <f t="shared" si="260"/>
        <v>0</v>
      </c>
      <c r="KW32" s="12">
        <f t="shared" si="261"/>
        <v>0</v>
      </c>
      <c r="KX32" s="12">
        <f t="shared" si="262"/>
        <v>0</v>
      </c>
      <c r="KY32" s="12">
        <f t="shared" si="263"/>
        <v>0</v>
      </c>
      <c r="KZ32" s="12">
        <f t="shared" si="264"/>
        <v>0</v>
      </c>
      <c r="LA32" s="12">
        <f t="shared" si="265"/>
        <v>0</v>
      </c>
      <c r="LB32" s="12">
        <f t="shared" si="266"/>
        <v>0</v>
      </c>
      <c r="LC32" s="12">
        <f t="shared" si="267"/>
        <v>0</v>
      </c>
      <c r="LD32" s="12">
        <f t="shared" si="268"/>
        <v>0</v>
      </c>
      <c r="LE32" s="12">
        <f t="shared" si="269"/>
        <v>0</v>
      </c>
      <c r="LF32" s="12">
        <f t="shared" si="270"/>
        <v>0</v>
      </c>
      <c r="LG32" s="12">
        <f t="shared" si="271"/>
        <v>0</v>
      </c>
      <c r="LH32" s="12">
        <f t="shared" si="272"/>
        <v>0</v>
      </c>
      <c r="LI32" s="12">
        <f t="shared" si="273"/>
        <v>0</v>
      </c>
      <c r="LJ32" s="12">
        <f t="shared" si="274"/>
        <v>0</v>
      </c>
      <c r="LK32" s="12">
        <f t="shared" si="275"/>
        <v>0</v>
      </c>
      <c r="LL32" s="12">
        <f t="shared" si="276"/>
        <v>0</v>
      </c>
      <c r="LM32" s="12">
        <f t="shared" si="277"/>
        <v>0</v>
      </c>
      <c r="LN32" s="12">
        <f t="shared" si="278"/>
        <v>0</v>
      </c>
      <c r="LO32" s="12">
        <f t="shared" si="279"/>
        <v>0</v>
      </c>
      <c r="LP32" s="12">
        <f t="shared" si="280"/>
        <v>0</v>
      </c>
      <c r="LQ32" s="12">
        <f t="shared" si="281"/>
        <v>0</v>
      </c>
      <c r="LR32" s="12">
        <f t="shared" si="282"/>
        <v>0</v>
      </c>
      <c r="LS32" s="12">
        <f t="shared" si="283"/>
        <v>0</v>
      </c>
      <c r="LT32" s="13">
        <f t="shared" si="284"/>
        <v>0</v>
      </c>
      <c r="LU32" s="13">
        <f t="shared" si="285"/>
        <v>0</v>
      </c>
      <c r="LV32" s="13">
        <f t="shared" si="286"/>
        <v>0</v>
      </c>
      <c r="LW32" s="13">
        <f t="shared" si="287"/>
        <v>0</v>
      </c>
      <c r="LX32" s="13">
        <f t="shared" si="288"/>
        <v>0</v>
      </c>
      <c r="LY32" s="13">
        <f t="shared" si="289"/>
        <v>0</v>
      </c>
      <c r="LZ32" s="13">
        <f t="shared" si="290"/>
        <v>0</v>
      </c>
      <c r="MA32" s="13">
        <f t="shared" si="291"/>
        <v>1</v>
      </c>
      <c r="MB32" s="13">
        <f t="shared" si="292"/>
        <v>0</v>
      </c>
      <c r="MC32" s="13">
        <f t="shared" si="293"/>
        <v>0</v>
      </c>
      <c r="MD32" s="13">
        <f t="shared" si="294"/>
        <v>0</v>
      </c>
      <c r="ME32" s="13">
        <f t="shared" si="295"/>
        <v>0</v>
      </c>
      <c r="MF32" s="13">
        <f t="shared" si="296"/>
        <v>0</v>
      </c>
      <c r="MG32" s="13">
        <f t="shared" si="297"/>
        <v>0</v>
      </c>
      <c r="MH32" s="13">
        <f t="shared" si="298"/>
        <v>0</v>
      </c>
      <c r="MI32" s="13">
        <f t="shared" si="299"/>
        <v>0</v>
      </c>
      <c r="MJ32" s="13">
        <f t="shared" si="300"/>
        <v>0</v>
      </c>
      <c r="MK32" s="13">
        <f t="shared" si="301"/>
        <v>0</v>
      </c>
      <c r="ML32" s="14">
        <f t="shared" si="302"/>
        <v>0</v>
      </c>
      <c r="MM32" s="14">
        <f t="shared" si="303"/>
        <v>0</v>
      </c>
      <c r="MN32" s="14">
        <f t="shared" si="304"/>
        <v>0</v>
      </c>
      <c r="MO32" s="14">
        <f t="shared" si="305"/>
        <v>0</v>
      </c>
      <c r="MP32" s="14">
        <f t="shared" si="306"/>
        <v>0</v>
      </c>
      <c r="MQ32" s="14">
        <f t="shared" si="307"/>
        <v>0</v>
      </c>
      <c r="MR32" s="14">
        <f t="shared" si="308"/>
        <v>0</v>
      </c>
      <c r="MS32" s="14">
        <f t="shared" si="309"/>
        <v>0</v>
      </c>
      <c r="MT32" s="14">
        <f t="shared" si="310"/>
        <v>0</v>
      </c>
      <c r="MU32" s="14">
        <f t="shared" si="311"/>
        <v>0</v>
      </c>
      <c r="MV32" s="14">
        <f t="shared" si="312"/>
        <v>0</v>
      </c>
      <c r="MW32" s="14">
        <f t="shared" si="313"/>
        <v>0</v>
      </c>
      <c r="MX32" s="14">
        <f t="shared" si="314"/>
        <v>0</v>
      </c>
      <c r="MY32" s="14">
        <f t="shared" si="315"/>
        <v>1</v>
      </c>
      <c r="MZ32" s="14">
        <f t="shared" si="316"/>
        <v>0</v>
      </c>
      <c r="NA32" s="14">
        <f t="shared" si="317"/>
        <v>0</v>
      </c>
      <c r="NB32" s="14">
        <f t="shared" si="318"/>
        <v>0</v>
      </c>
    </row>
    <row r="33" ht="15.75" customHeight="1">
      <c r="A33" s="2">
        <v>250.0</v>
      </c>
      <c r="B33" s="2" t="s">
        <v>936</v>
      </c>
      <c r="C33" s="2" t="s">
        <v>937</v>
      </c>
      <c r="D33" s="2" t="s">
        <v>938</v>
      </c>
      <c r="E33" s="2">
        <v>2017.0</v>
      </c>
      <c r="F33" s="2" t="s">
        <v>939</v>
      </c>
      <c r="G33" s="2" t="s">
        <v>940</v>
      </c>
      <c r="H33" s="2" t="s">
        <v>656</v>
      </c>
      <c r="J33" s="2" t="s">
        <v>941</v>
      </c>
      <c r="K33" s="2" t="s">
        <v>942</v>
      </c>
      <c r="M33" s="2">
        <v>53.0</v>
      </c>
      <c r="N33" s="2" t="s">
        <v>943</v>
      </c>
      <c r="O33" s="2" t="s">
        <v>944</v>
      </c>
      <c r="P33" s="2" t="s">
        <v>945</v>
      </c>
      <c r="Q33" s="2" t="s">
        <v>946</v>
      </c>
      <c r="R33" s="2" t="s">
        <v>947</v>
      </c>
      <c r="S33" s="2" t="s">
        <v>948</v>
      </c>
      <c r="Y33" s="2" t="s">
        <v>949</v>
      </c>
      <c r="AB33" s="2" t="s">
        <v>950</v>
      </c>
      <c r="AG33" s="2" t="s">
        <v>951</v>
      </c>
      <c r="AK33" s="2" t="s">
        <v>952</v>
      </c>
      <c r="AL33" s="2" t="s">
        <v>384</v>
      </c>
      <c r="AM33" s="2" t="s">
        <v>385</v>
      </c>
      <c r="AN33" s="2" t="s">
        <v>386</v>
      </c>
      <c r="AO33" s="2" t="s">
        <v>953</v>
      </c>
      <c r="AP33" s="2" t="s">
        <v>386</v>
      </c>
      <c r="AQ33" s="2">
        <v>1407.0</v>
      </c>
      <c r="AR33" s="2" t="s">
        <v>954</v>
      </c>
      <c r="AS33" s="2" t="b">
        <v>1</v>
      </c>
      <c r="AT33" s="3">
        <v>0.0</v>
      </c>
      <c r="AU33" s="4"/>
      <c r="AV33" s="4"/>
      <c r="AW33" s="5">
        <f t="shared" si="3"/>
        <v>0</v>
      </c>
      <c r="AX33" s="5">
        <f t="shared" si="4"/>
        <v>0</v>
      </c>
      <c r="AY33" s="5">
        <f t="shared" si="5"/>
        <v>1</v>
      </c>
      <c r="AZ33" s="5">
        <f t="shared" si="6"/>
        <v>0</v>
      </c>
      <c r="BA33" s="5">
        <f t="shared" si="7"/>
        <v>0</v>
      </c>
      <c r="BB33" s="5">
        <f t="shared" si="8"/>
        <v>1</v>
      </c>
      <c r="BC33" s="5">
        <f t="shared" si="9"/>
        <v>0</v>
      </c>
      <c r="BD33" s="5">
        <f t="shared" si="10"/>
        <v>0</v>
      </c>
      <c r="BE33" s="5">
        <f t="shared" si="11"/>
        <v>0</v>
      </c>
      <c r="BF33" s="5">
        <f t="shared" si="12"/>
        <v>0</v>
      </c>
      <c r="BG33" s="5">
        <f t="shared" si="13"/>
        <v>0</v>
      </c>
      <c r="BH33" s="5">
        <f t="shared" si="14"/>
        <v>0</v>
      </c>
      <c r="BI33" s="5">
        <f t="shared" si="15"/>
        <v>0</v>
      </c>
      <c r="BJ33" s="5">
        <f t="shared" si="16"/>
        <v>0</v>
      </c>
      <c r="BK33" s="5">
        <f t="shared" si="17"/>
        <v>0</v>
      </c>
      <c r="BL33" s="5">
        <f t="shared" si="18"/>
        <v>0</v>
      </c>
      <c r="BM33" s="5">
        <f t="shared" si="19"/>
        <v>0</v>
      </c>
      <c r="BN33" s="5">
        <f t="shared" si="20"/>
        <v>0</v>
      </c>
      <c r="BO33" s="5">
        <f t="shared" si="21"/>
        <v>0</v>
      </c>
      <c r="BP33" s="5">
        <f t="shared" si="22"/>
        <v>0</v>
      </c>
      <c r="BQ33" s="5">
        <f t="shared" si="23"/>
        <v>0</v>
      </c>
      <c r="BR33" s="5">
        <f t="shared" si="24"/>
        <v>0</v>
      </c>
      <c r="BS33" s="5">
        <f t="shared" si="25"/>
        <v>0</v>
      </c>
      <c r="BT33" s="5">
        <f t="shared" si="26"/>
        <v>0</v>
      </c>
      <c r="BU33" s="5">
        <f t="shared" si="27"/>
        <v>1</v>
      </c>
      <c r="BV33" s="5">
        <f t="shared" ref="BV33:BW33" si="388">IF(OR(ISNUMBER(SEARCH("grit",$D33)),ISNUMBER(SEARCH("grit",$T33)),ISNUMBER(SEARCH("grit",$R33)),ISNUMBER(SEARCH("grit",$S33)),
ISNUMBER(SEARCH("determination",$D33)),ISNUMBER(SEARCH("determination",$T33)),ISNUMBER(SEARCH("determination",$R33)),ISNUMBER(SEARCH("determination",$S33)),
ISNUMBER(SEARCH("tenacity",$D33)),ISNUMBER(SEARCH("tenacity",$T33)),ISNUMBER(SEARCH("tenacity",$R33)),ISNUMBER(SEARCH("tenacity",$S33)),
ISNUMBER(SEARCH("endurance",$D33)),ISNUMBER(SEARCH("endurance",$T33)),ISNUMBER(SEARCH("endurance",$R33)),ISNUMBER(SEARCH("endurance",$S33)),
ISNUMBER(SEARCH("fortitude",$D33)),ISNUMBER(SEARCH("fortitude",$T33)),ISNUMBER(SEARCH("fortitude",$R33)),ISNUMBER(SEARCH("fortitude",$S33)),
ISNUMBER(SEARCH("resolve",$D33)),ISNUMBER(SEARCH("resolve",$T33)),ISNUMBER(SEARCH("resolve",$R33)),ISNUMBER(SEARCH("resolve",$S33)),
ISNUMBER(SEARCH("stamina",$D33)),ISNUMBER(SEARCH("stamina",$T33)),ISNUMBER(SEARCH("stamina",$R33)),ISNUMBER(SEARCH("stamina",$S33)),
ISNUMBER(SEARCH("guts",$D33)),ISNUMBER(SEARCH("guts",$T33)),ISNUMBER(SEARCH("guts",$R33)),ISNUMBER(SEARCH("guts",$S33)),
ISNUMBER(SEARCH("spunk",$D33)),ISNUMBER(SEARCH("spunk",$T33)),ISNUMBER(SEARCH("spunk",$R33)),ISNUMBER(SEARCH("spunk",$S33))), 1, 0)</f>
        <v>1</v>
      </c>
      <c r="BW33" s="5">
        <f t="shared" si="388"/>
        <v>1</v>
      </c>
      <c r="BX33" s="5">
        <f t="shared" si="29"/>
        <v>0</v>
      </c>
      <c r="BY33" s="5">
        <f t="shared" si="30"/>
        <v>0</v>
      </c>
      <c r="BZ33" s="5">
        <f t="shared" si="31"/>
        <v>0</v>
      </c>
      <c r="CA33" s="5">
        <f t="shared" si="32"/>
        <v>0</v>
      </c>
      <c r="CB33" s="5">
        <f t="shared" si="33"/>
        <v>0</v>
      </c>
      <c r="CC33" s="5">
        <f t="shared" si="34"/>
        <v>0</v>
      </c>
      <c r="CD33" s="5">
        <f t="shared" si="35"/>
        <v>0</v>
      </c>
      <c r="CE33" s="5">
        <f t="shared" si="36"/>
        <v>0</v>
      </c>
      <c r="CF33" s="5">
        <f t="shared" si="37"/>
        <v>0</v>
      </c>
      <c r="CG33" s="5">
        <f t="shared" si="38"/>
        <v>0</v>
      </c>
      <c r="CH33" s="5">
        <f t="shared" si="39"/>
        <v>0</v>
      </c>
      <c r="CI33" s="5">
        <f t="shared" si="40"/>
        <v>0</v>
      </c>
      <c r="CJ33" s="5">
        <f t="shared" si="41"/>
        <v>0</v>
      </c>
      <c r="CK33" s="5">
        <f t="shared" si="42"/>
        <v>0</v>
      </c>
      <c r="CL33" s="5">
        <f t="shared" si="43"/>
        <v>0</v>
      </c>
      <c r="CM33" s="5">
        <f t="shared" si="44"/>
        <v>0</v>
      </c>
      <c r="CN33" s="5">
        <f t="shared" si="45"/>
        <v>0</v>
      </c>
      <c r="CO33" s="5">
        <f t="shared" si="46"/>
        <v>0</v>
      </c>
      <c r="CP33" s="6">
        <f t="shared" si="47"/>
        <v>0</v>
      </c>
      <c r="CQ33" s="6">
        <f t="shared" si="48"/>
        <v>0</v>
      </c>
      <c r="CR33" s="6">
        <f t="shared" si="49"/>
        <v>1</v>
      </c>
      <c r="CS33" s="6">
        <f t="shared" si="50"/>
        <v>0</v>
      </c>
      <c r="CT33" s="6">
        <f t="shared" si="51"/>
        <v>0</v>
      </c>
      <c r="CU33" s="6">
        <f t="shared" si="52"/>
        <v>0</v>
      </c>
      <c r="CV33" s="6">
        <f t="shared" si="53"/>
        <v>0</v>
      </c>
      <c r="CW33" s="6">
        <f t="shared" si="54"/>
        <v>0</v>
      </c>
      <c r="CX33" s="6">
        <f t="shared" si="55"/>
        <v>0</v>
      </c>
      <c r="CY33" s="6">
        <f t="shared" si="56"/>
        <v>0</v>
      </c>
      <c r="CZ33" s="6">
        <f t="shared" si="57"/>
        <v>0</v>
      </c>
      <c r="DA33" s="6">
        <f t="shared" si="58"/>
        <v>1</v>
      </c>
      <c r="DB33" s="6">
        <f t="shared" si="59"/>
        <v>0</v>
      </c>
      <c r="DC33" s="6">
        <f t="shared" si="60"/>
        <v>0</v>
      </c>
      <c r="DD33" s="6">
        <f t="shared" si="61"/>
        <v>0</v>
      </c>
      <c r="DE33" s="6">
        <f t="shared" si="62"/>
        <v>0</v>
      </c>
      <c r="DF33" s="6">
        <f t="shared" si="63"/>
        <v>0</v>
      </c>
      <c r="DG33" s="6">
        <f t="shared" si="64"/>
        <v>0</v>
      </c>
      <c r="DH33" s="6">
        <f t="shared" si="384"/>
        <v>0</v>
      </c>
      <c r="DI33" s="6">
        <f t="shared" si="66"/>
        <v>0</v>
      </c>
      <c r="DJ33" s="6">
        <f t="shared" si="385"/>
        <v>0</v>
      </c>
      <c r="DK33" s="7">
        <f t="shared" si="68"/>
        <v>0</v>
      </c>
      <c r="DL33" s="7">
        <f t="shared" si="374"/>
        <v>0</v>
      </c>
      <c r="DM33" s="7">
        <f t="shared" si="70"/>
        <v>0</v>
      </c>
      <c r="DN33" s="7">
        <f t="shared" si="71"/>
        <v>0</v>
      </c>
      <c r="DO33" s="7">
        <f t="shared" si="72"/>
        <v>1</v>
      </c>
      <c r="DP33" s="8">
        <f t="shared" si="73"/>
        <v>0</v>
      </c>
      <c r="DQ33" s="8">
        <f t="shared" si="74"/>
        <v>1</v>
      </c>
      <c r="DR33" s="7">
        <f t="shared" si="75"/>
        <v>0</v>
      </c>
      <c r="DS33" s="7">
        <f t="shared" si="76"/>
        <v>0</v>
      </c>
      <c r="DT33" s="7">
        <f t="shared" si="77"/>
        <v>0</v>
      </c>
      <c r="DU33" s="9">
        <f t="shared" si="78"/>
        <v>0</v>
      </c>
      <c r="DV33" s="9">
        <f t="shared" si="79"/>
        <v>0</v>
      </c>
      <c r="DW33" s="9">
        <f t="shared" si="80"/>
        <v>0</v>
      </c>
      <c r="DX33" s="9">
        <f t="shared" si="81"/>
        <v>0</v>
      </c>
      <c r="DY33" s="9">
        <f t="shared" si="82"/>
        <v>0</v>
      </c>
      <c r="DZ33" s="9">
        <f t="shared" si="83"/>
        <v>0</v>
      </c>
      <c r="EA33" s="9">
        <f t="shared" si="84"/>
        <v>0</v>
      </c>
      <c r="EB33" s="9">
        <f t="shared" si="85"/>
        <v>0</v>
      </c>
      <c r="EC33" s="9">
        <f t="shared" si="86"/>
        <v>0</v>
      </c>
      <c r="ED33" s="9">
        <f t="shared" si="87"/>
        <v>0</v>
      </c>
      <c r="EE33" s="9">
        <f t="shared" si="88"/>
        <v>0</v>
      </c>
      <c r="EF33" s="9">
        <f t="shared" si="89"/>
        <v>0</v>
      </c>
      <c r="EG33" s="9">
        <f t="shared" si="90"/>
        <v>0</v>
      </c>
      <c r="EH33" s="9">
        <f t="shared" si="91"/>
        <v>0</v>
      </c>
      <c r="EI33" s="9">
        <f t="shared" si="92"/>
        <v>0</v>
      </c>
      <c r="EJ33" s="10">
        <f t="shared" si="93"/>
        <v>0</v>
      </c>
      <c r="EK33" s="10">
        <f t="shared" si="94"/>
        <v>0</v>
      </c>
      <c r="EL33" s="10">
        <f t="shared" ref="EL33:EM33" si="389">IF(OR(ISNUMBER(SEARCH("ai software toolkit", $D33)), ISNUMBER(SEARCH("ai software toolkit", $T33)), ISNUMBER(SEARCH("ai software toolkit", $R33)), ISNUMBER(SEARCH("ai software toolkit", $S33))), 1, 0)</f>
        <v>0</v>
      </c>
      <c r="EM33" s="10">
        <f t="shared" si="389"/>
        <v>0</v>
      </c>
      <c r="EN33" s="10">
        <f t="shared" si="96"/>
        <v>0</v>
      </c>
      <c r="EO33" s="10">
        <f t="shared" si="97"/>
        <v>0</v>
      </c>
      <c r="EP33" s="10">
        <f t="shared" si="98"/>
        <v>0</v>
      </c>
      <c r="EQ33" s="10">
        <f t="shared" si="99"/>
        <v>0</v>
      </c>
      <c r="ER33" s="10">
        <f t="shared" si="100"/>
        <v>0</v>
      </c>
      <c r="ES33" s="10">
        <f t="shared" si="101"/>
        <v>0</v>
      </c>
      <c r="ET33" s="10">
        <f t="shared" si="102"/>
        <v>0</v>
      </c>
      <c r="EU33" s="10">
        <f t="shared" si="103"/>
        <v>0</v>
      </c>
      <c r="EV33" s="10">
        <f t="shared" si="104"/>
        <v>0</v>
      </c>
      <c r="EW33" s="10">
        <f t="shared" si="105"/>
        <v>0</v>
      </c>
      <c r="EX33" s="10">
        <f t="shared" si="106"/>
        <v>0</v>
      </c>
      <c r="EY33" s="10">
        <f t="shared" si="107"/>
        <v>0</v>
      </c>
      <c r="EZ33" s="10">
        <f t="shared" si="108"/>
        <v>0</v>
      </c>
      <c r="FA33" s="10">
        <f t="shared" si="109"/>
        <v>0</v>
      </c>
      <c r="FB33" s="10">
        <f t="shared" si="110"/>
        <v>0</v>
      </c>
      <c r="FC33" s="10">
        <f t="shared" si="111"/>
        <v>0</v>
      </c>
      <c r="FD33" s="10">
        <f t="shared" si="112"/>
        <v>0</v>
      </c>
      <c r="FE33" s="10">
        <f t="shared" si="113"/>
        <v>0</v>
      </c>
      <c r="FF33" s="10">
        <f t="shared" si="114"/>
        <v>0</v>
      </c>
      <c r="FG33" s="10">
        <f t="shared" si="115"/>
        <v>0</v>
      </c>
      <c r="FH33" s="10">
        <f t="shared" si="116"/>
        <v>0</v>
      </c>
      <c r="FI33" s="10">
        <f t="shared" si="117"/>
        <v>0</v>
      </c>
      <c r="FJ33" s="10">
        <f t="shared" si="118"/>
        <v>0</v>
      </c>
      <c r="FK33" s="10">
        <f t="shared" si="119"/>
        <v>0</v>
      </c>
      <c r="FL33" s="10">
        <f t="shared" si="120"/>
        <v>0</v>
      </c>
      <c r="FM33" s="10">
        <f t="shared" si="121"/>
        <v>0</v>
      </c>
      <c r="FN33" s="10">
        <f t="shared" si="122"/>
        <v>0</v>
      </c>
      <c r="FO33" s="10">
        <f t="shared" si="123"/>
        <v>0</v>
      </c>
      <c r="FP33" s="10">
        <f t="shared" si="124"/>
        <v>0</v>
      </c>
      <c r="FQ33" s="10">
        <f t="shared" si="125"/>
        <v>0</v>
      </c>
      <c r="FR33" s="11">
        <f>IF(
OR(
ISNUMBER(SEARCH("chatbot",$D33)),ISNUMBER(SEARCH("chatbot",$T33)),ISNUMBER(SEARCH("chatbot",$R32)),ISNUMBER(SEARCH("chatbot",$S33)),
ISNUMBER(SEARCH("virtual assistance",$D33)),ISNUMBER(SEARCH("virtual assistance",$T33)),ISNUMBER(SEARCH("virtual assistance",$R33)),ISNUMBER(SEARCH("virtual assistance",$S33))), 1, 0)</f>
        <v>0</v>
      </c>
      <c r="FS33" s="11">
        <f t="shared" si="127"/>
        <v>0</v>
      </c>
      <c r="FT33" s="11">
        <f t="shared" si="128"/>
        <v>0</v>
      </c>
      <c r="FU33" s="11">
        <f t="shared" si="129"/>
        <v>0</v>
      </c>
      <c r="FV33" s="11">
        <f t="shared" si="130"/>
        <v>0</v>
      </c>
      <c r="FW33" s="11">
        <f t="shared" si="131"/>
        <v>0</v>
      </c>
      <c r="FX33" s="11">
        <f t="shared" si="132"/>
        <v>0</v>
      </c>
      <c r="FY33" s="11">
        <f t="shared" si="133"/>
        <v>0</v>
      </c>
      <c r="FZ33" s="11">
        <f t="shared" si="134"/>
        <v>0</v>
      </c>
      <c r="GA33" s="11">
        <f t="shared" si="135"/>
        <v>0</v>
      </c>
      <c r="GB33" s="11">
        <f t="shared" si="136"/>
        <v>0</v>
      </c>
      <c r="GC33" s="11">
        <f t="shared" si="137"/>
        <v>0</v>
      </c>
      <c r="GD33" s="11">
        <f t="shared" si="138"/>
        <v>0</v>
      </c>
      <c r="GE33" s="11">
        <f t="shared" si="139"/>
        <v>0</v>
      </c>
      <c r="GF33" s="11">
        <f t="shared" si="140"/>
        <v>0</v>
      </c>
      <c r="GG33" s="11">
        <f t="shared" si="141"/>
        <v>0</v>
      </c>
      <c r="GH33" s="11">
        <f t="shared" si="142"/>
        <v>0</v>
      </c>
      <c r="GI33" s="11">
        <f t="shared" si="143"/>
        <v>0</v>
      </c>
      <c r="GJ33" s="11">
        <f t="shared" si="144"/>
        <v>0</v>
      </c>
      <c r="GK33" s="11">
        <f t="shared" si="145"/>
        <v>0</v>
      </c>
      <c r="GL33" s="11">
        <f t="shared" si="146"/>
        <v>0</v>
      </c>
      <c r="GM33" s="11">
        <f t="shared" si="147"/>
        <v>0</v>
      </c>
      <c r="GN33" s="11">
        <f t="shared" si="148"/>
        <v>0</v>
      </c>
      <c r="GO33" s="11">
        <f t="shared" si="149"/>
        <v>0</v>
      </c>
      <c r="GP33" s="11">
        <f t="shared" si="150"/>
        <v>0</v>
      </c>
      <c r="GQ33" s="11">
        <f t="shared" si="151"/>
        <v>0</v>
      </c>
      <c r="GR33" s="11">
        <f t="shared" si="152"/>
        <v>0</v>
      </c>
      <c r="GS33" s="11">
        <f t="shared" si="153"/>
        <v>0</v>
      </c>
      <c r="GT33" s="11">
        <f t="shared" si="154"/>
        <v>0</v>
      </c>
      <c r="GU33" s="12">
        <f t="shared" si="155"/>
        <v>0</v>
      </c>
      <c r="GV33" s="12">
        <f t="shared" si="156"/>
        <v>0</v>
      </c>
      <c r="GW33" s="12">
        <f t="shared" si="157"/>
        <v>0</v>
      </c>
      <c r="GX33" s="12">
        <f t="shared" si="158"/>
        <v>0</v>
      </c>
      <c r="GY33" s="12">
        <f t="shared" si="159"/>
        <v>0</v>
      </c>
      <c r="GZ33" s="12">
        <f t="shared" si="160"/>
        <v>0</v>
      </c>
      <c r="HA33" s="12">
        <f t="shared" si="161"/>
        <v>0</v>
      </c>
      <c r="HB33" s="12">
        <f t="shared" si="162"/>
        <v>0</v>
      </c>
      <c r="HC33" s="12">
        <f t="shared" si="163"/>
        <v>0</v>
      </c>
      <c r="HD33" s="12">
        <f t="shared" si="164"/>
        <v>0</v>
      </c>
      <c r="HE33" s="12">
        <f t="shared" si="165"/>
        <v>0</v>
      </c>
      <c r="HF33" s="12">
        <f t="shared" si="166"/>
        <v>0</v>
      </c>
      <c r="HG33" s="12">
        <f t="shared" si="167"/>
        <v>0</v>
      </c>
      <c r="HH33" s="12">
        <f t="shared" si="168"/>
        <v>0</v>
      </c>
      <c r="HI33" s="12">
        <f t="shared" si="169"/>
        <v>0</v>
      </c>
      <c r="HJ33" s="12">
        <f t="shared" si="170"/>
        <v>0</v>
      </c>
      <c r="HK33" s="12">
        <f t="shared" si="171"/>
        <v>0</v>
      </c>
      <c r="HL33" s="12">
        <f t="shared" si="172"/>
        <v>0</v>
      </c>
      <c r="HM33" s="12">
        <f t="shared" si="173"/>
        <v>0</v>
      </c>
      <c r="HN33" s="12">
        <f t="shared" si="174"/>
        <v>0</v>
      </c>
      <c r="HO33" s="12">
        <f t="shared" si="175"/>
        <v>0</v>
      </c>
      <c r="HP33" s="12">
        <f t="shared" si="176"/>
        <v>0</v>
      </c>
      <c r="HQ33" s="12">
        <f t="shared" si="177"/>
        <v>0</v>
      </c>
      <c r="HR33" s="12">
        <f t="shared" si="178"/>
        <v>0</v>
      </c>
      <c r="HS33" s="12">
        <f t="shared" si="179"/>
        <v>0</v>
      </c>
      <c r="HT33" s="12">
        <f t="shared" si="180"/>
        <v>0</v>
      </c>
      <c r="HU33" s="12">
        <f t="shared" si="181"/>
        <v>0</v>
      </c>
      <c r="HV33" s="12">
        <f t="shared" si="182"/>
        <v>0</v>
      </c>
      <c r="HW33" s="12">
        <f t="shared" si="183"/>
        <v>0</v>
      </c>
      <c r="HX33" s="12">
        <f t="shared" si="184"/>
        <v>0</v>
      </c>
      <c r="HY33" s="12">
        <f t="shared" si="185"/>
        <v>0</v>
      </c>
      <c r="HZ33" s="12">
        <f t="shared" si="186"/>
        <v>0</v>
      </c>
      <c r="IA33" s="12">
        <f t="shared" si="187"/>
        <v>0</v>
      </c>
      <c r="IB33" s="12">
        <f t="shared" si="188"/>
        <v>0</v>
      </c>
      <c r="IC33" s="12">
        <f t="shared" si="189"/>
        <v>0</v>
      </c>
      <c r="ID33" s="12">
        <f t="shared" si="190"/>
        <v>0</v>
      </c>
      <c r="IE33" s="12">
        <f t="shared" si="191"/>
        <v>0</v>
      </c>
      <c r="IF33" s="12">
        <f t="shared" si="192"/>
        <v>0</v>
      </c>
      <c r="IG33" s="12">
        <f t="shared" si="193"/>
        <v>0</v>
      </c>
      <c r="IH33" s="12">
        <f t="shared" si="194"/>
        <v>0</v>
      </c>
      <c r="II33" s="12">
        <f t="shared" si="195"/>
        <v>0</v>
      </c>
      <c r="IJ33" s="12">
        <f t="shared" si="196"/>
        <v>0</v>
      </c>
      <c r="IK33" s="12">
        <f t="shared" si="197"/>
        <v>0</v>
      </c>
      <c r="IL33" s="12">
        <f t="shared" si="198"/>
        <v>0</v>
      </c>
      <c r="IM33" s="12">
        <f t="shared" si="199"/>
        <v>0</v>
      </c>
      <c r="IN33" s="12">
        <f t="shared" si="200"/>
        <v>0</v>
      </c>
      <c r="IO33" s="12">
        <f t="shared" si="201"/>
        <v>0</v>
      </c>
      <c r="IP33" s="12">
        <f t="shared" si="202"/>
        <v>0</v>
      </c>
      <c r="IQ33" s="12">
        <f t="shared" si="203"/>
        <v>0</v>
      </c>
      <c r="IR33" s="12">
        <f t="shared" si="204"/>
        <v>0</v>
      </c>
      <c r="IS33" s="12">
        <f t="shared" si="205"/>
        <v>0</v>
      </c>
      <c r="IT33" s="12">
        <f t="shared" si="206"/>
        <v>0</v>
      </c>
      <c r="IU33" s="12">
        <f t="shared" si="207"/>
        <v>0</v>
      </c>
      <c r="IV33" s="12">
        <f t="shared" si="208"/>
        <v>0</v>
      </c>
      <c r="IW33" s="12">
        <f t="shared" si="209"/>
        <v>0</v>
      </c>
      <c r="IX33" s="12">
        <f t="shared" si="210"/>
        <v>0</v>
      </c>
      <c r="IY33" s="12">
        <f t="shared" si="211"/>
        <v>0</v>
      </c>
      <c r="IZ33" s="12">
        <f t="shared" si="212"/>
        <v>1</v>
      </c>
      <c r="JA33" s="13">
        <f t="shared" si="213"/>
        <v>0</v>
      </c>
      <c r="JB33" s="13">
        <f t="shared" si="214"/>
        <v>0</v>
      </c>
      <c r="JC33" s="13">
        <f t="shared" si="215"/>
        <v>0</v>
      </c>
      <c r="JD33" s="13">
        <f t="shared" si="216"/>
        <v>0</v>
      </c>
      <c r="JE33" s="13">
        <f t="shared" si="217"/>
        <v>0</v>
      </c>
      <c r="JF33" s="13">
        <f t="shared" si="218"/>
        <v>0</v>
      </c>
      <c r="JG33" s="13">
        <f t="shared" si="219"/>
        <v>0</v>
      </c>
      <c r="JH33" s="13">
        <f t="shared" si="220"/>
        <v>0</v>
      </c>
      <c r="JI33" s="13">
        <f t="shared" si="221"/>
        <v>0</v>
      </c>
      <c r="JJ33" s="13">
        <f t="shared" si="222"/>
        <v>0</v>
      </c>
      <c r="JK33" s="13">
        <f t="shared" si="223"/>
        <v>0</v>
      </c>
      <c r="JL33" s="13">
        <f t="shared" si="224"/>
        <v>0</v>
      </c>
      <c r="JM33" s="13">
        <f t="shared" si="225"/>
        <v>0</v>
      </c>
      <c r="JN33" s="13">
        <f t="shared" si="226"/>
        <v>0</v>
      </c>
      <c r="JO33" s="13">
        <f t="shared" si="227"/>
        <v>0</v>
      </c>
      <c r="JP33" s="13">
        <f t="shared" si="228"/>
        <v>0</v>
      </c>
      <c r="JQ33" s="13">
        <f t="shared" si="229"/>
        <v>0</v>
      </c>
      <c r="JR33" s="13">
        <f t="shared" si="230"/>
        <v>0</v>
      </c>
      <c r="JS33" s="13">
        <f t="shared" si="231"/>
        <v>0</v>
      </c>
      <c r="JT33" s="13">
        <f t="shared" si="232"/>
        <v>0</v>
      </c>
      <c r="JU33" s="13">
        <f t="shared" si="233"/>
        <v>0</v>
      </c>
      <c r="JV33" s="12">
        <f t="shared" si="234"/>
        <v>0</v>
      </c>
      <c r="JW33" s="12">
        <f t="shared" si="235"/>
        <v>0</v>
      </c>
      <c r="JX33" s="12">
        <f t="shared" si="236"/>
        <v>0</v>
      </c>
      <c r="JY33" s="12">
        <f t="shared" si="237"/>
        <v>0</v>
      </c>
      <c r="JZ33" s="12">
        <f t="shared" si="238"/>
        <v>0</v>
      </c>
      <c r="KA33" s="12">
        <f t="shared" si="239"/>
        <v>0</v>
      </c>
      <c r="KB33" s="12">
        <f t="shared" si="240"/>
        <v>0</v>
      </c>
      <c r="KC33" s="12">
        <f t="shared" si="241"/>
        <v>0</v>
      </c>
      <c r="KD33" s="12">
        <f t="shared" si="242"/>
        <v>0</v>
      </c>
      <c r="KE33" s="12">
        <f t="shared" si="243"/>
        <v>0</v>
      </c>
      <c r="KF33" s="12">
        <f t="shared" si="244"/>
        <v>0</v>
      </c>
      <c r="KG33" s="12">
        <f t="shared" si="245"/>
        <v>0</v>
      </c>
      <c r="KH33" s="12">
        <f t="shared" si="246"/>
        <v>0</v>
      </c>
      <c r="KI33" s="12">
        <f t="shared" si="247"/>
        <v>0</v>
      </c>
      <c r="KJ33" s="12">
        <f t="shared" si="248"/>
        <v>0</v>
      </c>
      <c r="KK33" s="12">
        <f t="shared" si="249"/>
        <v>0</v>
      </c>
      <c r="KL33" s="12">
        <f t="shared" si="250"/>
        <v>0</v>
      </c>
      <c r="KM33" s="12">
        <f t="shared" si="251"/>
        <v>0</v>
      </c>
      <c r="KN33" s="12">
        <f t="shared" si="252"/>
        <v>0</v>
      </c>
      <c r="KO33" s="12">
        <f t="shared" si="253"/>
        <v>0</v>
      </c>
      <c r="KP33" s="12">
        <f t="shared" si="254"/>
        <v>0</v>
      </c>
      <c r="KQ33" s="12">
        <f t="shared" si="255"/>
        <v>0</v>
      </c>
      <c r="KR33" s="12">
        <f t="shared" si="256"/>
        <v>0</v>
      </c>
      <c r="KS33" s="12">
        <f t="shared" si="257"/>
        <v>0</v>
      </c>
      <c r="KT33" s="12">
        <f t="shared" si="258"/>
        <v>0</v>
      </c>
      <c r="KU33" s="12">
        <f t="shared" si="259"/>
        <v>0</v>
      </c>
      <c r="KV33" s="12">
        <f t="shared" si="260"/>
        <v>0</v>
      </c>
      <c r="KW33" s="12">
        <f t="shared" si="261"/>
        <v>0</v>
      </c>
      <c r="KX33" s="12">
        <f t="shared" si="262"/>
        <v>0</v>
      </c>
      <c r="KY33" s="12">
        <f t="shared" si="263"/>
        <v>0</v>
      </c>
      <c r="KZ33" s="12">
        <f t="shared" si="264"/>
        <v>0</v>
      </c>
      <c r="LA33" s="12">
        <f t="shared" si="265"/>
        <v>0</v>
      </c>
      <c r="LB33" s="12">
        <f t="shared" si="266"/>
        <v>0</v>
      </c>
      <c r="LC33" s="12">
        <f t="shared" si="267"/>
        <v>0</v>
      </c>
      <c r="LD33" s="12">
        <f t="shared" si="268"/>
        <v>0</v>
      </c>
      <c r="LE33" s="12">
        <f t="shared" si="269"/>
        <v>0</v>
      </c>
      <c r="LF33" s="12">
        <f t="shared" si="270"/>
        <v>0</v>
      </c>
      <c r="LG33" s="12">
        <f t="shared" si="271"/>
        <v>0</v>
      </c>
      <c r="LH33" s="12">
        <f t="shared" si="272"/>
        <v>0</v>
      </c>
      <c r="LI33" s="12">
        <f t="shared" si="273"/>
        <v>0</v>
      </c>
      <c r="LJ33" s="12">
        <f t="shared" si="274"/>
        <v>0</v>
      </c>
      <c r="LK33" s="12">
        <f t="shared" si="275"/>
        <v>0</v>
      </c>
      <c r="LL33" s="12">
        <f t="shared" si="276"/>
        <v>0</v>
      </c>
      <c r="LM33" s="12">
        <f t="shared" si="277"/>
        <v>0</v>
      </c>
      <c r="LN33" s="12">
        <f t="shared" si="278"/>
        <v>0</v>
      </c>
      <c r="LO33" s="12">
        <f t="shared" si="279"/>
        <v>0</v>
      </c>
      <c r="LP33" s="12">
        <f t="shared" si="280"/>
        <v>0</v>
      </c>
      <c r="LQ33" s="12">
        <f t="shared" si="281"/>
        <v>0</v>
      </c>
      <c r="LR33" s="12">
        <f t="shared" si="282"/>
        <v>0</v>
      </c>
      <c r="LS33" s="12">
        <f t="shared" si="283"/>
        <v>0</v>
      </c>
      <c r="LT33" s="13">
        <f t="shared" si="284"/>
        <v>0</v>
      </c>
      <c r="LU33" s="13">
        <f t="shared" si="285"/>
        <v>0</v>
      </c>
      <c r="LV33" s="13">
        <f t="shared" si="286"/>
        <v>0</v>
      </c>
      <c r="LW33" s="13">
        <f t="shared" si="287"/>
        <v>0</v>
      </c>
      <c r="LX33" s="13">
        <f t="shared" si="288"/>
        <v>0</v>
      </c>
      <c r="LY33" s="13">
        <f t="shared" si="289"/>
        <v>0</v>
      </c>
      <c r="LZ33" s="13">
        <f t="shared" si="290"/>
        <v>0</v>
      </c>
      <c r="MA33" s="13">
        <f t="shared" si="291"/>
        <v>0</v>
      </c>
      <c r="MB33" s="13">
        <f t="shared" si="292"/>
        <v>0</v>
      </c>
      <c r="MC33" s="13">
        <f t="shared" si="293"/>
        <v>0</v>
      </c>
      <c r="MD33" s="13">
        <f t="shared" si="294"/>
        <v>0</v>
      </c>
      <c r="ME33" s="13">
        <f t="shared" si="295"/>
        <v>0</v>
      </c>
      <c r="MF33" s="13">
        <f t="shared" si="296"/>
        <v>0</v>
      </c>
      <c r="MG33" s="13">
        <f t="shared" si="297"/>
        <v>0</v>
      </c>
      <c r="MH33" s="13">
        <f t="shared" si="298"/>
        <v>0</v>
      </c>
      <c r="MI33" s="13">
        <f t="shared" si="299"/>
        <v>0</v>
      </c>
      <c r="MJ33" s="13">
        <f t="shared" si="300"/>
        <v>0</v>
      </c>
      <c r="MK33" s="13">
        <f t="shared" si="301"/>
        <v>0</v>
      </c>
      <c r="ML33" s="14">
        <f t="shared" si="302"/>
        <v>0</v>
      </c>
      <c r="MM33" s="14">
        <f t="shared" si="303"/>
        <v>0</v>
      </c>
      <c r="MN33" s="14">
        <f t="shared" si="304"/>
        <v>0</v>
      </c>
      <c r="MO33" s="14">
        <f t="shared" si="305"/>
        <v>0</v>
      </c>
      <c r="MP33" s="14">
        <f t="shared" si="306"/>
        <v>0</v>
      </c>
      <c r="MQ33" s="14">
        <f t="shared" si="307"/>
        <v>0</v>
      </c>
      <c r="MR33" s="14">
        <f t="shared" si="308"/>
        <v>0</v>
      </c>
      <c r="MS33" s="14">
        <f t="shared" si="309"/>
        <v>0</v>
      </c>
      <c r="MT33" s="14">
        <f t="shared" si="310"/>
        <v>0</v>
      </c>
      <c r="MU33" s="14">
        <f t="shared" si="311"/>
        <v>0</v>
      </c>
      <c r="MV33" s="14">
        <f t="shared" si="312"/>
        <v>0</v>
      </c>
      <c r="MW33" s="14">
        <f t="shared" si="313"/>
        <v>0</v>
      </c>
      <c r="MX33" s="14">
        <f t="shared" si="314"/>
        <v>0</v>
      </c>
      <c r="MY33" s="14">
        <f t="shared" si="315"/>
        <v>0</v>
      </c>
      <c r="MZ33" s="14">
        <f t="shared" si="316"/>
        <v>0</v>
      </c>
      <c r="NA33" s="14">
        <f t="shared" si="317"/>
        <v>0</v>
      </c>
      <c r="NB33" s="14">
        <f t="shared" si="318"/>
        <v>0</v>
      </c>
    </row>
    <row r="34" ht="15.75" customHeight="1">
      <c r="A34" s="2">
        <v>357.0</v>
      </c>
      <c r="B34" s="2" t="s">
        <v>955</v>
      </c>
      <c r="C34" s="2" t="s">
        <v>956</v>
      </c>
      <c r="D34" s="2" t="s">
        <v>957</v>
      </c>
      <c r="E34" s="2">
        <v>2017.0</v>
      </c>
      <c r="F34" s="2" t="s">
        <v>958</v>
      </c>
      <c r="G34" s="2" t="s">
        <v>393</v>
      </c>
      <c r="H34" s="2" t="s">
        <v>510</v>
      </c>
      <c r="I34" s="2" t="s">
        <v>959</v>
      </c>
      <c r="J34" s="2" t="s">
        <v>960</v>
      </c>
      <c r="K34" s="2" t="s">
        <v>961</v>
      </c>
      <c r="M34" s="2">
        <v>49.0</v>
      </c>
      <c r="N34" s="2" t="s">
        <v>962</v>
      </c>
      <c r="O34" s="2" t="s">
        <v>963</v>
      </c>
      <c r="P34" s="2" t="s">
        <v>964</v>
      </c>
      <c r="Q34" s="2" t="s">
        <v>965</v>
      </c>
      <c r="R34" s="2" t="s">
        <v>966</v>
      </c>
      <c r="S34" s="2" t="s">
        <v>967</v>
      </c>
      <c r="T34" s="2" t="s">
        <v>968</v>
      </c>
      <c r="V34" s="2" t="s">
        <v>969</v>
      </c>
      <c r="Y34" s="2" t="s">
        <v>970</v>
      </c>
      <c r="AB34" s="2" t="s">
        <v>971</v>
      </c>
      <c r="AG34" s="2" t="s">
        <v>972</v>
      </c>
      <c r="AJ34" s="2">
        <v>2.9194464E7</v>
      </c>
      <c r="AK34" s="2" t="s">
        <v>973</v>
      </c>
      <c r="AL34" s="2" t="s">
        <v>384</v>
      </c>
      <c r="AN34" s="2" t="s">
        <v>386</v>
      </c>
      <c r="AO34" s="2" t="s">
        <v>974</v>
      </c>
      <c r="AP34" s="2" t="s">
        <v>386</v>
      </c>
      <c r="AQ34" s="2">
        <v>1403.0</v>
      </c>
      <c r="AR34" s="2" t="s">
        <v>975</v>
      </c>
      <c r="AS34" s="2" t="b">
        <v>1</v>
      </c>
      <c r="AT34" s="3">
        <v>0.0</v>
      </c>
      <c r="AU34" s="4"/>
      <c r="AV34" s="4"/>
      <c r="AW34" s="5">
        <f t="shared" si="3"/>
        <v>0</v>
      </c>
      <c r="AX34" s="5">
        <f t="shared" si="4"/>
        <v>0</v>
      </c>
      <c r="AY34" s="5">
        <f t="shared" si="5"/>
        <v>0</v>
      </c>
      <c r="AZ34" s="5">
        <f t="shared" si="6"/>
        <v>0</v>
      </c>
      <c r="BA34" s="5">
        <f t="shared" si="7"/>
        <v>0</v>
      </c>
      <c r="BB34" s="5">
        <f t="shared" si="8"/>
        <v>0</v>
      </c>
      <c r="BC34" s="5">
        <f t="shared" si="9"/>
        <v>0</v>
      </c>
      <c r="BD34" s="5">
        <f t="shared" si="10"/>
        <v>0</v>
      </c>
      <c r="BE34" s="5">
        <f t="shared" si="11"/>
        <v>0</v>
      </c>
      <c r="BF34" s="5">
        <f t="shared" si="12"/>
        <v>0</v>
      </c>
      <c r="BG34" s="5">
        <f t="shared" si="13"/>
        <v>0</v>
      </c>
      <c r="BH34" s="5">
        <f t="shared" si="14"/>
        <v>0</v>
      </c>
      <c r="BI34" s="5">
        <f t="shared" si="15"/>
        <v>0</v>
      </c>
      <c r="BJ34" s="5">
        <f t="shared" si="16"/>
        <v>0</v>
      </c>
      <c r="BK34" s="5">
        <f t="shared" si="17"/>
        <v>0</v>
      </c>
      <c r="BL34" s="5">
        <f t="shared" si="18"/>
        <v>0</v>
      </c>
      <c r="BM34" s="5">
        <f t="shared" si="19"/>
        <v>0</v>
      </c>
      <c r="BN34" s="5">
        <f t="shared" si="20"/>
        <v>0</v>
      </c>
      <c r="BO34" s="5">
        <f t="shared" si="21"/>
        <v>0</v>
      </c>
      <c r="BP34" s="5">
        <f t="shared" si="22"/>
        <v>0</v>
      </c>
      <c r="BQ34" s="5">
        <f t="shared" si="23"/>
        <v>0</v>
      </c>
      <c r="BR34" s="5">
        <f t="shared" si="24"/>
        <v>0</v>
      </c>
      <c r="BS34" s="5">
        <f t="shared" si="25"/>
        <v>0</v>
      </c>
      <c r="BT34" s="5">
        <f t="shared" si="26"/>
        <v>0</v>
      </c>
      <c r="BU34" s="5">
        <f t="shared" si="27"/>
        <v>0</v>
      </c>
      <c r="BV34" s="5">
        <f t="shared" ref="BV34:BW34" si="390">IF(OR(ISNUMBER(SEARCH("grit",$D34)),ISNUMBER(SEARCH("grit",$T34)),ISNUMBER(SEARCH("grit",$R34)),ISNUMBER(SEARCH("grit",$S34)),
ISNUMBER(SEARCH("determination",$D34)),ISNUMBER(SEARCH("determination",$T34)),ISNUMBER(SEARCH("determination",$R34)),ISNUMBER(SEARCH("determination",$S34)),
ISNUMBER(SEARCH("tenacity",$D34)),ISNUMBER(SEARCH("tenacity",$T34)),ISNUMBER(SEARCH("tenacity",$R34)),ISNUMBER(SEARCH("tenacity",$S34)),
ISNUMBER(SEARCH("endurance",$D34)),ISNUMBER(SEARCH("endurance",$T34)),ISNUMBER(SEARCH("endurance",$R34)),ISNUMBER(SEARCH("endurance",$S34)),
ISNUMBER(SEARCH("fortitude",$D34)),ISNUMBER(SEARCH("fortitude",$T34)),ISNUMBER(SEARCH("fortitude",$R34)),ISNUMBER(SEARCH("fortitude",$S34)),
ISNUMBER(SEARCH("resolve",$D34)),ISNUMBER(SEARCH("resolve",$T34)),ISNUMBER(SEARCH("resolve",$R34)),ISNUMBER(SEARCH("resolve",$S34)),
ISNUMBER(SEARCH("stamina",$D34)),ISNUMBER(SEARCH("stamina",$T34)),ISNUMBER(SEARCH("stamina",$R34)),ISNUMBER(SEARCH("stamina",$S34)),
ISNUMBER(SEARCH("guts",$D34)),ISNUMBER(SEARCH("guts",$T34)),ISNUMBER(SEARCH("guts",$R34)),ISNUMBER(SEARCH("guts",$S34)),
ISNUMBER(SEARCH("spunk",$D34)),ISNUMBER(SEARCH("spunk",$T34)),ISNUMBER(SEARCH("spunk",$R34)),ISNUMBER(SEARCH("spunk",$S34))), 1, 0)</f>
        <v>0</v>
      </c>
      <c r="BW34" s="5">
        <f t="shared" si="390"/>
        <v>0</v>
      </c>
      <c r="BX34" s="5">
        <f t="shared" si="29"/>
        <v>0</v>
      </c>
      <c r="BY34" s="5">
        <f t="shared" si="30"/>
        <v>0</v>
      </c>
      <c r="BZ34" s="5">
        <f t="shared" si="31"/>
        <v>0</v>
      </c>
      <c r="CA34" s="5">
        <f t="shared" si="32"/>
        <v>0</v>
      </c>
      <c r="CB34" s="5">
        <f t="shared" si="33"/>
        <v>0</v>
      </c>
      <c r="CC34" s="5">
        <f t="shared" si="34"/>
        <v>0</v>
      </c>
      <c r="CD34" s="5">
        <f t="shared" si="35"/>
        <v>0</v>
      </c>
      <c r="CE34" s="5">
        <f t="shared" si="36"/>
        <v>0</v>
      </c>
      <c r="CF34" s="5">
        <f t="shared" si="37"/>
        <v>0</v>
      </c>
      <c r="CG34" s="5">
        <f t="shared" si="38"/>
        <v>0</v>
      </c>
      <c r="CH34" s="5">
        <f t="shared" si="39"/>
        <v>0</v>
      </c>
      <c r="CI34" s="5">
        <f t="shared" si="40"/>
        <v>0</v>
      </c>
      <c r="CJ34" s="5">
        <f t="shared" si="41"/>
        <v>0</v>
      </c>
      <c r="CK34" s="5">
        <f t="shared" si="42"/>
        <v>0</v>
      </c>
      <c r="CL34" s="5">
        <f t="shared" si="43"/>
        <v>0</v>
      </c>
      <c r="CM34" s="5">
        <f t="shared" si="44"/>
        <v>0</v>
      </c>
      <c r="CN34" s="5">
        <f t="shared" si="45"/>
        <v>0</v>
      </c>
      <c r="CO34" s="5">
        <f t="shared" si="46"/>
        <v>0</v>
      </c>
      <c r="CP34" s="6">
        <f t="shared" si="47"/>
        <v>0</v>
      </c>
      <c r="CQ34" s="6">
        <f t="shared" si="48"/>
        <v>0</v>
      </c>
      <c r="CR34" s="6">
        <f t="shared" si="49"/>
        <v>0</v>
      </c>
      <c r="CS34" s="6">
        <f t="shared" si="50"/>
        <v>0</v>
      </c>
      <c r="CT34" s="6">
        <f t="shared" si="51"/>
        <v>0</v>
      </c>
      <c r="CU34" s="6">
        <f t="shared" si="52"/>
        <v>0</v>
      </c>
      <c r="CV34" s="6">
        <f t="shared" si="53"/>
        <v>0</v>
      </c>
      <c r="CW34" s="6">
        <f t="shared" si="54"/>
        <v>0</v>
      </c>
      <c r="CX34" s="6">
        <f t="shared" si="55"/>
        <v>0</v>
      </c>
      <c r="CY34" s="6">
        <f t="shared" si="56"/>
        <v>0</v>
      </c>
      <c r="CZ34" s="6">
        <f t="shared" si="57"/>
        <v>0</v>
      </c>
      <c r="DA34" s="6">
        <f t="shared" si="58"/>
        <v>0</v>
      </c>
      <c r="DB34" s="6">
        <f t="shared" si="59"/>
        <v>0</v>
      </c>
      <c r="DC34" s="6">
        <f t="shared" si="60"/>
        <v>0</v>
      </c>
      <c r="DD34" s="6">
        <f t="shared" si="61"/>
        <v>0</v>
      </c>
      <c r="DE34" s="6">
        <f t="shared" si="62"/>
        <v>0</v>
      </c>
      <c r="DF34" s="6">
        <f t="shared" si="63"/>
        <v>0</v>
      </c>
      <c r="DG34" s="6">
        <f t="shared" si="64"/>
        <v>0</v>
      </c>
      <c r="DH34" s="6">
        <f t="shared" si="384"/>
        <v>0</v>
      </c>
      <c r="DI34" s="6">
        <f t="shared" si="66"/>
        <v>0</v>
      </c>
      <c r="DJ34" s="6">
        <f t="shared" si="385"/>
        <v>0</v>
      </c>
      <c r="DK34" s="7">
        <f t="shared" si="68"/>
        <v>0</v>
      </c>
      <c r="DL34" s="7">
        <f t="shared" si="374"/>
        <v>0</v>
      </c>
      <c r="DM34" s="7">
        <f t="shared" si="70"/>
        <v>0</v>
      </c>
      <c r="DN34" s="7">
        <f t="shared" si="71"/>
        <v>0</v>
      </c>
      <c r="DO34" s="7">
        <f t="shared" si="72"/>
        <v>0</v>
      </c>
      <c r="DP34" s="8">
        <f t="shared" si="73"/>
        <v>0</v>
      </c>
      <c r="DQ34" s="8">
        <f t="shared" si="74"/>
        <v>1</v>
      </c>
      <c r="DR34" s="7">
        <f t="shared" si="75"/>
        <v>0</v>
      </c>
      <c r="DS34" s="7">
        <f t="shared" si="76"/>
        <v>0</v>
      </c>
      <c r="DT34" s="7">
        <f t="shared" si="77"/>
        <v>0</v>
      </c>
      <c r="DU34" s="9">
        <f t="shared" si="78"/>
        <v>0</v>
      </c>
      <c r="DV34" s="9">
        <f t="shared" si="79"/>
        <v>0</v>
      </c>
      <c r="DW34" s="9">
        <f t="shared" si="80"/>
        <v>0</v>
      </c>
      <c r="DX34" s="9">
        <f t="shared" si="81"/>
        <v>0</v>
      </c>
      <c r="DY34" s="9">
        <f t="shared" si="82"/>
        <v>0</v>
      </c>
      <c r="DZ34" s="9">
        <f t="shared" si="83"/>
        <v>0</v>
      </c>
      <c r="EA34" s="9">
        <f t="shared" si="84"/>
        <v>0</v>
      </c>
      <c r="EB34" s="9">
        <f t="shared" si="85"/>
        <v>0</v>
      </c>
      <c r="EC34" s="9">
        <f t="shared" si="86"/>
        <v>0</v>
      </c>
      <c r="ED34" s="9">
        <f t="shared" si="87"/>
        <v>0</v>
      </c>
      <c r="EE34" s="9">
        <f t="shared" si="88"/>
        <v>0</v>
      </c>
      <c r="EF34" s="9">
        <f t="shared" si="89"/>
        <v>0</v>
      </c>
      <c r="EG34" s="9">
        <f t="shared" si="90"/>
        <v>0</v>
      </c>
      <c r="EH34" s="9">
        <f t="shared" si="91"/>
        <v>0</v>
      </c>
      <c r="EI34" s="9">
        <f t="shared" si="92"/>
        <v>0</v>
      </c>
      <c r="EJ34" s="10">
        <f t="shared" si="93"/>
        <v>0</v>
      </c>
      <c r="EK34" s="10">
        <f t="shared" si="94"/>
        <v>0</v>
      </c>
      <c r="EL34" s="10">
        <f t="shared" ref="EL34:EM34" si="391">IF(OR(ISNUMBER(SEARCH("ai software toolkit", $D34)), ISNUMBER(SEARCH("ai software toolkit", $T34)), ISNUMBER(SEARCH("ai software toolkit", $R34)), ISNUMBER(SEARCH("ai software toolkit", $S34))), 1, 0)</f>
        <v>0</v>
      </c>
      <c r="EM34" s="10">
        <f t="shared" si="391"/>
        <v>0</v>
      </c>
      <c r="EN34" s="10">
        <f t="shared" si="96"/>
        <v>0</v>
      </c>
      <c r="EO34" s="10">
        <f t="shared" si="97"/>
        <v>1</v>
      </c>
      <c r="EP34" s="10">
        <f t="shared" si="98"/>
        <v>0</v>
      </c>
      <c r="EQ34" s="10">
        <f t="shared" si="99"/>
        <v>0</v>
      </c>
      <c r="ER34" s="10">
        <f t="shared" si="100"/>
        <v>0</v>
      </c>
      <c r="ES34" s="10">
        <f t="shared" si="101"/>
        <v>0</v>
      </c>
      <c r="ET34" s="10">
        <f t="shared" si="102"/>
        <v>0</v>
      </c>
      <c r="EU34" s="10">
        <f t="shared" si="103"/>
        <v>0</v>
      </c>
      <c r="EV34" s="10">
        <f t="shared" si="104"/>
        <v>0</v>
      </c>
      <c r="EW34" s="10">
        <f t="shared" si="105"/>
        <v>0</v>
      </c>
      <c r="EX34" s="10">
        <f t="shared" si="106"/>
        <v>0</v>
      </c>
      <c r="EY34" s="10">
        <f t="shared" si="107"/>
        <v>0</v>
      </c>
      <c r="EZ34" s="10">
        <f t="shared" si="108"/>
        <v>0</v>
      </c>
      <c r="FA34" s="10">
        <f t="shared" si="109"/>
        <v>0</v>
      </c>
      <c r="FB34" s="10">
        <f t="shared" si="110"/>
        <v>0</v>
      </c>
      <c r="FC34" s="10">
        <f t="shared" si="111"/>
        <v>0</v>
      </c>
      <c r="FD34" s="10">
        <f t="shared" si="112"/>
        <v>0</v>
      </c>
      <c r="FE34" s="10">
        <f t="shared" si="113"/>
        <v>0</v>
      </c>
      <c r="FF34" s="10">
        <f t="shared" si="114"/>
        <v>0</v>
      </c>
      <c r="FG34" s="10">
        <f t="shared" si="115"/>
        <v>0</v>
      </c>
      <c r="FH34" s="10">
        <f t="shared" si="116"/>
        <v>0</v>
      </c>
      <c r="FI34" s="10">
        <f t="shared" si="117"/>
        <v>0</v>
      </c>
      <c r="FJ34" s="10">
        <f t="shared" si="118"/>
        <v>0</v>
      </c>
      <c r="FK34" s="10">
        <f t="shared" si="119"/>
        <v>0</v>
      </c>
      <c r="FL34" s="10">
        <f t="shared" si="120"/>
        <v>0</v>
      </c>
      <c r="FM34" s="10">
        <f t="shared" si="121"/>
        <v>0</v>
      </c>
      <c r="FN34" s="10">
        <f t="shared" si="122"/>
        <v>0</v>
      </c>
      <c r="FO34" s="10">
        <f t="shared" si="123"/>
        <v>0</v>
      </c>
      <c r="FP34" s="10">
        <f t="shared" si="124"/>
        <v>0</v>
      </c>
      <c r="FQ34" s="10">
        <f t="shared" si="125"/>
        <v>0</v>
      </c>
      <c r="FR34" s="11">
        <f t="shared" ref="FR34:FR44" si="394">IF(
OR(
ISNUMBER(SEARCH("chatbot",$D34)),ISNUMBER(SEARCH("chatbot",$T34)),ISNUMBER(SEARCH("chatbot",#REF!)),ISNUMBER(SEARCH("chatbot",$S34)),
ISNUMBER(SEARCH("virtual assistance",$D34)),ISNUMBER(SEARCH("virtual assistance",$T34)),ISNUMBER(SEARCH("virtual assistance",$R34)),ISNUMBER(SEARCH("virtual assistance",$S34))), 1, 0)</f>
        <v>0</v>
      </c>
      <c r="FS34" s="11">
        <f t="shared" si="127"/>
        <v>0</v>
      </c>
      <c r="FT34" s="11">
        <f t="shared" si="128"/>
        <v>0</v>
      </c>
      <c r="FU34" s="11">
        <f t="shared" si="129"/>
        <v>0</v>
      </c>
      <c r="FV34" s="11">
        <f t="shared" si="130"/>
        <v>0</v>
      </c>
      <c r="FW34" s="11">
        <f t="shared" si="131"/>
        <v>0</v>
      </c>
      <c r="FX34" s="11">
        <f t="shared" si="132"/>
        <v>0</v>
      </c>
      <c r="FY34" s="11">
        <f t="shared" si="133"/>
        <v>0</v>
      </c>
      <c r="FZ34" s="11">
        <f t="shared" si="134"/>
        <v>0</v>
      </c>
      <c r="GA34" s="11">
        <f t="shared" si="135"/>
        <v>0</v>
      </c>
      <c r="GB34" s="11">
        <f t="shared" si="136"/>
        <v>0</v>
      </c>
      <c r="GC34" s="11">
        <f t="shared" si="137"/>
        <v>0</v>
      </c>
      <c r="GD34" s="11">
        <f t="shared" si="138"/>
        <v>0</v>
      </c>
      <c r="GE34" s="11">
        <f t="shared" si="139"/>
        <v>0</v>
      </c>
      <c r="GF34" s="11">
        <f t="shared" si="140"/>
        <v>0</v>
      </c>
      <c r="GG34" s="11">
        <f t="shared" si="141"/>
        <v>0</v>
      </c>
      <c r="GH34" s="11">
        <f t="shared" si="142"/>
        <v>0</v>
      </c>
      <c r="GI34" s="11">
        <f t="shared" si="143"/>
        <v>0</v>
      </c>
      <c r="GJ34" s="11">
        <f t="shared" si="144"/>
        <v>0</v>
      </c>
      <c r="GK34" s="11">
        <f t="shared" si="145"/>
        <v>0</v>
      </c>
      <c r="GL34" s="11">
        <f t="shared" si="146"/>
        <v>0</v>
      </c>
      <c r="GM34" s="11">
        <f t="shared" si="147"/>
        <v>0</v>
      </c>
      <c r="GN34" s="11">
        <f t="shared" si="148"/>
        <v>0</v>
      </c>
      <c r="GO34" s="11">
        <f t="shared" si="149"/>
        <v>0</v>
      </c>
      <c r="GP34" s="11">
        <f t="shared" si="150"/>
        <v>0</v>
      </c>
      <c r="GQ34" s="11">
        <f t="shared" si="151"/>
        <v>0</v>
      </c>
      <c r="GR34" s="11">
        <f t="shared" si="152"/>
        <v>0</v>
      </c>
      <c r="GS34" s="11">
        <f t="shared" si="153"/>
        <v>0</v>
      </c>
      <c r="GT34" s="11">
        <f t="shared" si="154"/>
        <v>0</v>
      </c>
      <c r="GU34" s="12">
        <f t="shared" si="155"/>
        <v>0</v>
      </c>
      <c r="GV34" s="12">
        <f t="shared" si="156"/>
        <v>0</v>
      </c>
      <c r="GW34" s="12">
        <f t="shared" si="157"/>
        <v>0</v>
      </c>
      <c r="GX34" s="12">
        <f t="shared" si="158"/>
        <v>0</v>
      </c>
      <c r="GY34" s="12">
        <f t="shared" si="159"/>
        <v>0</v>
      </c>
      <c r="GZ34" s="12">
        <f t="shared" si="160"/>
        <v>0</v>
      </c>
      <c r="HA34" s="12">
        <f t="shared" si="161"/>
        <v>0</v>
      </c>
      <c r="HB34" s="12">
        <f t="shared" si="162"/>
        <v>0</v>
      </c>
      <c r="HC34" s="12">
        <f t="shared" si="163"/>
        <v>0</v>
      </c>
      <c r="HD34" s="12">
        <f t="shared" si="164"/>
        <v>0</v>
      </c>
      <c r="HE34" s="12">
        <f t="shared" si="165"/>
        <v>0</v>
      </c>
      <c r="HF34" s="12">
        <f t="shared" si="166"/>
        <v>0</v>
      </c>
      <c r="HG34" s="12">
        <f t="shared" si="167"/>
        <v>0</v>
      </c>
      <c r="HH34" s="12">
        <f t="shared" si="168"/>
        <v>0</v>
      </c>
      <c r="HI34" s="12">
        <f t="shared" si="169"/>
        <v>0</v>
      </c>
      <c r="HJ34" s="12">
        <f t="shared" si="170"/>
        <v>0</v>
      </c>
      <c r="HK34" s="12">
        <f t="shared" si="171"/>
        <v>0</v>
      </c>
      <c r="HL34" s="12">
        <f t="shared" si="172"/>
        <v>0</v>
      </c>
      <c r="HM34" s="12">
        <f t="shared" si="173"/>
        <v>0</v>
      </c>
      <c r="HN34" s="12">
        <f t="shared" si="174"/>
        <v>0</v>
      </c>
      <c r="HO34" s="12">
        <f t="shared" si="175"/>
        <v>0</v>
      </c>
      <c r="HP34" s="12">
        <f t="shared" si="176"/>
        <v>0</v>
      </c>
      <c r="HQ34" s="12">
        <f t="shared" si="177"/>
        <v>0</v>
      </c>
      <c r="HR34" s="12">
        <f t="shared" si="178"/>
        <v>0</v>
      </c>
      <c r="HS34" s="12">
        <f t="shared" si="179"/>
        <v>0</v>
      </c>
      <c r="HT34" s="12">
        <f t="shared" si="180"/>
        <v>0</v>
      </c>
      <c r="HU34" s="12">
        <f t="shared" si="181"/>
        <v>0</v>
      </c>
      <c r="HV34" s="12">
        <f t="shared" si="182"/>
        <v>0</v>
      </c>
      <c r="HW34" s="12">
        <f t="shared" si="183"/>
        <v>0</v>
      </c>
      <c r="HX34" s="12">
        <f t="shared" si="184"/>
        <v>0</v>
      </c>
      <c r="HY34" s="12">
        <f t="shared" si="185"/>
        <v>0</v>
      </c>
      <c r="HZ34" s="12">
        <f t="shared" si="186"/>
        <v>0</v>
      </c>
      <c r="IA34" s="12">
        <f t="shared" si="187"/>
        <v>0</v>
      </c>
      <c r="IB34" s="12">
        <f t="shared" si="188"/>
        <v>0</v>
      </c>
      <c r="IC34" s="12">
        <f t="shared" si="189"/>
        <v>0</v>
      </c>
      <c r="ID34" s="12">
        <f t="shared" si="190"/>
        <v>0</v>
      </c>
      <c r="IE34" s="12">
        <f t="shared" si="191"/>
        <v>0</v>
      </c>
      <c r="IF34" s="12">
        <f t="shared" si="192"/>
        <v>0</v>
      </c>
      <c r="IG34" s="12">
        <f t="shared" si="193"/>
        <v>0</v>
      </c>
      <c r="IH34" s="12">
        <f t="shared" si="194"/>
        <v>0</v>
      </c>
      <c r="II34" s="12">
        <f t="shared" si="195"/>
        <v>0</v>
      </c>
      <c r="IJ34" s="12">
        <f t="shared" si="196"/>
        <v>0</v>
      </c>
      <c r="IK34" s="12">
        <f t="shared" si="197"/>
        <v>0</v>
      </c>
      <c r="IL34" s="12">
        <f t="shared" si="198"/>
        <v>0</v>
      </c>
      <c r="IM34" s="12">
        <f t="shared" si="199"/>
        <v>0</v>
      </c>
      <c r="IN34" s="12">
        <f t="shared" si="200"/>
        <v>0</v>
      </c>
      <c r="IO34" s="12">
        <f t="shared" si="201"/>
        <v>0</v>
      </c>
      <c r="IP34" s="12">
        <f t="shared" si="202"/>
        <v>0</v>
      </c>
      <c r="IQ34" s="12">
        <f t="shared" si="203"/>
        <v>0</v>
      </c>
      <c r="IR34" s="12">
        <f t="shared" si="204"/>
        <v>0</v>
      </c>
      <c r="IS34" s="12">
        <f t="shared" si="205"/>
        <v>0</v>
      </c>
      <c r="IT34" s="12">
        <f t="shared" si="206"/>
        <v>0</v>
      </c>
      <c r="IU34" s="12">
        <f t="shared" si="207"/>
        <v>0</v>
      </c>
      <c r="IV34" s="12">
        <f t="shared" si="208"/>
        <v>0</v>
      </c>
      <c r="IW34" s="12">
        <f t="shared" si="209"/>
        <v>0</v>
      </c>
      <c r="IX34" s="12">
        <f t="shared" si="210"/>
        <v>0</v>
      </c>
      <c r="IY34" s="12">
        <f t="shared" si="211"/>
        <v>0</v>
      </c>
      <c r="IZ34" s="12">
        <f t="shared" si="212"/>
        <v>0</v>
      </c>
      <c r="JA34" s="13">
        <f t="shared" si="213"/>
        <v>0</v>
      </c>
      <c r="JB34" s="13">
        <f t="shared" si="214"/>
        <v>0</v>
      </c>
      <c r="JC34" s="13">
        <f t="shared" si="215"/>
        <v>0</v>
      </c>
      <c r="JD34" s="13">
        <f t="shared" si="216"/>
        <v>0</v>
      </c>
      <c r="JE34" s="13">
        <f t="shared" si="217"/>
        <v>0</v>
      </c>
      <c r="JF34" s="13">
        <f t="shared" si="218"/>
        <v>0</v>
      </c>
      <c r="JG34" s="13">
        <f t="shared" si="219"/>
        <v>0</v>
      </c>
      <c r="JH34" s="13">
        <f t="shared" si="220"/>
        <v>0</v>
      </c>
      <c r="JI34" s="13">
        <f t="shared" si="221"/>
        <v>0</v>
      </c>
      <c r="JJ34" s="13">
        <f t="shared" si="222"/>
        <v>0</v>
      </c>
      <c r="JK34" s="13">
        <f t="shared" si="223"/>
        <v>0</v>
      </c>
      <c r="JL34" s="13">
        <f t="shared" si="224"/>
        <v>0</v>
      </c>
      <c r="JM34" s="13">
        <f t="shared" si="225"/>
        <v>0</v>
      </c>
      <c r="JN34" s="13">
        <f t="shared" si="226"/>
        <v>0</v>
      </c>
      <c r="JO34" s="13">
        <f t="shared" si="227"/>
        <v>0</v>
      </c>
      <c r="JP34" s="13">
        <f t="shared" si="228"/>
        <v>0</v>
      </c>
      <c r="JQ34" s="13">
        <f t="shared" si="229"/>
        <v>0</v>
      </c>
      <c r="JR34" s="13">
        <f t="shared" si="230"/>
        <v>0</v>
      </c>
      <c r="JS34" s="13">
        <f t="shared" si="231"/>
        <v>0</v>
      </c>
      <c r="JT34" s="13">
        <f t="shared" si="232"/>
        <v>0</v>
      </c>
      <c r="JU34" s="13">
        <f t="shared" si="233"/>
        <v>0</v>
      </c>
      <c r="JV34" s="12">
        <f t="shared" si="234"/>
        <v>0</v>
      </c>
      <c r="JW34" s="12">
        <f t="shared" si="235"/>
        <v>0</v>
      </c>
      <c r="JX34" s="12">
        <f t="shared" si="236"/>
        <v>0</v>
      </c>
      <c r="JY34" s="12">
        <f t="shared" si="237"/>
        <v>0</v>
      </c>
      <c r="JZ34" s="12">
        <f t="shared" si="238"/>
        <v>0</v>
      </c>
      <c r="KA34" s="12">
        <f t="shared" si="239"/>
        <v>0</v>
      </c>
      <c r="KB34" s="12">
        <f t="shared" si="240"/>
        <v>0</v>
      </c>
      <c r="KC34" s="12">
        <f t="shared" si="241"/>
        <v>0</v>
      </c>
      <c r="KD34" s="12">
        <f t="shared" si="242"/>
        <v>0</v>
      </c>
      <c r="KE34" s="12">
        <f t="shared" si="243"/>
        <v>0</v>
      </c>
      <c r="KF34" s="12">
        <f t="shared" si="244"/>
        <v>0</v>
      </c>
      <c r="KG34" s="12">
        <f t="shared" si="245"/>
        <v>0</v>
      </c>
      <c r="KH34" s="12">
        <f t="shared" si="246"/>
        <v>0</v>
      </c>
      <c r="KI34" s="12">
        <f t="shared" si="247"/>
        <v>0</v>
      </c>
      <c r="KJ34" s="12">
        <f t="shared" si="248"/>
        <v>0</v>
      </c>
      <c r="KK34" s="12">
        <f t="shared" si="249"/>
        <v>0</v>
      </c>
      <c r="KL34" s="12">
        <f t="shared" si="250"/>
        <v>0</v>
      </c>
      <c r="KM34" s="12">
        <f t="shared" si="251"/>
        <v>0</v>
      </c>
      <c r="KN34" s="12">
        <f t="shared" si="252"/>
        <v>0</v>
      </c>
      <c r="KO34" s="12">
        <f t="shared" si="253"/>
        <v>0</v>
      </c>
      <c r="KP34" s="12">
        <f t="shared" si="254"/>
        <v>0</v>
      </c>
      <c r="KQ34" s="12">
        <f t="shared" si="255"/>
        <v>0</v>
      </c>
      <c r="KR34" s="12">
        <f t="shared" si="256"/>
        <v>0</v>
      </c>
      <c r="KS34" s="12">
        <f t="shared" si="257"/>
        <v>0</v>
      </c>
      <c r="KT34" s="12">
        <f t="shared" si="258"/>
        <v>0</v>
      </c>
      <c r="KU34" s="12">
        <f t="shared" si="259"/>
        <v>0</v>
      </c>
      <c r="KV34" s="12">
        <f t="shared" si="260"/>
        <v>0</v>
      </c>
      <c r="KW34" s="12">
        <f t="shared" si="261"/>
        <v>0</v>
      </c>
      <c r="KX34" s="12">
        <f t="shared" si="262"/>
        <v>0</v>
      </c>
      <c r="KY34" s="12">
        <f t="shared" si="263"/>
        <v>0</v>
      </c>
      <c r="KZ34" s="12">
        <f t="shared" si="264"/>
        <v>0</v>
      </c>
      <c r="LA34" s="12">
        <f t="shared" si="265"/>
        <v>0</v>
      </c>
      <c r="LB34" s="12">
        <f t="shared" si="266"/>
        <v>0</v>
      </c>
      <c r="LC34" s="12">
        <f t="shared" si="267"/>
        <v>0</v>
      </c>
      <c r="LD34" s="12">
        <f t="shared" si="268"/>
        <v>0</v>
      </c>
      <c r="LE34" s="12">
        <f t="shared" si="269"/>
        <v>0</v>
      </c>
      <c r="LF34" s="12">
        <f t="shared" si="270"/>
        <v>0</v>
      </c>
      <c r="LG34" s="12">
        <f t="shared" si="271"/>
        <v>0</v>
      </c>
      <c r="LH34" s="12">
        <f t="shared" si="272"/>
        <v>0</v>
      </c>
      <c r="LI34" s="12">
        <f t="shared" si="273"/>
        <v>0</v>
      </c>
      <c r="LJ34" s="12">
        <f t="shared" si="274"/>
        <v>0</v>
      </c>
      <c r="LK34" s="12">
        <f t="shared" si="275"/>
        <v>0</v>
      </c>
      <c r="LL34" s="12">
        <f t="shared" si="276"/>
        <v>0</v>
      </c>
      <c r="LM34" s="12">
        <f t="shared" si="277"/>
        <v>0</v>
      </c>
      <c r="LN34" s="12">
        <f t="shared" si="278"/>
        <v>0</v>
      </c>
      <c r="LO34" s="12">
        <f t="shared" si="279"/>
        <v>0</v>
      </c>
      <c r="LP34" s="12">
        <f t="shared" si="280"/>
        <v>0</v>
      </c>
      <c r="LQ34" s="12">
        <f t="shared" si="281"/>
        <v>0</v>
      </c>
      <c r="LR34" s="12">
        <f t="shared" si="282"/>
        <v>0</v>
      </c>
      <c r="LS34" s="12">
        <f t="shared" si="283"/>
        <v>0</v>
      </c>
      <c r="LT34" s="13">
        <f t="shared" si="284"/>
        <v>0</v>
      </c>
      <c r="LU34" s="13">
        <f t="shared" si="285"/>
        <v>0</v>
      </c>
      <c r="LV34" s="13">
        <f t="shared" si="286"/>
        <v>0</v>
      </c>
      <c r="LW34" s="13">
        <f t="shared" si="287"/>
        <v>0</v>
      </c>
      <c r="LX34" s="13">
        <f t="shared" si="288"/>
        <v>0</v>
      </c>
      <c r="LY34" s="13">
        <f t="shared" si="289"/>
        <v>0</v>
      </c>
      <c r="LZ34" s="13">
        <f t="shared" si="290"/>
        <v>0</v>
      </c>
      <c r="MA34" s="13">
        <f t="shared" si="291"/>
        <v>0</v>
      </c>
      <c r="MB34" s="13">
        <f t="shared" si="292"/>
        <v>0</v>
      </c>
      <c r="MC34" s="13">
        <f t="shared" si="293"/>
        <v>0</v>
      </c>
      <c r="MD34" s="13">
        <f t="shared" si="294"/>
        <v>0</v>
      </c>
      <c r="ME34" s="13">
        <f t="shared" si="295"/>
        <v>0</v>
      </c>
      <c r="MF34" s="13">
        <f t="shared" si="296"/>
        <v>0</v>
      </c>
      <c r="MG34" s="13">
        <f t="shared" si="297"/>
        <v>0</v>
      </c>
      <c r="MH34" s="13">
        <f t="shared" si="298"/>
        <v>0</v>
      </c>
      <c r="MI34" s="13">
        <f t="shared" si="299"/>
        <v>0</v>
      </c>
      <c r="MJ34" s="13">
        <f t="shared" si="300"/>
        <v>0</v>
      </c>
      <c r="MK34" s="13">
        <f t="shared" si="301"/>
        <v>0</v>
      </c>
      <c r="ML34" s="14">
        <f t="shared" si="302"/>
        <v>0</v>
      </c>
      <c r="MM34" s="14">
        <f t="shared" si="303"/>
        <v>0</v>
      </c>
      <c r="MN34" s="14">
        <f t="shared" si="304"/>
        <v>0</v>
      </c>
      <c r="MO34" s="14">
        <f t="shared" si="305"/>
        <v>0</v>
      </c>
      <c r="MP34" s="14">
        <f t="shared" si="306"/>
        <v>0</v>
      </c>
      <c r="MQ34" s="14">
        <f t="shared" si="307"/>
        <v>0</v>
      </c>
      <c r="MR34" s="14">
        <f t="shared" si="308"/>
        <v>0</v>
      </c>
      <c r="MS34" s="14">
        <f t="shared" si="309"/>
        <v>0</v>
      </c>
      <c r="MT34" s="14">
        <f t="shared" si="310"/>
        <v>0</v>
      </c>
      <c r="MU34" s="14">
        <f t="shared" si="311"/>
        <v>0</v>
      </c>
      <c r="MV34" s="14">
        <f t="shared" si="312"/>
        <v>0</v>
      </c>
      <c r="MW34" s="14">
        <f t="shared" si="313"/>
        <v>0</v>
      </c>
      <c r="MX34" s="14">
        <f t="shared" si="314"/>
        <v>0</v>
      </c>
      <c r="MY34" s="14">
        <f t="shared" si="315"/>
        <v>0</v>
      </c>
      <c r="MZ34" s="14">
        <f t="shared" si="316"/>
        <v>0</v>
      </c>
      <c r="NA34" s="14">
        <f t="shared" si="317"/>
        <v>0</v>
      </c>
      <c r="NB34" s="14">
        <f t="shared" si="318"/>
        <v>0</v>
      </c>
    </row>
    <row r="35" ht="15.75" customHeight="1">
      <c r="A35" s="2">
        <v>395.0</v>
      </c>
      <c r="B35" s="2" t="s">
        <v>976</v>
      </c>
      <c r="C35" s="2" t="s">
        <v>977</v>
      </c>
      <c r="D35" s="2" t="s">
        <v>978</v>
      </c>
      <c r="E35" s="2">
        <v>2015.0</v>
      </c>
      <c r="F35" s="2" t="s">
        <v>979</v>
      </c>
      <c r="G35" s="2" t="s">
        <v>980</v>
      </c>
      <c r="H35" s="2" t="s">
        <v>432</v>
      </c>
      <c r="J35" s="2" t="s">
        <v>370</v>
      </c>
      <c r="K35" s="2" t="s">
        <v>494</v>
      </c>
      <c r="M35" s="2">
        <v>47.0</v>
      </c>
      <c r="N35" s="2" t="s">
        <v>981</v>
      </c>
      <c r="O35" s="2" t="s">
        <v>982</v>
      </c>
      <c r="P35" s="2" t="s">
        <v>983</v>
      </c>
      <c r="Q35" s="2" t="s">
        <v>984</v>
      </c>
      <c r="R35" s="2" t="s">
        <v>985</v>
      </c>
      <c r="S35" s="2" t="s">
        <v>986</v>
      </c>
      <c r="T35" s="2" t="s">
        <v>987</v>
      </c>
      <c r="Y35" s="2" t="s">
        <v>988</v>
      </c>
      <c r="AB35" s="2" t="s">
        <v>989</v>
      </c>
      <c r="AG35" s="2" t="s">
        <v>990</v>
      </c>
      <c r="AI35" s="2" t="s">
        <v>991</v>
      </c>
      <c r="AJ35" s="2">
        <v>2.5801593E7</v>
      </c>
      <c r="AK35" s="2" t="s">
        <v>992</v>
      </c>
      <c r="AL35" s="2" t="s">
        <v>384</v>
      </c>
      <c r="AM35" s="2" t="s">
        <v>385</v>
      </c>
      <c r="AN35" s="2" t="s">
        <v>386</v>
      </c>
      <c r="AO35" s="2" t="s">
        <v>993</v>
      </c>
      <c r="AP35" s="2" t="s">
        <v>386</v>
      </c>
      <c r="AQ35" s="2">
        <v>1564.0</v>
      </c>
      <c r="AR35" s="2" t="s">
        <v>994</v>
      </c>
      <c r="AS35" s="2" t="b">
        <v>0</v>
      </c>
      <c r="AT35" s="3">
        <v>0.0</v>
      </c>
      <c r="AU35" s="4"/>
      <c r="AV35" s="4"/>
      <c r="AW35" s="5">
        <f t="shared" si="3"/>
        <v>0</v>
      </c>
      <c r="AX35" s="5">
        <f t="shared" si="4"/>
        <v>0</v>
      </c>
      <c r="AY35" s="5">
        <f t="shared" si="5"/>
        <v>0</v>
      </c>
      <c r="AZ35" s="5">
        <f t="shared" si="6"/>
        <v>0</v>
      </c>
      <c r="BA35" s="5">
        <f t="shared" si="7"/>
        <v>0</v>
      </c>
      <c r="BB35" s="5">
        <f t="shared" si="8"/>
        <v>0</v>
      </c>
      <c r="BC35" s="5">
        <f t="shared" si="9"/>
        <v>0</v>
      </c>
      <c r="BD35" s="5">
        <f t="shared" si="10"/>
        <v>0</v>
      </c>
      <c r="BE35" s="5">
        <f t="shared" si="11"/>
        <v>0</v>
      </c>
      <c r="BF35" s="5">
        <f t="shared" si="12"/>
        <v>0</v>
      </c>
      <c r="BG35" s="5">
        <f t="shared" si="13"/>
        <v>0</v>
      </c>
      <c r="BH35" s="5">
        <f t="shared" si="14"/>
        <v>0</v>
      </c>
      <c r="BI35" s="5">
        <f t="shared" si="15"/>
        <v>0</v>
      </c>
      <c r="BJ35" s="5">
        <f t="shared" si="16"/>
        <v>0</v>
      </c>
      <c r="BK35" s="5">
        <f t="shared" si="17"/>
        <v>0</v>
      </c>
      <c r="BL35" s="5">
        <f t="shared" si="18"/>
        <v>0</v>
      </c>
      <c r="BM35" s="5">
        <f t="shared" si="19"/>
        <v>0</v>
      </c>
      <c r="BN35" s="5">
        <f t="shared" si="20"/>
        <v>0</v>
      </c>
      <c r="BO35" s="5">
        <f t="shared" si="21"/>
        <v>0</v>
      </c>
      <c r="BP35" s="5">
        <f t="shared" si="22"/>
        <v>0</v>
      </c>
      <c r="BQ35" s="5">
        <f t="shared" si="23"/>
        <v>0</v>
      </c>
      <c r="BR35" s="5">
        <f t="shared" si="24"/>
        <v>0</v>
      </c>
      <c r="BS35" s="5">
        <f t="shared" si="25"/>
        <v>0</v>
      </c>
      <c r="BT35" s="5">
        <f t="shared" si="26"/>
        <v>0</v>
      </c>
      <c r="BU35" s="5">
        <f t="shared" si="27"/>
        <v>0</v>
      </c>
      <c r="BV35" s="5">
        <f t="shared" ref="BV35:BW35" si="392">IF(OR(ISNUMBER(SEARCH("grit",$D35)),ISNUMBER(SEARCH("grit",$T35)),ISNUMBER(SEARCH("grit",$R35)),ISNUMBER(SEARCH("grit",$S35)),
ISNUMBER(SEARCH("determination",$D35)),ISNUMBER(SEARCH("determination",$T35)),ISNUMBER(SEARCH("determination",$R35)),ISNUMBER(SEARCH("determination",$S35)),
ISNUMBER(SEARCH("tenacity",$D35)),ISNUMBER(SEARCH("tenacity",$T35)),ISNUMBER(SEARCH("tenacity",$R35)),ISNUMBER(SEARCH("tenacity",$S35)),
ISNUMBER(SEARCH("endurance",$D35)),ISNUMBER(SEARCH("endurance",$T35)),ISNUMBER(SEARCH("endurance",$R35)),ISNUMBER(SEARCH("endurance",$S35)),
ISNUMBER(SEARCH("fortitude",$D35)),ISNUMBER(SEARCH("fortitude",$T35)),ISNUMBER(SEARCH("fortitude",$R35)),ISNUMBER(SEARCH("fortitude",$S35)),
ISNUMBER(SEARCH("resolve",$D35)),ISNUMBER(SEARCH("resolve",$T35)),ISNUMBER(SEARCH("resolve",$R35)),ISNUMBER(SEARCH("resolve",$S35)),
ISNUMBER(SEARCH("stamina",$D35)),ISNUMBER(SEARCH("stamina",$T35)),ISNUMBER(SEARCH("stamina",$R35)),ISNUMBER(SEARCH("stamina",$S35)),
ISNUMBER(SEARCH("guts",$D35)),ISNUMBER(SEARCH("guts",$T35)),ISNUMBER(SEARCH("guts",$R35)),ISNUMBER(SEARCH("guts",$S35)),
ISNUMBER(SEARCH("spunk",$D35)),ISNUMBER(SEARCH("spunk",$T35)),ISNUMBER(SEARCH("spunk",$R35)),ISNUMBER(SEARCH("spunk",$S35))), 1, 0)</f>
        <v>0</v>
      </c>
      <c r="BW35" s="5">
        <f t="shared" si="392"/>
        <v>0</v>
      </c>
      <c r="BX35" s="5">
        <f t="shared" si="29"/>
        <v>0</v>
      </c>
      <c r="BY35" s="5">
        <f t="shared" si="30"/>
        <v>0</v>
      </c>
      <c r="BZ35" s="5">
        <f t="shared" si="31"/>
        <v>0</v>
      </c>
      <c r="CA35" s="5">
        <f t="shared" si="32"/>
        <v>0</v>
      </c>
      <c r="CB35" s="5">
        <f t="shared" si="33"/>
        <v>0</v>
      </c>
      <c r="CC35" s="5">
        <f t="shared" si="34"/>
        <v>0</v>
      </c>
      <c r="CD35" s="5">
        <f t="shared" si="35"/>
        <v>0</v>
      </c>
      <c r="CE35" s="5">
        <f t="shared" si="36"/>
        <v>0</v>
      </c>
      <c r="CF35" s="5">
        <f t="shared" si="37"/>
        <v>0</v>
      </c>
      <c r="CG35" s="5">
        <f t="shared" si="38"/>
        <v>0</v>
      </c>
      <c r="CH35" s="5">
        <f t="shared" si="39"/>
        <v>0</v>
      </c>
      <c r="CI35" s="5">
        <f t="shared" si="40"/>
        <v>0</v>
      </c>
      <c r="CJ35" s="5">
        <f t="shared" si="41"/>
        <v>0</v>
      </c>
      <c r="CK35" s="5">
        <f t="shared" si="42"/>
        <v>0</v>
      </c>
      <c r="CL35" s="5">
        <f t="shared" si="43"/>
        <v>0</v>
      </c>
      <c r="CM35" s="5">
        <f t="shared" si="44"/>
        <v>0</v>
      </c>
      <c r="CN35" s="5">
        <f t="shared" si="45"/>
        <v>0</v>
      </c>
      <c r="CO35" s="5">
        <f t="shared" si="46"/>
        <v>0</v>
      </c>
      <c r="CP35" s="6">
        <f t="shared" si="47"/>
        <v>0</v>
      </c>
      <c r="CQ35" s="6">
        <f t="shared" si="48"/>
        <v>0</v>
      </c>
      <c r="CR35" s="6">
        <f t="shared" si="49"/>
        <v>0</v>
      </c>
      <c r="CS35" s="6">
        <f t="shared" si="50"/>
        <v>0</v>
      </c>
      <c r="CT35" s="6">
        <f t="shared" si="51"/>
        <v>0</v>
      </c>
      <c r="CU35" s="6">
        <f t="shared" si="52"/>
        <v>0</v>
      </c>
      <c r="CV35" s="6">
        <f t="shared" si="53"/>
        <v>0</v>
      </c>
      <c r="CW35" s="6">
        <f t="shared" si="54"/>
        <v>0</v>
      </c>
      <c r="CX35" s="6">
        <f t="shared" si="55"/>
        <v>0</v>
      </c>
      <c r="CY35" s="6">
        <f t="shared" si="56"/>
        <v>0</v>
      </c>
      <c r="CZ35" s="6">
        <f t="shared" si="57"/>
        <v>0</v>
      </c>
      <c r="DA35" s="6">
        <f t="shared" si="58"/>
        <v>0</v>
      </c>
      <c r="DB35" s="6">
        <f t="shared" si="59"/>
        <v>0</v>
      </c>
      <c r="DC35" s="6">
        <f t="shared" si="60"/>
        <v>0</v>
      </c>
      <c r="DD35" s="6">
        <f t="shared" si="61"/>
        <v>0</v>
      </c>
      <c r="DE35" s="6">
        <f t="shared" si="62"/>
        <v>0</v>
      </c>
      <c r="DF35" s="6">
        <f t="shared" si="63"/>
        <v>0</v>
      </c>
      <c r="DG35" s="6">
        <f t="shared" si="64"/>
        <v>0</v>
      </c>
      <c r="DH35" s="6">
        <f t="shared" si="384"/>
        <v>0</v>
      </c>
      <c r="DI35" s="6">
        <f t="shared" si="66"/>
        <v>0</v>
      </c>
      <c r="DJ35" s="6">
        <f t="shared" si="385"/>
        <v>0</v>
      </c>
      <c r="DK35" s="7">
        <f t="shared" si="68"/>
        <v>0</v>
      </c>
      <c r="DL35" s="7">
        <f t="shared" si="374"/>
        <v>0</v>
      </c>
      <c r="DM35" s="7">
        <f t="shared" si="70"/>
        <v>0</v>
      </c>
      <c r="DN35" s="7">
        <f t="shared" si="71"/>
        <v>0</v>
      </c>
      <c r="DO35" s="7">
        <f t="shared" si="72"/>
        <v>0</v>
      </c>
      <c r="DP35" s="8">
        <f t="shared" si="73"/>
        <v>0</v>
      </c>
      <c r="DQ35" s="8">
        <f t="shared" si="74"/>
        <v>0</v>
      </c>
      <c r="DR35" s="7">
        <f t="shared" si="75"/>
        <v>0</v>
      </c>
      <c r="DS35" s="7">
        <f t="shared" si="76"/>
        <v>0</v>
      </c>
      <c r="DT35" s="7">
        <f t="shared" si="77"/>
        <v>0</v>
      </c>
      <c r="DU35" s="9">
        <f t="shared" si="78"/>
        <v>0</v>
      </c>
      <c r="DV35" s="9">
        <f t="shared" si="79"/>
        <v>0</v>
      </c>
      <c r="DW35" s="9">
        <f t="shared" si="80"/>
        <v>0</v>
      </c>
      <c r="DX35" s="9">
        <f t="shared" si="81"/>
        <v>0</v>
      </c>
      <c r="DY35" s="9">
        <f t="shared" si="82"/>
        <v>0</v>
      </c>
      <c r="DZ35" s="9">
        <f t="shared" si="83"/>
        <v>0</v>
      </c>
      <c r="EA35" s="9">
        <f t="shared" si="84"/>
        <v>0</v>
      </c>
      <c r="EB35" s="9">
        <f t="shared" si="85"/>
        <v>0</v>
      </c>
      <c r="EC35" s="9">
        <f t="shared" si="86"/>
        <v>0</v>
      </c>
      <c r="ED35" s="9">
        <f t="shared" si="87"/>
        <v>0</v>
      </c>
      <c r="EE35" s="9">
        <f t="shared" si="88"/>
        <v>0</v>
      </c>
      <c r="EF35" s="9">
        <f t="shared" si="89"/>
        <v>0</v>
      </c>
      <c r="EG35" s="9">
        <f t="shared" si="90"/>
        <v>0</v>
      </c>
      <c r="EH35" s="9">
        <f t="shared" si="91"/>
        <v>0</v>
      </c>
      <c r="EI35" s="9">
        <f t="shared" si="92"/>
        <v>0</v>
      </c>
      <c r="EJ35" s="10">
        <f t="shared" si="93"/>
        <v>0</v>
      </c>
      <c r="EK35" s="10">
        <f t="shared" si="94"/>
        <v>0</v>
      </c>
      <c r="EL35" s="10">
        <f t="shared" ref="EL35:EM35" si="393">IF(OR(ISNUMBER(SEARCH("ai software toolkit", $D35)), ISNUMBER(SEARCH("ai software toolkit", $T35)), ISNUMBER(SEARCH("ai software toolkit", $R35)), ISNUMBER(SEARCH("ai software toolkit", $S35))), 1, 0)</f>
        <v>0</v>
      </c>
      <c r="EM35" s="10">
        <f t="shared" si="393"/>
        <v>0</v>
      </c>
      <c r="EN35" s="10">
        <f t="shared" si="96"/>
        <v>0</v>
      </c>
      <c r="EO35" s="10">
        <f t="shared" si="97"/>
        <v>0</v>
      </c>
      <c r="EP35" s="10">
        <f t="shared" si="98"/>
        <v>0</v>
      </c>
      <c r="EQ35" s="10">
        <f t="shared" si="99"/>
        <v>0</v>
      </c>
      <c r="ER35" s="10">
        <f t="shared" si="100"/>
        <v>0</v>
      </c>
      <c r="ES35" s="10">
        <f t="shared" si="101"/>
        <v>0</v>
      </c>
      <c r="ET35" s="10">
        <f t="shared" si="102"/>
        <v>0</v>
      </c>
      <c r="EU35" s="10">
        <f t="shared" si="103"/>
        <v>0</v>
      </c>
      <c r="EV35" s="10">
        <f t="shared" si="104"/>
        <v>1</v>
      </c>
      <c r="EW35" s="10">
        <f t="shared" si="105"/>
        <v>0</v>
      </c>
      <c r="EX35" s="10">
        <f t="shared" si="106"/>
        <v>0</v>
      </c>
      <c r="EY35" s="10">
        <f t="shared" si="107"/>
        <v>0</v>
      </c>
      <c r="EZ35" s="10">
        <f t="shared" si="108"/>
        <v>0</v>
      </c>
      <c r="FA35" s="10">
        <f t="shared" si="109"/>
        <v>0</v>
      </c>
      <c r="FB35" s="10">
        <f t="shared" si="110"/>
        <v>0</v>
      </c>
      <c r="FC35" s="10">
        <f t="shared" si="111"/>
        <v>0</v>
      </c>
      <c r="FD35" s="10">
        <f t="shared" si="112"/>
        <v>0</v>
      </c>
      <c r="FE35" s="10">
        <f t="shared" si="113"/>
        <v>0</v>
      </c>
      <c r="FF35" s="10">
        <f t="shared" si="114"/>
        <v>0</v>
      </c>
      <c r="FG35" s="10">
        <f t="shared" si="115"/>
        <v>0</v>
      </c>
      <c r="FH35" s="10">
        <f t="shared" si="116"/>
        <v>0</v>
      </c>
      <c r="FI35" s="10">
        <f t="shared" si="117"/>
        <v>0</v>
      </c>
      <c r="FJ35" s="10">
        <f t="shared" si="118"/>
        <v>0</v>
      </c>
      <c r="FK35" s="10">
        <f t="shared" si="119"/>
        <v>0</v>
      </c>
      <c r="FL35" s="10">
        <f t="shared" si="120"/>
        <v>0</v>
      </c>
      <c r="FM35" s="10">
        <f t="shared" si="121"/>
        <v>0</v>
      </c>
      <c r="FN35" s="10">
        <f t="shared" si="122"/>
        <v>0</v>
      </c>
      <c r="FO35" s="10">
        <f t="shared" si="123"/>
        <v>0</v>
      </c>
      <c r="FP35" s="10">
        <f t="shared" si="124"/>
        <v>0</v>
      </c>
      <c r="FQ35" s="10">
        <f t="shared" si="125"/>
        <v>0</v>
      </c>
      <c r="FR35" s="11">
        <f t="shared" si="394"/>
        <v>0</v>
      </c>
      <c r="FS35" s="11">
        <f t="shared" si="127"/>
        <v>0</v>
      </c>
      <c r="FT35" s="11">
        <f t="shared" si="128"/>
        <v>0</v>
      </c>
      <c r="FU35" s="11">
        <f t="shared" si="129"/>
        <v>0</v>
      </c>
      <c r="FV35" s="11">
        <f t="shared" si="130"/>
        <v>0</v>
      </c>
      <c r="FW35" s="11">
        <f t="shared" si="131"/>
        <v>0</v>
      </c>
      <c r="FX35" s="11">
        <f t="shared" si="132"/>
        <v>0</v>
      </c>
      <c r="FY35" s="11">
        <f t="shared" si="133"/>
        <v>0</v>
      </c>
      <c r="FZ35" s="11">
        <f t="shared" si="134"/>
        <v>0</v>
      </c>
      <c r="GA35" s="11">
        <f t="shared" si="135"/>
        <v>0</v>
      </c>
      <c r="GB35" s="11">
        <f t="shared" si="136"/>
        <v>0</v>
      </c>
      <c r="GC35" s="11">
        <f t="shared" si="137"/>
        <v>0</v>
      </c>
      <c r="GD35" s="11">
        <f t="shared" si="138"/>
        <v>0</v>
      </c>
      <c r="GE35" s="11">
        <f t="shared" si="139"/>
        <v>0</v>
      </c>
      <c r="GF35" s="11">
        <f t="shared" si="140"/>
        <v>0</v>
      </c>
      <c r="GG35" s="11">
        <f t="shared" si="141"/>
        <v>0</v>
      </c>
      <c r="GH35" s="11">
        <f t="shared" si="142"/>
        <v>0</v>
      </c>
      <c r="GI35" s="11">
        <f t="shared" si="143"/>
        <v>0</v>
      </c>
      <c r="GJ35" s="11">
        <f t="shared" si="144"/>
        <v>0</v>
      </c>
      <c r="GK35" s="11">
        <f t="shared" si="145"/>
        <v>0</v>
      </c>
      <c r="GL35" s="11">
        <f t="shared" si="146"/>
        <v>0</v>
      </c>
      <c r="GM35" s="11">
        <f t="shared" si="147"/>
        <v>0</v>
      </c>
      <c r="GN35" s="11">
        <f t="shared" si="148"/>
        <v>0</v>
      </c>
      <c r="GO35" s="11">
        <f t="shared" si="149"/>
        <v>0</v>
      </c>
      <c r="GP35" s="11">
        <f t="shared" si="150"/>
        <v>0</v>
      </c>
      <c r="GQ35" s="11">
        <f t="shared" si="151"/>
        <v>0</v>
      </c>
      <c r="GR35" s="11">
        <f t="shared" si="152"/>
        <v>0</v>
      </c>
      <c r="GS35" s="11">
        <f t="shared" si="153"/>
        <v>0</v>
      </c>
      <c r="GT35" s="11">
        <f t="shared" si="154"/>
        <v>0</v>
      </c>
      <c r="GU35" s="12">
        <f t="shared" si="155"/>
        <v>0</v>
      </c>
      <c r="GV35" s="12">
        <f t="shared" si="156"/>
        <v>0</v>
      </c>
      <c r="GW35" s="12">
        <f t="shared" si="157"/>
        <v>0</v>
      </c>
      <c r="GX35" s="12">
        <f t="shared" si="158"/>
        <v>0</v>
      </c>
      <c r="GY35" s="12">
        <f t="shared" si="159"/>
        <v>0</v>
      </c>
      <c r="GZ35" s="12">
        <f t="shared" si="160"/>
        <v>0</v>
      </c>
      <c r="HA35" s="12">
        <f t="shared" si="161"/>
        <v>0</v>
      </c>
      <c r="HB35" s="12">
        <f t="shared" si="162"/>
        <v>0</v>
      </c>
      <c r="HC35" s="12">
        <f t="shared" si="163"/>
        <v>0</v>
      </c>
      <c r="HD35" s="12">
        <f t="shared" si="164"/>
        <v>0</v>
      </c>
      <c r="HE35" s="12">
        <f t="shared" si="165"/>
        <v>0</v>
      </c>
      <c r="HF35" s="12">
        <f t="shared" si="166"/>
        <v>0</v>
      </c>
      <c r="HG35" s="12">
        <f t="shared" si="167"/>
        <v>0</v>
      </c>
      <c r="HH35" s="12">
        <f t="shared" si="168"/>
        <v>0</v>
      </c>
      <c r="HI35" s="12">
        <f t="shared" si="169"/>
        <v>0</v>
      </c>
      <c r="HJ35" s="12">
        <f t="shared" si="170"/>
        <v>0</v>
      </c>
      <c r="HK35" s="12">
        <f t="shared" si="171"/>
        <v>0</v>
      </c>
      <c r="HL35" s="12">
        <f t="shared" si="172"/>
        <v>0</v>
      </c>
      <c r="HM35" s="12">
        <f t="shared" si="173"/>
        <v>0</v>
      </c>
      <c r="HN35" s="12">
        <f t="shared" si="174"/>
        <v>0</v>
      </c>
      <c r="HO35" s="12">
        <f t="shared" si="175"/>
        <v>0</v>
      </c>
      <c r="HP35" s="12">
        <f t="shared" si="176"/>
        <v>1</v>
      </c>
      <c r="HQ35" s="12">
        <f t="shared" si="177"/>
        <v>0</v>
      </c>
      <c r="HR35" s="12">
        <f t="shared" si="178"/>
        <v>0</v>
      </c>
      <c r="HS35" s="12">
        <f t="shared" si="179"/>
        <v>0</v>
      </c>
      <c r="HT35" s="12">
        <f t="shared" si="180"/>
        <v>0</v>
      </c>
      <c r="HU35" s="12">
        <f t="shared" si="181"/>
        <v>0</v>
      </c>
      <c r="HV35" s="12">
        <f t="shared" si="182"/>
        <v>0</v>
      </c>
      <c r="HW35" s="12">
        <f t="shared" si="183"/>
        <v>0</v>
      </c>
      <c r="HX35" s="12">
        <f t="shared" si="184"/>
        <v>0</v>
      </c>
      <c r="HY35" s="12">
        <f t="shared" si="185"/>
        <v>0</v>
      </c>
      <c r="HZ35" s="12">
        <f t="shared" si="186"/>
        <v>0</v>
      </c>
      <c r="IA35" s="12">
        <f t="shared" si="187"/>
        <v>0</v>
      </c>
      <c r="IB35" s="12">
        <f t="shared" si="188"/>
        <v>0</v>
      </c>
      <c r="IC35" s="12">
        <f t="shared" si="189"/>
        <v>0</v>
      </c>
      <c r="ID35" s="12">
        <f t="shared" si="190"/>
        <v>0</v>
      </c>
      <c r="IE35" s="12">
        <f t="shared" si="191"/>
        <v>0</v>
      </c>
      <c r="IF35" s="12">
        <f t="shared" si="192"/>
        <v>0</v>
      </c>
      <c r="IG35" s="12">
        <f t="shared" si="193"/>
        <v>0</v>
      </c>
      <c r="IH35" s="12">
        <f t="shared" si="194"/>
        <v>0</v>
      </c>
      <c r="II35" s="12">
        <f t="shared" si="195"/>
        <v>0</v>
      </c>
      <c r="IJ35" s="12">
        <f t="shared" si="196"/>
        <v>0</v>
      </c>
      <c r="IK35" s="12">
        <f t="shared" si="197"/>
        <v>0</v>
      </c>
      <c r="IL35" s="12">
        <f t="shared" si="198"/>
        <v>0</v>
      </c>
      <c r="IM35" s="12">
        <f t="shared" si="199"/>
        <v>0</v>
      </c>
      <c r="IN35" s="12">
        <f t="shared" si="200"/>
        <v>0</v>
      </c>
      <c r="IO35" s="12">
        <f t="shared" si="201"/>
        <v>0</v>
      </c>
      <c r="IP35" s="12">
        <f t="shared" si="202"/>
        <v>0</v>
      </c>
      <c r="IQ35" s="12">
        <f t="shared" si="203"/>
        <v>0</v>
      </c>
      <c r="IR35" s="12">
        <f t="shared" si="204"/>
        <v>0</v>
      </c>
      <c r="IS35" s="12">
        <f t="shared" si="205"/>
        <v>0</v>
      </c>
      <c r="IT35" s="12">
        <f t="shared" si="206"/>
        <v>0</v>
      </c>
      <c r="IU35" s="12">
        <f t="shared" si="207"/>
        <v>0</v>
      </c>
      <c r="IV35" s="12">
        <f t="shared" si="208"/>
        <v>0</v>
      </c>
      <c r="IW35" s="12">
        <f t="shared" si="209"/>
        <v>0</v>
      </c>
      <c r="IX35" s="12">
        <f t="shared" si="210"/>
        <v>0</v>
      </c>
      <c r="IY35" s="12">
        <f t="shared" si="211"/>
        <v>0</v>
      </c>
      <c r="IZ35" s="12">
        <f t="shared" si="212"/>
        <v>1</v>
      </c>
      <c r="JA35" s="13">
        <f t="shared" si="213"/>
        <v>0</v>
      </c>
      <c r="JB35" s="13">
        <f t="shared" si="214"/>
        <v>0</v>
      </c>
      <c r="JC35" s="13">
        <f t="shared" si="215"/>
        <v>0</v>
      </c>
      <c r="JD35" s="13">
        <f t="shared" si="216"/>
        <v>0</v>
      </c>
      <c r="JE35" s="13">
        <f t="shared" si="217"/>
        <v>0</v>
      </c>
      <c r="JF35" s="13">
        <f t="shared" si="218"/>
        <v>0</v>
      </c>
      <c r="JG35" s="13">
        <f t="shared" si="219"/>
        <v>0</v>
      </c>
      <c r="JH35" s="13">
        <f t="shared" si="220"/>
        <v>0</v>
      </c>
      <c r="JI35" s="13">
        <f t="shared" si="221"/>
        <v>0</v>
      </c>
      <c r="JJ35" s="13">
        <f t="shared" si="222"/>
        <v>0</v>
      </c>
      <c r="JK35" s="13">
        <f t="shared" si="223"/>
        <v>0</v>
      </c>
      <c r="JL35" s="13">
        <f t="shared" si="224"/>
        <v>0</v>
      </c>
      <c r="JM35" s="13">
        <f t="shared" si="225"/>
        <v>0</v>
      </c>
      <c r="JN35" s="13">
        <f t="shared" si="226"/>
        <v>0</v>
      </c>
      <c r="JO35" s="13">
        <f t="shared" si="227"/>
        <v>0</v>
      </c>
      <c r="JP35" s="13">
        <f t="shared" si="228"/>
        <v>0</v>
      </c>
      <c r="JQ35" s="13">
        <f t="shared" si="229"/>
        <v>0</v>
      </c>
      <c r="JR35" s="13">
        <f t="shared" si="230"/>
        <v>0</v>
      </c>
      <c r="JS35" s="13">
        <f t="shared" si="231"/>
        <v>0</v>
      </c>
      <c r="JT35" s="13">
        <f t="shared" si="232"/>
        <v>0</v>
      </c>
      <c r="JU35" s="13">
        <f t="shared" si="233"/>
        <v>0</v>
      </c>
      <c r="JV35" s="12">
        <f t="shared" si="234"/>
        <v>0</v>
      </c>
      <c r="JW35" s="12">
        <f t="shared" si="235"/>
        <v>0</v>
      </c>
      <c r="JX35" s="12">
        <f t="shared" si="236"/>
        <v>0</v>
      </c>
      <c r="JY35" s="12">
        <f t="shared" si="237"/>
        <v>0</v>
      </c>
      <c r="JZ35" s="12">
        <f t="shared" si="238"/>
        <v>0</v>
      </c>
      <c r="KA35" s="12">
        <f t="shared" si="239"/>
        <v>0</v>
      </c>
      <c r="KB35" s="12">
        <f t="shared" si="240"/>
        <v>0</v>
      </c>
      <c r="KC35" s="12">
        <f t="shared" si="241"/>
        <v>0</v>
      </c>
      <c r="KD35" s="12">
        <f t="shared" si="242"/>
        <v>0</v>
      </c>
      <c r="KE35" s="12">
        <f t="shared" si="243"/>
        <v>0</v>
      </c>
      <c r="KF35" s="12">
        <f t="shared" si="244"/>
        <v>0</v>
      </c>
      <c r="KG35" s="12">
        <f t="shared" si="245"/>
        <v>0</v>
      </c>
      <c r="KH35" s="12">
        <f t="shared" si="246"/>
        <v>0</v>
      </c>
      <c r="KI35" s="12">
        <f t="shared" si="247"/>
        <v>0</v>
      </c>
      <c r="KJ35" s="12">
        <f t="shared" si="248"/>
        <v>0</v>
      </c>
      <c r="KK35" s="12">
        <f t="shared" si="249"/>
        <v>0</v>
      </c>
      <c r="KL35" s="12">
        <f t="shared" si="250"/>
        <v>0</v>
      </c>
      <c r="KM35" s="12">
        <f t="shared" si="251"/>
        <v>0</v>
      </c>
      <c r="KN35" s="12">
        <f t="shared" si="252"/>
        <v>0</v>
      </c>
      <c r="KO35" s="12">
        <f t="shared" si="253"/>
        <v>0</v>
      </c>
      <c r="KP35" s="12">
        <f t="shared" si="254"/>
        <v>0</v>
      </c>
      <c r="KQ35" s="12">
        <f t="shared" si="255"/>
        <v>0</v>
      </c>
      <c r="KR35" s="12">
        <f t="shared" si="256"/>
        <v>0</v>
      </c>
      <c r="KS35" s="12">
        <f t="shared" si="257"/>
        <v>0</v>
      </c>
      <c r="KT35" s="12">
        <f t="shared" si="258"/>
        <v>0</v>
      </c>
      <c r="KU35" s="12">
        <f t="shared" si="259"/>
        <v>0</v>
      </c>
      <c r="KV35" s="12">
        <f t="shared" si="260"/>
        <v>0</v>
      </c>
      <c r="KW35" s="12">
        <f t="shared" si="261"/>
        <v>0</v>
      </c>
      <c r="KX35" s="12">
        <f t="shared" si="262"/>
        <v>0</v>
      </c>
      <c r="KY35" s="12">
        <f t="shared" si="263"/>
        <v>0</v>
      </c>
      <c r="KZ35" s="12">
        <f t="shared" si="264"/>
        <v>0</v>
      </c>
      <c r="LA35" s="12">
        <f t="shared" si="265"/>
        <v>0</v>
      </c>
      <c r="LB35" s="12">
        <f t="shared" si="266"/>
        <v>0</v>
      </c>
      <c r="LC35" s="12">
        <f t="shared" si="267"/>
        <v>0</v>
      </c>
      <c r="LD35" s="12">
        <f t="shared" si="268"/>
        <v>0</v>
      </c>
      <c r="LE35" s="12">
        <f t="shared" si="269"/>
        <v>0</v>
      </c>
      <c r="LF35" s="12">
        <f t="shared" si="270"/>
        <v>0</v>
      </c>
      <c r="LG35" s="12">
        <f t="shared" si="271"/>
        <v>0</v>
      </c>
      <c r="LH35" s="12">
        <f t="shared" si="272"/>
        <v>0</v>
      </c>
      <c r="LI35" s="12">
        <f t="shared" si="273"/>
        <v>0</v>
      </c>
      <c r="LJ35" s="12">
        <f t="shared" si="274"/>
        <v>0</v>
      </c>
      <c r="LK35" s="12">
        <f t="shared" si="275"/>
        <v>0</v>
      </c>
      <c r="LL35" s="12">
        <f t="shared" si="276"/>
        <v>0</v>
      </c>
      <c r="LM35" s="12">
        <f t="shared" si="277"/>
        <v>0</v>
      </c>
      <c r="LN35" s="12">
        <f t="shared" si="278"/>
        <v>0</v>
      </c>
      <c r="LO35" s="12">
        <f t="shared" si="279"/>
        <v>0</v>
      </c>
      <c r="LP35" s="12">
        <f t="shared" si="280"/>
        <v>0</v>
      </c>
      <c r="LQ35" s="12">
        <f t="shared" si="281"/>
        <v>0</v>
      </c>
      <c r="LR35" s="12">
        <f t="shared" si="282"/>
        <v>0</v>
      </c>
      <c r="LS35" s="12">
        <f t="shared" si="283"/>
        <v>0</v>
      </c>
      <c r="LT35" s="13">
        <f t="shared" si="284"/>
        <v>0</v>
      </c>
      <c r="LU35" s="13">
        <f t="shared" si="285"/>
        <v>0</v>
      </c>
      <c r="LV35" s="13">
        <f t="shared" si="286"/>
        <v>0</v>
      </c>
      <c r="LW35" s="13">
        <f t="shared" si="287"/>
        <v>0</v>
      </c>
      <c r="LX35" s="13">
        <f t="shared" si="288"/>
        <v>0</v>
      </c>
      <c r="LY35" s="13">
        <f t="shared" si="289"/>
        <v>0</v>
      </c>
      <c r="LZ35" s="13">
        <f t="shared" si="290"/>
        <v>0</v>
      </c>
      <c r="MA35" s="13">
        <f t="shared" si="291"/>
        <v>0</v>
      </c>
      <c r="MB35" s="13">
        <f t="shared" si="292"/>
        <v>0</v>
      </c>
      <c r="MC35" s="13">
        <f t="shared" si="293"/>
        <v>0</v>
      </c>
      <c r="MD35" s="13">
        <f t="shared" si="294"/>
        <v>0</v>
      </c>
      <c r="ME35" s="13">
        <f t="shared" si="295"/>
        <v>0</v>
      </c>
      <c r="MF35" s="13">
        <f t="shared" si="296"/>
        <v>0</v>
      </c>
      <c r="MG35" s="13">
        <f t="shared" si="297"/>
        <v>0</v>
      </c>
      <c r="MH35" s="13">
        <f t="shared" si="298"/>
        <v>0</v>
      </c>
      <c r="MI35" s="13">
        <f t="shared" si="299"/>
        <v>0</v>
      </c>
      <c r="MJ35" s="13">
        <f t="shared" si="300"/>
        <v>0</v>
      </c>
      <c r="MK35" s="13">
        <f t="shared" si="301"/>
        <v>0</v>
      </c>
      <c r="ML35" s="14">
        <f t="shared" si="302"/>
        <v>0</v>
      </c>
      <c r="MM35" s="14">
        <f t="shared" si="303"/>
        <v>0</v>
      </c>
      <c r="MN35" s="14">
        <f t="shared" si="304"/>
        <v>0</v>
      </c>
      <c r="MO35" s="14">
        <f t="shared" si="305"/>
        <v>0</v>
      </c>
      <c r="MP35" s="14">
        <f t="shared" si="306"/>
        <v>0</v>
      </c>
      <c r="MQ35" s="14">
        <f t="shared" si="307"/>
        <v>0</v>
      </c>
      <c r="MR35" s="14">
        <f t="shared" si="308"/>
        <v>0</v>
      </c>
      <c r="MS35" s="14">
        <f t="shared" si="309"/>
        <v>0</v>
      </c>
      <c r="MT35" s="14">
        <f t="shared" si="310"/>
        <v>0</v>
      </c>
      <c r="MU35" s="14">
        <f t="shared" si="311"/>
        <v>0</v>
      </c>
      <c r="MV35" s="14">
        <f t="shared" si="312"/>
        <v>0</v>
      </c>
      <c r="MW35" s="14">
        <f t="shared" si="313"/>
        <v>0</v>
      </c>
      <c r="MX35" s="14">
        <f t="shared" si="314"/>
        <v>0</v>
      </c>
      <c r="MY35" s="14">
        <f t="shared" si="315"/>
        <v>0</v>
      </c>
      <c r="MZ35" s="14">
        <f t="shared" si="316"/>
        <v>0</v>
      </c>
      <c r="NA35" s="14">
        <f t="shared" si="317"/>
        <v>0</v>
      </c>
      <c r="NB35" s="14">
        <f t="shared" si="318"/>
        <v>0</v>
      </c>
    </row>
    <row r="36" ht="15.75" customHeight="1">
      <c r="A36" s="2">
        <v>366.0</v>
      </c>
      <c r="B36" s="2" t="s">
        <v>995</v>
      </c>
      <c r="C36" s="2" t="s">
        <v>996</v>
      </c>
      <c r="D36" s="2" t="s">
        <v>997</v>
      </c>
      <c r="E36" s="2">
        <v>2017.0</v>
      </c>
      <c r="F36" s="2" t="s">
        <v>634</v>
      </c>
      <c r="G36" s="2" t="s">
        <v>998</v>
      </c>
      <c r="J36" s="2" t="s">
        <v>999</v>
      </c>
      <c r="K36" s="2" t="s">
        <v>1000</v>
      </c>
      <c r="M36" s="2">
        <v>46.0</v>
      </c>
      <c r="N36" s="2" t="s">
        <v>1001</v>
      </c>
      <c r="O36" s="2" t="s">
        <v>1002</v>
      </c>
      <c r="P36" s="2" t="s">
        <v>1003</v>
      </c>
      <c r="Q36" s="2" t="s">
        <v>1004</v>
      </c>
      <c r="R36" s="2" t="s">
        <v>1005</v>
      </c>
      <c r="S36" s="2" t="s">
        <v>1006</v>
      </c>
      <c r="T36" s="2" t="s">
        <v>1007</v>
      </c>
      <c r="Y36" s="2" t="s">
        <v>1008</v>
      </c>
      <c r="AB36" s="2" t="s">
        <v>646</v>
      </c>
      <c r="AG36" s="2" t="s">
        <v>647</v>
      </c>
      <c r="AI36" s="2" t="s">
        <v>648</v>
      </c>
      <c r="AK36" s="2" t="s">
        <v>649</v>
      </c>
      <c r="AL36" s="2" t="s">
        <v>384</v>
      </c>
      <c r="AN36" s="2" t="s">
        <v>386</v>
      </c>
      <c r="AO36" s="2" t="s">
        <v>1009</v>
      </c>
      <c r="AP36" s="2" t="s">
        <v>386</v>
      </c>
      <c r="AQ36" s="2">
        <v>1430.0</v>
      </c>
      <c r="AR36" s="2" t="s">
        <v>997</v>
      </c>
      <c r="AS36" s="2" t="b">
        <v>0</v>
      </c>
      <c r="AT36" s="3">
        <v>0.0</v>
      </c>
      <c r="AU36" s="4">
        <v>1.0</v>
      </c>
      <c r="AV36" s="4"/>
      <c r="AW36" s="5">
        <f t="shared" si="3"/>
        <v>0</v>
      </c>
      <c r="AX36" s="5">
        <f t="shared" si="4"/>
        <v>0</v>
      </c>
      <c r="AY36" s="5">
        <f t="shared" si="5"/>
        <v>0</v>
      </c>
      <c r="AZ36" s="5">
        <f t="shared" si="6"/>
        <v>0</v>
      </c>
      <c r="BA36" s="5">
        <f t="shared" si="7"/>
        <v>0</v>
      </c>
      <c r="BB36" s="5">
        <f t="shared" si="8"/>
        <v>0</v>
      </c>
      <c r="BC36" s="5">
        <f t="shared" si="9"/>
        <v>0</v>
      </c>
      <c r="BD36" s="5">
        <f t="shared" si="10"/>
        <v>0</v>
      </c>
      <c r="BE36" s="5">
        <f t="shared" si="11"/>
        <v>0</v>
      </c>
      <c r="BF36" s="5">
        <f t="shared" si="12"/>
        <v>0</v>
      </c>
      <c r="BG36" s="5">
        <f t="shared" si="13"/>
        <v>0</v>
      </c>
      <c r="BH36" s="5">
        <f t="shared" si="14"/>
        <v>0</v>
      </c>
      <c r="BI36" s="5">
        <f t="shared" si="15"/>
        <v>0</v>
      </c>
      <c r="BJ36" s="5">
        <f t="shared" si="16"/>
        <v>0</v>
      </c>
      <c r="BK36" s="5">
        <f t="shared" si="17"/>
        <v>0</v>
      </c>
      <c r="BL36" s="5">
        <f t="shared" si="18"/>
        <v>0</v>
      </c>
      <c r="BM36" s="5">
        <f t="shared" si="19"/>
        <v>0</v>
      </c>
      <c r="BN36" s="5">
        <f t="shared" si="20"/>
        <v>0</v>
      </c>
      <c r="BO36" s="5">
        <f t="shared" si="21"/>
        <v>0</v>
      </c>
      <c r="BP36" s="5">
        <f t="shared" si="22"/>
        <v>0</v>
      </c>
      <c r="BQ36" s="5">
        <f t="shared" si="23"/>
        <v>0</v>
      </c>
      <c r="BR36" s="5">
        <f t="shared" si="24"/>
        <v>0</v>
      </c>
      <c r="BS36" s="5">
        <f t="shared" si="25"/>
        <v>0</v>
      </c>
      <c r="BT36" s="5">
        <f t="shared" si="26"/>
        <v>0</v>
      </c>
      <c r="BU36" s="5">
        <f t="shared" si="27"/>
        <v>0</v>
      </c>
      <c r="BV36" s="5">
        <f t="shared" ref="BV36:BW36" si="395">IF(OR(ISNUMBER(SEARCH("grit",$D36)),ISNUMBER(SEARCH("grit",$T36)),ISNUMBER(SEARCH("grit",$R36)),ISNUMBER(SEARCH("grit",$S36)),
ISNUMBER(SEARCH("determination",$D36)),ISNUMBER(SEARCH("determination",$T36)),ISNUMBER(SEARCH("determination",$R36)),ISNUMBER(SEARCH("determination",$S36)),
ISNUMBER(SEARCH("tenacity",$D36)),ISNUMBER(SEARCH("tenacity",$T36)),ISNUMBER(SEARCH("tenacity",$R36)),ISNUMBER(SEARCH("tenacity",$S36)),
ISNUMBER(SEARCH("endurance",$D36)),ISNUMBER(SEARCH("endurance",$T36)),ISNUMBER(SEARCH("endurance",$R36)),ISNUMBER(SEARCH("endurance",$S36)),
ISNUMBER(SEARCH("fortitude",$D36)),ISNUMBER(SEARCH("fortitude",$T36)),ISNUMBER(SEARCH("fortitude",$R36)),ISNUMBER(SEARCH("fortitude",$S36)),
ISNUMBER(SEARCH("resolve",$D36)),ISNUMBER(SEARCH("resolve",$T36)),ISNUMBER(SEARCH("resolve",$R36)),ISNUMBER(SEARCH("resolve",$S36)),
ISNUMBER(SEARCH("stamina",$D36)),ISNUMBER(SEARCH("stamina",$T36)),ISNUMBER(SEARCH("stamina",$R36)),ISNUMBER(SEARCH("stamina",$S36)),
ISNUMBER(SEARCH("guts",$D36)),ISNUMBER(SEARCH("guts",$T36)),ISNUMBER(SEARCH("guts",$R36)),ISNUMBER(SEARCH("guts",$S36)),
ISNUMBER(SEARCH("spunk",$D36)),ISNUMBER(SEARCH("spunk",$T36)),ISNUMBER(SEARCH("spunk",$R36)),ISNUMBER(SEARCH("spunk",$S36))), 1, 0)</f>
        <v>0</v>
      </c>
      <c r="BW36" s="5">
        <f t="shared" si="395"/>
        <v>0</v>
      </c>
      <c r="BX36" s="5">
        <f t="shared" si="29"/>
        <v>0</v>
      </c>
      <c r="BY36" s="5">
        <f t="shared" si="30"/>
        <v>0</v>
      </c>
      <c r="BZ36" s="5">
        <f t="shared" si="31"/>
        <v>0</v>
      </c>
      <c r="CA36" s="5">
        <f t="shared" si="32"/>
        <v>0</v>
      </c>
      <c r="CB36" s="5">
        <f t="shared" si="33"/>
        <v>0</v>
      </c>
      <c r="CC36" s="5">
        <f t="shared" si="34"/>
        <v>0</v>
      </c>
      <c r="CD36" s="5">
        <f t="shared" si="35"/>
        <v>0</v>
      </c>
      <c r="CE36" s="5">
        <f t="shared" si="36"/>
        <v>0</v>
      </c>
      <c r="CF36" s="5">
        <f t="shared" si="37"/>
        <v>0</v>
      </c>
      <c r="CG36" s="5">
        <f t="shared" si="38"/>
        <v>0</v>
      </c>
      <c r="CH36" s="5">
        <f t="shared" si="39"/>
        <v>0</v>
      </c>
      <c r="CI36" s="5">
        <f t="shared" si="40"/>
        <v>0</v>
      </c>
      <c r="CJ36" s="5">
        <f t="shared" si="41"/>
        <v>0</v>
      </c>
      <c r="CK36" s="5">
        <f t="shared" si="42"/>
        <v>0</v>
      </c>
      <c r="CL36" s="5">
        <f t="shared" si="43"/>
        <v>0</v>
      </c>
      <c r="CM36" s="5">
        <f t="shared" si="44"/>
        <v>0</v>
      </c>
      <c r="CN36" s="5">
        <f t="shared" si="45"/>
        <v>0</v>
      </c>
      <c r="CO36" s="5">
        <f t="shared" si="46"/>
        <v>0</v>
      </c>
      <c r="CP36" s="6">
        <f t="shared" si="47"/>
        <v>0</v>
      </c>
      <c r="CQ36" s="6">
        <f t="shared" si="48"/>
        <v>0</v>
      </c>
      <c r="CR36" s="6">
        <f t="shared" si="49"/>
        <v>0</v>
      </c>
      <c r="CS36" s="6">
        <f t="shared" si="50"/>
        <v>0</v>
      </c>
      <c r="CT36" s="6">
        <f t="shared" si="51"/>
        <v>0</v>
      </c>
      <c r="CU36" s="6">
        <f t="shared" si="52"/>
        <v>0</v>
      </c>
      <c r="CV36" s="6">
        <f t="shared" si="53"/>
        <v>0</v>
      </c>
      <c r="CW36" s="6">
        <f t="shared" si="54"/>
        <v>0</v>
      </c>
      <c r="CX36" s="6">
        <f t="shared" si="55"/>
        <v>0</v>
      </c>
      <c r="CY36" s="6">
        <f t="shared" si="56"/>
        <v>0</v>
      </c>
      <c r="CZ36" s="6">
        <f t="shared" si="57"/>
        <v>0</v>
      </c>
      <c r="DA36" s="6">
        <f t="shared" si="58"/>
        <v>0</v>
      </c>
      <c r="DB36" s="6">
        <f t="shared" si="59"/>
        <v>0</v>
      </c>
      <c r="DC36" s="6">
        <f t="shared" si="60"/>
        <v>0</v>
      </c>
      <c r="DD36" s="6">
        <f t="shared" si="61"/>
        <v>0</v>
      </c>
      <c r="DE36" s="6">
        <f t="shared" si="62"/>
        <v>0</v>
      </c>
      <c r="DF36" s="6">
        <f t="shared" si="63"/>
        <v>0</v>
      </c>
      <c r="DG36" s="6">
        <f t="shared" si="64"/>
        <v>0</v>
      </c>
      <c r="DH36" s="6">
        <f t="shared" si="384"/>
        <v>0</v>
      </c>
      <c r="DI36" s="6">
        <f t="shared" si="66"/>
        <v>0</v>
      </c>
      <c r="DJ36" s="6">
        <f t="shared" si="385"/>
        <v>0</v>
      </c>
      <c r="DK36" s="7">
        <f t="shared" si="68"/>
        <v>0</v>
      </c>
      <c r="DL36" s="7">
        <f t="shared" si="374"/>
        <v>0</v>
      </c>
      <c r="DM36" s="7">
        <f t="shared" si="70"/>
        <v>0</v>
      </c>
      <c r="DN36" s="7">
        <f t="shared" si="71"/>
        <v>0</v>
      </c>
      <c r="DO36" s="7">
        <f t="shared" si="72"/>
        <v>1</v>
      </c>
      <c r="DP36" s="8">
        <f t="shared" si="73"/>
        <v>0</v>
      </c>
      <c r="DQ36" s="8">
        <f t="shared" si="74"/>
        <v>0</v>
      </c>
      <c r="DR36" s="7">
        <f t="shared" si="75"/>
        <v>0</v>
      </c>
      <c r="DS36" s="7">
        <f t="shared" si="76"/>
        <v>0</v>
      </c>
      <c r="DT36" s="7">
        <f t="shared" si="77"/>
        <v>0</v>
      </c>
      <c r="DU36" s="9">
        <f t="shared" si="78"/>
        <v>0</v>
      </c>
      <c r="DV36" s="9">
        <f t="shared" si="79"/>
        <v>0</v>
      </c>
      <c r="DW36" s="9">
        <f t="shared" si="80"/>
        <v>0</v>
      </c>
      <c r="DX36" s="9">
        <f t="shared" si="81"/>
        <v>0</v>
      </c>
      <c r="DY36" s="9">
        <f t="shared" si="82"/>
        <v>0</v>
      </c>
      <c r="DZ36" s="9">
        <f t="shared" si="83"/>
        <v>0</v>
      </c>
      <c r="EA36" s="9">
        <f t="shared" si="84"/>
        <v>0</v>
      </c>
      <c r="EB36" s="9">
        <f t="shared" si="85"/>
        <v>0</v>
      </c>
      <c r="EC36" s="9">
        <f t="shared" si="86"/>
        <v>0</v>
      </c>
      <c r="ED36" s="9">
        <f t="shared" si="87"/>
        <v>0</v>
      </c>
      <c r="EE36" s="9">
        <f t="shared" si="88"/>
        <v>0</v>
      </c>
      <c r="EF36" s="9">
        <f t="shared" si="89"/>
        <v>0</v>
      </c>
      <c r="EG36" s="9">
        <f t="shared" si="90"/>
        <v>0</v>
      </c>
      <c r="EH36" s="9">
        <f t="shared" si="91"/>
        <v>0</v>
      </c>
      <c r="EI36" s="9">
        <f t="shared" si="92"/>
        <v>0</v>
      </c>
      <c r="EJ36" s="10">
        <f t="shared" si="93"/>
        <v>0</v>
      </c>
      <c r="EK36" s="10">
        <f t="shared" si="94"/>
        <v>0</v>
      </c>
      <c r="EL36" s="10">
        <f t="shared" ref="EL36:EM36" si="396">IF(OR(ISNUMBER(SEARCH("ai software toolkit", $D36)), ISNUMBER(SEARCH("ai software toolkit", $T36)), ISNUMBER(SEARCH("ai software toolkit", $R36)), ISNUMBER(SEARCH("ai software toolkit", $S36))), 1, 0)</f>
        <v>0</v>
      </c>
      <c r="EM36" s="10">
        <f t="shared" si="396"/>
        <v>0</v>
      </c>
      <c r="EN36" s="10">
        <f t="shared" si="96"/>
        <v>0</v>
      </c>
      <c r="EO36" s="10">
        <f t="shared" si="97"/>
        <v>0</v>
      </c>
      <c r="EP36" s="10">
        <f t="shared" si="98"/>
        <v>0</v>
      </c>
      <c r="EQ36" s="10">
        <f t="shared" si="99"/>
        <v>0</v>
      </c>
      <c r="ER36" s="10">
        <f t="shared" si="100"/>
        <v>0</v>
      </c>
      <c r="ES36" s="10">
        <f t="shared" si="101"/>
        <v>0</v>
      </c>
      <c r="ET36" s="10">
        <f t="shared" si="102"/>
        <v>0</v>
      </c>
      <c r="EU36" s="10">
        <f t="shared" si="103"/>
        <v>0</v>
      </c>
      <c r="EV36" s="10">
        <f t="shared" si="104"/>
        <v>0</v>
      </c>
      <c r="EW36" s="10">
        <f t="shared" si="105"/>
        <v>0</v>
      </c>
      <c r="EX36" s="10">
        <f t="shared" si="106"/>
        <v>0</v>
      </c>
      <c r="EY36" s="10">
        <f t="shared" si="107"/>
        <v>0</v>
      </c>
      <c r="EZ36" s="10">
        <f t="shared" si="108"/>
        <v>0</v>
      </c>
      <c r="FA36" s="10">
        <f t="shared" si="109"/>
        <v>0</v>
      </c>
      <c r="FB36" s="10">
        <f t="shared" si="110"/>
        <v>0</v>
      </c>
      <c r="FC36" s="10">
        <f t="shared" si="111"/>
        <v>0</v>
      </c>
      <c r="FD36" s="10">
        <f t="shared" si="112"/>
        <v>0</v>
      </c>
      <c r="FE36" s="10">
        <f t="shared" si="113"/>
        <v>0</v>
      </c>
      <c r="FF36" s="10">
        <f t="shared" si="114"/>
        <v>0</v>
      </c>
      <c r="FG36" s="10">
        <f t="shared" si="115"/>
        <v>0</v>
      </c>
      <c r="FH36" s="10">
        <f t="shared" si="116"/>
        <v>0</v>
      </c>
      <c r="FI36" s="10">
        <f t="shared" si="117"/>
        <v>0</v>
      </c>
      <c r="FJ36" s="10">
        <f t="shared" si="118"/>
        <v>0</v>
      </c>
      <c r="FK36" s="10">
        <f t="shared" si="119"/>
        <v>0</v>
      </c>
      <c r="FL36" s="10">
        <f t="shared" si="120"/>
        <v>0</v>
      </c>
      <c r="FM36" s="10">
        <f t="shared" si="121"/>
        <v>0</v>
      </c>
      <c r="FN36" s="10">
        <f t="shared" si="122"/>
        <v>0</v>
      </c>
      <c r="FO36" s="10">
        <f t="shared" si="123"/>
        <v>0</v>
      </c>
      <c r="FP36" s="10">
        <f t="shared" si="124"/>
        <v>1</v>
      </c>
      <c r="FQ36" s="10">
        <f t="shared" si="125"/>
        <v>0</v>
      </c>
      <c r="FR36" s="11">
        <f t="shared" si="394"/>
        <v>0</v>
      </c>
      <c r="FS36" s="11">
        <f t="shared" si="127"/>
        <v>0</v>
      </c>
      <c r="FT36" s="11">
        <f t="shared" si="128"/>
        <v>0</v>
      </c>
      <c r="FU36" s="11">
        <f t="shared" si="129"/>
        <v>0</v>
      </c>
      <c r="FV36" s="11">
        <f t="shared" si="130"/>
        <v>0</v>
      </c>
      <c r="FW36" s="11">
        <f t="shared" si="131"/>
        <v>0</v>
      </c>
      <c r="FX36" s="11">
        <f t="shared" si="132"/>
        <v>0</v>
      </c>
      <c r="FY36" s="11">
        <f t="shared" si="133"/>
        <v>0</v>
      </c>
      <c r="FZ36" s="11">
        <f t="shared" si="134"/>
        <v>0</v>
      </c>
      <c r="GA36" s="11">
        <f t="shared" si="135"/>
        <v>0</v>
      </c>
      <c r="GB36" s="11">
        <f t="shared" si="136"/>
        <v>0</v>
      </c>
      <c r="GC36" s="11">
        <f t="shared" si="137"/>
        <v>0</v>
      </c>
      <c r="GD36" s="11">
        <f t="shared" si="138"/>
        <v>0</v>
      </c>
      <c r="GE36" s="11">
        <f t="shared" si="139"/>
        <v>0</v>
      </c>
      <c r="GF36" s="11">
        <f t="shared" si="140"/>
        <v>0</v>
      </c>
      <c r="GG36" s="11">
        <f t="shared" si="141"/>
        <v>0</v>
      </c>
      <c r="GH36" s="11">
        <f t="shared" si="142"/>
        <v>0</v>
      </c>
      <c r="GI36" s="11">
        <f t="shared" si="143"/>
        <v>0</v>
      </c>
      <c r="GJ36" s="11">
        <f t="shared" si="144"/>
        <v>0</v>
      </c>
      <c r="GK36" s="11">
        <f t="shared" si="145"/>
        <v>0</v>
      </c>
      <c r="GL36" s="11">
        <f t="shared" si="146"/>
        <v>0</v>
      </c>
      <c r="GM36" s="11">
        <f t="shared" si="147"/>
        <v>0</v>
      </c>
      <c r="GN36" s="11">
        <f t="shared" si="148"/>
        <v>0</v>
      </c>
      <c r="GO36" s="11">
        <f t="shared" si="149"/>
        <v>0</v>
      </c>
      <c r="GP36" s="11">
        <f t="shared" si="150"/>
        <v>0</v>
      </c>
      <c r="GQ36" s="11">
        <f t="shared" si="151"/>
        <v>1</v>
      </c>
      <c r="GR36" s="11">
        <f t="shared" si="152"/>
        <v>0</v>
      </c>
      <c r="GS36" s="11">
        <f t="shared" si="153"/>
        <v>0</v>
      </c>
      <c r="GT36" s="11">
        <f t="shared" si="154"/>
        <v>0</v>
      </c>
      <c r="GU36" s="12">
        <f t="shared" si="155"/>
        <v>0</v>
      </c>
      <c r="GV36" s="12">
        <f t="shared" si="156"/>
        <v>0</v>
      </c>
      <c r="GW36" s="12">
        <f t="shared" si="157"/>
        <v>0</v>
      </c>
      <c r="GX36" s="12">
        <f t="shared" si="158"/>
        <v>0</v>
      </c>
      <c r="GY36" s="12">
        <f t="shared" si="159"/>
        <v>0</v>
      </c>
      <c r="GZ36" s="12">
        <f t="shared" si="160"/>
        <v>0</v>
      </c>
      <c r="HA36" s="12">
        <f t="shared" si="161"/>
        <v>0</v>
      </c>
      <c r="HB36" s="12">
        <f t="shared" si="162"/>
        <v>0</v>
      </c>
      <c r="HC36" s="12">
        <f t="shared" si="163"/>
        <v>0</v>
      </c>
      <c r="HD36" s="12">
        <f t="shared" si="164"/>
        <v>0</v>
      </c>
      <c r="HE36" s="12">
        <f t="shared" si="165"/>
        <v>0</v>
      </c>
      <c r="HF36" s="12">
        <f t="shared" si="166"/>
        <v>0</v>
      </c>
      <c r="HG36" s="12">
        <f t="shared" si="167"/>
        <v>0</v>
      </c>
      <c r="HH36" s="12">
        <f t="shared" si="168"/>
        <v>0</v>
      </c>
      <c r="HI36" s="12">
        <f t="shared" si="169"/>
        <v>0</v>
      </c>
      <c r="HJ36" s="12">
        <f t="shared" si="170"/>
        <v>0</v>
      </c>
      <c r="HK36" s="12">
        <f t="shared" si="171"/>
        <v>0</v>
      </c>
      <c r="HL36" s="12">
        <f t="shared" si="172"/>
        <v>0</v>
      </c>
      <c r="HM36" s="12">
        <f t="shared" si="173"/>
        <v>0</v>
      </c>
      <c r="HN36" s="12">
        <f t="shared" si="174"/>
        <v>0</v>
      </c>
      <c r="HO36" s="12">
        <f t="shared" si="175"/>
        <v>0</v>
      </c>
      <c r="HP36" s="12">
        <f t="shared" si="176"/>
        <v>0</v>
      </c>
      <c r="HQ36" s="12">
        <f t="shared" si="177"/>
        <v>0</v>
      </c>
      <c r="HR36" s="12">
        <f t="shared" si="178"/>
        <v>0</v>
      </c>
      <c r="HS36" s="12">
        <f t="shared" si="179"/>
        <v>0</v>
      </c>
      <c r="HT36" s="12">
        <f t="shared" si="180"/>
        <v>0</v>
      </c>
      <c r="HU36" s="12">
        <f t="shared" si="181"/>
        <v>0</v>
      </c>
      <c r="HV36" s="12">
        <f t="shared" si="182"/>
        <v>0</v>
      </c>
      <c r="HW36" s="12">
        <f t="shared" si="183"/>
        <v>0</v>
      </c>
      <c r="HX36" s="12">
        <f t="shared" si="184"/>
        <v>0</v>
      </c>
      <c r="HY36" s="12">
        <f t="shared" si="185"/>
        <v>0</v>
      </c>
      <c r="HZ36" s="12">
        <f t="shared" si="186"/>
        <v>0</v>
      </c>
      <c r="IA36" s="12">
        <f t="shared" si="187"/>
        <v>0</v>
      </c>
      <c r="IB36" s="12">
        <f t="shared" si="188"/>
        <v>0</v>
      </c>
      <c r="IC36" s="12">
        <f t="shared" si="189"/>
        <v>0</v>
      </c>
      <c r="ID36" s="12">
        <f t="shared" si="190"/>
        <v>0</v>
      </c>
      <c r="IE36" s="12">
        <f t="shared" si="191"/>
        <v>0</v>
      </c>
      <c r="IF36" s="12">
        <f t="shared" si="192"/>
        <v>0</v>
      </c>
      <c r="IG36" s="12">
        <f t="shared" si="193"/>
        <v>0</v>
      </c>
      <c r="IH36" s="12">
        <f t="shared" si="194"/>
        <v>0</v>
      </c>
      <c r="II36" s="12">
        <f t="shared" si="195"/>
        <v>0</v>
      </c>
      <c r="IJ36" s="12">
        <f t="shared" si="196"/>
        <v>0</v>
      </c>
      <c r="IK36" s="12">
        <f t="shared" si="197"/>
        <v>0</v>
      </c>
      <c r="IL36" s="12">
        <f t="shared" si="198"/>
        <v>0</v>
      </c>
      <c r="IM36" s="12">
        <f t="shared" si="199"/>
        <v>0</v>
      </c>
      <c r="IN36" s="12">
        <f t="shared" si="200"/>
        <v>0</v>
      </c>
      <c r="IO36" s="12">
        <f t="shared" si="201"/>
        <v>0</v>
      </c>
      <c r="IP36" s="12">
        <f t="shared" si="202"/>
        <v>0</v>
      </c>
      <c r="IQ36" s="12">
        <f t="shared" si="203"/>
        <v>0</v>
      </c>
      <c r="IR36" s="12">
        <f t="shared" si="204"/>
        <v>0</v>
      </c>
      <c r="IS36" s="12">
        <f t="shared" si="205"/>
        <v>0</v>
      </c>
      <c r="IT36" s="12">
        <f t="shared" si="206"/>
        <v>0</v>
      </c>
      <c r="IU36" s="12">
        <f t="shared" si="207"/>
        <v>0</v>
      </c>
      <c r="IV36" s="12">
        <f t="shared" si="208"/>
        <v>0</v>
      </c>
      <c r="IW36" s="12">
        <f t="shared" si="209"/>
        <v>0</v>
      </c>
      <c r="IX36" s="12">
        <f t="shared" si="210"/>
        <v>0</v>
      </c>
      <c r="IY36" s="12">
        <f t="shared" si="211"/>
        <v>0</v>
      </c>
      <c r="IZ36" s="12">
        <f t="shared" si="212"/>
        <v>1</v>
      </c>
      <c r="JA36" s="13">
        <f t="shared" si="213"/>
        <v>0</v>
      </c>
      <c r="JB36" s="13">
        <f t="shared" si="214"/>
        <v>0</v>
      </c>
      <c r="JC36" s="13">
        <f t="shared" si="215"/>
        <v>0</v>
      </c>
      <c r="JD36" s="13">
        <f t="shared" si="216"/>
        <v>0</v>
      </c>
      <c r="JE36" s="13">
        <f t="shared" si="217"/>
        <v>0</v>
      </c>
      <c r="JF36" s="13">
        <f t="shared" si="218"/>
        <v>0</v>
      </c>
      <c r="JG36" s="13">
        <f t="shared" si="219"/>
        <v>0</v>
      </c>
      <c r="JH36" s="13">
        <f t="shared" si="220"/>
        <v>0</v>
      </c>
      <c r="JI36" s="13">
        <f t="shared" si="221"/>
        <v>0</v>
      </c>
      <c r="JJ36" s="13">
        <f t="shared" si="222"/>
        <v>0</v>
      </c>
      <c r="JK36" s="13">
        <f t="shared" si="223"/>
        <v>0</v>
      </c>
      <c r="JL36" s="13">
        <f t="shared" si="224"/>
        <v>0</v>
      </c>
      <c r="JM36" s="13">
        <f t="shared" si="225"/>
        <v>0</v>
      </c>
      <c r="JN36" s="13">
        <f t="shared" si="226"/>
        <v>0</v>
      </c>
      <c r="JO36" s="13">
        <f t="shared" si="227"/>
        <v>0</v>
      </c>
      <c r="JP36" s="13">
        <f t="shared" si="228"/>
        <v>0</v>
      </c>
      <c r="JQ36" s="13">
        <f t="shared" si="229"/>
        <v>0</v>
      </c>
      <c r="JR36" s="13">
        <f t="shared" si="230"/>
        <v>0</v>
      </c>
      <c r="JS36" s="13">
        <f t="shared" si="231"/>
        <v>0</v>
      </c>
      <c r="JT36" s="13">
        <f t="shared" si="232"/>
        <v>0</v>
      </c>
      <c r="JU36" s="13">
        <f t="shared" si="233"/>
        <v>0</v>
      </c>
      <c r="JV36" s="12">
        <f t="shared" si="234"/>
        <v>0</v>
      </c>
      <c r="JW36" s="12">
        <f t="shared" si="235"/>
        <v>0</v>
      </c>
      <c r="JX36" s="12">
        <f t="shared" si="236"/>
        <v>0</v>
      </c>
      <c r="JY36" s="12">
        <f t="shared" si="237"/>
        <v>0</v>
      </c>
      <c r="JZ36" s="12">
        <f t="shared" si="238"/>
        <v>0</v>
      </c>
      <c r="KA36" s="12">
        <f t="shared" si="239"/>
        <v>0</v>
      </c>
      <c r="KB36" s="12">
        <f t="shared" si="240"/>
        <v>0</v>
      </c>
      <c r="KC36" s="12">
        <f t="shared" si="241"/>
        <v>0</v>
      </c>
      <c r="KD36" s="12">
        <f t="shared" si="242"/>
        <v>0</v>
      </c>
      <c r="KE36" s="12">
        <f t="shared" si="243"/>
        <v>0</v>
      </c>
      <c r="KF36" s="12">
        <f t="shared" si="244"/>
        <v>0</v>
      </c>
      <c r="KG36" s="12">
        <f t="shared" si="245"/>
        <v>0</v>
      </c>
      <c r="KH36" s="12">
        <f t="shared" si="246"/>
        <v>0</v>
      </c>
      <c r="KI36" s="12">
        <f t="shared" si="247"/>
        <v>0</v>
      </c>
      <c r="KJ36" s="12">
        <f t="shared" si="248"/>
        <v>0</v>
      </c>
      <c r="KK36" s="12">
        <f t="shared" si="249"/>
        <v>0</v>
      </c>
      <c r="KL36" s="12">
        <f t="shared" si="250"/>
        <v>0</v>
      </c>
      <c r="KM36" s="12">
        <f t="shared" si="251"/>
        <v>0</v>
      </c>
      <c r="KN36" s="12">
        <f t="shared" si="252"/>
        <v>0</v>
      </c>
      <c r="KO36" s="12">
        <f t="shared" si="253"/>
        <v>0</v>
      </c>
      <c r="KP36" s="12">
        <f t="shared" si="254"/>
        <v>0</v>
      </c>
      <c r="KQ36" s="12">
        <f t="shared" si="255"/>
        <v>0</v>
      </c>
      <c r="KR36" s="12">
        <f t="shared" si="256"/>
        <v>0</v>
      </c>
      <c r="KS36" s="12">
        <f t="shared" si="257"/>
        <v>0</v>
      </c>
      <c r="KT36" s="12">
        <f t="shared" si="258"/>
        <v>0</v>
      </c>
      <c r="KU36" s="12">
        <f t="shared" si="259"/>
        <v>0</v>
      </c>
      <c r="KV36" s="12">
        <f t="shared" si="260"/>
        <v>0</v>
      </c>
      <c r="KW36" s="12">
        <f t="shared" si="261"/>
        <v>0</v>
      </c>
      <c r="KX36" s="12">
        <f t="shared" si="262"/>
        <v>0</v>
      </c>
      <c r="KY36" s="12">
        <f t="shared" si="263"/>
        <v>0</v>
      </c>
      <c r="KZ36" s="12">
        <f t="shared" si="264"/>
        <v>0</v>
      </c>
      <c r="LA36" s="12">
        <f t="shared" si="265"/>
        <v>0</v>
      </c>
      <c r="LB36" s="12">
        <f t="shared" si="266"/>
        <v>0</v>
      </c>
      <c r="LC36" s="12">
        <f t="shared" si="267"/>
        <v>0</v>
      </c>
      <c r="LD36" s="12">
        <f t="shared" si="268"/>
        <v>0</v>
      </c>
      <c r="LE36" s="12">
        <f t="shared" si="269"/>
        <v>0</v>
      </c>
      <c r="LF36" s="12">
        <f t="shared" si="270"/>
        <v>0</v>
      </c>
      <c r="LG36" s="12">
        <f t="shared" si="271"/>
        <v>0</v>
      </c>
      <c r="LH36" s="12">
        <f t="shared" si="272"/>
        <v>0</v>
      </c>
      <c r="LI36" s="12">
        <f t="shared" si="273"/>
        <v>0</v>
      </c>
      <c r="LJ36" s="12">
        <f t="shared" si="274"/>
        <v>0</v>
      </c>
      <c r="LK36" s="12">
        <f t="shared" si="275"/>
        <v>0</v>
      </c>
      <c r="LL36" s="12">
        <f t="shared" si="276"/>
        <v>0</v>
      </c>
      <c r="LM36" s="12">
        <f t="shared" si="277"/>
        <v>0</v>
      </c>
      <c r="LN36" s="12">
        <f t="shared" si="278"/>
        <v>0</v>
      </c>
      <c r="LO36" s="12">
        <f t="shared" si="279"/>
        <v>0</v>
      </c>
      <c r="LP36" s="12">
        <f t="shared" si="280"/>
        <v>0</v>
      </c>
      <c r="LQ36" s="12">
        <f t="shared" si="281"/>
        <v>0</v>
      </c>
      <c r="LR36" s="12">
        <f t="shared" si="282"/>
        <v>0</v>
      </c>
      <c r="LS36" s="12">
        <f t="shared" si="283"/>
        <v>0</v>
      </c>
      <c r="LT36" s="13">
        <f t="shared" si="284"/>
        <v>0</v>
      </c>
      <c r="LU36" s="13">
        <f t="shared" si="285"/>
        <v>0</v>
      </c>
      <c r="LV36" s="13">
        <f t="shared" si="286"/>
        <v>0</v>
      </c>
      <c r="LW36" s="13">
        <f t="shared" si="287"/>
        <v>0</v>
      </c>
      <c r="LX36" s="13">
        <f t="shared" si="288"/>
        <v>0</v>
      </c>
      <c r="LY36" s="13">
        <f t="shared" si="289"/>
        <v>0</v>
      </c>
      <c r="LZ36" s="13">
        <f t="shared" si="290"/>
        <v>0</v>
      </c>
      <c r="MA36" s="13">
        <f t="shared" si="291"/>
        <v>0</v>
      </c>
      <c r="MB36" s="13">
        <f t="shared" si="292"/>
        <v>0</v>
      </c>
      <c r="MC36" s="13">
        <f t="shared" si="293"/>
        <v>0</v>
      </c>
      <c r="MD36" s="13">
        <f t="shared" si="294"/>
        <v>0</v>
      </c>
      <c r="ME36" s="13">
        <f t="shared" si="295"/>
        <v>0</v>
      </c>
      <c r="MF36" s="13">
        <f t="shared" si="296"/>
        <v>0</v>
      </c>
      <c r="MG36" s="13">
        <f t="shared" si="297"/>
        <v>0</v>
      </c>
      <c r="MH36" s="13">
        <f t="shared" si="298"/>
        <v>0</v>
      </c>
      <c r="MI36" s="13">
        <f t="shared" si="299"/>
        <v>0</v>
      </c>
      <c r="MJ36" s="13">
        <f t="shared" si="300"/>
        <v>0</v>
      </c>
      <c r="MK36" s="13">
        <f t="shared" si="301"/>
        <v>0</v>
      </c>
      <c r="ML36" s="14">
        <f t="shared" si="302"/>
        <v>0</v>
      </c>
      <c r="MM36" s="14">
        <f t="shared" si="303"/>
        <v>0</v>
      </c>
      <c r="MN36" s="14">
        <f t="shared" si="304"/>
        <v>0</v>
      </c>
      <c r="MO36" s="14">
        <f t="shared" si="305"/>
        <v>0</v>
      </c>
      <c r="MP36" s="14">
        <f t="shared" si="306"/>
        <v>0</v>
      </c>
      <c r="MQ36" s="14">
        <f t="shared" si="307"/>
        <v>0</v>
      </c>
      <c r="MR36" s="14">
        <f t="shared" si="308"/>
        <v>0</v>
      </c>
      <c r="MS36" s="14">
        <f t="shared" si="309"/>
        <v>0</v>
      </c>
      <c r="MT36" s="14">
        <f t="shared" si="310"/>
        <v>0</v>
      </c>
      <c r="MU36" s="14">
        <f t="shared" si="311"/>
        <v>0</v>
      </c>
      <c r="MV36" s="14">
        <f t="shared" si="312"/>
        <v>0</v>
      </c>
      <c r="MW36" s="14">
        <f t="shared" si="313"/>
        <v>0</v>
      </c>
      <c r="MX36" s="14">
        <f t="shared" si="314"/>
        <v>0</v>
      </c>
      <c r="MY36" s="14">
        <f t="shared" si="315"/>
        <v>0</v>
      </c>
      <c r="MZ36" s="14">
        <f t="shared" si="316"/>
        <v>0</v>
      </c>
      <c r="NA36" s="14">
        <f t="shared" si="317"/>
        <v>0</v>
      </c>
      <c r="NB36" s="14">
        <f t="shared" si="318"/>
        <v>0</v>
      </c>
    </row>
    <row r="37" ht="15.75" customHeight="1">
      <c r="A37" s="2">
        <v>199.0</v>
      </c>
      <c r="B37" s="2" t="s">
        <v>1010</v>
      </c>
      <c r="C37" s="2" t="s">
        <v>1011</v>
      </c>
      <c r="D37" s="2" t="s">
        <v>1012</v>
      </c>
      <c r="E37" s="2">
        <v>2019.0</v>
      </c>
      <c r="F37" s="2" t="s">
        <v>906</v>
      </c>
      <c r="G37" s="2" t="s">
        <v>1013</v>
      </c>
      <c r="H37" s="2" t="s">
        <v>510</v>
      </c>
      <c r="M37" s="2">
        <v>45.0</v>
      </c>
      <c r="N37" s="2" t="s">
        <v>1014</v>
      </c>
      <c r="O37" s="2" t="s">
        <v>1015</v>
      </c>
      <c r="P37" s="2" t="s">
        <v>1016</v>
      </c>
      <c r="Q37" s="2" t="s">
        <v>1017</v>
      </c>
      <c r="R37" s="2" t="s">
        <v>1018</v>
      </c>
      <c r="S37" s="2" t="s">
        <v>1019</v>
      </c>
      <c r="T37" s="2" t="s">
        <v>1020</v>
      </c>
      <c r="Y37" s="2" t="s">
        <v>1021</v>
      </c>
      <c r="AB37" s="2" t="s">
        <v>1022</v>
      </c>
      <c r="AG37" s="2" t="s">
        <v>918</v>
      </c>
      <c r="AI37" s="2" t="s">
        <v>919</v>
      </c>
      <c r="AJ37" s="2">
        <v>3.182964E7</v>
      </c>
      <c r="AK37" s="2" t="s">
        <v>920</v>
      </c>
      <c r="AL37" s="2" t="s">
        <v>384</v>
      </c>
      <c r="AN37" s="2" t="s">
        <v>386</v>
      </c>
      <c r="AO37" s="2" t="s">
        <v>1023</v>
      </c>
      <c r="AP37" s="2" t="s">
        <v>386</v>
      </c>
      <c r="AQ37" s="2">
        <v>1216.0</v>
      </c>
      <c r="AR37" s="2" t="s">
        <v>1024</v>
      </c>
      <c r="AS37" s="2" t="b">
        <v>0</v>
      </c>
      <c r="AT37" s="3">
        <v>0.0</v>
      </c>
      <c r="AU37" s="4">
        <v>1.0</v>
      </c>
      <c r="AV37" s="4"/>
      <c r="AW37" s="5">
        <f t="shared" si="3"/>
        <v>0</v>
      </c>
      <c r="AX37" s="5">
        <f t="shared" si="4"/>
        <v>0</v>
      </c>
      <c r="AY37" s="5">
        <f t="shared" si="5"/>
        <v>0</v>
      </c>
      <c r="AZ37" s="5">
        <f t="shared" si="6"/>
        <v>0</v>
      </c>
      <c r="BA37" s="5">
        <f t="shared" si="7"/>
        <v>0</v>
      </c>
      <c r="BB37" s="5">
        <f t="shared" si="8"/>
        <v>0</v>
      </c>
      <c r="BC37" s="5">
        <f t="shared" si="9"/>
        <v>0</v>
      </c>
      <c r="BD37" s="5">
        <f t="shared" si="10"/>
        <v>0</v>
      </c>
      <c r="BE37" s="5">
        <f t="shared" si="11"/>
        <v>0</v>
      </c>
      <c r="BF37" s="5">
        <f t="shared" si="12"/>
        <v>0</v>
      </c>
      <c r="BG37" s="5">
        <f t="shared" si="13"/>
        <v>0</v>
      </c>
      <c r="BH37" s="5">
        <f t="shared" si="14"/>
        <v>0</v>
      </c>
      <c r="BI37" s="5">
        <f t="shared" si="15"/>
        <v>0</v>
      </c>
      <c r="BJ37" s="5">
        <f t="shared" si="16"/>
        <v>0</v>
      </c>
      <c r="BK37" s="5">
        <f t="shared" si="17"/>
        <v>1</v>
      </c>
      <c r="BL37" s="5">
        <f t="shared" si="18"/>
        <v>0</v>
      </c>
      <c r="BM37" s="5">
        <f t="shared" si="19"/>
        <v>0</v>
      </c>
      <c r="BN37" s="5">
        <f t="shared" si="20"/>
        <v>0</v>
      </c>
      <c r="BO37" s="5">
        <f t="shared" si="21"/>
        <v>0</v>
      </c>
      <c r="BP37" s="5">
        <f t="shared" si="22"/>
        <v>0</v>
      </c>
      <c r="BQ37" s="5">
        <f t="shared" si="23"/>
        <v>0</v>
      </c>
      <c r="BR37" s="5">
        <f t="shared" si="24"/>
        <v>0</v>
      </c>
      <c r="BS37" s="5">
        <f t="shared" si="25"/>
        <v>0</v>
      </c>
      <c r="BT37" s="5">
        <f t="shared" si="26"/>
        <v>1</v>
      </c>
      <c r="BU37" s="5">
        <f t="shared" si="27"/>
        <v>0</v>
      </c>
      <c r="BV37" s="5">
        <f t="shared" ref="BV37:BW37" si="397">IF(OR(ISNUMBER(SEARCH("grit",$D37)),ISNUMBER(SEARCH("grit",$T37)),ISNUMBER(SEARCH("grit",$R37)),ISNUMBER(SEARCH("grit",$S37)),
ISNUMBER(SEARCH("determination",$D37)),ISNUMBER(SEARCH("determination",$T37)),ISNUMBER(SEARCH("determination",$R37)),ISNUMBER(SEARCH("determination",$S37)),
ISNUMBER(SEARCH("tenacity",$D37)),ISNUMBER(SEARCH("tenacity",$T37)),ISNUMBER(SEARCH("tenacity",$R37)),ISNUMBER(SEARCH("tenacity",$S37)),
ISNUMBER(SEARCH("endurance",$D37)),ISNUMBER(SEARCH("endurance",$T37)),ISNUMBER(SEARCH("endurance",$R37)),ISNUMBER(SEARCH("endurance",$S37)),
ISNUMBER(SEARCH("fortitude",$D37)),ISNUMBER(SEARCH("fortitude",$T37)),ISNUMBER(SEARCH("fortitude",$R37)),ISNUMBER(SEARCH("fortitude",$S37)),
ISNUMBER(SEARCH("resolve",$D37)),ISNUMBER(SEARCH("resolve",$T37)),ISNUMBER(SEARCH("resolve",$R37)),ISNUMBER(SEARCH("resolve",$S37)),
ISNUMBER(SEARCH("stamina",$D37)),ISNUMBER(SEARCH("stamina",$T37)),ISNUMBER(SEARCH("stamina",$R37)),ISNUMBER(SEARCH("stamina",$S37)),
ISNUMBER(SEARCH("guts",$D37)),ISNUMBER(SEARCH("guts",$T37)),ISNUMBER(SEARCH("guts",$R37)),ISNUMBER(SEARCH("guts",$S37)),
ISNUMBER(SEARCH("spunk",$D37)),ISNUMBER(SEARCH("spunk",$T37)),ISNUMBER(SEARCH("spunk",$R37)),ISNUMBER(SEARCH("spunk",$S37))), 1, 0)</f>
        <v>0</v>
      </c>
      <c r="BW37" s="5">
        <f t="shared" si="397"/>
        <v>0</v>
      </c>
      <c r="BX37" s="5">
        <f t="shared" si="29"/>
        <v>0</v>
      </c>
      <c r="BY37" s="5">
        <f t="shared" si="30"/>
        <v>0</v>
      </c>
      <c r="BZ37" s="5">
        <f t="shared" si="31"/>
        <v>0</v>
      </c>
      <c r="CA37" s="5">
        <f t="shared" si="32"/>
        <v>0</v>
      </c>
      <c r="CB37" s="5">
        <f t="shared" si="33"/>
        <v>0</v>
      </c>
      <c r="CC37" s="5">
        <f t="shared" si="34"/>
        <v>0</v>
      </c>
      <c r="CD37" s="5">
        <f t="shared" si="35"/>
        <v>1</v>
      </c>
      <c r="CE37" s="5">
        <f t="shared" si="36"/>
        <v>0</v>
      </c>
      <c r="CF37" s="5">
        <f t="shared" si="37"/>
        <v>0</v>
      </c>
      <c r="CG37" s="5">
        <f t="shared" si="38"/>
        <v>1</v>
      </c>
      <c r="CH37" s="5">
        <f t="shared" si="39"/>
        <v>0</v>
      </c>
      <c r="CI37" s="5">
        <f t="shared" si="40"/>
        <v>0</v>
      </c>
      <c r="CJ37" s="5">
        <f t="shared" si="41"/>
        <v>0</v>
      </c>
      <c r="CK37" s="5">
        <f t="shared" si="42"/>
        <v>0</v>
      </c>
      <c r="CL37" s="5">
        <f t="shared" si="43"/>
        <v>0</v>
      </c>
      <c r="CM37" s="5">
        <f t="shared" si="44"/>
        <v>0</v>
      </c>
      <c r="CN37" s="5">
        <f t="shared" si="45"/>
        <v>0</v>
      </c>
      <c r="CO37" s="5">
        <f t="shared" si="46"/>
        <v>0</v>
      </c>
      <c r="CP37" s="6">
        <f t="shared" si="47"/>
        <v>0</v>
      </c>
      <c r="CQ37" s="6">
        <f t="shared" si="48"/>
        <v>0</v>
      </c>
      <c r="CR37" s="6">
        <f t="shared" si="49"/>
        <v>0</v>
      </c>
      <c r="CS37" s="6">
        <f t="shared" si="50"/>
        <v>0</v>
      </c>
      <c r="CT37" s="6">
        <f t="shared" si="51"/>
        <v>1</v>
      </c>
      <c r="CU37" s="6">
        <f t="shared" si="52"/>
        <v>0</v>
      </c>
      <c r="CV37" s="6">
        <f t="shared" si="53"/>
        <v>0</v>
      </c>
      <c r="CW37" s="6">
        <f t="shared" si="54"/>
        <v>0</v>
      </c>
      <c r="CX37" s="6">
        <f t="shared" si="55"/>
        <v>0</v>
      </c>
      <c r="CY37" s="6">
        <f t="shared" si="56"/>
        <v>0</v>
      </c>
      <c r="CZ37" s="6">
        <f t="shared" si="57"/>
        <v>0</v>
      </c>
      <c r="DA37" s="6">
        <f t="shared" si="58"/>
        <v>0</v>
      </c>
      <c r="DB37" s="6">
        <f t="shared" si="59"/>
        <v>1</v>
      </c>
      <c r="DC37" s="6">
        <f t="shared" si="60"/>
        <v>0</v>
      </c>
      <c r="DD37" s="6">
        <f t="shared" si="61"/>
        <v>0</v>
      </c>
      <c r="DE37" s="6">
        <f t="shared" si="62"/>
        <v>1</v>
      </c>
      <c r="DF37" s="6">
        <f t="shared" si="63"/>
        <v>0</v>
      </c>
      <c r="DG37" s="6">
        <f t="shared" si="64"/>
        <v>0</v>
      </c>
      <c r="DH37" s="6">
        <f t="shared" si="384"/>
        <v>0</v>
      </c>
      <c r="DI37" s="6">
        <f t="shared" si="66"/>
        <v>0</v>
      </c>
      <c r="DJ37" s="6">
        <f t="shared" si="385"/>
        <v>0</v>
      </c>
      <c r="DK37" s="7">
        <f t="shared" si="68"/>
        <v>0</v>
      </c>
      <c r="DL37" s="7">
        <f>IF(
OR(
ISNUMBER(SEARCH("common-sense reasoning",$D37)),ISNUMBER(SEARCH("common-sense reasoning",$T37)),ISNUMBER(SEARCH("common-sense reasoning",$R35)),ISNUMBER(SEARCH("common-sense reasoning",$S37)),
ISNUMBER(SEARCH("religio",$D37)),ISNUMBER(SEARCH("religio",$T37)),ISNUMBER(SEARCH("religio",$R37)),ISNUMBER(SEARCH("religio",$S37))), 1, 0)</f>
        <v>0</v>
      </c>
      <c r="DM37" s="7">
        <f t="shared" si="70"/>
        <v>0</v>
      </c>
      <c r="DN37" s="7">
        <f t="shared" si="71"/>
        <v>0</v>
      </c>
      <c r="DO37" s="7">
        <f t="shared" si="72"/>
        <v>1</v>
      </c>
      <c r="DP37" s="8">
        <f t="shared" si="73"/>
        <v>0</v>
      </c>
      <c r="DQ37" s="8">
        <f t="shared" si="74"/>
        <v>0</v>
      </c>
      <c r="DR37" s="7">
        <f t="shared" si="75"/>
        <v>0</v>
      </c>
      <c r="DS37" s="7">
        <f t="shared" si="76"/>
        <v>0</v>
      </c>
      <c r="DT37" s="7">
        <f t="shared" si="77"/>
        <v>0</v>
      </c>
      <c r="DU37" s="9">
        <f t="shared" si="78"/>
        <v>0</v>
      </c>
      <c r="DV37" s="9">
        <f t="shared" si="79"/>
        <v>0</v>
      </c>
      <c r="DW37" s="9">
        <f t="shared" si="80"/>
        <v>0</v>
      </c>
      <c r="DX37" s="9">
        <f t="shared" si="81"/>
        <v>0</v>
      </c>
      <c r="DY37" s="9">
        <f t="shared" si="82"/>
        <v>0</v>
      </c>
      <c r="DZ37" s="9">
        <f t="shared" si="83"/>
        <v>0</v>
      </c>
      <c r="EA37" s="9">
        <f t="shared" si="84"/>
        <v>0</v>
      </c>
      <c r="EB37" s="9">
        <f t="shared" si="85"/>
        <v>0</v>
      </c>
      <c r="EC37" s="9">
        <f t="shared" si="86"/>
        <v>0</v>
      </c>
      <c r="ED37" s="9">
        <f t="shared" si="87"/>
        <v>0</v>
      </c>
      <c r="EE37" s="9">
        <f t="shared" si="88"/>
        <v>0</v>
      </c>
      <c r="EF37" s="9">
        <f t="shared" si="89"/>
        <v>0</v>
      </c>
      <c r="EG37" s="9">
        <f t="shared" si="90"/>
        <v>0</v>
      </c>
      <c r="EH37" s="9">
        <f t="shared" si="91"/>
        <v>0</v>
      </c>
      <c r="EI37" s="9">
        <f t="shared" si="92"/>
        <v>0</v>
      </c>
      <c r="EJ37" s="10">
        <f t="shared" si="93"/>
        <v>0</v>
      </c>
      <c r="EK37" s="10">
        <f t="shared" si="94"/>
        <v>0</v>
      </c>
      <c r="EL37" s="10">
        <f t="shared" ref="EL37:EM37" si="398">IF(OR(ISNUMBER(SEARCH("ai software toolkit", $D37)), ISNUMBER(SEARCH("ai software toolkit", $T37)), ISNUMBER(SEARCH("ai software toolkit", $R37)), ISNUMBER(SEARCH("ai software toolkit", $S37))), 1, 0)</f>
        <v>0</v>
      </c>
      <c r="EM37" s="10">
        <f t="shared" si="398"/>
        <v>0</v>
      </c>
      <c r="EN37" s="10">
        <f t="shared" si="96"/>
        <v>0</v>
      </c>
      <c r="EO37" s="10">
        <f t="shared" si="97"/>
        <v>0</v>
      </c>
      <c r="EP37" s="10">
        <f t="shared" si="98"/>
        <v>0</v>
      </c>
      <c r="EQ37" s="10">
        <f t="shared" si="99"/>
        <v>0</v>
      </c>
      <c r="ER37" s="10">
        <f t="shared" si="100"/>
        <v>0</v>
      </c>
      <c r="ES37" s="10">
        <f t="shared" si="101"/>
        <v>0</v>
      </c>
      <c r="ET37" s="10">
        <f t="shared" si="102"/>
        <v>0</v>
      </c>
      <c r="EU37" s="10">
        <f t="shared" si="103"/>
        <v>0</v>
      </c>
      <c r="EV37" s="10">
        <f t="shared" si="104"/>
        <v>0</v>
      </c>
      <c r="EW37" s="10">
        <f t="shared" si="105"/>
        <v>0</v>
      </c>
      <c r="EX37" s="10">
        <f t="shared" si="106"/>
        <v>0</v>
      </c>
      <c r="EY37" s="10">
        <f t="shared" si="107"/>
        <v>0</v>
      </c>
      <c r="EZ37" s="10">
        <f t="shared" si="108"/>
        <v>0</v>
      </c>
      <c r="FA37" s="10">
        <f t="shared" si="109"/>
        <v>0</v>
      </c>
      <c r="FB37" s="10">
        <f t="shared" si="110"/>
        <v>0</v>
      </c>
      <c r="FC37" s="10">
        <f t="shared" si="111"/>
        <v>0</v>
      </c>
      <c r="FD37" s="10">
        <f t="shared" si="112"/>
        <v>0</v>
      </c>
      <c r="FE37" s="10">
        <f t="shared" si="113"/>
        <v>0</v>
      </c>
      <c r="FF37" s="10">
        <f t="shared" si="114"/>
        <v>0</v>
      </c>
      <c r="FG37" s="10">
        <f t="shared" si="115"/>
        <v>0</v>
      </c>
      <c r="FH37" s="10">
        <f t="shared" si="116"/>
        <v>0</v>
      </c>
      <c r="FI37" s="10">
        <f t="shared" si="117"/>
        <v>0</v>
      </c>
      <c r="FJ37" s="10">
        <f t="shared" si="118"/>
        <v>0</v>
      </c>
      <c r="FK37" s="10">
        <f t="shared" si="119"/>
        <v>0</v>
      </c>
      <c r="FL37" s="10">
        <f t="shared" si="120"/>
        <v>0</v>
      </c>
      <c r="FM37" s="10">
        <f t="shared" si="121"/>
        <v>0</v>
      </c>
      <c r="FN37" s="10">
        <f t="shared" si="122"/>
        <v>0</v>
      </c>
      <c r="FO37" s="10">
        <f t="shared" si="123"/>
        <v>0</v>
      </c>
      <c r="FP37" s="10">
        <f t="shared" si="124"/>
        <v>0</v>
      </c>
      <c r="FQ37" s="10">
        <f t="shared" si="125"/>
        <v>0</v>
      </c>
      <c r="FR37" s="11">
        <f t="shared" si="394"/>
        <v>0</v>
      </c>
      <c r="FS37" s="11">
        <f t="shared" si="127"/>
        <v>0</v>
      </c>
      <c r="FT37" s="11">
        <f t="shared" si="128"/>
        <v>0</v>
      </c>
      <c r="FU37" s="11">
        <f t="shared" si="129"/>
        <v>0</v>
      </c>
      <c r="FV37" s="11">
        <f t="shared" si="130"/>
        <v>0</v>
      </c>
      <c r="FW37" s="11">
        <f t="shared" si="131"/>
        <v>0</v>
      </c>
      <c r="FX37" s="11">
        <f t="shared" si="132"/>
        <v>0</v>
      </c>
      <c r="FY37" s="11">
        <f t="shared" si="133"/>
        <v>0</v>
      </c>
      <c r="FZ37" s="11">
        <f t="shared" si="134"/>
        <v>0</v>
      </c>
      <c r="GA37" s="11">
        <f t="shared" si="135"/>
        <v>0</v>
      </c>
      <c r="GB37" s="11">
        <f t="shared" si="136"/>
        <v>0</v>
      </c>
      <c r="GC37" s="11">
        <f t="shared" si="137"/>
        <v>0</v>
      </c>
      <c r="GD37" s="11">
        <f t="shared" si="138"/>
        <v>0</v>
      </c>
      <c r="GE37" s="11">
        <f t="shared" si="139"/>
        <v>0</v>
      </c>
      <c r="GF37" s="11">
        <f t="shared" si="140"/>
        <v>0</v>
      </c>
      <c r="GG37" s="11">
        <f t="shared" si="141"/>
        <v>0</v>
      </c>
      <c r="GH37" s="11">
        <f t="shared" si="142"/>
        <v>0</v>
      </c>
      <c r="GI37" s="11">
        <f t="shared" si="143"/>
        <v>0</v>
      </c>
      <c r="GJ37" s="11">
        <f t="shared" si="144"/>
        <v>0</v>
      </c>
      <c r="GK37" s="11">
        <f t="shared" si="145"/>
        <v>0</v>
      </c>
      <c r="GL37" s="11">
        <f t="shared" si="146"/>
        <v>0</v>
      </c>
      <c r="GM37" s="11">
        <f t="shared" si="147"/>
        <v>0</v>
      </c>
      <c r="GN37" s="11">
        <f t="shared" si="148"/>
        <v>0</v>
      </c>
      <c r="GO37" s="11">
        <f t="shared" si="149"/>
        <v>0</v>
      </c>
      <c r="GP37" s="11">
        <f t="shared" si="150"/>
        <v>0</v>
      </c>
      <c r="GQ37" s="11">
        <f t="shared" si="151"/>
        <v>0</v>
      </c>
      <c r="GR37" s="11">
        <f t="shared" si="152"/>
        <v>0</v>
      </c>
      <c r="GS37" s="11">
        <f t="shared" si="153"/>
        <v>0</v>
      </c>
      <c r="GT37" s="11">
        <f t="shared" si="154"/>
        <v>0</v>
      </c>
      <c r="GU37" s="12">
        <f t="shared" si="155"/>
        <v>0</v>
      </c>
      <c r="GV37" s="12">
        <f t="shared" si="156"/>
        <v>0</v>
      </c>
      <c r="GW37" s="12">
        <f t="shared" si="157"/>
        <v>0</v>
      </c>
      <c r="GX37" s="12">
        <f t="shared" si="158"/>
        <v>0</v>
      </c>
      <c r="GY37" s="12">
        <f t="shared" si="159"/>
        <v>0</v>
      </c>
      <c r="GZ37" s="12">
        <f t="shared" si="160"/>
        <v>0</v>
      </c>
      <c r="HA37" s="12">
        <f t="shared" si="161"/>
        <v>0</v>
      </c>
      <c r="HB37" s="12">
        <f t="shared" si="162"/>
        <v>0</v>
      </c>
      <c r="HC37" s="12">
        <f t="shared" si="163"/>
        <v>0</v>
      </c>
      <c r="HD37" s="12">
        <f t="shared" si="164"/>
        <v>0</v>
      </c>
      <c r="HE37" s="12">
        <f t="shared" si="165"/>
        <v>0</v>
      </c>
      <c r="HF37" s="12">
        <f t="shared" si="166"/>
        <v>0</v>
      </c>
      <c r="HG37" s="12">
        <f t="shared" si="167"/>
        <v>0</v>
      </c>
      <c r="HH37" s="12">
        <f t="shared" si="168"/>
        <v>0</v>
      </c>
      <c r="HI37" s="12">
        <f t="shared" si="169"/>
        <v>0</v>
      </c>
      <c r="HJ37" s="12">
        <f t="shared" si="170"/>
        <v>0</v>
      </c>
      <c r="HK37" s="12">
        <f t="shared" si="171"/>
        <v>0</v>
      </c>
      <c r="HL37" s="12">
        <f t="shared" si="172"/>
        <v>0</v>
      </c>
      <c r="HM37" s="12">
        <f t="shared" si="173"/>
        <v>0</v>
      </c>
      <c r="HN37" s="12">
        <f t="shared" si="174"/>
        <v>0</v>
      </c>
      <c r="HO37" s="12">
        <f t="shared" si="175"/>
        <v>0</v>
      </c>
      <c r="HP37" s="12">
        <f t="shared" si="176"/>
        <v>0</v>
      </c>
      <c r="HQ37" s="12">
        <f t="shared" si="177"/>
        <v>0</v>
      </c>
      <c r="HR37" s="12">
        <f t="shared" si="178"/>
        <v>0</v>
      </c>
      <c r="HS37" s="12">
        <f t="shared" si="179"/>
        <v>0</v>
      </c>
      <c r="HT37" s="12">
        <f t="shared" si="180"/>
        <v>0</v>
      </c>
      <c r="HU37" s="12">
        <f t="shared" si="181"/>
        <v>0</v>
      </c>
      <c r="HV37" s="12">
        <f t="shared" si="182"/>
        <v>0</v>
      </c>
      <c r="HW37" s="12">
        <f t="shared" si="183"/>
        <v>0</v>
      </c>
      <c r="HX37" s="12">
        <f t="shared" si="184"/>
        <v>0</v>
      </c>
      <c r="HY37" s="12">
        <f t="shared" si="185"/>
        <v>0</v>
      </c>
      <c r="HZ37" s="12">
        <f t="shared" si="186"/>
        <v>0</v>
      </c>
      <c r="IA37" s="12">
        <f t="shared" si="187"/>
        <v>0</v>
      </c>
      <c r="IB37" s="12">
        <f t="shared" si="188"/>
        <v>0</v>
      </c>
      <c r="IC37" s="12">
        <f t="shared" si="189"/>
        <v>0</v>
      </c>
      <c r="ID37" s="12">
        <f t="shared" si="190"/>
        <v>0</v>
      </c>
      <c r="IE37" s="12">
        <f t="shared" si="191"/>
        <v>0</v>
      </c>
      <c r="IF37" s="12">
        <f t="shared" si="192"/>
        <v>0</v>
      </c>
      <c r="IG37" s="12">
        <f t="shared" si="193"/>
        <v>0</v>
      </c>
      <c r="IH37" s="12">
        <f t="shared" si="194"/>
        <v>0</v>
      </c>
      <c r="II37" s="12">
        <f t="shared" si="195"/>
        <v>0</v>
      </c>
      <c r="IJ37" s="12">
        <f t="shared" si="196"/>
        <v>0</v>
      </c>
      <c r="IK37" s="12">
        <f t="shared" si="197"/>
        <v>0</v>
      </c>
      <c r="IL37" s="12">
        <f t="shared" si="198"/>
        <v>0</v>
      </c>
      <c r="IM37" s="12">
        <f t="shared" si="199"/>
        <v>0</v>
      </c>
      <c r="IN37" s="12">
        <f t="shared" si="200"/>
        <v>0</v>
      </c>
      <c r="IO37" s="12">
        <f t="shared" si="201"/>
        <v>0</v>
      </c>
      <c r="IP37" s="12">
        <f t="shared" si="202"/>
        <v>0</v>
      </c>
      <c r="IQ37" s="12">
        <f t="shared" si="203"/>
        <v>0</v>
      </c>
      <c r="IR37" s="12">
        <f t="shared" si="204"/>
        <v>0</v>
      </c>
      <c r="IS37" s="12">
        <f t="shared" si="205"/>
        <v>0</v>
      </c>
      <c r="IT37" s="12">
        <f t="shared" si="206"/>
        <v>0</v>
      </c>
      <c r="IU37" s="12">
        <f t="shared" si="207"/>
        <v>0</v>
      </c>
      <c r="IV37" s="12">
        <f t="shared" si="208"/>
        <v>0</v>
      </c>
      <c r="IW37" s="12">
        <f t="shared" si="209"/>
        <v>0</v>
      </c>
      <c r="IX37" s="12">
        <f t="shared" si="210"/>
        <v>0</v>
      </c>
      <c r="IY37" s="12">
        <f t="shared" si="211"/>
        <v>0</v>
      </c>
      <c r="IZ37" s="12">
        <f t="shared" si="212"/>
        <v>1</v>
      </c>
      <c r="JA37" s="13">
        <f t="shared" si="213"/>
        <v>0</v>
      </c>
      <c r="JB37" s="13">
        <f t="shared" si="214"/>
        <v>0</v>
      </c>
      <c r="JC37" s="13">
        <f t="shared" si="215"/>
        <v>0</v>
      </c>
      <c r="JD37" s="13">
        <f t="shared" si="216"/>
        <v>0</v>
      </c>
      <c r="JE37" s="13">
        <f t="shared" si="217"/>
        <v>0</v>
      </c>
      <c r="JF37" s="13">
        <f t="shared" si="218"/>
        <v>0</v>
      </c>
      <c r="JG37" s="13">
        <f t="shared" si="219"/>
        <v>0</v>
      </c>
      <c r="JH37" s="13">
        <f t="shared" si="220"/>
        <v>0</v>
      </c>
      <c r="JI37" s="13">
        <f t="shared" si="221"/>
        <v>0</v>
      </c>
      <c r="JJ37" s="13">
        <f t="shared" si="222"/>
        <v>0</v>
      </c>
      <c r="JK37" s="13">
        <f t="shared" si="223"/>
        <v>0</v>
      </c>
      <c r="JL37" s="13">
        <f t="shared" si="224"/>
        <v>0</v>
      </c>
      <c r="JM37" s="13">
        <f t="shared" si="225"/>
        <v>0</v>
      </c>
      <c r="JN37" s="13">
        <f t="shared" si="226"/>
        <v>0</v>
      </c>
      <c r="JO37" s="13">
        <f t="shared" si="227"/>
        <v>0</v>
      </c>
      <c r="JP37" s="13">
        <f t="shared" si="228"/>
        <v>0</v>
      </c>
      <c r="JQ37" s="13">
        <f t="shared" si="229"/>
        <v>0</v>
      </c>
      <c r="JR37" s="13">
        <f t="shared" si="230"/>
        <v>0</v>
      </c>
      <c r="JS37" s="13">
        <f t="shared" si="231"/>
        <v>0</v>
      </c>
      <c r="JT37" s="13">
        <f t="shared" si="232"/>
        <v>0</v>
      </c>
      <c r="JU37" s="13">
        <f t="shared" si="233"/>
        <v>0</v>
      </c>
      <c r="JV37" s="12">
        <f t="shared" si="234"/>
        <v>0</v>
      </c>
      <c r="JW37" s="12">
        <f t="shared" si="235"/>
        <v>0</v>
      </c>
      <c r="JX37" s="12">
        <f t="shared" si="236"/>
        <v>0</v>
      </c>
      <c r="JY37" s="12">
        <f t="shared" si="237"/>
        <v>0</v>
      </c>
      <c r="JZ37" s="12">
        <f t="shared" si="238"/>
        <v>0</v>
      </c>
      <c r="KA37" s="12">
        <f t="shared" si="239"/>
        <v>0</v>
      </c>
      <c r="KB37" s="12">
        <f t="shared" si="240"/>
        <v>0</v>
      </c>
      <c r="KC37" s="12">
        <f t="shared" si="241"/>
        <v>0</v>
      </c>
      <c r="KD37" s="12">
        <f t="shared" si="242"/>
        <v>0</v>
      </c>
      <c r="KE37" s="12">
        <f t="shared" si="243"/>
        <v>0</v>
      </c>
      <c r="KF37" s="12">
        <f t="shared" si="244"/>
        <v>0</v>
      </c>
      <c r="KG37" s="12">
        <f t="shared" si="245"/>
        <v>0</v>
      </c>
      <c r="KH37" s="12">
        <f t="shared" si="246"/>
        <v>0</v>
      </c>
      <c r="KI37" s="12">
        <f t="shared" si="247"/>
        <v>0</v>
      </c>
      <c r="KJ37" s="12">
        <f t="shared" si="248"/>
        <v>0</v>
      </c>
      <c r="KK37" s="12">
        <f t="shared" si="249"/>
        <v>0</v>
      </c>
      <c r="KL37" s="12">
        <f t="shared" si="250"/>
        <v>0</v>
      </c>
      <c r="KM37" s="12">
        <f t="shared" si="251"/>
        <v>0</v>
      </c>
      <c r="KN37" s="12">
        <f t="shared" si="252"/>
        <v>0</v>
      </c>
      <c r="KO37" s="12">
        <f t="shared" si="253"/>
        <v>0</v>
      </c>
      <c r="KP37" s="12">
        <f t="shared" si="254"/>
        <v>0</v>
      </c>
      <c r="KQ37" s="12">
        <f t="shared" si="255"/>
        <v>0</v>
      </c>
      <c r="KR37" s="12">
        <f t="shared" si="256"/>
        <v>0</v>
      </c>
      <c r="KS37" s="12">
        <f t="shared" si="257"/>
        <v>0</v>
      </c>
      <c r="KT37" s="12">
        <f t="shared" si="258"/>
        <v>0</v>
      </c>
      <c r="KU37" s="12">
        <f t="shared" si="259"/>
        <v>0</v>
      </c>
      <c r="KV37" s="12">
        <f t="shared" si="260"/>
        <v>0</v>
      </c>
      <c r="KW37" s="12">
        <f t="shared" si="261"/>
        <v>0</v>
      </c>
      <c r="KX37" s="12">
        <f t="shared" si="262"/>
        <v>0</v>
      </c>
      <c r="KY37" s="12">
        <f t="shared" si="263"/>
        <v>0</v>
      </c>
      <c r="KZ37" s="12">
        <f t="shared" si="264"/>
        <v>0</v>
      </c>
      <c r="LA37" s="12">
        <f t="shared" si="265"/>
        <v>0</v>
      </c>
      <c r="LB37" s="12">
        <f t="shared" si="266"/>
        <v>0</v>
      </c>
      <c r="LC37" s="12">
        <f t="shared" si="267"/>
        <v>0</v>
      </c>
      <c r="LD37" s="12">
        <f t="shared" si="268"/>
        <v>0</v>
      </c>
      <c r="LE37" s="12">
        <f t="shared" si="269"/>
        <v>0</v>
      </c>
      <c r="LF37" s="12">
        <f t="shared" si="270"/>
        <v>0</v>
      </c>
      <c r="LG37" s="12">
        <f t="shared" si="271"/>
        <v>0</v>
      </c>
      <c r="LH37" s="12">
        <f t="shared" si="272"/>
        <v>0</v>
      </c>
      <c r="LI37" s="12">
        <f t="shared" si="273"/>
        <v>0</v>
      </c>
      <c r="LJ37" s="12">
        <f t="shared" si="274"/>
        <v>0</v>
      </c>
      <c r="LK37" s="12">
        <f t="shared" si="275"/>
        <v>0</v>
      </c>
      <c r="LL37" s="12">
        <f t="shared" si="276"/>
        <v>0</v>
      </c>
      <c r="LM37" s="12">
        <f t="shared" si="277"/>
        <v>0</v>
      </c>
      <c r="LN37" s="12">
        <f t="shared" si="278"/>
        <v>0</v>
      </c>
      <c r="LO37" s="12">
        <f t="shared" si="279"/>
        <v>0</v>
      </c>
      <c r="LP37" s="12">
        <f t="shared" si="280"/>
        <v>0</v>
      </c>
      <c r="LQ37" s="12">
        <f t="shared" si="281"/>
        <v>0</v>
      </c>
      <c r="LR37" s="12">
        <f t="shared" si="282"/>
        <v>0</v>
      </c>
      <c r="LS37" s="12">
        <f t="shared" si="283"/>
        <v>0</v>
      </c>
      <c r="LT37" s="13">
        <f t="shared" si="284"/>
        <v>0</v>
      </c>
      <c r="LU37" s="13">
        <f t="shared" si="285"/>
        <v>0</v>
      </c>
      <c r="LV37" s="13">
        <f t="shared" si="286"/>
        <v>0</v>
      </c>
      <c r="LW37" s="13">
        <f t="shared" si="287"/>
        <v>0</v>
      </c>
      <c r="LX37" s="13">
        <f t="shared" si="288"/>
        <v>0</v>
      </c>
      <c r="LY37" s="13">
        <f t="shared" si="289"/>
        <v>0</v>
      </c>
      <c r="LZ37" s="13">
        <f t="shared" si="290"/>
        <v>0</v>
      </c>
      <c r="MA37" s="13">
        <f t="shared" si="291"/>
        <v>0</v>
      </c>
      <c r="MB37" s="13">
        <f t="shared" si="292"/>
        <v>0</v>
      </c>
      <c r="MC37" s="13">
        <f t="shared" si="293"/>
        <v>0</v>
      </c>
      <c r="MD37" s="13">
        <f t="shared" si="294"/>
        <v>0</v>
      </c>
      <c r="ME37" s="13">
        <f t="shared" si="295"/>
        <v>0</v>
      </c>
      <c r="MF37" s="13">
        <f t="shared" si="296"/>
        <v>0</v>
      </c>
      <c r="MG37" s="13">
        <f t="shared" si="297"/>
        <v>0</v>
      </c>
      <c r="MH37" s="13">
        <f t="shared" si="298"/>
        <v>0</v>
      </c>
      <c r="MI37" s="13">
        <f t="shared" si="299"/>
        <v>0</v>
      </c>
      <c r="MJ37" s="13">
        <f t="shared" si="300"/>
        <v>0</v>
      </c>
      <c r="MK37" s="13">
        <f t="shared" si="301"/>
        <v>0</v>
      </c>
      <c r="ML37" s="14">
        <f t="shared" si="302"/>
        <v>0</v>
      </c>
      <c r="MM37" s="14">
        <f t="shared" si="303"/>
        <v>0</v>
      </c>
      <c r="MN37" s="14">
        <f t="shared" si="304"/>
        <v>0</v>
      </c>
      <c r="MO37" s="14">
        <f t="shared" si="305"/>
        <v>0</v>
      </c>
      <c r="MP37" s="14">
        <f t="shared" si="306"/>
        <v>0</v>
      </c>
      <c r="MQ37" s="14">
        <f t="shared" si="307"/>
        <v>0</v>
      </c>
      <c r="MR37" s="14">
        <f t="shared" si="308"/>
        <v>0</v>
      </c>
      <c r="MS37" s="14">
        <f t="shared" si="309"/>
        <v>0</v>
      </c>
      <c r="MT37" s="14">
        <f t="shared" si="310"/>
        <v>0</v>
      </c>
      <c r="MU37" s="14">
        <f t="shared" si="311"/>
        <v>0</v>
      </c>
      <c r="MV37" s="14">
        <f t="shared" si="312"/>
        <v>0</v>
      </c>
      <c r="MW37" s="14">
        <f t="shared" si="313"/>
        <v>0</v>
      </c>
      <c r="MX37" s="14">
        <f t="shared" si="314"/>
        <v>0</v>
      </c>
      <c r="MY37" s="14">
        <f t="shared" si="315"/>
        <v>0</v>
      </c>
      <c r="MZ37" s="14">
        <f t="shared" si="316"/>
        <v>0</v>
      </c>
      <c r="NA37" s="14">
        <f t="shared" si="317"/>
        <v>0</v>
      </c>
      <c r="NB37" s="14">
        <f t="shared" si="318"/>
        <v>0</v>
      </c>
    </row>
    <row r="38" ht="15.75" customHeight="1">
      <c r="A38" s="2">
        <v>298.0</v>
      </c>
      <c r="B38" s="2" t="s">
        <v>1025</v>
      </c>
      <c r="C38" s="2" t="s">
        <v>1026</v>
      </c>
      <c r="D38" s="2" t="s">
        <v>1027</v>
      </c>
      <c r="E38" s="2">
        <v>2019.0</v>
      </c>
      <c r="F38" s="2" t="s">
        <v>1028</v>
      </c>
      <c r="G38" s="2" t="s">
        <v>1029</v>
      </c>
      <c r="I38" s="2" t="s">
        <v>1030</v>
      </c>
      <c r="M38" s="2">
        <v>45.0</v>
      </c>
      <c r="N38" s="2" t="s">
        <v>1031</v>
      </c>
      <c r="O38" s="2" t="s">
        <v>1032</v>
      </c>
      <c r="P38" s="2" t="s">
        <v>1033</v>
      </c>
      <c r="Q38" s="2" t="s">
        <v>1034</v>
      </c>
      <c r="R38" s="2" t="s">
        <v>1035</v>
      </c>
      <c r="S38" s="2" t="s">
        <v>1036</v>
      </c>
      <c r="T38" s="2" t="s">
        <v>1037</v>
      </c>
      <c r="Y38" s="2" t="s">
        <v>1038</v>
      </c>
      <c r="AB38" s="2" t="s">
        <v>1039</v>
      </c>
      <c r="AG38" s="2" t="s">
        <v>1040</v>
      </c>
      <c r="AK38" s="2" t="s">
        <v>1041</v>
      </c>
      <c r="AL38" s="2" t="s">
        <v>384</v>
      </c>
      <c r="AM38" s="2" t="s">
        <v>484</v>
      </c>
      <c r="AN38" s="2" t="s">
        <v>386</v>
      </c>
      <c r="AO38" s="2" t="s">
        <v>1042</v>
      </c>
      <c r="AP38" s="2" t="s">
        <v>386</v>
      </c>
      <c r="AQ38" s="2">
        <v>1186.0</v>
      </c>
      <c r="AR38" s="2" t="s">
        <v>1043</v>
      </c>
      <c r="AS38" s="2" t="b">
        <v>1</v>
      </c>
      <c r="AT38" s="3">
        <v>0.0</v>
      </c>
      <c r="AU38" s="4"/>
      <c r="AV38" s="4"/>
      <c r="AW38" s="5">
        <f t="shared" si="3"/>
        <v>0</v>
      </c>
      <c r="AX38" s="5">
        <f t="shared" si="4"/>
        <v>0</v>
      </c>
      <c r="AY38" s="5">
        <f t="shared" si="5"/>
        <v>0</v>
      </c>
      <c r="AZ38" s="5">
        <f t="shared" si="6"/>
        <v>0</v>
      </c>
      <c r="BA38" s="5">
        <f t="shared" si="7"/>
        <v>0</v>
      </c>
      <c r="BB38" s="5">
        <f t="shared" si="8"/>
        <v>0</v>
      </c>
      <c r="BC38" s="5">
        <f t="shared" si="9"/>
        <v>0</v>
      </c>
      <c r="BD38" s="5">
        <f t="shared" si="10"/>
        <v>0</v>
      </c>
      <c r="BE38" s="5">
        <f t="shared" si="11"/>
        <v>0</v>
      </c>
      <c r="BF38" s="5">
        <f t="shared" si="12"/>
        <v>0</v>
      </c>
      <c r="BG38" s="5">
        <f t="shared" si="13"/>
        <v>0</v>
      </c>
      <c r="BH38" s="5">
        <f t="shared" si="14"/>
        <v>0</v>
      </c>
      <c r="BI38" s="5">
        <f t="shared" si="15"/>
        <v>0</v>
      </c>
      <c r="BJ38" s="5">
        <f t="shared" si="16"/>
        <v>0</v>
      </c>
      <c r="BK38" s="5">
        <f t="shared" si="17"/>
        <v>0</v>
      </c>
      <c r="BL38" s="5">
        <f t="shared" si="18"/>
        <v>0</v>
      </c>
      <c r="BM38" s="5">
        <f t="shared" si="19"/>
        <v>0</v>
      </c>
      <c r="BN38" s="5">
        <f t="shared" si="20"/>
        <v>0</v>
      </c>
      <c r="BO38" s="5">
        <f t="shared" si="21"/>
        <v>0</v>
      </c>
      <c r="BP38" s="5">
        <f t="shared" si="22"/>
        <v>0</v>
      </c>
      <c r="BQ38" s="5">
        <f t="shared" si="23"/>
        <v>0</v>
      </c>
      <c r="BR38" s="5">
        <f t="shared" si="24"/>
        <v>0</v>
      </c>
      <c r="BS38" s="5">
        <f t="shared" si="25"/>
        <v>0</v>
      </c>
      <c r="BT38" s="5">
        <f t="shared" si="26"/>
        <v>0</v>
      </c>
      <c r="BU38" s="5">
        <f t="shared" si="27"/>
        <v>0</v>
      </c>
      <c r="BV38" s="5">
        <f t="shared" ref="BV38:BW38" si="399">IF(OR(ISNUMBER(SEARCH("grit",$D38)),ISNUMBER(SEARCH("grit",$T38)),ISNUMBER(SEARCH("grit",$R38)),ISNUMBER(SEARCH("grit",$S38)),
ISNUMBER(SEARCH("determination",$D38)),ISNUMBER(SEARCH("determination",$T38)),ISNUMBER(SEARCH("determination",$R38)),ISNUMBER(SEARCH("determination",$S38)),
ISNUMBER(SEARCH("tenacity",$D38)),ISNUMBER(SEARCH("tenacity",$T38)),ISNUMBER(SEARCH("tenacity",$R38)),ISNUMBER(SEARCH("tenacity",$S38)),
ISNUMBER(SEARCH("endurance",$D38)),ISNUMBER(SEARCH("endurance",$T38)),ISNUMBER(SEARCH("endurance",$R38)),ISNUMBER(SEARCH("endurance",$S38)),
ISNUMBER(SEARCH("fortitude",$D38)),ISNUMBER(SEARCH("fortitude",$T38)),ISNUMBER(SEARCH("fortitude",$R38)),ISNUMBER(SEARCH("fortitude",$S38)),
ISNUMBER(SEARCH("resolve",$D38)),ISNUMBER(SEARCH("resolve",$T38)),ISNUMBER(SEARCH("resolve",$R38)),ISNUMBER(SEARCH("resolve",$S38)),
ISNUMBER(SEARCH("stamina",$D38)),ISNUMBER(SEARCH("stamina",$T38)),ISNUMBER(SEARCH("stamina",$R38)),ISNUMBER(SEARCH("stamina",$S38)),
ISNUMBER(SEARCH("guts",$D38)),ISNUMBER(SEARCH("guts",$T38)),ISNUMBER(SEARCH("guts",$R38)),ISNUMBER(SEARCH("guts",$S38)),
ISNUMBER(SEARCH("spunk",$D38)),ISNUMBER(SEARCH("spunk",$T38)),ISNUMBER(SEARCH("spunk",$R38)),ISNUMBER(SEARCH("spunk",$S38))), 1, 0)</f>
        <v>0</v>
      </c>
      <c r="BW38" s="5">
        <f t="shared" si="399"/>
        <v>0</v>
      </c>
      <c r="BX38" s="5">
        <f t="shared" si="29"/>
        <v>0</v>
      </c>
      <c r="BY38" s="5">
        <f t="shared" si="30"/>
        <v>0</v>
      </c>
      <c r="BZ38" s="5">
        <f t="shared" si="31"/>
        <v>0</v>
      </c>
      <c r="CA38" s="5">
        <f t="shared" si="32"/>
        <v>0</v>
      </c>
      <c r="CB38" s="5">
        <f t="shared" si="33"/>
        <v>0</v>
      </c>
      <c r="CC38" s="5">
        <f t="shared" si="34"/>
        <v>0</v>
      </c>
      <c r="CD38" s="5">
        <f t="shared" si="35"/>
        <v>0</v>
      </c>
      <c r="CE38" s="5">
        <f t="shared" si="36"/>
        <v>0</v>
      </c>
      <c r="CF38" s="5">
        <f t="shared" si="37"/>
        <v>0</v>
      </c>
      <c r="CG38" s="5">
        <f t="shared" si="38"/>
        <v>0</v>
      </c>
      <c r="CH38" s="5">
        <f t="shared" si="39"/>
        <v>0</v>
      </c>
      <c r="CI38" s="5">
        <f t="shared" si="40"/>
        <v>0</v>
      </c>
      <c r="CJ38" s="5">
        <f t="shared" si="41"/>
        <v>0</v>
      </c>
      <c r="CK38" s="5">
        <f t="shared" si="42"/>
        <v>0</v>
      </c>
      <c r="CL38" s="5">
        <f t="shared" si="43"/>
        <v>0</v>
      </c>
      <c r="CM38" s="5">
        <f t="shared" si="44"/>
        <v>0</v>
      </c>
      <c r="CN38" s="5">
        <f t="shared" si="45"/>
        <v>0</v>
      </c>
      <c r="CO38" s="5">
        <f t="shared" si="46"/>
        <v>0</v>
      </c>
      <c r="CP38" s="6">
        <f t="shared" si="47"/>
        <v>0</v>
      </c>
      <c r="CQ38" s="6">
        <f t="shared" si="48"/>
        <v>0</v>
      </c>
      <c r="CR38" s="6">
        <f t="shared" si="49"/>
        <v>0</v>
      </c>
      <c r="CS38" s="6">
        <f t="shared" si="50"/>
        <v>0</v>
      </c>
      <c r="CT38" s="6">
        <f t="shared" si="51"/>
        <v>0</v>
      </c>
      <c r="CU38" s="6">
        <f t="shared" si="52"/>
        <v>0</v>
      </c>
      <c r="CV38" s="6">
        <f t="shared" si="53"/>
        <v>0</v>
      </c>
      <c r="CW38" s="6">
        <f t="shared" si="54"/>
        <v>0</v>
      </c>
      <c r="CX38" s="6">
        <f t="shared" si="55"/>
        <v>0</v>
      </c>
      <c r="CY38" s="6">
        <f t="shared" si="56"/>
        <v>0</v>
      </c>
      <c r="CZ38" s="6">
        <f t="shared" si="57"/>
        <v>0</v>
      </c>
      <c r="DA38" s="6">
        <f t="shared" si="58"/>
        <v>0</v>
      </c>
      <c r="DB38" s="6">
        <f t="shared" si="59"/>
        <v>0</v>
      </c>
      <c r="DC38" s="6">
        <f t="shared" si="60"/>
        <v>0</v>
      </c>
      <c r="DD38" s="6">
        <f t="shared" si="61"/>
        <v>0</v>
      </c>
      <c r="DE38" s="6">
        <f t="shared" si="62"/>
        <v>0</v>
      </c>
      <c r="DF38" s="6">
        <f t="shared" si="63"/>
        <v>0</v>
      </c>
      <c r="DG38" s="6">
        <f t="shared" si="64"/>
        <v>0</v>
      </c>
      <c r="DH38" s="6">
        <f t="shared" si="384"/>
        <v>0</v>
      </c>
      <c r="DI38" s="6">
        <f t="shared" si="66"/>
        <v>0</v>
      </c>
      <c r="DJ38" s="6">
        <f t="shared" si="385"/>
        <v>0</v>
      </c>
      <c r="DK38" s="7">
        <f t="shared" si="68"/>
        <v>0</v>
      </c>
      <c r="DL38" s="7">
        <f t="shared" ref="DL38:DL40" si="402">IF(
OR(
ISNUMBER(SEARCH("common-sense reasoning",$D38)),ISNUMBER(SEARCH("common-sense reasoning",$T38)),ISNUMBER(SEARCH("common-sense reasoning",$R36)),ISNUMBER(SEARCH("common-sense reasoning",$S38)),
ISNUMBER(SEARCH("latent variable models",$D38)),ISNUMBER(SEARCH("latent variable models",$T38)),ISNUMBER(SEARCH("latent variable models",$R38)),ISNUMBER(SEARCH("latent variable models",$S38))), 1, 0)</f>
        <v>0</v>
      </c>
      <c r="DM38" s="7">
        <f t="shared" si="70"/>
        <v>0</v>
      </c>
      <c r="DN38" s="7">
        <f t="shared" si="71"/>
        <v>0</v>
      </c>
      <c r="DO38" s="7">
        <f t="shared" si="72"/>
        <v>1</v>
      </c>
      <c r="DP38" s="8">
        <f t="shared" si="73"/>
        <v>0</v>
      </c>
      <c r="DQ38" s="8">
        <f t="shared" si="74"/>
        <v>1</v>
      </c>
      <c r="DR38" s="7">
        <f t="shared" si="75"/>
        <v>0</v>
      </c>
      <c r="DS38" s="7">
        <f t="shared" si="76"/>
        <v>0</v>
      </c>
      <c r="DT38" s="7">
        <f t="shared" si="77"/>
        <v>0</v>
      </c>
      <c r="DU38" s="9">
        <f t="shared" si="78"/>
        <v>0</v>
      </c>
      <c r="DV38" s="9">
        <f t="shared" si="79"/>
        <v>0</v>
      </c>
      <c r="DW38" s="9">
        <f t="shared" si="80"/>
        <v>0</v>
      </c>
      <c r="DX38" s="9">
        <f t="shared" si="81"/>
        <v>0</v>
      </c>
      <c r="DY38" s="9">
        <f t="shared" si="82"/>
        <v>0</v>
      </c>
      <c r="DZ38" s="9">
        <f t="shared" si="83"/>
        <v>0</v>
      </c>
      <c r="EA38" s="9">
        <f t="shared" si="84"/>
        <v>0</v>
      </c>
      <c r="EB38" s="9">
        <f t="shared" si="85"/>
        <v>0</v>
      </c>
      <c r="EC38" s="9">
        <f t="shared" si="86"/>
        <v>0</v>
      </c>
      <c r="ED38" s="9">
        <f t="shared" si="87"/>
        <v>0</v>
      </c>
      <c r="EE38" s="9">
        <f t="shared" si="88"/>
        <v>0</v>
      </c>
      <c r="EF38" s="9">
        <f t="shared" si="89"/>
        <v>0</v>
      </c>
      <c r="EG38" s="9">
        <f t="shared" si="90"/>
        <v>0</v>
      </c>
      <c r="EH38" s="9">
        <f t="shared" si="91"/>
        <v>0</v>
      </c>
      <c r="EI38" s="9">
        <f t="shared" si="92"/>
        <v>0</v>
      </c>
      <c r="EJ38" s="10">
        <f t="shared" si="93"/>
        <v>0</v>
      </c>
      <c r="EK38" s="10">
        <f t="shared" si="94"/>
        <v>0</v>
      </c>
      <c r="EL38" s="10">
        <f t="shared" ref="EL38:EM38" si="400">IF(OR(ISNUMBER(SEARCH("ai software toolkit", $D38)), ISNUMBER(SEARCH("ai software toolkit", $T38)), ISNUMBER(SEARCH("ai software toolkit", $R38)), ISNUMBER(SEARCH("ai software toolkit", $S38))), 1, 0)</f>
        <v>0</v>
      </c>
      <c r="EM38" s="10">
        <f t="shared" si="400"/>
        <v>0</v>
      </c>
      <c r="EN38" s="10">
        <f t="shared" si="96"/>
        <v>0</v>
      </c>
      <c r="EO38" s="10">
        <f t="shared" si="97"/>
        <v>0</v>
      </c>
      <c r="EP38" s="10">
        <f t="shared" si="98"/>
        <v>0</v>
      </c>
      <c r="EQ38" s="10">
        <f t="shared" si="99"/>
        <v>0</v>
      </c>
      <c r="ER38" s="10">
        <f t="shared" si="100"/>
        <v>0</v>
      </c>
      <c r="ES38" s="10">
        <f t="shared" si="101"/>
        <v>0</v>
      </c>
      <c r="ET38" s="10">
        <f t="shared" si="102"/>
        <v>0</v>
      </c>
      <c r="EU38" s="10">
        <f t="shared" si="103"/>
        <v>0</v>
      </c>
      <c r="EV38" s="10">
        <f t="shared" si="104"/>
        <v>0</v>
      </c>
      <c r="EW38" s="10">
        <f t="shared" si="105"/>
        <v>0</v>
      </c>
      <c r="EX38" s="10">
        <f t="shared" si="106"/>
        <v>0</v>
      </c>
      <c r="EY38" s="10">
        <f t="shared" si="107"/>
        <v>0</v>
      </c>
      <c r="EZ38" s="10">
        <f t="shared" si="108"/>
        <v>0</v>
      </c>
      <c r="FA38" s="10">
        <f t="shared" si="109"/>
        <v>0</v>
      </c>
      <c r="FB38" s="10">
        <f t="shared" si="110"/>
        <v>0</v>
      </c>
      <c r="FC38" s="10">
        <f t="shared" si="111"/>
        <v>0</v>
      </c>
      <c r="FD38" s="10">
        <f t="shared" si="112"/>
        <v>0</v>
      </c>
      <c r="FE38" s="10">
        <f t="shared" si="113"/>
        <v>0</v>
      </c>
      <c r="FF38" s="10">
        <f t="shared" si="114"/>
        <v>0</v>
      </c>
      <c r="FG38" s="10">
        <f t="shared" si="115"/>
        <v>0</v>
      </c>
      <c r="FH38" s="10">
        <f t="shared" si="116"/>
        <v>0</v>
      </c>
      <c r="FI38" s="10">
        <f t="shared" si="117"/>
        <v>0</v>
      </c>
      <c r="FJ38" s="10">
        <f t="shared" si="118"/>
        <v>0</v>
      </c>
      <c r="FK38" s="10">
        <f t="shared" si="119"/>
        <v>0</v>
      </c>
      <c r="FL38" s="10">
        <f t="shared" si="120"/>
        <v>0</v>
      </c>
      <c r="FM38" s="10">
        <f t="shared" si="121"/>
        <v>0</v>
      </c>
      <c r="FN38" s="10">
        <f t="shared" si="122"/>
        <v>0</v>
      </c>
      <c r="FO38" s="10">
        <f t="shared" si="123"/>
        <v>0</v>
      </c>
      <c r="FP38" s="10">
        <f t="shared" si="124"/>
        <v>0</v>
      </c>
      <c r="FQ38" s="10">
        <f t="shared" si="125"/>
        <v>0</v>
      </c>
      <c r="FR38" s="11">
        <f t="shared" si="394"/>
        <v>0</v>
      </c>
      <c r="FS38" s="11">
        <f t="shared" si="127"/>
        <v>0</v>
      </c>
      <c r="FT38" s="11">
        <f t="shared" si="128"/>
        <v>0</v>
      </c>
      <c r="FU38" s="11">
        <f t="shared" si="129"/>
        <v>0</v>
      </c>
      <c r="FV38" s="11">
        <f t="shared" si="130"/>
        <v>0</v>
      </c>
      <c r="FW38" s="11">
        <f t="shared" si="131"/>
        <v>0</v>
      </c>
      <c r="FX38" s="11">
        <f t="shared" si="132"/>
        <v>0</v>
      </c>
      <c r="FY38" s="11">
        <f t="shared" si="133"/>
        <v>0</v>
      </c>
      <c r="FZ38" s="11">
        <f t="shared" si="134"/>
        <v>0</v>
      </c>
      <c r="GA38" s="11">
        <f t="shared" si="135"/>
        <v>0</v>
      </c>
      <c r="GB38" s="11">
        <f t="shared" si="136"/>
        <v>0</v>
      </c>
      <c r="GC38" s="11">
        <f t="shared" si="137"/>
        <v>0</v>
      </c>
      <c r="GD38" s="11">
        <f t="shared" si="138"/>
        <v>0</v>
      </c>
      <c r="GE38" s="11">
        <f t="shared" si="139"/>
        <v>0</v>
      </c>
      <c r="GF38" s="11">
        <f t="shared" si="140"/>
        <v>0</v>
      </c>
      <c r="GG38" s="11">
        <f t="shared" si="141"/>
        <v>0</v>
      </c>
      <c r="GH38" s="11">
        <f t="shared" si="142"/>
        <v>0</v>
      </c>
      <c r="GI38" s="11">
        <f t="shared" si="143"/>
        <v>0</v>
      </c>
      <c r="GJ38" s="11">
        <f t="shared" si="144"/>
        <v>0</v>
      </c>
      <c r="GK38" s="11">
        <f t="shared" si="145"/>
        <v>0</v>
      </c>
      <c r="GL38" s="11">
        <f t="shared" si="146"/>
        <v>0</v>
      </c>
      <c r="GM38" s="11">
        <f t="shared" si="147"/>
        <v>0</v>
      </c>
      <c r="GN38" s="11">
        <f t="shared" si="148"/>
        <v>0</v>
      </c>
      <c r="GO38" s="11">
        <f t="shared" si="149"/>
        <v>0</v>
      </c>
      <c r="GP38" s="11">
        <f t="shared" si="150"/>
        <v>0</v>
      </c>
      <c r="GQ38" s="11">
        <f t="shared" si="151"/>
        <v>0</v>
      </c>
      <c r="GR38" s="11">
        <f t="shared" si="152"/>
        <v>0</v>
      </c>
      <c r="GS38" s="11">
        <f t="shared" si="153"/>
        <v>0</v>
      </c>
      <c r="GT38" s="11">
        <f t="shared" si="154"/>
        <v>0</v>
      </c>
      <c r="GU38" s="12">
        <f t="shared" si="155"/>
        <v>0</v>
      </c>
      <c r="GV38" s="12">
        <f t="shared" si="156"/>
        <v>0</v>
      </c>
      <c r="GW38" s="12">
        <f t="shared" si="157"/>
        <v>0</v>
      </c>
      <c r="GX38" s="12">
        <f t="shared" si="158"/>
        <v>0</v>
      </c>
      <c r="GY38" s="12">
        <f t="shared" si="159"/>
        <v>0</v>
      </c>
      <c r="GZ38" s="12">
        <f t="shared" si="160"/>
        <v>0</v>
      </c>
      <c r="HA38" s="12">
        <f t="shared" si="161"/>
        <v>0</v>
      </c>
      <c r="HB38" s="12">
        <f t="shared" si="162"/>
        <v>0</v>
      </c>
      <c r="HC38" s="12">
        <f t="shared" si="163"/>
        <v>0</v>
      </c>
      <c r="HD38" s="12">
        <f t="shared" si="164"/>
        <v>0</v>
      </c>
      <c r="HE38" s="12">
        <f t="shared" si="165"/>
        <v>0</v>
      </c>
      <c r="HF38" s="12">
        <f t="shared" si="166"/>
        <v>0</v>
      </c>
      <c r="HG38" s="12">
        <f t="shared" si="167"/>
        <v>0</v>
      </c>
      <c r="HH38" s="12">
        <f t="shared" si="168"/>
        <v>0</v>
      </c>
      <c r="HI38" s="12">
        <f t="shared" si="169"/>
        <v>0</v>
      </c>
      <c r="HJ38" s="12">
        <f t="shared" si="170"/>
        <v>0</v>
      </c>
      <c r="HK38" s="12">
        <f t="shared" si="171"/>
        <v>0</v>
      </c>
      <c r="HL38" s="12">
        <f t="shared" si="172"/>
        <v>0</v>
      </c>
      <c r="HM38" s="12">
        <f t="shared" si="173"/>
        <v>0</v>
      </c>
      <c r="HN38" s="12">
        <f t="shared" si="174"/>
        <v>0</v>
      </c>
      <c r="HO38" s="12">
        <f t="shared" si="175"/>
        <v>0</v>
      </c>
      <c r="HP38" s="12">
        <f t="shared" si="176"/>
        <v>0</v>
      </c>
      <c r="HQ38" s="12">
        <f t="shared" si="177"/>
        <v>0</v>
      </c>
      <c r="HR38" s="12">
        <f t="shared" si="178"/>
        <v>0</v>
      </c>
      <c r="HS38" s="12">
        <f t="shared" si="179"/>
        <v>0</v>
      </c>
      <c r="HT38" s="12">
        <f t="shared" si="180"/>
        <v>0</v>
      </c>
      <c r="HU38" s="12">
        <f t="shared" si="181"/>
        <v>0</v>
      </c>
      <c r="HV38" s="12">
        <f t="shared" si="182"/>
        <v>0</v>
      </c>
      <c r="HW38" s="12">
        <f t="shared" si="183"/>
        <v>0</v>
      </c>
      <c r="HX38" s="12">
        <f t="shared" si="184"/>
        <v>0</v>
      </c>
      <c r="HY38" s="12">
        <f t="shared" si="185"/>
        <v>0</v>
      </c>
      <c r="HZ38" s="12">
        <f t="shared" si="186"/>
        <v>0</v>
      </c>
      <c r="IA38" s="12">
        <f t="shared" si="187"/>
        <v>0</v>
      </c>
      <c r="IB38" s="12">
        <f t="shared" si="188"/>
        <v>0</v>
      </c>
      <c r="IC38" s="12">
        <f t="shared" si="189"/>
        <v>0</v>
      </c>
      <c r="ID38" s="12">
        <f t="shared" si="190"/>
        <v>0</v>
      </c>
      <c r="IE38" s="12">
        <f t="shared" si="191"/>
        <v>0</v>
      </c>
      <c r="IF38" s="12">
        <f t="shared" si="192"/>
        <v>0</v>
      </c>
      <c r="IG38" s="12">
        <f t="shared" si="193"/>
        <v>0</v>
      </c>
      <c r="IH38" s="12">
        <f t="shared" si="194"/>
        <v>0</v>
      </c>
      <c r="II38" s="12">
        <f t="shared" si="195"/>
        <v>0</v>
      </c>
      <c r="IJ38" s="12">
        <f t="shared" si="196"/>
        <v>0</v>
      </c>
      <c r="IK38" s="12">
        <f t="shared" si="197"/>
        <v>0</v>
      </c>
      <c r="IL38" s="12">
        <f t="shared" si="198"/>
        <v>0</v>
      </c>
      <c r="IM38" s="12">
        <f t="shared" si="199"/>
        <v>0</v>
      </c>
      <c r="IN38" s="12">
        <f t="shared" si="200"/>
        <v>0</v>
      </c>
      <c r="IO38" s="12">
        <f t="shared" si="201"/>
        <v>0</v>
      </c>
      <c r="IP38" s="12">
        <f t="shared" si="202"/>
        <v>0</v>
      </c>
      <c r="IQ38" s="12">
        <f t="shared" si="203"/>
        <v>0</v>
      </c>
      <c r="IR38" s="12">
        <f t="shared" si="204"/>
        <v>0</v>
      </c>
      <c r="IS38" s="12">
        <f t="shared" si="205"/>
        <v>0</v>
      </c>
      <c r="IT38" s="12">
        <f t="shared" si="206"/>
        <v>0</v>
      </c>
      <c r="IU38" s="12">
        <f t="shared" si="207"/>
        <v>0</v>
      </c>
      <c r="IV38" s="12">
        <f t="shared" si="208"/>
        <v>0</v>
      </c>
      <c r="IW38" s="12">
        <f t="shared" si="209"/>
        <v>0</v>
      </c>
      <c r="IX38" s="12">
        <f t="shared" si="210"/>
        <v>0</v>
      </c>
      <c r="IY38" s="12">
        <f t="shared" si="211"/>
        <v>0</v>
      </c>
      <c r="IZ38" s="12">
        <f t="shared" si="212"/>
        <v>1</v>
      </c>
      <c r="JA38" s="13">
        <f t="shared" si="213"/>
        <v>0</v>
      </c>
      <c r="JB38" s="13">
        <f t="shared" si="214"/>
        <v>0</v>
      </c>
      <c r="JC38" s="13">
        <f t="shared" si="215"/>
        <v>1</v>
      </c>
      <c r="JD38" s="13">
        <f t="shared" si="216"/>
        <v>0</v>
      </c>
      <c r="JE38" s="13">
        <f t="shared" si="217"/>
        <v>0</v>
      </c>
      <c r="JF38" s="13">
        <f t="shared" si="218"/>
        <v>0</v>
      </c>
      <c r="JG38" s="13">
        <f t="shared" si="219"/>
        <v>0</v>
      </c>
      <c r="JH38" s="13">
        <f t="shared" si="220"/>
        <v>0</v>
      </c>
      <c r="JI38" s="13">
        <f t="shared" si="221"/>
        <v>0</v>
      </c>
      <c r="JJ38" s="13">
        <f t="shared" si="222"/>
        <v>0</v>
      </c>
      <c r="JK38" s="13">
        <f t="shared" si="223"/>
        <v>0</v>
      </c>
      <c r="JL38" s="13">
        <f t="shared" si="224"/>
        <v>0</v>
      </c>
      <c r="JM38" s="13">
        <f t="shared" si="225"/>
        <v>0</v>
      </c>
      <c r="JN38" s="13">
        <f t="shared" si="226"/>
        <v>0</v>
      </c>
      <c r="JO38" s="13">
        <f t="shared" si="227"/>
        <v>0</v>
      </c>
      <c r="JP38" s="13">
        <f t="shared" si="228"/>
        <v>0</v>
      </c>
      <c r="JQ38" s="13">
        <f t="shared" si="229"/>
        <v>1</v>
      </c>
      <c r="JR38" s="13">
        <f t="shared" si="230"/>
        <v>0</v>
      </c>
      <c r="JS38" s="13">
        <f t="shared" si="231"/>
        <v>0</v>
      </c>
      <c r="JT38" s="13">
        <f t="shared" si="232"/>
        <v>0</v>
      </c>
      <c r="JU38" s="13">
        <f t="shared" si="233"/>
        <v>0</v>
      </c>
      <c r="JV38" s="12">
        <f t="shared" si="234"/>
        <v>0</v>
      </c>
      <c r="JW38" s="12">
        <f t="shared" si="235"/>
        <v>0</v>
      </c>
      <c r="JX38" s="12">
        <f t="shared" si="236"/>
        <v>0</v>
      </c>
      <c r="JY38" s="12">
        <f t="shared" si="237"/>
        <v>0</v>
      </c>
      <c r="JZ38" s="12">
        <f t="shared" si="238"/>
        <v>0</v>
      </c>
      <c r="KA38" s="12">
        <f t="shared" si="239"/>
        <v>0</v>
      </c>
      <c r="KB38" s="12">
        <f t="shared" si="240"/>
        <v>0</v>
      </c>
      <c r="KC38" s="12">
        <f t="shared" si="241"/>
        <v>0</v>
      </c>
      <c r="KD38" s="12">
        <f t="shared" si="242"/>
        <v>0</v>
      </c>
      <c r="KE38" s="12">
        <f t="shared" si="243"/>
        <v>0</v>
      </c>
      <c r="KF38" s="12">
        <f t="shared" si="244"/>
        <v>0</v>
      </c>
      <c r="KG38" s="12">
        <f t="shared" si="245"/>
        <v>0</v>
      </c>
      <c r="KH38" s="12">
        <f t="shared" si="246"/>
        <v>0</v>
      </c>
      <c r="KI38" s="12">
        <f t="shared" si="247"/>
        <v>0</v>
      </c>
      <c r="KJ38" s="12">
        <f t="shared" si="248"/>
        <v>0</v>
      </c>
      <c r="KK38" s="12">
        <f t="shared" si="249"/>
        <v>0</v>
      </c>
      <c r="KL38" s="12">
        <f t="shared" si="250"/>
        <v>0</v>
      </c>
      <c r="KM38" s="12">
        <f t="shared" si="251"/>
        <v>0</v>
      </c>
      <c r="KN38" s="12">
        <f t="shared" si="252"/>
        <v>0</v>
      </c>
      <c r="KO38" s="12">
        <f t="shared" si="253"/>
        <v>0</v>
      </c>
      <c r="KP38" s="12">
        <f t="shared" si="254"/>
        <v>0</v>
      </c>
      <c r="KQ38" s="12">
        <f t="shared" si="255"/>
        <v>0</v>
      </c>
      <c r="KR38" s="12">
        <f t="shared" si="256"/>
        <v>0</v>
      </c>
      <c r="KS38" s="12">
        <f t="shared" si="257"/>
        <v>0</v>
      </c>
      <c r="KT38" s="12">
        <f t="shared" si="258"/>
        <v>0</v>
      </c>
      <c r="KU38" s="12">
        <f t="shared" si="259"/>
        <v>0</v>
      </c>
      <c r="KV38" s="12">
        <f t="shared" si="260"/>
        <v>0</v>
      </c>
      <c r="KW38" s="12">
        <f t="shared" si="261"/>
        <v>0</v>
      </c>
      <c r="KX38" s="12">
        <f t="shared" si="262"/>
        <v>0</v>
      </c>
      <c r="KY38" s="12">
        <f t="shared" si="263"/>
        <v>0</v>
      </c>
      <c r="KZ38" s="12">
        <f t="shared" si="264"/>
        <v>0</v>
      </c>
      <c r="LA38" s="12">
        <f t="shared" si="265"/>
        <v>0</v>
      </c>
      <c r="LB38" s="12">
        <f t="shared" si="266"/>
        <v>0</v>
      </c>
      <c r="LC38" s="12">
        <f t="shared" si="267"/>
        <v>0</v>
      </c>
      <c r="LD38" s="12">
        <f t="shared" si="268"/>
        <v>0</v>
      </c>
      <c r="LE38" s="12">
        <f t="shared" si="269"/>
        <v>0</v>
      </c>
      <c r="LF38" s="12">
        <f t="shared" si="270"/>
        <v>0</v>
      </c>
      <c r="LG38" s="12">
        <f t="shared" si="271"/>
        <v>0</v>
      </c>
      <c r="LH38" s="12">
        <f t="shared" si="272"/>
        <v>0</v>
      </c>
      <c r="LI38" s="12">
        <f t="shared" si="273"/>
        <v>0</v>
      </c>
      <c r="LJ38" s="12">
        <f t="shared" si="274"/>
        <v>0</v>
      </c>
      <c r="LK38" s="12">
        <f t="shared" si="275"/>
        <v>0</v>
      </c>
      <c r="LL38" s="12">
        <f t="shared" si="276"/>
        <v>0</v>
      </c>
      <c r="LM38" s="12">
        <f t="shared" si="277"/>
        <v>0</v>
      </c>
      <c r="LN38" s="12">
        <f t="shared" si="278"/>
        <v>0</v>
      </c>
      <c r="LO38" s="12">
        <f t="shared" si="279"/>
        <v>0</v>
      </c>
      <c r="LP38" s="12">
        <f t="shared" si="280"/>
        <v>0</v>
      </c>
      <c r="LQ38" s="12">
        <f t="shared" si="281"/>
        <v>0</v>
      </c>
      <c r="LR38" s="12">
        <f t="shared" si="282"/>
        <v>0</v>
      </c>
      <c r="LS38" s="12">
        <f t="shared" si="283"/>
        <v>0</v>
      </c>
      <c r="LT38" s="13">
        <f t="shared" si="284"/>
        <v>0</v>
      </c>
      <c r="LU38" s="13">
        <f t="shared" si="285"/>
        <v>0</v>
      </c>
      <c r="LV38" s="13">
        <f t="shared" si="286"/>
        <v>0</v>
      </c>
      <c r="LW38" s="13">
        <f t="shared" si="287"/>
        <v>0</v>
      </c>
      <c r="LX38" s="13">
        <f t="shared" si="288"/>
        <v>0</v>
      </c>
      <c r="LY38" s="13">
        <f t="shared" si="289"/>
        <v>0</v>
      </c>
      <c r="LZ38" s="13">
        <f t="shared" si="290"/>
        <v>0</v>
      </c>
      <c r="MA38" s="13">
        <f t="shared" si="291"/>
        <v>0</v>
      </c>
      <c r="MB38" s="13">
        <f t="shared" si="292"/>
        <v>0</v>
      </c>
      <c r="MC38" s="13">
        <f t="shared" si="293"/>
        <v>0</v>
      </c>
      <c r="MD38" s="13">
        <f t="shared" si="294"/>
        <v>0</v>
      </c>
      <c r="ME38" s="13">
        <f t="shared" si="295"/>
        <v>0</v>
      </c>
      <c r="MF38" s="13">
        <f t="shared" si="296"/>
        <v>0</v>
      </c>
      <c r="MG38" s="13">
        <f t="shared" si="297"/>
        <v>0</v>
      </c>
      <c r="MH38" s="13">
        <f t="shared" si="298"/>
        <v>0</v>
      </c>
      <c r="MI38" s="13">
        <f t="shared" si="299"/>
        <v>0</v>
      </c>
      <c r="MJ38" s="13">
        <f t="shared" si="300"/>
        <v>0</v>
      </c>
      <c r="MK38" s="13">
        <f t="shared" si="301"/>
        <v>0</v>
      </c>
      <c r="ML38" s="14">
        <f t="shared" si="302"/>
        <v>0</v>
      </c>
      <c r="MM38" s="14">
        <f t="shared" si="303"/>
        <v>0</v>
      </c>
      <c r="MN38" s="14">
        <f t="shared" si="304"/>
        <v>0</v>
      </c>
      <c r="MO38" s="14">
        <f t="shared" si="305"/>
        <v>0</v>
      </c>
      <c r="MP38" s="14">
        <f t="shared" si="306"/>
        <v>0</v>
      </c>
      <c r="MQ38" s="14">
        <f t="shared" si="307"/>
        <v>0</v>
      </c>
      <c r="MR38" s="14">
        <f t="shared" si="308"/>
        <v>0</v>
      </c>
      <c r="MS38" s="14">
        <f t="shared" si="309"/>
        <v>0</v>
      </c>
      <c r="MT38" s="14">
        <f t="shared" si="310"/>
        <v>0</v>
      </c>
      <c r="MU38" s="14">
        <f t="shared" si="311"/>
        <v>0</v>
      </c>
      <c r="MV38" s="14">
        <f t="shared" si="312"/>
        <v>0</v>
      </c>
      <c r="MW38" s="14">
        <f t="shared" si="313"/>
        <v>0</v>
      </c>
      <c r="MX38" s="14">
        <f t="shared" si="314"/>
        <v>0</v>
      </c>
      <c r="MY38" s="14">
        <f t="shared" si="315"/>
        <v>0</v>
      </c>
      <c r="MZ38" s="14">
        <f t="shared" si="316"/>
        <v>0</v>
      </c>
      <c r="NA38" s="14">
        <f t="shared" si="317"/>
        <v>0</v>
      </c>
      <c r="NB38" s="14">
        <f t="shared" si="318"/>
        <v>0</v>
      </c>
    </row>
    <row r="39" ht="15.75" customHeight="1">
      <c r="A39" s="2">
        <v>204.0</v>
      </c>
      <c r="B39" s="2" t="s">
        <v>1044</v>
      </c>
      <c r="C39" s="2" t="s">
        <v>1045</v>
      </c>
      <c r="D39" s="2" t="s">
        <v>1046</v>
      </c>
      <c r="E39" s="2">
        <v>2020.0</v>
      </c>
      <c r="F39" s="2" t="s">
        <v>1047</v>
      </c>
      <c r="G39" s="2" t="s">
        <v>1048</v>
      </c>
      <c r="H39" s="2" t="s">
        <v>656</v>
      </c>
      <c r="J39" s="2" t="s">
        <v>1049</v>
      </c>
      <c r="K39" s="2" t="s">
        <v>1050</v>
      </c>
      <c r="M39" s="2">
        <v>44.0</v>
      </c>
      <c r="N39" s="2" t="s">
        <v>1051</v>
      </c>
      <c r="O39" s="2" t="s">
        <v>1052</v>
      </c>
      <c r="P39" s="2" t="s">
        <v>1053</v>
      </c>
      <c r="Q39" s="2" t="s">
        <v>1054</v>
      </c>
      <c r="R39" s="2" t="s">
        <v>1055</v>
      </c>
      <c r="S39" s="2" t="s">
        <v>1056</v>
      </c>
      <c r="T39" s="2" t="s">
        <v>1057</v>
      </c>
      <c r="Y39" s="2" t="s">
        <v>1058</v>
      </c>
      <c r="AB39" s="2" t="s">
        <v>1059</v>
      </c>
      <c r="AG39" s="2" t="s">
        <v>1060</v>
      </c>
      <c r="AI39" s="2" t="s">
        <v>1061</v>
      </c>
      <c r="AK39" s="2" t="s">
        <v>1062</v>
      </c>
      <c r="AL39" s="2" t="s">
        <v>384</v>
      </c>
      <c r="AN39" s="2" t="s">
        <v>386</v>
      </c>
      <c r="AO39" s="2" t="s">
        <v>1063</v>
      </c>
      <c r="AP39" s="2" t="s">
        <v>386</v>
      </c>
      <c r="AQ39" s="2">
        <v>850.0</v>
      </c>
      <c r="AR39" s="2" t="s">
        <v>1064</v>
      </c>
      <c r="AS39" s="2" t="b">
        <v>0</v>
      </c>
      <c r="AT39" s="3">
        <v>0.0</v>
      </c>
      <c r="AU39" s="4"/>
      <c r="AV39" s="4">
        <v>1.0</v>
      </c>
      <c r="AW39" s="5">
        <f t="shared" si="3"/>
        <v>0</v>
      </c>
      <c r="AX39" s="5">
        <f t="shared" si="4"/>
        <v>0</v>
      </c>
      <c r="AY39" s="5">
        <f t="shared" si="5"/>
        <v>0</v>
      </c>
      <c r="AZ39" s="5">
        <f t="shared" si="6"/>
        <v>0</v>
      </c>
      <c r="BA39" s="5">
        <f t="shared" si="7"/>
        <v>0</v>
      </c>
      <c r="BB39" s="5">
        <f t="shared" si="8"/>
        <v>0</v>
      </c>
      <c r="BC39" s="5">
        <f t="shared" si="9"/>
        <v>0</v>
      </c>
      <c r="BD39" s="5">
        <f t="shared" si="10"/>
        <v>0</v>
      </c>
      <c r="BE39" s="5">
        <f t="shared" si="11"/>
        <v>0</v>
      </c>
      <c r="BF39" s="5">
        <f t="shared" si="12"/>
        <v>0</v>
      </c>
      <c r="BG39" s="5">
        <f t="shared" si="13"/>
        <v>0</v>
      </c>
      <c r="BH39" s="5">
        <f t="shared" si="14"/>
        <v>0</v>
      </c>
      <c r="BI39" s="5">
        <f t="shared" si="15"/>
        <v>0</v>
      </c>
      <c r="BJ39" s="5">
        <f t="shared" si="16"/>
        <v>0</v>
      </c>
      <c r="BK39" s="5">
        <f t="shared" si="17"/>
        <v>0</v>
      </c>
      <c r="BL39" s="5">
        <f t="shared" si="18"/>
        <v>0</v>
      </c>
      <c r="BM39" s="5">
        <f t="shared" si="19"/>
        <v>0</v>
      </c>
      <c r="BN39" s="5">
        <f t="shared" si="20"/>
        <v>0</v>
      </c>
      <c r="BO39" s="5">
        <f t="shared" si="21"/>
        <v>0</v>
      </c>
      <c r="BP39" s="5">
        <f t="shared" si="22"/>
        <v>0</v>
      </c>
      <c r="BQ39" s="5">
        <f t="shared" si="23"/>
        <v>0</v>
      </c>
      <c r="BR39" s="5">
        <f t="shared" si="24"/>
        <v>0</v>
      </c>
      <c r="BS39" s="5">
        <f t="shared" si="25"/>
        <v>0</v>
      </c>
      <c r="BT39" s="5">
        <f t="shared" si="26"/>
        <v>0</v>
      </c>
      <c r="BU39" s="5">
        <f t="shared" si="27"/>
        <v>0</v>
      </c>
      <c r="BV39" s="5">
        <f t="shared" ref="BV39:BW39" si="401">IF(OR(ISNUMBER(SEARCH("grit",$D39)),ISNUMBER(SEARCH("grit",$T39)),ISNUMBER(SEARCH("grit",$R39)),ISNUMBER(SEARCH("grit",$S39)),
ISNUMBER(SEARCH("determination",$D39)),ISNUMBER(SEARCH("determination",$T39)),ISNUMBER(SEARCH("determination",$R39)),ISNUMBER(SEARCH("determination",$S39)),
ISNUMBER(SEARCH("tenacity",$D39)),ISNUMBER(SEARCH("tenacity",$T39)),ISNUMBER(SEARCH("tenacity",$R39)),ISNUMBER(SEARCH("tenacity",$S39)),
ISNUMBER(SEARCH("endurance",$D39)),ISNUMBER(SEARCH("endurance",$T39)),ISNUMBER(SEARCH("endurance",$R39)),ISNUMBER(SEARCH("endurance",$S39)),
ISNUMBER(SEARCH("fortitude",$D39)),ISNUMBER(SEARCH("fortitude",$T39)),ISNUMBER(SEARCH("fortitude",$R39)),ISNUMBER(SEARCH("fortitude",$S39)),
ISNUMBER(SEARCH("resolve",$D39)),ISNUMBER(SEARCH("resolve",$T39)),ISNUMBER(SEARCH("resolve",$R39)),ISNUMBER(SEARCH("resolve",$S39)),
ISNUMBER(SEARCH("stamina",$D39)),ISNUMBER(SEARCH("stamina",$T39)),ISNUMBER(SEARCH("stamina",$R39)),ISNUMBER(SEARCH("stamina",$S39)),
ISNUMBER(SEARCH("guts",$D39)),ISNUMBER(SEARCH("guts",$T39)),ISNUMBER(SEARCH("guts",$R39)),ISNUMBER(SEARCH("guts",$S39)),
ISNUMBER(SEARCH("spunk",$D39)),ISNUMBER(SEARCH("spunk",$T39)),ISNUMBER(SEARCH("spunk",$R39)),ISNUMBER(SEARCH("spunk",$S39))), 1, 0)</f>
        <v>0</v>
      </c>
      <c r="BW39" s="5">
        <f t="shared" si="401"/>
        <v>0</v>
      </c>
      <c r="BX39" s="5">
        <f t="shared" si="29"/>
        <v>0</v>
      </c>
      <c r="BY39" s="5">
        <f t="shared" si="30"/>
        <v>0</v>
      </c>
      <c r="BZ39" s="5">
        <f t="shared" si="31"/>
        <v>0</v>
      </c>
      <c r="CA39" s="5">
        <f t="shared" si="32"/>
        <v>0</v>
      </c>
      <c r="CB39" s="5">
        <f t="shared" si="33"/>
        <v>0</v>
      </c>
      <c r="CC39" s="5">
        <f t="shared" si="34"/>
        <v>0</v>
      </c>
      <c r="CD39" s="5">
        <f t="shared" si="35"/>
        <v>0</v>
      </c>
      <c r="CE39" s="5">
        <f t="shared" si="36"/>
        <v>0</v>
      </c>
      <c r="CF39" s="5">
        <f t="shared" si="37"/>
        <v>0</v>
      </c>
      <c r="CG39" s="5">
        <f t="shared" si="38"/>
        <v>0</v>
      </c>
      <c r="CH39" s="5">
        <f t="shared" si="39"/>
        <v>0</v>
      </c>
      <c r="CI39" s="5">
        <f t="shared" si="40"/>
        <v>0</v>
      </c>
      <c r="CJ39" s="5">
        <f t="shared" si="41"/>
        <v>0</v>
      </c>
      <c r="CK39" s="5">
        <f t="shared" si="42"/>
        <v>0</v>
      </c>
      <c r="CL39" s="5">
        <f t="shared" si="43"/>
        <v>0</v>
      </c>
      <c r="CM39" s="5">
        <f t="shared" si="44"/>
        <v>0</v>
      </c>
      <c r="CN39" s="5">
        <f t="shared" si="45"/>
        <v>0</v>
      </c>
      <c r="CO39" s="5">
        <f t="shared" si="46"/>
        <v>0</v>
      </c>
      <c r="CP39" s="6">
        <f t="shared" si="47"/>
        <v>0</v>
      </c>
      <c r="CQ39" s="6">
        <f t="shared" si="48"/>
        <v>0</v>
      </c>
      <c r="CR39" s="6">
        <f t="shared" si="49"/>
        <v>0</v>
      </c>
      <c r="CS39" s="6">
        <f t="shared" si="50"/>
        <v>0</v>
      </c>
      <c r="CT39" s="6">
        <f t="shared" si="51"/>
        <v>0</v>
      </c>
      <c r="CU39" s="6">
        <f t="shared" si="52"/>
        <v>0</v>
      </c>
      <c r="CV39" s="6">
        <f t="shared" si="53"/>
        <v>0</v>
      </c>
      <c r="CW39" s="6">
        <f t="shared" si="54"/>
        <v>0</v>
      </c>
      <c r="CX39" s="6">
        <f t="shared" si="55"/>
        <v>0</v>
      </c>
      <c r="CY39" s="6">
        <f t="shared" si="56"/>
        <v>0</v>
      </c>
      <c r="CZ39" s="6">
        <f t="shared" si="57"/>
        <v>0</v>
      </c>
      <c r="DA39" s="6">
        <f t="shared" si="58"/>
        <v>0</v>
      </c>
      <c r="DB39" s="6">
        <f t="shared" si="59"/>
        <v>0</v>
      </c>
      <c r="DC39" s="6">
        <f t="shared" si="60"/>
        <v>0</v>
      </c>
      <c r="DD39" s="6">
        <f t="shared" si="61"/>
        <v>0</v>
      </c>
      <c r="DE39" s="6">
        <f t="shared" si="62"/>
        <v>0</v>
      </c>
      <c r="DF39" s="6">
        <f t="shared" si="63"/>
        <v>0</v>
      </c>
      <c r="DG39" s="6">
        <f t="shared" si="64"/>
        <v>0</v>
      </c>
      <c r="DH39" s="6">
        <f t="shared" si="384"/>
        <v>0</v>
      </c>
      <c r="DI39" s="6">
        <f t="shared" si="66"/>
        <v>0</v>
      </c>
      <c r="DJ39" s="6">
        <f t="shared" si="385"/>
        <v>0</v>
      </c>
      <c r="DK39" s="7">
        <f t="shared" si="68"/>
        <v>0</v>
      </c>
      <c r="DL39" s="7">
        <f t="shared" si="402"/>
        <v>0</v>
      </c>
      <c r="DM39" s="7">
        <f t="shared" si="70"/>
        <v>0</v>
      </c>
      <c r="DN39" s="7">
        <f t="shared" si="71"/>
        <v>0</v>
      </c>
      <c r="DO39" s="7">
        <f t="shared" si="72"/>
        <v>1</v>
      </c>
      <c r="DP39" s="8">
        <f t="shared" si="73"/>
        <v>0</v>
      </c>
      <c r="DQ39" s="8">
        <f t="shared" si="74"/>
        <v>0</v>
      </c>
      <c r="DR39" s="7">
        <f t="shared" si="75"/>
        <v>0</v>
      </c>
      <c r="DS39" s="7">
        <f t="shared" si="76"/>
        <v>0</v>
      </c>
      <c r="DT39" s="7">
        <f t="shared" si="77"/>
        <v>0</v>
      </c>
      <c r="DU39" s="9">
        <f t="shared" si="78"/>
        <v>0</v>
      </c>
      <c r="DV39" s="9">
        <f t="shared" si="79"/>
        <v>0</v>
      </c>
      <c r="DW39" s="9">
        <f t="shared" si="80"/>
        <v>0</v>
      </c>
      <c r="DX39" s="9">
        <f t="shared" si="81"/>
        <v>0</v>
      </c>
      <c r="DY39" s="9">
        <f t="shared" si="82"/>
        <v>0</v>
      </c>
      <c r="DZ39" s="9">
        <f t="shared" si="83"/>
        <v>0</v>
      </c>
      <c r="EA39" s="9">
        <f t="shared" si="84"/>
        <v>0</v>
      </c>
      <c r="EB39" s="9">
        <f t="shared" si="85"/>
        <v>0</v>
      </c>
      <c r="EC39" s="9">
        <f t="shared" si="86"/>
        <v>0</v>
      </c>
      <c r="ED39" s="9">
        <f t="shared" si="87"/>
        <v>0</v>
      </c>
      <c r="EE39" s="9">
        <f t="shared" si="88"/>
        <v>1</v>
      </c>
      <c r="EF39" s="9">
        <f t="shared" si="89"/>
        <v>0</v>
      </c>
      <c r="EG39" s="9">
        <f t="shared" si="90"/>
        <v>0</v>
      </c>
      <c r="EH39" s="9">
        <f t="shared" si="91"/>
        <v>0</v>
      </c>
      <c r="EI39" s="9">
        <f t="shared" si="92"/>
        <v>0</v>
      </c>
      <c r="EJ39" s="10">
        <f t="shared" si="93"/>
        <v>0</v>
      </c>
      <c r="EK39" s="10">
        <f t="shared" si="94"/>
        <v>0</v>
      </c>
      <c r="EL39" s="10">
        <f t="shared" ref="EL39:EM39" si="403">IF(OR(ISNUMBER(SEARCH("ai software toolkit", $D39)), ISNUMBER(SEARCH("ai software toolkit", $T39)), ISNUMBER(SEARCH("ai software toolkit", $R39)), ISNUMBER(SEARCH("ai software toolkit", $S39))), 1, 0)</f>
        <v>0</v>
      </c>
      <c r="EM39" s="10">
        <f t="shared" si="403"/>
        <v>0</v>
      </c>
      <c r="EN39" s="10">
        <f t="shared" si="96"/>
        <v>0</v>
      </c>
      <c r="EO39" s="10">
        <f t="shared" si="97"/>
        <v>0</v>
      </c>
      <c r="EP39" s="10">
        <f t="shared" si="98"/>
        <v>0</v>
      </c>
      <c r="EQ39" s="10">
        <f t="shared" si="99"/>
        <v>0</v>
      </c>
      <c r="ER39" s="10">
        <f t="shared" si="100"/>
        <v>0</v>
      </c>
      <c r="ES39" s="10">
        <f t="shared" si="101"/>
        <v>0</v>
      </c>
      <c r="ET39" s="10">
        <f t="shared" si="102"/>
        <v>0</v>
      </c>
      <c r="EU39" s="10">
        <f t="shared" si="103"/>
        <v>0</v>
      </c>
      <c r="EV39" s="10">
        <f t="shared" si="104"/>
        <v>0</v>
      </c>
      <c r="EW39" s="10">
        <f t="shared" si="105"/>
        <v>0</v>
      </c>
      <c r="EX39" s="10">
        <f t="shared" si="106"/>
        <v>0</v>
      </c>
      <c r="EY39" s="10">
        <f t="shared" si="107"/>
        <v>0</v>
      </c>
      <c r="EZ39" s="10">
        <f t="shared" si="108"/>
        <v>0</v>
      </c>
      <c r="FA39" s="10">
        <f t="shared" si="109"/>
        <v>0</v>
      </c>
      <c r="FB39" s="10">
        <f t="shared" si="110"/>
        <v>0</v>
      </c>
      <c r="FC39" s="10">
        <f t="shared" si="111"/>
        <v>0</v>
      </c>
      <c r="FD39" s="10">
        <f t="shared" si="112"/>
        <v>0</v>
      </c>
      <c r="FE39" s="10">
        <f t="shared" si="113"/>
        <v>0</v>
      </c>
      <c r="FF39" s="10">
        <f t="shared" si="114"/>
        <v>0</v>
      </c>
      <c r="FG39" s="10">
        <f t="shared" si="115"/>
        <v>0</v>
      </c>
      <c r="FH39" s="10">
        <f t="shared" si="116"/>
        <v>0</v>
      </c>
      <c r="FI39" s="10">
        <f t="shared" si="117"/>
        <v>0</v>
      </c>
      <c r="FJ39" s="10">
        <f t="shared" si="118"/>
        <v>0</v>
      </c>
      <c r="FK39" s="10">
        <f t="shared" si="119"/>
        <v>0</v>
      </c>
      <c r="FL39" s="10">
        <f t="shared" si="120"/>
        <v>0</v>
      </c>
      <c r="FM39" s="10">
        <f t="shared" si="121"/>
        <v>0</v>
      </c>
      <c r="FN39" s="10">
        <f t="shared" si="122"/>
        <v>0</v>
      </c>
      <c r="FO39" s="10">
        <f t="shared" si="123"/>
        <v>0</v>
      </c>
      <c r="FP39" s="10">
        <f t="shared" si="124"/>
        <v>0</v>
      </c>
      <c r="FQ39" s="10">
        <f t="shared" si="125"/>
        <v>0</v>
      </c>
      <c r="FR39" s="11">
        <f t="shared" si="394"/>
        <v>0</v>
      </c>
      <c r="FS39" s="11">
        <f t="shared" si="127"/>
        <v>0</v>
      </c>
      <c r="FT39" s="11">
        <f t="shared" si="128"/>
        <v>0</v>
      </c>
      <c r="FU39" s="11">
        <f t="shared" si="129"/>
        <v>0</v>
      </c>
      <c r="FV39" s="11">
        <f t="shared" si="130"/>
        <v>0</v>
      </c>
      <c r="FW39" s="11">
        <f t="shared" si="131"/>
        <v>0</v>
      </c>
      <c r="FX39" s="11">
        <f t="shared" si="132"/>
        <v>0</v>
      </c>
      <c r="FY39" s="11">
        <f t="shared" si="133"/>
        <v>0</v>
      </c>
      <c r="FZ39" s="11">
        <f t="shared" si="134"/>
        <v>0</v>
      </c>
      <c r="GA39" s="11">
        <f t="shared" si="135"/>
        <v>0</v>
      </c>
      <c r="GB39" s="11">
        <f t="shared" si="136"/>
        <v>0</v>
      </c>
      <c r="GC39" s="11">
        <f t="shared" si="137"/>
        <v>0</v>
      </c>
      <c r="GD39" s="11">
        <f t="shared" si="138"/>
        <v>0</v>
      </c>
      <c r="GE39" s="11">
        <f t="shared" si="139"/>
        <v>0</v>
      </c>
      <c r="GF39" s="11">
        <f t="shared" si="140"/>
        <v>0</v>
      </c>
      <c r="GG39" s="11">
        <f t="shared" si="141"/>
        <v>0</v>
      </c>
      <c r="GH39" s="11">
        <f t="shared" si="142"/>
        <v>0</v>
      </c>
      <c r="GI39" s="11">
        <f t="shared" si="143"/>
        <v>0</v>
      </c>
      <c r="GJ39" s="11">
        <f t="shared" si="144"/>
        <v>0</v>
      </c>
      <c r="GK39" s="11">
        <f t="shared" si="145"/>
        <v>0</v>
      </c>
      <c r="GL39" s="11">
        <f t="shared" si="146"/>
        <v>0</v>
      </c>
      <c r="GM39" s="11">
        <f t="shared" si="147"/>
        <v>0</v>
      </c>
      <c r="GN39" s="11">
        <f t="shared" si="148"/>
        <v>0</v>
      </c>
      <c r="GO39" s="11">
        <f t="shared" si="149"/>
        <v>0</v>
      </c>
      <c r="GP39" s="11">
        <f t="shared" si="150"/>
        <v>0</v>
      </c>
      <c r="GQ39" s="11">
        <f t="shared" si="151"/>
        <v>0</v>
      </c>
      <c r="GR39" s="11">
        <f t="shared" si="152"/>
        <v>0</v>
      </c>
      <c r="GS39" s="11">
        <f t="shared" si="153"/>
        <v>0</v>
      </c>
      <c r="GT39" s="11">
        <f t="shared" si="154"/>
        <v>1</v>
      </c>
      <c r="GU39" s="12">
        <f t="shared" si="155"/>
        <v>0</v>
      </c>
      <c r="GV39" s="12">
        <f t="shared" si="156"/>
        <v>0</v>
      </c>
      <c r="GW39" s="12">
        <f t="shared" si="157"/>
        <v>0</v>
      </c>
      <c r="GX39" s="12">
        <f t="shared" si="158"/>
        <v>0</v>
      </c>
      <c r="GY39" s="12">
        <f t="shared" si="159"/>
        <v>0</v>
      </c>
      <c r="GZ39" s="12">
        <f t="shared" si="160"/>
        <v>0</v>
      </c>
      <c r="HA39" s="12">
        <f t="shared" si="161"/>
        <v>0</v>
      </c>
      <c r="HB39" s="12">
        <f t="shared" si="162"/>
        <v>0</v>
      </c>
      <c r="HC39" s="12">
        <f t="shared" si="163"/>
        <v>0</v>
      </c>
      <c r="HD39" s="12">
        <f t="shared" si="164"/>
        <v>0</v>
      </c>
      <c r="HE39" s="12">
        <f t="shared" si="165"/>
        <v>0</v>
      </c>
      <c r="HF39" s="12">
        <f t="shared" si="166"/>
        <v>0</v>
      </c>
      <c r="HG39" s="12">
        <f t="shared" si="167"/>
        <v>0</v>
      </c>
      <c r="HH39" s="12">
        <f t="shared" si="168"/>
        <v>0</v>
      </c>
      <c r="HI39" s="12">
        <f t="shared" si="169"/>
        <v>0</v>
      </c>
      <c r="HJ39" s="12">
        <f t="shared" si="170"/>
        <v>0</v>
      </c>
      <c r="HK39" s="12">
        <f t="shared" si="171"/>
        <v>0</v>
      </c>
      <c r="HL39" s="12">
        <f t="shared" si="172"/>
        <v>0</v>
      </c>
      <c r="HM39" s="12">
        <f t="shared" si="173"/>
        <v>0</v>
      </c>
      <c r="HN39" s="12">
        <f t="shared" si="174"/>
        <v>0</v>
      </c>
      <c r="HO39" s="12">
        <f t="shared" si="175"/>
        <v>0</v>
      </c>
      <c r="HP39" s="12">
        <f t="shared" si="176"/>
        <v>0</v>
      </c>
      <c r="HQ39" s="12">
        <f t="shared" si="177"/>
        <v>0</v>
      </c>
      <c r="HR39" s="12">
        <f t="shared" si="178"/>
        <v>0</v>
      </c>
      <c r="HS39" s="12">
        <f t="shared" si="179"/>
        <v>0</v>
      </c>
      <c r="HT39" s="12">
        <f t="shared" si="180"/>
        <v>0</v>
      </c>
      <c r="HU39" s="12">
        <f t="shared" si="181"/>
        <v>0</v>
      </c>
      <c r="HV39" s="12">
        <f t="shared" si="182"/>
        <v>0</v>
      </c>
      <c r="HW39" s="12">
        <f t="shared" si="183"/>
        <v>0</v>
      </c>
      <c r="HX39" s="12">
        <f t="shared" si="184"/>
        <v>0</v>
      </c>
      <c r="HY39" s="12">
        <f t="shared" si="185"/>
        <v>0</v>
      </c>
      <c r="HZ39" s="12">
        <f t="shared" si="186"/>
        <v>0</v>
      </c>
      <c r="IA39" s="12">
        <f t="shared" si="187"/>
        <v>0</v>
      </c>
      <c r="IB39" s="12">
        <f t="shared" si="188"/>
        <v>0</v>
      </c>
      <c r="IC39" s="12">
        <f t="shared" si="189"/>
        <v>0</v>
      </c>
      <c r="ID39" s="12">
        <f t="shared" si="190"/>
        <v>0</v>
      </c>
      <c r="IE39" s="12">
        <f t="shared" si="191"/>
        <v>0</v>
      </c>
      <c r="IF39" s="12">
        <f t="shared" si="192"/>
        <v>0</v>
      </c>
      <c r="IG39" s="12">
        <f t="shared" si="193"/>
        <v>0</v>
      </c>
      <c r="IH39" s="12">
        <f t="shared" si="194"/>
        <v>0</v>
      </c>
      <c r="II39" s="12">
        <f t="shared" si="195"/>
        <v>0</v>
      </c>
      <c r="IJ39" s="12">
        <f t="shared" si="196"/>
        <v>0</v>
      </c>
      <c r="IK39" s="12">
        <f t="shared" si="197"/>
        <v>0</v>
      </c>
      <c r="IL39" s="12">
        <f t="shared" si="198"/>
        <v>0</v>
      </c>
      <c r="IM39" s="12">
        <f t="shared" si="199"/>
        <v>0</v>
      </c>
      <c r="IN39" s="12">
        <f t="shared" si="200"/>
        <v>0</v>
      </c>
      <c r="IO39" s="12">
        <f t="shared" si="201"/>
        <v>0</v>
      </c>
      <c r="IP39" s="12">
        <f t="shared" si="202"/>
        <v>0</v>
      </c>
      <c r="IQ39" s="12">
        <f t="shared" si="203"/>
        <v>0</v>
      </c>
      <c r="IR39" s="12">
        <f t="shared" si="204"/>
        <v>0</v>
      </c>
      <c r="IS39" s="12">
        <f t="shared" si="205"/>
        <v>0</v>
      </c>
      <c r="IT39" s="12">
        <f t="shared" si="206"/>
        <v>0</v>
      </c>
      <c r="IU39" s="12">
        <f t="shared" si="207"/>
        <v>0</v>
      </c>
      <c r="IV39" s="12">
        <f t="shared" si="208"/>
        <v>0</v>
      </c>
      <c r="IW39" s="12">
        <f t="shared" si="209"/>
        <v>0</v>
      </c>
      <c r="IX39" s="12">
        <f t="shared" si="210"/>
        <v>0</v>
      </c>
      <c r="IY39" s="12">
        <f t="shared" si="211"/>
        <v>0</v>
      </c>
      <c r="IZ39" s="12">
        <f t="shared" si="212"/>
        <v>0</v>
      </c>
      <c r="JA39" s="13">
        <f t="shared" si="213"/>
        <v>0</v>
      </c>
      <c r="JB39" s="13">
        <f t="shared" si="214"/>
        <v>0</v>
      </c>
      <c r="JC39" s="13">
        <f t="shared" si="215"/>
        <v>0</v>
      </c>
      <c r="JD39" s="13">
        <f t="shared" si="216"/>
        <v>0</v>
      </c>
      <c r="JE39" s="13">
        <f t="shared" si="217"/>
        <v>0</v>
      </c>
      <c r="JF39" s="13">
        <f t="shared" si="218"/>
        <v>0</v>
      </c>
      <c r="JG39" s="13">
        <f t="shared" si="219"/>
        <v>0</v>
      </c>
      <c r="JH39" s="13">
        <f t="shared" si="220"/>
        <v>0</v>
      </c>
      <c r="JI39" s="13">
        <f t="shared" si="221"/>
        <v>0</v>
      </c>
      <c r="JJ39" s="13">
        <f t="shared" si="222"/>
        <v>0</v>
      </c>
      <c r="JK39" s="13">
        <f t="shared" si="223"/>
        <v>0</v>
      </c>
      <c r="JL39" s="13">
        <f t="shared" si="224"/>
        <v>0</v>
      </c>
      <c r="JM39" s="13">
        <f t="shared" si="225"/>
        <v>0</v>
      </c>
      <c r="JN39" s="13">
        <f t="shared" si="226"/>
        <v>0</v>
      </c>
      <c r="JO39" s="13">
        <f t="shared" si="227"/>
        <v>0</v>
      </c>
      <c r="JP39" s="13">
        <f t="shared" si="228"/>
        <v>0</v>
      </c>
      <c r="JQ39" s="13">
        <f t="shared" si="229"/>
        <v>0</v>
      </c>
      <c r="JR39" s="13">
        <f t="shared" si="230"/>
        <v>0</v>
      </c>
      <c r="JS39" s="13">
        <f t="shared" si="231"/>
        <v>0</v>
      </c>
      <c r="JT39" s="13">
        <f t="shared" si="232"/>
        <v>0</v>
      </c>
      <c r="JU39" s="13">
        <f t="shared" si="233"/>
        <v>0</v>
      </c>
      <c r="JV39" s="12">
        <f t="shared" si="234"/>
        <v>0</v>
      </c>
      <c r="JW39" s="12">
        <f t="shared" si="235"/>
        <v>0</v>
      </c>
      <c r="JX39" s="12">
        <f t="shared" si="236"/>
        <v>0</v>
      </c>
      <c r="JY39" s="12">
        <f t="shared" si="237"/>
        <v>0</v>
      </c>
      <c r="JZ39" s="12">
        <f t="shared" si="238"/>
        <v>0</v>
      </c>
      <c r="KA39" s="12">
        <f t="shared" si="239"/>
        <v>0</v>
      </c>
      <c r="KB39" s="12">
        <f t="shared" si="240"/>
        <v>0</v>
      </c>
      <c r="KC39" s="12">
        <f t="shared" si="241"/>
        <v>0</v>
      </c>
      <c r="KD39" s="12">
        <f t="shared" si="242"/>
        <v>0</v>
      </c>
      <c r="KE39" s="12">
        <f t="shared" si="243"/>
        <v>0</v>
      </c>
      <c r="KF39" s="12">
        <f t="shared" si="244"/>
        <v>0</v>
      </c>
      <c r="KG39" s="12">
        <f t="shared" si="245"/>
        <v>0</v>
      </c>
      <c r="KH39" s="12">
        <f t="shared" si="246"/>
        <v>0</v>
      </c>
      <c r="KI39" s="12">
        <f t="shared" si="247"/>
        <v>0</v>
      </c>
      <c r="KJ39" s="12">
        <f t="shared" si="248"/>
        <v>0</v>
      </c>
      <c r="KK39" s="12">
        <f t="shared" si="249"/>
        <v>0</v>
      </c>
      <c r="KL39" s="12">
        <f t="shared" si="250"/>
        <v>0</v>
      </c>
      <c r="KM39" s="12">
        <f t="shared" si="251"/>
        <v>0</v>
      </c>
      <c r="KN39" s="12">
        <f t="shared" si="252"/>
        <v>0</v>
      </c>
      <c r="KO39" s="12">
        <f t="shared" si="253"/>
        <v>0</v>
      </c>
      <c r="KP39" s="12">
        <f t="shared" si="254"/>
        <v>0</v>
      </c>
      <c r="KQ39" s="12">
        <f t="shared" si="255"/>
        <v>0</v>
      </c>
      <c r="KR39" s="12">
        <f t="shared" si="256"/>
        <v>0</v>
      </c>
      <c r="KS39" s="12">
        <f t="shared" si="257"/>
        <v>0</v>
      </c>
      <c r="KT39" s="12">
        <f t="shared" si="258"/>
        <v>0</v>
      </c>
      <c r="KU39" s="12">
        <f t="shared" si="259"/>
        <v>0</v>
      </c>
      <c r="KV39" s="12">
        <f t="shared" si="260"/>
        <v>0</v>
      </c>
      <c r="KW39" s="12">
        <f t="shared" si="261"/>
        <v>0</v>
      </c>
      <c r="KX39" s="12">
        <f t="shared" si="262"/>
        <v>0</v>
      </c>
      <c r="KY39" s="12">
        <f t="shared" si="263"/>
        <v>0</v>
      </c>
      <c r="KZ39" s="12">
        <f t="shared" si="264"/>
        <v>0</v>
      </c>
      <c r="LA39" s="12">
        <f t="shared" si="265"/>
        <v>0</v>
      </c>
      <c r="LB39" s="12">
        <f t="shared" si="266"/>
        <v>0</v>
      </c>
      <c r="LC39" s="12">
        <f t="shared" si="267"/>
        <v>0</v>
      </c>
      <c r="LD39" s="12">
        <f t="shared" si="268"/>
        <v>0</v>
      </c>
      <c r="LE39" s="12">
        <f t="shared" si="269"/>
        <v>0</v>
      </c>
      <c r="LF39" s="12">
        <f t="shared" si="270"/>
        <v>0</v>
      </c>
      <c r="LG39" s="12">
        <f t="shared" si="271"/>
        <v>0</v>
      </c>
      <c r="LH39" s="12">
        <f t="shared" si="272"/>
        <v>0</v>
      </c>
      <c r="LI39" s="12">
        <f t="shared" si="273"/>
        <v>0</v>
      </c>
      <c r="LJ39" s="12">
        <f t="shared" si="274"/>
        <v>0</v>
      </c>
      <c r="LK39" s="12">
        <f t="shared" si="275"/>
        <v>0</v>
      </c>
      <c r="LL39" s="12">
        <f t="shared" si="276"/>
        <v>0</v>
      </c>
      <c r="LM39" s="12">
        <f t="shared" si="277"/>
        <v>0</v>
      </c>
      <c r="LN39" s="12">
        <f t="shared" si="278"/>
        <v>0</v>
      </c>
      <c r="LO39" s="12">
        <f t="shared" si="279"/>
        <v>0</v>
      </c>
      <c r="LP39" s="12">
        <f t="shared" si="280"/>
        <v>0</v>
      </c>
      <c r="LQ39" s="12">
        <f t="shared" si="281"/>
        <v>0</v>
      </c>
      <c r="LR39" s="12">
        <f t="shared" si="282"/>
        <v>0</v>
      </c>
      <c r="LS39" s="12">
        <f t="shared" si="283"/>
        <v>0</v>
      </c>
      <c r="LT39" s="13">
        <f t="shared" si="284"/>
        <v>0</v>
      </c>
      <c r="LU39" s="13">
        <f t="shared" si="285"/>
        <v>0</v>
      </c>
      <c r="LV39" s="13">
        <f t="shared" si="286"/>
        <v>0</v>
      </c>
      <c r="LW39" s="13">
        <f t="shared" si="287"/>
        <v>0</v>
      </c>
      <c r="LX39" s="13">
        <f t="shared" si="288"/>
        <v>0</v>
      </c>
      <c r="LY39" s="13">
        <f t="shared" si="289"/>
        <v>0</v>
      </c>
      <c r="LZ39" s="13">
        <f t="shared" si="290"/>
        <v>0</v>
      </c>
      <c r="MA39" s="13">
        <f t="shared" si="291"/>
        <v>0</v>
      </c>
      <c r="MB39" s="13">
        <f t="shared" si="292"/>
        <v>0</v>
      </c>
      <c r="MC39" s="13">
        <f t="shared" si="293"/>
        <v>0</v>
      </c>
      <c r="MD39" s="13">
        <f t="shared" si="294"/>
        <v>0</v>
      </c>
      <c r="ME39" s="13">
        <f t="shared" si="295"/>
        <v>0</v>
      </c>
      <c r="MF39" s="13">
        <f t="shared" si="296"/>
        <v>0</v>
      </c>
      <c r="MG39" s="13">
        <f t="shared" si="297"/>
        <v>0</v>
      </c>
      <c r="MH39" s="13">
        <f t="shared" si="298"/>
        <v>0</v>
      </c>
      <c r="MI39" s="13">
        <f t="shared" si="299"/>
        <v>0</v>
      </c>
      <c r="MJ39" s="13">
        <f t="shared" si="300"/>
        <v>0</v>
      </c>
      <c r="MK39" s="13">
        <f t="shared" si="301"/>
        <v>0</v>
      </c>
      <c r="ML39" s="14">
        <f t="shared" si="302"/>
        <v>0</v>
      </c>
      <c r="MM39" s="14">
        <f t="shared" si="303"/>
        <v>0</v>
      </c>
      <c r="MN39" s="14">
        <f t="shared" si="304"/>
        <v>0</v>
      </c>
      <c r="MO39" s="14">
        <f t="shared" si="305"/>
        <v>0</v>
      </c>
      <c r="MP39" s="14">
        <f t="shared" si="306"/>
        <v>0</v>
      </c>
      <c r="MQ39" s="14">
        <f t="shared" si="307"/>
        <v>0</v>
      </c>
      <c r="MR39" s="14">
        <f t="shared" si="308"/>
        <v>0</v>
      </c>
      <c r="MS39" s="14">
        <f t="shared" si="309"/>
        <v>0</v>
      </c>
      <c r="MT39" s="14">
        <f t="shared" si="310"/>
        <v>0</v>
      </c>
      <c r="MU39" s="14">
        <f t="shared" si="311"/>
        <v>0</v>
      </c>
      <c r="MV39" s="14">
        <f t="shared" si="312"/>
        <v>0</v>
      </c>
      <c r="MW39" s="14">
        <f t="shared" si="313"/>
        <v>0</v>
      </c>
      <c r="MX39" s="14">
        <f t="shared" si="314"/>
        <v>0</v>
      </c>
      <c r="MY39" s="14">
        <f t="shared" si="315"/>
        <v>0</v>
      </c>
      <c r="MZ39" s="14">
        <f t="shared" si="316"/>
        <v>0</v>
      </c>
      <c r="NA39" s="14">
        <f t="shared" si="317"/>
        <v>0</v>
      </c>
      <c r="NB39" s="14">
        <f t="shared" si="318"/>
        <v>0</v>
      </c>
    </row>
    <row r="40" ht="15.75" customHeight="1">
      <c r="A40" s="2">
        <v>202.0</v>
      </c>
      <c r="B40" s="2" t="s">
        <v>1065</v>
      </c>
      <c r="C40" s="2" t="s">
        <v>1066</v>
      </c>
      <c r="D40" s="2" t="s">
        <v>1067</v>
      </c>
      <c r="E40" s="2">
        <v>2020.0</v>
      </c>
      <c r="F40" s="2" t="s">
        <v>1068</v>
      </c>
      <c r="G40" s="2" t="s">
        <v>1013</v>
      </c>
      <c r="H40" s="2" t="s">
        <v>1069</v>
      </c>
      <c r="J40" s="2" t="s">
        <v>1070</v>
      </c>
      <c r="K40" s="2" t="s">
        <v>1071</v>
      </c>
      <c r="M40" s="2">
        <v>41.0</v>
      </c>
      <c r="N40" s="2" t="s">
        <v>1072</v>
      </c>
      <c r="O40" s="2" t="s">
        <v>1073</v>
      </c>
      <c r="P40" s="2" t="s">
        <v>1074</v>
      </c>
      <c r="Q40" s="2" t="s">
        <v>1075</v>
      </c>
      <c r="R40" s="2" t="s">
        <v>1076</v>
      </c>
      <c r="S40" s="2" t="s">
        <v>1077</v>
      </c>
      <c r="T40" s="2" t="s">
        <v>1078</v>
      </c>
      <c r="Y40" s="2" t="s">
        <v>1079</v>
      </c>
      <c r="AB40" s="2" t="s">
        <v>1080</v>
      </c>
      <c r="AG40" s="2" t="s">
        <v>1081</v>
      </c>
      <c r="AK40" s="2" t="s">
        <v>1082</v>
      </c>
      <c r="AL40" s="2" t="s">
        <v>384</v>
      </c>
      <c r="AN40" s="2" t="s">
        <v>386</v>
      </c>
      <c r="AO40" s="2" t="s">
        <v>1083</v>
      </c>
      <c r="AP40" s="2" t="s">
        <v>386</v>
      </c>
      <c r="AQ40" s="2">
        <v>842.0</v>
      </c>
      <c r="AR40" s="2" t="s">
        <v>1084</v>
      </c>
      <c r="AS40" s="2" t="b">
        <v>1</v>
      </c>
      <c r="AT40" s="3">
        <v>0.0</v>
      </c>
      <c r="AU40" s="4"/>
      <c r="AV40" s="4"/>
      <c r="AW40" s="5">
        <f t="shared" si="3"/>
        <v>0</v>
      </c>
      <c r="AX40" s="5">
        <f t="shared" si="4"/>
        <v>0</v>
      </c>
      <c r="AY40" s="5">
        <f t="shared" si="5"/>
        <v>0</v>
      </c>
      <c r="AZ40" s="5">
        <f t="shared" si="6"/>
        <v>0</v>
      </c>
      <c r="BA40" s="5">
        <f t="shared" si="7"/>
        <v>0</v>
      </c>
      <c r="BB40" s="5">
        <f t="shared" si="8"/>
        <v>0</v>
      </c>
      <c r="BC40" s="5">
        <f t="shared" si="9"/>
        <v>0</v>
      </c>
      <c r="BD40" s="5">
        <f t="shared" si="10"/>
        <v>0</v>
      </c>
      <c r="BE40" s="5">
        <f t="shared" si="11"/>
        <v>0</v>
      </c>
      <c r="BF40" s="5">
        <f t="shared" si="12"/>
        <v>0</v>
      </c>
      <c r="BG40" s="5">
        <f t="shared" si="13"/>
        <v>0</v>
      </c>
      <c r="BH40" s="5">
        <f t="shared" si="14"/>
        <v>0</v>
      </c>
      <c r="BI40" s="5">
        <f t="shared" si="15"/>
        <v>0</v>
      </c>
      <c r="BJ40" s="5">
        <f t="shared" si="16"/>
        <v>0</v>
      </c>
      <c r="BK40" s="5">
        <f t="shared" si="17"/>
        <v>0</v>
      </c>
      <c r="BL40" s="5">
        <f t="shared" si="18"/>
        <v>0</v>
      </c>
      <c r="BM40" s="5">
        <f t="shared" si="19"/>
        <v>0</v>
      </c>
      <c r="BN40" s="5">
        <f t="shared" si="20"/>
        <v>0</v>
      </c>
      <c r="BO40" s="5">
        <f t="shared" si="21"/>
        <v>0</v>
      </c>
      <c r="BP40" s="5">
        <f t="shared" si="22"/>
        <v>0</v>
      </c>
      <c r="BQ40" s="5">
        <f t="shared" si="23"/>
        <v>0</v>
      </c>
      <c r="BR40" s="5">
        <f t="shared" si="24"/>
        <v>0</v>
      </c>
      <c r="BS40" s="5">
        <f t="shared" si="25"/>
        <v>0</v>
      </c>
      <c r="BT40" s="5">
        <f t="shared" si="26"/>
        <v>0</v>
      </c>
      <c r="BU40" s="5">
        <f t="shared" si="27"/>
        <v>0</v>
      </c>
      <c r="BV40" s="5">
        <f t="shared" ref="BV40:BW40" si="404">IF(OR(ISNUMBER(SEARCH("grit",$D40)),ISNUMBER(SEARCH("grit",$T40)),ISNUMBER(SEARCH("grit",$R40)),ISNUMBER(SEARCH("grit",$S40)),
ISNUMBER(SEARCH("determination",$D40)),ISNUMBER(SEARCH("determination",$T40)),ISNUMBER(SEARCH("determination",$R40)),ISNUMBER(SEARCH("determination",$S40)),
ISNUMBER(SEARCH("tenacity",$D40)),ISNUMBER(SEARCH("tenacity",$T40)),ISNUMBER(SEARCH("tenacity",$R40)),ISNUMBER(SEARCH("tenacity",$S40)),
ISNUMBER(SEARCH("endurance",$D40)),ISNUMBER(SEARCH("endurance",$T40)),ISNUMBER(SEARCH("endurance",$R40)),ISNUMBER(SEARCH("endurance",$S40)),
ISNUMBER(SEARCH("fortitude",$D40)),ISNUMBER(SEARCH("fortitude",$T40)),ISNUMBER(SEARCH("fortitude",$R40)),ISNUMBER(SEARCH("fortitude",$S40)),
ISNUMBER(SEARCH("resolve",$D40)),ISNUMBER(SEARCH("resolve",$T40)),ISNUMBER(SEARCH("resolve",$R40)),ISNUMBER(SEARCH("resolve",$S40)),
ISNUMBER(SEARCH("stamina",$D40)),ISNUMBER(SEARCH("stamina",$T40)),ISNUMBER(SEARCH("stamina",$R40)),ISNUMBER(SEARCH("stamina",$S40)),
ISNUMBER(SEARCH("guts",$D40)),ISNUMBER(SEARCH("guts",$T40)),ISNUMBER(SEARCH("guts",$R40)),ISNUMBER(SEARCH("guts",$S40)),
ISNUMBER(SEARCH("spunk",$D40)),ISNUMBER(SEARCH("spunk",$T40)),ISNUMBER(SEARCH("spunk",$R40)),ISNUMBER(SEARCH("spunk",$S40))), 1, 0)</f>
        <v>0</v>
      </c>
      <c r="BW40" s="5">
        <f t="shared" si="404"/>
        <v>0</v>
      </c>
      <c r="BX40" s="5">
        <f t="shared" si="29"/>
        <v>0</v>
      </c>
      <c r="BY40" s="5">
        <f t="shared" si="30"/>
        <v>0</v>
      </c>
      <c r="BZ40" s="5">
        <f t="shared" si="31"/>
        <v>0</v>
      </c>
      <c r="CA40" s="5">
        <f t="shared" si="32"/>
        <v>0</v>
      </c>
      <c r="CB40" s="5">
        <f t="shared" si="33"/>
        <v>0</v>
      </c>
      <c r="CC40" s="5">
        <f t="shared" si="34"/>
        <v>0</v>
      </c>
      <c r="CD40" s="5">
        <f t="shared" si="35"/>
        <v>0</v>
      </c>
      <c r="CE40" s="5">
        <f t="shared" si="36"/>
        <v>0</v>
      </c>
      <c r="CF40" s="5">
        <f t="shared" si="37"/>
        <v>0</v>
      </c>
      <c r="CG40" s="5">
        <f t="shared" si="38"/>
        <v>0</v>
      </c>
      <c r="CH40" s="5">
        <f t="shared" si="39"/>
        <v>0</v>
      </c>
      <c r="CI40" s="5">
        <f t="shared" si="40"/>
        <v>0</v>
      </c>
      <c r="CJ40" s="5">
        <f t="shared" si="41"/>
        <v>0</v>
      </c>
      <c r="CK40" s="5">
        <f t="shared" si="42"/>
        <v>1</v>
      </c>
      <c r="CL40" s="5">
        <f t="shared" si="43"/>
        <v>0</v>
      </c>
      <c r="CM40" s="5">
        <f t="shared" si="44"/>
        <v>0</v>
      </c>
      <c r="CN40" s="5">
        <f t="shared" si="45"/>
        <v>0</v>
      </c>
      <c r="CO40" s="5">
        <f t="shared" si="46"/>
        <v>0</v>
      </c>
      <c r="CP40" s="6">
        <f t="shared" si="47"/>
        <v>0</v>
      </c>
      <c r="CQ40" s="6">
        <f t="shared" si="48"/>
        <v>0</v>
      </c>
      <c r="CR40" s="6">
        <f t="shared" si="49"/>
        <v>0</v>
      </c>
      <c r="CS40" s="6">
        <f t="shared" si="50"/>
        <v>0</v>
      </c>
      <c r="CT40" s="6">
        <f t="shared" si="51"/>
        <v>0</v>
      </c>
      <c r="CU40" s="6">
        <f t="shared" si="52"/>
        <v>0</v>
      </c>
      <c r="CV40" s="6">
        <f t="shared" si="53"/>
        <v>0</v>
      </c>
      <c r="CW40" s="6">
        <f t="shared" si="54"/>
        <v>0</v>
      </c>
      <c r="CX40" s="6">
        <f t="shared" si="55"/>
        <v>0</v>
      </c>
      <c r="CY40" s="6">
        <f t="shared" si="56"/>
        <v>0</v>
      </c>
      <c r="CZ40" s="6">
        <f t="shared" si="57"/>
        <v>0</v>
      </c>
      <c r="DA40" s="6">
        <f t="shared" si="58"/>
        <v>0</v>
      </c>
      <c r="DB40" s="6">
        <f t="shared" si="59"/>
        <v>0</v>
      </c>
      <c r="DC40" s="6">
        <f t="shared" si="60"/>
        <v>0</v>
      </c>
      <c r="DD40" s="6">
        <f t="shared" si="61"/>
        <v>0</v>
      </c>
      <c r="DE40" s="6">
        <f t="shared" si="62"/>
        <v>0</v>
      </c>
      <c r="DF40" s="6">
        <f t="shared" si="63"/>
        <v>0</v>
      </c>
      <c r="DG40" s="6">
        <f t="shared" si="64"/>
        <v>0</v>
      </c>
      <c r="DH40" s="6">
        <f t="shared" si="384"/>
        <v>0</v>
      </c>
      <c r="DI40" s="6">
        <f t="shared" si="66"/>
        <v>0</v>
      </c>
      <c r="DJ40" s="6">
        <f t="shared" si="385"/>
        <v>0</v>
      </c>
      <c r="DK40" s="7">
        <f t="shared" si="68"/>
        <v>0</v>
      </c>
      <c r="DL40" s="7">
        <f t="shared" si="402"/>
        <v>0</v>
      </c>
      <c r="DM40" s="7">
        <f t="shared" si="70"/>
        <v>0</v>
      </c>
      <c r="DN40" s="7">
        <f t="shared" si="71"/>
        <v>0</v>
      </c>
      <c r="DO40" s="7">
        <f t="shared" si="72"/>
        <v>0</v>
      </c>
      <c r="DP40" s="8">
        <f t="shared" si="73"/>
        <v>0</v>
      </c>
      <c r="DQ40" s="8">
        <f t="shared" si="74"/>
        <v>1</v>
      </c>
      <c r="DR40" s="7">
        <f t="shared" si="75"/>
        <v>0</v>
      </c>
      <c r="DS40" s="7">
        <f t="shared" si="76"/>
        <v>0</v>
      </c>
      <c r="DT40" s="7">
        <f t="shared" si="77"/>
        <v>0</v>
      </c>
      <c r="DU40" s="9">
        <f t="shared" si="78"/>
        <v>0</v>
      </c>
      <c r="DV40" s="9">
        <f t="shared" si="79"/>
        <v>0</v>
      </c>
      <c r="DW40" s="9">
        <f t="shared" si="80"/>
        <v>0</v>
      </c>
      <c r="DX40" s="9">
        <f t="shared" si="81"/>
        <v>0</v>
      </c>
      <c r="DY40" s="9">
        <f t="shared" si="82"/>
        <v>0</v>
      </c>
      <c r="DZ40" s="9">
        <f t="shared" si="83"/>
        <v>0</v>
      </c>
      <c r="EA40" s="9">
        <f t="shared" si="84"/>
        <v>0</v>
      </c>
      <c r="EB40" s="9">
        <f t="shared" si="85"/>
        <v>0</v>
      </c>
      <c r="EC40" s="9">
        <f t="shared" si="86"/>
        <v>0</v>
      </c>
      <c r="ED40" s="9">
        <f t="shared" si="87"/>
        <v>0</v>
      </c>
      <c r="EE40" s="9">
        <f t="shared" si="88"/>
        <v>0</v>
      </c>
      <c r="EF40" s="9">
        <f t="shared" si="89"/>
        <v>0</v>
      </c>
      <c r="EG40" s="9">
        <f t="shared" si="90"/>
        <v>0</v>
      </c>
      <c r="EH40" s="9">
        <f t="shared" si="91"/>
        <v>0</v>
      </c>
      <c r="EI40" s="9">
        <f t="shared" si="92"/>
        <v>0</v>
      </c>
      <c r="EJ40" s="10">
        <f t="shared" si="93"/>
        <v>0</v>
      </c>
      <c r="EK40" s="10">
        <f t="shared" si="94"/>
        <v>0</v>
      </c>
      <c r="EL40" s="10">
        <f t="shared" ref="EL40:EM40" si="405">IF(OR(ISNUMBER(SEARCH("ai software toolkit", $D40)), ISNUMBER(SEARCH("ai software toolkit", $T40)), ISNUMBER(SEARCH("ai software toolkit", $R40)), ISNUMBER(SEARCH("ai software toolkit", $S40))), 1, 0)</f>
        <v>0</v>
      </c>
      <c r="EM40" s="10">
        <f t="shared" si="405"/>
        <v>0</v>
      </c>
      <c r="EN40" s="10">
        <f t="shared" si="96"/>
        <v>0</v>
      </c>
      <c r="EO40" s="10">
        <f t="shared" si="97"/>
        <v>1</v>
      </c>
      <c r="EP40" s="10">
        <f t="shared" si="98"/>
        <v>0</v>
      </c>
      <c r="EQ40" s="10">
        <f t="shared" si="99"/>
        <v>0</v>
      </c>
      <c r="ER40" s="10">
        <f t="shared" si="100"/>
        <v>0</v>
      </c>
      <c r="ES40" s="10">
        <f t="shared" si="101"/>
        <v>0</v>
      </c>
      <c r="ET40" s="10">
        <f t="shared" si="102"/>
        <v>0</v>
      </c>
      <c r="EU40" s="10">
        <f t="shared" si="103"/>
        <v>0</v>
      </c>
      <c r="EV40" s="10">
        <f t="shared" si="104"/>
        <v>0</v>
      </c>
      <c r="EW40" s="10">
        <f t="shared" si="105"/>
        <v>0</v>
      </c>
      <c r="EX40" s="10">
        <f t="shared" si="106"/>
        <v>0</v>
      </c>
      <c r="EY40" s="10">
        <f t="shared" si="107"/>
        <v>0</v>
      </c>
      <c r="EZ40" s="10">
        <f t="shared" si="108"/>
        <v>0</v>
      </c>
      <c r="FA40" s="10">
        <f t="shared" si="109"/>
        <v>0</v>
      </c>
      <c r="FB40" s="10">
        <f t="shared" si="110"/>
        <v>0</v>
      </c>
      <c r="FC40" s="10">
        <f t="shared" si="111"/>
        <v>0</v>
      </c>
      <c r="FD40" s="10">
        <f t="shared" si="112"/>
        <v>0</v>
      </c>
      <c r="FE40" s="10">
        <f t="shared" si="113"/>
        <v>1</v>
      </c>
      <c r="FF40" s="10">
        <f t="shared" si="114"/>
        <v>0</v>
      </c>
      <c r="FG40" s="10">
        <f t="shared" si="115"/>
        <v>0</v>
      </c>
      <c r="FH40" s="10">
        <f t="shared" si="116"/>
        <v>0</v>
      </c>
      <c r="FI40" s="10">
        <f t="shared" si="117"/>
        <v>0</v>
      </c>
      <c r="FJ40" s="10">
        <f t="shared" si="118"/>
        <v>0</v>
      </c>
      <c r="FK40" s="10">
        <f t="shared" si="119"/>
        <v>0</v>
      </c>
      <c r="FL40" s="10">
        <f t="shared" si="120"/>
        <v>0</v>
      </c>
      <c r="FM40" s="10">
        <f t="shared" si="121"/>
        <v>0</v>
      </c>
      <c r="FN40" s="10">
        <f t="shared" si="122"/>
        <v>0</v>
      </c>
      <c r="FO40" s="10">
        <f t="shared" si="123"/>
        <v>0</v>
      </c>
      <c r="FP40" s="10">
        <f t="shared" si="124"/>
        <v>1</v>
      </c>
      <c r="FQ40" s="10">
        <f t="shared" si="125"/>
        <v>0</v>
      </c>
      <c r="FR40" s="11">
        <f t="shared" si="394"/>
        <v>0</v>
      </c>
      <c r="FS40" s="11">
        <f t="shared" si="127"/>
        <v>0</v>
      </c>
      <c r="FT40" s="11">
        <f t="shared" si="128"/>
        <v>0</v>
      </c>
      <c r="FU40" s="11">
        <f t="shared" si="129"/>
        <v>0</v>
      </c>
      <c r="FV40" s="11">
        <f t="shared" si="130"/>
        <v>0</v>
      </c>
      <c r="FW40" s="11">
        <f t="shared" si="131"/>
        <v>0</v>
      </c>
      <c r="FX40" s="11">
        <f t="shared" si="132"/>
        <v>0</v>
      </c>
      <c r="FY40" s="11">
        <f t="shared" si="133"/>
        <v>0</v>
      </c>
      <c r="FZ40" s="11">
        <f t="shared" si="134"/>
        <v>0</v>
      </c>
      <c r="GA40" s="11">
        <f t="shared" si="135"/>
        <v>0</v>
      </c>
      <c r="GB40" s="11">
        <f t="shared" si="136"/>
        <v>0</v>
      </c>
      <c r="GC40" s="11">
        <f t="shared" si="137"/>
        <v>0</v>
      </c>
      <c r="GD40" s="11">
        <f t="shared" si="138"/>
        <v>0</v>
      </c>
      <c r="GE40" s="11">
        <f t="shared" si="139"/>
        <v>0</v>
      </c>
      <c r="GF40" s="11">
        <f t="shared" si="140"/>
        <v>0</v>
      </c>
      <c r="GG40" s="11">
        <f t="shared" si="141"/>
        <v>0</v>
      </c>
      <c r="GH40" s="11">
        <f t="shared" si="142"/>
        <v>0</v>
      </c>
      <c r="GI40" s="11">
        <f t="shared" si="143"/>
        <v>0</v>
      </c>
      <c r="GJ40" s="11">
        <f t="shared" si="144"/>
        <v>0</v>
      </c>
      <c r="GK40" s="11">
        <f t="shared" si="145"/>
        <v>0</v>
      </c>
      <c r="GL40" s="11">
        <f t="shared" si="146"/>
        <v>0</v>
      </c>
      <c r="GM40" s="11">
        <f t="shared" si="147"/>
        <v>0</v>
      </c>
      <c r="GN40" s="11">
        <f t="shared" si="148"/>
        <v>0</v>
      </c>
      <c r="GO40" s="11">
        <f t="shared" si="149"/>
        <v>0</v>
      </c>
      <c r="GP40" s="11">
        <f t="shared" si="150"/>
        <v>0</v>
      </c>
      <c r="GQ40" s="11">
        <f t="shared" si="151"/>
        <v>1</v>
      </c>
      <c r="GR40" s="11">
        <f t="shared" si="152"/>
        <v>0</v>
      </c>
      <c r="GS40" s="11">
        <f t="shared" si="153"/>
        <v>0</v>
      </c>
      <c r="GT40" s="11">
        <f t="shared" si="154"/>
        <v>0</v>
      </c>
      <c r="GU40" s="12">
        <f t="shared" si="155"/>
        <v>0</v>
      </c>
      <c r="GV40" s="12">
        <f t="shared" si="156"/>
        <v>0</v>
      </c>
      <c r="GW40" s="12">
        <f t="shared" si="157"/>
        <v>0</v>
      </c>
      <c r="GX40" s="12">
        <f t="shared" si="158"/>
        <v>0</v>
      </c>
      <c r="GY40" s="12">
        <f t="shared" si="159"/>
        <v>0</v>
      </c>
      <c r="GZ40" s="12">
        <f t="shared" si="160"/>
        <v>0</v>
      </c>
      <c r="HA40" s="12">
        <f t="shared" si="161"/>
        <v>0</v>
      </c>
      <c r="HB40" s="12">
        <f t="shared" si="162"/>
        <v>0</v>
      </c>
      <c r="HC40" s="12">
        <f t="shared" si="163"/>
        <v>0</v>
      </c>
      <c r="HD40" s="12">
        <f t="shared" si="164"/>
        <v>0</v>
      </c>
      <c r="HE40" s="12">
        <f t="shared" si="165"/>
        <v>0</v>
      </c>
      <c r="HF40" s="12">
        <f t="shared" si="166"/>
        <v>0</v>
      </c>
      <c r="HG40" s="12">
        <f t="shared" si="167"/>
        <v>0</v>
      </c>
      <c r="HH40" s="12">
        <f t="shared" si="168"/>
        <v>0</v>
      </c>
      <c r="HI40" s="12">
        <f t="shared" si="169"/>
        <v>0</v>
      </c>
      <c r="HJ40" s="12">
        <f t="shared" si="170"/>
        <v>0</v>
      </c>
      <c r="HK40" s="12">
        <f t="shared" si="171"/>
        <v>0</v>
      </c>
      <c r="HL40" s="12">
        <f t="shared" si="172"/>
        <v>0</v>
      </c>
      <c r="HM40" s="12">
        <f t="shared" si="173"/>
        <v>0</v>
      </c>
      <c r="HN40" s="12">
        <f t="shared" si="174"/>
        <v>0</v>
      </c>
      <c r="HO40" s="12">
        <f t="shared" si="175"/>
        <v>0</v>
      </c>
      <c r="HP40" s="12">
        <f t="shared" si="176"/>
        <v>0</v>
      </c>
      <c r="HQ40" s="12">
        <f t="shared" si="177"/>
        <v>0</v>
      </c>
      <c r="HR40" s="12">
        <f t="shared" si="178"/>
        <v>0</v>
      </c>
      <c r="HS40" s="12">
        <f t="shared" si="179"/>
        <v>0</v>
      </c>
      <c r="HT40" s="12">
        <f t="shared" si="180"/>
        <v>0</v>
      </c>
      <c r="HU40" s="12">
        <f t="shared" si="181"/>
        <v>0</v>
      </c>
      <c r="HV40" s="12">
        <f t="shared" si="182"/>
        <v>0</v>
      </c>
      <c r="HW40" s="12">
        <f t="shared" si="183"/>
        <v>0</v>
      </c>
      <c r="HX40" s="12">
        <f t="shared" si="184"/>
        <v>0</v>
      </c>
      <c r="HY40" s="12">
        <f t="shared" si="185"/>
        <v>0</v>
      </c>
      <c r="HZ40" s="12">
        <f t="shared" si="186"/>
        <v>0</v>
      </c>
      <c r="IA40" s="12">
        <f t="shared" si="187"/>
        <v>0</v>
      </c>
      <c r="IB40" s="12">
        <f t="shared" si="188"/>
        <v>0</v>
      </c>
      <c r="IC40" s="12">
        <f t="shared" si="189"/>
        <v>0</v>
      </c>
      <c r="ID40" s="12">
        <f t="shared" si="190"/>
        <v>0</v>
      </c>
      <c r="IE40" s="12">
        <f t="shared" si="191"/>
        <v>0</v>
      </c>
      <c r="IF40" s="12">
        <f t="shared" si="192"/>
        <v>0</v>
      </c>
      <c r="IG40" s="12">
        <f t="shared" si="193"/>
        <v>0</v>
      </c>
      <c r="IH40" s="12">
        <f t="shared" si="194"/>
        <v>0</v>
      </c>
      <c r="II40" s="12">
        <f t="shared" si="195"/>
        <v>0</v>
      </c>
      <c r="IJ40" s="12">
        <f t="shared" si="196"/>
        <v>0</v>
      </c>
      <c r="IK40" s="12">
        <f t="shared" si="197"/>
        <v>0</v>
      </c>
      <c r="IL40" s="12">
        <f t="shared" si="198"/>
        <v>0</v>
      </c>
      <c r="IM40" s="12">
        <f t="shared" si="199"/>
        <v>0</v>
      </c>
      <c r="IN40" s="12">
        <f t="shared" si="200"/>
        <v>0</v>
      </c>
      <c r="IO40" s="12">
        <f t="shared" si="201"/>
        <v>0</v>
      </c>
      <c r="IP40" s="12">
        <f t="shared" si="202"/>
        <v>0</v>
      </c>
      <c r="IQ40" s="12">
        <f t="shared" si="203"/>
        <v>0</v>
      </c>
      <c r="IR40" s="12">
        <f t="shared" si="204"/>
        <v>0</v>
      </c>
      <c r="IS40" s="12">
        <f t="shared" si="205"/>
        <v>0</v>
      </c>
      <c r="IT40" s="12">
        <f t="shared" si="206"/>
        <v>0</v>
      </c>
      <c r="IU40" s="12">
        <f t="shared" si="207"/>
        <v>0</v>
      </c>
      <c r="IV40" s="12">
        <f t="shared" si="208"/>
        <v>0</v>
      </c>
      <c r="IW40" s="12">
        <f t="shared" si="209"/>
        <v>0</v>
      </c>
      <c r="IX40" s="12">
        <f t="shared" si="210"/>
        <v>0</v>
      </c>
      <c r="IY40" s="12">
        <f t="shared" si="211"/>
        <v>0</v>
      </c>
      <c r="IZ40" s="12">
        <f t="shared" si="212"/>
        <v>1</v>
      </c>
      <c r="JA40" s="13">
        <f t="shared" si="213"/>
        <v>0</v>
      </c>
      <c r="JB40" s="13">
        <f t="shared" si="214"/>
        <v>0</v>
      </c>
      <c r="JC40" s="13">
        <f t="shared" si="215"/>
        <v>0</v>
      </c>
      <c r="JD40" s="13">
        <f t="shared" si="216"/>
        <v>0</v>
      </c>
      <c r="JE40" s="13">
        <f t="shared" si="217"/>
        <v>0</v>
      </c>
      <c r="JF40" s="13">
        <f t="shared" si="218"/>
        <v>0</v>
      </c>
      <c r="JG40" s="13">
        <f t="shared" si="219"/>
        <v>0</v>
      </c>
      <c r="JH40" s="13">
        <f t="shared" si="220"/>
        <v>0</v>
      </c>
      <c r="JI40" s="13">
        <f t="shared" si="221"/>
        <v>0</v>
      </c>
      <c r="JJ40" s="13">
        <f t="shared" si="222"/>
        <v>0</v>
      </c>
      <c r="JK40" s="13">
        <f t="shared" si="223"/>
        <v>0</v>
      </c>
      <c r="JL40" s="13">
        <f t="shared" si="224"/>
        <v>0</v>
      </c>
      <c r="JM40" s="13">
        <f t="shared" si="225"/>
        <v>0</v>
      </c>
      <c r="JN40" s="13">
        <f t="shared" si="226"/>
        <v>0</v>
      </c>
      <c r="JO40" s="13">
        <f t="shared" si="227"/>
        <v>0</v>
      </c>
      <c r="JP40" s="13">
        <f t="shared" si="228"/>
        <v>0</v>
      </c>
      <c r="JQ40" s="13">
        <f t="shared" si="229"/>
        <v>0</v>
      </c>
      <c r="JR40" s="13">
        <f t="shared" si="230"/>
        <v>0</v>
      </c>
      <c r="JS40" s="13">
        <f t="shared" si="231"/>
        <v>0</v>
      </c>
      <c r="JT40" s="13">
        <f t="shared" si="232"/>
        <v>0</v>
      </c>
      <c r="JU40" s="13">
        <f t="shared" si="233"/>
        <v>0</v>
      </c>
      <c r="JV40" s="12">
        <f t="shared" si="234"/>
        <v>0</v>
      </c>
      <c r="JW40" s="12">
        <f t="shared" si="235"/>
        <v>0</v>
      </c>
      <c r="JX40" s="12">
        <f t="shared" si="236"/>
        <v>0</v>
      </c>
      <c r="JY40" s="12">
        <f t="shared" si="237"/>
        <v>0</v>
      </c>
      <c r="JZ40" s="12">
        <f t="shared" si="238"/>
        <v>0</v>
      </c>
      <c r="KA40" s="12">
        <f t="shared" si="239"/>
        <v>0</v>
      </c>
      <c r="KB40" s="12">
        <f t="shared" si="240"/>
        <v>0</v>
      </c>
      <c r="KC40" s="12">
        <f t="shared" si="241"/>
        <v>0</v>
      </c>
      <c r="KD40" s="12">
        <f t="shared" si="242"/>
        <v>0</v>
      </c>
      <c r="KE40" s="12">
        <f t="shared" si="243"/>
        <v>0</v>
      </c>
      <c r="KF40" s="12">
        <f t="shared" si="244"/>
        <v>0</v>
      </c>
      <c r="KG40" s="12">
        <f t="shared" si="245"/>
        <v>0</v>
      </c>
      <c r="KH40" s="12">
        <f t="shared" si="246"/>
        <v>0</v>
      </c>
      <c r="KI40" s="12">
        <f t="shared" si="247"/>
        <v>0</v>
      </c>
      <c r="KJ40" s="12">
        <f t="shared" si="248"/>
        <v>0</v>
      </c>
      <c r="KK40" s="12">
        <f t="shared" si="249"/>
        <v>0</v>
      </c>
      <c r="KL40" s="12">
        <f t="shared" si="250"/>
        <v>0</v>
      </c>
      <c r="KM40" s="12">
        <f t="shared" si="251"/>
        <v>0</v>
      </c>
      <c r="KN40" s="12">
        <f t="shared" si="252"/>
        <v>0</v>
      </c>
      <c r="KO40" s="12">
        <f t="shared" si="253"/>
        <v>0</v>
      </c>
      <c r="KP40" s="12">
        <f t="shared" si="254"/>
        <v>0</v>
      </c>
      <c r="KQ40" s="12">
        <f t="shared" si="255"/>
        <v>0</v>
      </c>
      <c r="KR40" s="12">
        <f t="shared" si="256"/>
        <v>0</v>
      </c>
      <c r="KS40" s="12">
        <f t="shared" si="257"/>
        <v>0</v>
      </c>
      <c r="KT40" s="12">
        <f t="shared" si="258"/>
        <v>0</v>
      </c>
      <c r="KU40" s="12">
        <f t="shared" si="259"/>
        <v>0</v>
      </c>
      <c r="KV40" s="12">
        <f t="shared" si="260"/>
        <v>0</v>
      </c>
      <c r="KW40" s="12">
        <f t="shared" si="261"/>
        <v>0</v>
      </c>
      <c r="KX40" s="12">
        <f t="shared" si="262"/>
        <v>0</v>
      </c>
      <c r="KY40" s="12">
        <f t="shared" si="263"/>
        <v>0</v>
      </c>
      <c r="KZ40" s="12">
        <f t="shared" si="264"/>
        <v>0</v>
      </c>
      <c r="LA40" s="12">
        <f t="shared" si="265"/>
        <v>0</v>
      </c>
      <c r="LB40" s="12">
        <f t="shared" si="266"/>
        <v>0</v>
      </c>
      <c r="LC40" s="12">
        <f t="shared" si="267"/>
        <v>0</v>
      </c>
      <c r="LD40" s="12">
        <f t="shared" si="268"/>
        <v>0</v>
      </c>
      <c r="LE40" s="12">
        <f t="shared" si="269"/>
        <v>0</v>
      </c>
      <c r="LF40" s="12">
        <f t="shared" si="270"/>
        <v>0</v>
      </c>
      <c r="LG40" s="12">
        <f t="shared" si="271"/>
        <v>0</v>
      </c>
      <c r="LH40" s="12">
        <f t="shared" si="272"/>
        <v>0</v>
      </c>
      <c r="LI40" s="12">
        <f t="shared" si="273"/>
        <v>0</v>
      </c>
      <c r="LJ40" s="12">
        <f t="shared" si="274"/>
        <v>0</v>
      </c>
      <c r="LK40" s="12">
        <f t="shared" si="275"/>
        <v>0</v>
      </c>
      <c r="LL40" s="12">
        <f t="shared" si="276"/>
        <v>0</v>
      </c>
      <c r="LM40" s="12">
        <f t="shared" si="277"/>
        <v>0</v>
      </c>
      <c r="LN40" s="12">
        <f t="shared" si="278"/>
        <v>0</v>
      </c>
      <c r="LO40" s="12">
        <f t="shared" si="279"/>
        <v>0</v>
      </c>
      <c r="LP40" s="12">
        <f t="shared" si="280"/>
        <v>0</v>
      </c>
      <c r="LQ40" s="12">
        <f t="shared" si="281"/>
        <v>0</v>
      </c>
      <c r="LR40" s="12">
        <f t="shared" si="282"/>
        <v>0</v>
      </c>
      <c r="LS40" s="12">
        <f t="shared" si="283"/>
        <v>0</v>
      </c>
      <c r="LT40" s="13">
        <f t="shared" si="284"/>
        <v>0</v>
      </c>
      <c r="LU40" s="13">
        <f t="shared" si="285"/>
        <v>0</v>
      </c>
      <c r="LV40" s="13">
        <f t="shared" si="286"/>
        <v>0</v>
      </c>
      <c r="LW40" s="13">
        <f t="shared" si="287"/>
        <v>0</v>
      </c>
      <c r="LX40" s="13">
        <f t="shared" si="288"/>
        <v>0</v>
      </c>
      <c r="LY40" s="13">
        <f t="shared" si="289"/>
        <v>0</v>
      </c>
      <c r="LZ40" s="13">
        <f t="shared" si="290"/>
        <v>0</v>
      </c>
      <c r="MA40" s="13">
        <f t="shared" si="291"/>
        <v>0</v>
      </c>
      <c r="MB40" s="13">
        <f t="shared" si="292"/>
        <v>0</v>
      </c>
      <c r="MC40" s="13">
        <f t="shared" si="293"/>
        <v>0</v>
      </c>
      <c r="MD40" s="13">
        <f t="shared" si="294"/>
        <v>0</v>
      </c>
      <c r="ME40" s="13">
        <f t="shared" si="295"/>
        <v>0</v>
      </c>
      <c r="MF40" s="13">
        <f t="shared" si="296"/>
        <v>0</v>
      </c>
      <c r="MG40" s="13">
        <f t="shared" si="297"/>
        <v>0</v>
      </c>
      <c r="MH40" s="13">
        <f t="shared" si="298"/>
        <v>0</v>
      </c>
      <c r="MI40" s="13">
        <f t="shared" si="299"/>
        <v>0</v>
      </c>
      <c r="MJ40" s="13">
        <f t="shared" si="300"/>
        <v>0</v>
      </c>
      <c r="MK40" s="13">
        <f t="shared" si="301"/>
        <v>0</v>
      </c>
      <c r="ML40" s="14">
        <f t="shared" si="302"/>
        <v>0</v>
      </c>
      <c r="MM40" s="14">
        <f t="shared" si="303"/>
        <v>0</v>
      </c>
      <c r="MN40" s="14">
        <f t="shared" si="304"/>
        <v>0</v>
      </c>
      <c r="MO40" s="14">
        <f t="shared" si="305"/>
        <v>0</v>
      </c>
      <c r="MP40" s="14">
        <f t="shared" si="306"/>
        <v>0</v>
      </c>
      <c r="MQ40" s="14">
        <f t="shared" si="307"/>
        <v>0</v>
      </c>
      <c r="MR40" s="14">
        <f t="shared" si="308"/>
        <v>0</v>
      </c>
      <c r="MS40" s="14">
        <f t="shared" si="309"/>
        <v>0</v>
      </c>
      <c r="MT40" s="14">
        <f t="shared" si="310"/>
        <v>0</v>
      </c>
      <c r="MU40" s="14">
        <f t="shared" si="311"/>
        <v>0</v>
      </c>
      <c r="MV40" s="14">
        <f t="shared" si="312"/>
        <v>0</v>
      </c>
      <c r="MW40" s="14">
        <f t="shared" si="313"/>
        <v>0</v>
      </c>
      <c r="MX40" s="14">
        <f t="shared" si="314"/>
        <v>0</v>
      </c>
      <c r="MY40" s="14">
        <f t="shared" si="315"/>
        <v>0</v>
      </c>
      <c r="MZ40" s="14">
        <f t="shared" si="316"/>
        <v>0</v>
      </c>
      <c r="NA40" s="14">
        <f t="shared" si="317"/>
        <v>0</v>
      </c>
      <c r="NB40" s="14">
        <f t="shared" si="318"/>
        <v>0</v>
      </c>
    </row>
    <row r="41" ht="15.75" customHeight="1">
      <c r="A41" s="2">
        <v>106.0</v>
      </c>
      <c r="B41" s="2" t="s">
        <v>1085</v>
      </c>
      <c r="C41" s="2" t="s">
        <v>1086</v>
      </c>
      <c r="D41" s="2" t="s">
        <v>1087</v>
      </c>
      <c r="E41" s="2">
        <v>2021.0</v>
      </c>
      <c r="F41" s="2" t="s">
        <v>1088</v>
      </c>
      <c r="G41" s="2" t="s">
        <v>1089</v>
      </c>
      <c r="J41" s="2" t="s">
        <v>1090</v>
      </c>
      <c r="K41" s="2" t="s">
        <v>1091</v>
      </c>
      <c r="M41" s="2">
        <v>41.0</v>
      </c>
      <c r="N41" s="2" t="s">
        <v>1092</v>
      </c>
      <c r="O41" s="2" t="s">
        <v>1093</v>
      </c>
      <c r="P41" s="2" t="s">
        <v>1094</v>
      </c>
      <c r="Q41" s="2" t="s">
        <v>1095</v>
      </c>
      <c r="R41" s="2" t="s">
        <v>1096</v>
      </c>
      <c r="S41" s="2" t="s">
        <v>1097</v>
      </c>
      <c r="Y41" s="2" t="s">
        <v>1098</v>
      </c>
      <c r="AB41" s="2" t="s">
        <v>1099</v>
      </c>
      <c r="AG41" s="2" t="s">
        <v>1100</v>
      </c>
      <c r="AI41" s="2" t="s">
        <v>1101</v>
      </c>
      <c r="AK41" s="2" t="s">
        <v>1102</v>
      </c>
      <c r="AL41" s="2" t="s">
        <v>384</v>
      </c>
      <c r="AN41" s="2" t="s">
        <v>386</v>
      </c>
      <c r="AO41" s="2" t="s">
        <v>1103</v>
      </c>
      <c r="AP41" s="2" t="s">
        <v>386</v>
      </c>
      <c r="AQ41" s="2">
        <v>357.0</v>
      </c>
      <c r="AR41" s="2" t="s">
        <v>1104</v>
      </c>
      <c r="AS41" s="2" t="b">
        <v>0</v>
      </c>
      <c r="AT41" s="3">
        <v>0.0</v>
      </c>
      <c r="AU41" s="4"/>
      <c r="AV41" s="4"/>
      <c r="AW41" s="5">
        <f t="shared" si="3"/>
        <v>0</v>
      </c>
      <c r="AX41" s="5">
        <f t="shared" si="4"/>
        <v>0</v>
      </c>
      <c r="AY41" s="5">
        <f t="shared" si="5"/>
        <v>0</v>
      </c>
      <c r="AZ41" s="5">
        <f t="shared" si="6"/>
        <v>0</v>
      </c>
      <c r="BA41" s="5">
        <f t="shared" si="7"/>
        <v>0</v>
      </c>
      <c r="BB41" s="5">
        <f t="shared" si="8"/>
        <v>0</v>
      </c>
      <c r="BC41" s="5">
        <f t="shared" si="9"/>
        <v>0</v>
      </c>
      <c r="BD41" s="5">
        <f t="shared" si="10"/>
        <v>0</v>
      </c>
      <c r="BE41" s="5">
        <f t="shared" si="11"/>
        <v>0</v>
      </c>
      <c r="BF41" s="5">
        <f t="shared" si="12"/>
        <v>0</v>
      </c>
      <c r="BG41" s="5">
        <f t="shared" si="13"/>
        <v>0</v>
      </c>
      <c r="BH41" s="5">
        <f t="shared" si="14"/>
        <v>0</v>
      </c>
      <c r="BI41" s="5">
        <f t="shared" si="15"/>
        <v>0</v>
      </c>
      <c r="BJ41" s="5">
        <f t="shared" si="16"/>
        <v>0</v>
      </c>
      <c r="BK41" s="5">
        <f t="shared" si="17"/>
        <v>0</v>
      </c>
      <c r="BL41" s="5">
        <f t="shared" si="18"/>
        <v>0</v>
      </c>
      <c r="BM41" s="5">
        <f t="shared" si="19"/>
        <v>0</v>
      </c>
      <c r="BN41" s="5">
        <f t="shared" si="20"/>
        <v>0</v>
      </c>
      <c r="BO41" s="5">
        <f t="shared" si="21"/>
        <v>0</v>
      </c>
      <c r="BP41" s="5">
        <f t="shared" si="22"/>
        <v>0</v>
      </c>
      <c r="BQ41" s="5">
        <f t="shared" si="23"/>
        <v>0</v>
      </c>
      <c r="BR41" s="5">
        <f t="shared" si="24"/>
        <v>0</v>
      </c>
      <c r="BS41" s="5">
        <f t="shared" si="25"/>
        <v>0</v>
      </c>
      <c r="BT41" s="5">
        <f t="shared" si="26"/>
        <v>0</v>
      </c>
      <c r="BU41" s="5">
        <f t="shared" si="27"/>
        <v>0</v>
      </c>
      <c r="BV41" s="5">
        <f t="shared" ref="BV41:BW41" si="406">IF(OR(ISNUMBER(SEARCH("grit",$D41)),ISNUMBER(SEARCH("grit",$T41)),ISNUMBER(SEARCH("grit",$R41)),ISNUMBER(SEARCH("grit",$S41)),
ISNUMBER(SEARCH("determination",$D41)),ISNUMBER(SEARCH("determination",$T41)),ISNUMBER(SEARCH("determination",$R41)),ISNUMBER(SEARCH("determination",$S41)),
ISNUMBER(SEARCH("tenacity",$D41)),ISNUMBER(SEARCH("tenacity",$T41)),ISNUMBER(SEARCH("tenacity",$R41)),ISNUMBER(SEARCH("tenacity",$S41)),
ISNUMBER(SEARCH("endurance",$D41)),ISNUMBER(SEARCH("endurance",$T41)),ISNUMBER(SEARCH("endurance",$R41)),ISNUMBER(SEARCH("endurance",$S41)),
ISNUMBER(SEARCH("fortitude",$D41)),ISNUMBER(SEARCH("fortitude",$T41)),ISNUMBER(SEARCH("fortitude",$R41)),ISNUMBER(SEARCH("fortitude",$S41)),
ISNUMBER(SEARCH("resolve",$D41)),ISNUMBER(SEARCH("resolve",$T41)),ISNUMBER(SEARCH("resolve",$R41)),ISNUMBER(SEARCH("resolve",$S41)),
ISNUMBER(SEARCH("stamina",$D41)),ISNUMBER(SEARCH("stamina",$T41)),ISNUMBER(SEARCH("stamina",$R41)),ISNUMBER(SEARCH("stamina",$S41)),
ISNUMBER(SEARCH("guts",$D41)),ISNUMBER(SEARCH("guts",$T41)),ISNUMBER(SEARCH("guts",$R41)),ISNUMBER(SEARCH("guts",$S41)),
ISNUMBER(SEARCH("spunk",$D41)),ISNUMBER(SEARCH("spunk",$T41)),ISNUMBER(SEARCH("spunk",$R41)),ISNUMBER(SEARCH("spunk",$S41))), 1, 0)</f>
        <v>0</v>
      </c>
      <c r="BW41" s="5">
        <f t="shared" si="406"/>
        <v>0</v>
      </c>
      <c r="BX41" s="5">
        <f t="shared" si="29"/>
        <v>0</v>
      </c>
      <c r="BY41" s="5">
        <f t="shared" si="30"/>
        <v>0</v>
      </c>
      <c r="BZ41" s="5">
        <f t="shared" si="31"/>
        <v>0</v>
      </c>
      <c r="CA41" s="5">
        <f t="shared" si="32"/>
        <v>0</v>
      </c>
      <c r="CB41" s="5">
        <f t="shared" si="33"/>
        <v>0</v>
      </c>
      <c r="CC41" s="5">
        <f t="shared" si="34"/>
        <v>0</v>
      </c>
      <c r="CD41" s="5">
        <f t="shared" si="35"/>
        <v>0</v>
      </c>
      <c r="CE41" s="5">
        <f t="shared" si="36"/>
        <v>0</v>
      </c>
      <c r="CF41" s="5">
        <f t="shared" si="37"/>
        <v>0</v>
      </c>
      <c r="CG41" s="5">
        <f t="shared" si="38"/>
        <v>0</v>
      </c>
      <c r="CH41" s="5">
        <f t="shared" si="39"/>
        <v>0</v>
      </c>
      <c r="CI41" s="5">
        <f t="shared" si="40"/>
        <v>0</v>
      </c>
      <c r="CJ41" s="5">
        <f t="shared" si="41"/>
        <v>0</v>
      </c>
      <c r="CK41" s="5">
        <f t="shared" si="42"/>
        <v>0</v>
      </c>
      <c r="CL41" s="5">
        <f t="shared" si="43"/>
        <v>0</v>
      </c>
      <c r="CM41" s="5">
        <f t="shared" si="44"/>
        <v>0</v>
      </c>
      <c r="CN41" s="5">
        <f t="shared" si="45"/>
        <v>0</v>
      </c>
      <c r="CO41" s="5">
        <f t="shared" si="46"/>
        <v>0</v>
      </c>
      <c r="CP41" s="6">
        <f t="shared" si="47"/>
        <v>0</v>
      </c>
      <c r="CQ41" s="6">
        <f t="shared" si="48"/>
        <v>0</v>
      </c>
      <c r="CR41" s="6">
        <f t="shared" si="49"/>
        <v>0</v>
      </c>
      <c r="CS41" s="6">
        <f t="shared" si="50"/>
        <v>0</v>
      </c>
      <c r="CT41" s="6">
        <f t="shared" si="51"/>
        <v>0</v>
      </c>
      <c r="CU41" s="6">
        <f t="shared" si="52"/>
        <v>0</v>
      </c>
      <c r="CV41" s="6">
        <f t="shared" si="53"/>
        <v>0</v>
      </c>
      <c r="CW41" s="6">
        <f t="shared" si="54"/>
        <v>0</v>
      </c>
      <c r="CX41" s="6">
        <f t="shared" si="55"/>
        <v>0</v>
      </c>
      <c r="CY41" s="6">
        <f t="shared" si="56"/>
        <v>0</v>
      </c>
      <c r="CZ41" s="6">
        <f t="shared" si="57"/>
        <v>0</v>
      </c>
      <c r="DA41" s="6">
        <f t="shared" si="58"/>
        <v>0</v>
      </c>
      <c r="DB41" s="6">
        <f t="shared" si="59"/>
        <v>0</v>
      </c>
      <c r="DC41" s="6">
        <f t="shared" si="60"/>
        <v>0</v>
      </c>
      <c r="DD41" s="6">
        <f t="shared" si="61"/>
        <v>0</v>
      </c>
      <c r="DE41" s="6">
        <f t="shared" si="62"/>
        <v>0</v>
      </c>
      <c r="DF41" s="6">
        <f t="shared" si="63"/>
        <v>0</v>
      </c>
      <c r="DG41" s="6">
        <f t="shared" si="64"/>
        <v>0</v>
      </c>
      <c r="DH41" s="6">
        <f t="shared" si="384"/>
        <v>0</v>
      </c>
      <c r="DI41" s="6">
        <f t="shared" si="66"/>
        <v>0</v>
      </c>
      <c r="DJ41" s="6">
        <f t="shared" si="385"/>
        <v>0</v>
      </c>
      <c r="DK41" s="7">
        <f t="shared" si="68"/>
        <v>0</v>
      </c>
      <c r="DL41" s="7">
        <f>IF(
OR(
ISNUMBER(SEARCH("common-sense reasoning",$D41)),ISNUMBER(SEARCH("common-sense reasoning",$T41)),ISNUMBER(SEARCH("common-sense reasoning",$R39)),ISNUMBER(SEARCH("common-sense reasoning",$S41)),
ISNUMBER(SEARCH("religio",$D41)),ISNUMBER(SEARCH("religio",$T41)),ISNUMBER(SEARCH("religio",$R41)),ISNUMBER(SEARCH("religio",$S41))), 1, 0)</f>
        <v>0</v>
      </c>
      <c r="DM41" s="7">
        <f t="shared" si="70"/>
        <v>0</v>
      </c>
      <c r="DN41" s="7">
        <f t="shared" si="71"/>
        <v>0</v>
      </c>
      <c r="DO41" s="7">
        <f t="shared" si="72"/>
        <v>1</v>
      </c>
      <c r="DP41" s="8">
        <f t="shared" si="73"/>
        <v>0</v>
      </c>
      <c r="DQ41" s="8">
        <f t="shared" si="74"/>
        <v>0</v>
      </c>
      <c r="DR41" s="7">
        <f t="shared" si="75"/>
        <v>0</v>
      </c>
      <c r="DS41" s="7">
        <f t="shared" si="76"/>
        <v>0</v>
      </c>
      <c r="DT41" s="7">
        <f t="shared" si="77"/>
        <v>0</v>
      </c>
      <c r="DU41" s="9">
        <f t="shared" si="78"/>
        <v>0</v>
      </c>
      <c r="DV41" s="9">
        <f t="shared" si="79"/>
        <v>0</v>
      </c>
      <c r="DW41" s="9">
        <f t="shared" si="80"/>
        <v>0</v>
      </c>
      <c r="DX41" s="9">
        <f t="shared" si="81"/>
        <v>0</v>
      </c>
      <c r="DY41" s="9">
        <f t="shared" si="82"/>
        <v>0</v>
      </c>
      <c r="DZ41" s="9">
        <f t="shared" si="83"/>
        <v>0</v>
      </c>
      <c r="EA41" s="9">
        <f t="shared" si="84"/>
        <v>0</v>
      </c>
      <c r="EB41" s="9">
        <f t="shared" si="85"/>
        <v>0</v>
      </c>
      <c r="EC41" s="9">
        <f t="shared" si="86"/>
        <v>0</v>
      </c>
      <c r="ED41" s="9">
        <f t="shared" si="87"/>
        <v>0</v>
      </c>
      <c r="EE41" s="9">
        <f t="shared" si="88"/>
        <v>0</v>
      </c>
      <c r="EF41" s="9">
        <f t="shared" si="89"/>
        <v>0</v>
      </c>
      <c r="EG41" s="9">
        <f t="shared" si="90"/>
        <v>0</v>
      </c>
      <c r="EH41" s="9">
        <f t="shared" si="91"/>
        <v>0</v>
      </c>
      <c r="EI41" s="9">
        <f t="shared" si="92"/>
        <v>0</v>
      </c>
      <c r="EJ41" s="10">
        <f t="shared" si="93"/>
        <v>0</v>
      </c>
      <c r="EK41" s="10">
        <f t="shared" si="94"/>
        <v>0</v>
      </c>
      <c r="EL41" s="10">
        <f t="shared" ref="EL41:EM41" si="407">IF(OR(ISNUMBER(SEARCH("ai software toolkit", $D41)), ISNUMBER(SEARCH("ai software toolkit", $T41)), ISNUMBER(SEARCH("ai software toolkit", $R41)), ISNUMBER(SEARCH("ai software toolkit", $S41))), 1, 0)</f>
        <v>0</v>
      </c>
      <c r="EM41" s="10">
        <f t="shared" si="407"/>
        <v>0</v>
      </c>
      <c r="EN41" s="10">
        <f t="shared" si="96"/>
        <v>0</v>
      </c>
      <c r="EO41" s="10">
        <f t="shared" si="97"/>
        <v>0</v>
      </c>
      <c r="EP41" s="10">
        <f t="shared" si="98"/>
        <v>0</v>
      </c>
      <c r="EQ41" s="10">
        <f t="shared" si="99"/>
        <v>0</v>
      </c>
      <c r="ER41" s="10">
        <f t="shared" si="100"/>
        <v>0</v>
      </c>
      <c r="ES41" s="10">
        <f t="shared" si="101"/>
        <v>0</v>
      </c>
      <c r="ET41" s="10">
        <f t="shared" si="102"/>
        <v>0</v>
      </c>
      <c r="EU41" s="10">
        <f t="shared" si="103"/>
        <v>0</v>
      </c>
      <c r="EV41" s="10">
        <f t="shared" si="104"/>
        <v>0</v>
      </c>
      <c r="EW41" s="10">
        <f t="shared" si="105"/>
        <v>0</v>
      </c>
      <c r="EX41" s="10">
        <f t="shared" si="106"/>
        <v>0</v>
      </c>
      <c r="EY41" s="10">
        <f t="shared" si="107"/>
        <v>0</v>
      </c>
      <c r="EZ41" s="10">
        <f t="shared" si="108"/>
        <v>0</v>
      </c>
      <c r="FA41" s="10">
        <f t="shared" si="109"/>
        <v>0</v>
      </c>
      <c r="FB41" s="10">
        <f t="shared" si="110"/>
        <v>0</v>
      </c>
      <c r="FC41" s="10">
        <f t="shared" si="111"/>
        <v>0</v>
      </c>
      <c r="FD41" s="10">
        <f t="shared" si="112"/>
        <v>0</v>
      </c>
      <c r="FE41" s="10">
        <f t="shared" si="113"/>
        <v>0</v>
      </c>
      <c r="FF41" s="10">
        <f t="shared" si="114"/>
        <v>0</v>
      </c>
      <c r="FG41" s="10">
        <f t="shared" si="115"/>
        <v>0</v>
      </c>
      <c r="FH41" s="10">
        <f t="shared" si="116"/>
        <v>0</v>
      </c>
      <c r="FI41" s="10">
        <f t="shared" si="117"/>
        <v>0</v>
      </c>
      <c r="FJ41" s="10">
        <f t="shared" si="118"/>
        <v>0</v>
      </c>
      <c r="FK41" s="10">
        <f t="shared" si="119"/>
        <v>0</v>
      </c>
      <c r="FL41" s="10">
        <f t="shared" si="120"/>
        <v>0</v>
      </c>
      <c r="FM41" s="10">
        <f t="shared" si="121"/>
        <v>0</v>
      </c>
      <c r="FN41" s="10">
        <f t="shared" si="122"/>
        <v>0</v>
      </c>
      <c r="FO41" s="10">
        <f t="shared" si="123"/>
        <v>0</v>
      </c>
      <c r="FP41" s="10">
        <f t="shared" si="124"/>
        <v>0</v>
      </c>
      <c r="FQ41" s="10">
        <f t="shared" si="125"/>
        <v>0</v>
      </c>
      <c r="FR41" s="11">
        <f t="shared" si="394"/>
        <v>0</v>
      </c>
      <c r="FS41" s="11">
        <f t="shared" si="127"/>
        <v>0</v>
      </c>
      <c r="FT41" s="11">
        <f t="shared" si="128"/>
        <v>0</v>
      </c>
      <c r="FU41" s="11">
        <f t="shared" si="129"/>
        <v>0</v>
      </c>
      <c r="FV41" s="11">
        <f t="shared" si="130"/>
        <v>0</v>
      </c>
      <c r="FW41" s="11">
        <f t="shared" si="131"/>
        <v>0</v>
      </c>
      <c r="FX41" s="11">
        <f t="shared" si="132"/>
        <v>0</v>
      </c>
      <c r="FY41" s="11">
        <f t="shared" si="133"/>
        <v>0</v>
      </c>
      <c r="FZ41" s="11">
        <f t="shared" si="134"/>
        <v>0</v>
      </c>
      <c r="GA41" s="11">
        <f t="shared" si="135"/>
        <v>0</v>
      </c>
      <c r="GB41" s="11">
        <f t="shared" si="136"/>
        <v>0</v>
      </c>
      <c r="GC41" s="11">
        <f t="shared" si="137"/>
        <v>0</v>
      </c>
      <c r="GD41" s="11">
        <f t="shared" si="138"/>
        <v>0</v>
      </c>
      <c r="GE41" s="11">
        <f t="shared" si="139"/>
        <v>0</v>
      </c>
      <c r="GF41" s="11">
        <f t="shared" si="140"/>
        <v>0</v>
      </c>
      <c r="GG41" s="11">
        <f t="shared" si="141"/>
        <v>0</v>
      </c>
      <c r="GH41" s="11">
        <f t="shared" si="142"/>
        <v>0</v>
      </c>
      <c r="GI41" s="11">
        <f t="shared" si="143"/>
        <v>0</v>
      </c>
      <c r="GJ41" s="11">
        <f t="shared" si="144"/>
        <v>0</v>
      </c>
      <c r="GK41" s="11">
        <f t="shared" si="145"/>
        <v>0</v>
      </c>
      <c r="GL41" s="11">
        <f t="shared" si="146"/>
        <v>0</v>
      </c>
      <c r="GM41" s="11">
        <f t="shared" si="147"/>
        <v>0</v>
      </c>
      <c r="GN41" s="11">
        <f t="shared" si="148"/>
        <v>0</v>
      </c>
      <c r="GO41" s="11">
        <f t="shared" si="149"/>
        <v>0</v>
      </c>
      <c r="GP41" s="11">
        <f t="shared" si="150"/>
        <v>0</v>
      </c>
      <c r="GQ41" s="11">
        <f t="shared" si="151"/>
        <v>0</v>
      </c>
      <c r="GR41" s="11">
        <f t="shared" si="152"/>
        <v>0</v>
      </c>
      <c r="GS41" s="11">
        <f t="shared" si="153"/>
        <v>0</v>
      </c>
      <c r="GT41" s="11">
        <f t="shared" si="154"/>
        <v>0</v>
      </c>
      <c r="GU41" s="12">
        <f t="shared" si="155"/>
        <v>0</v>
      </c>
      <c r="GV41" s="12">
        <f t="shared" si="156"/>
        <v>0</v>
      </c>
      <c r="GW41" s="12">
        <f t="shared" si="157"/>
        <v>0</v>
      </c>
      <c r="GX41" s="12">
        <f t="shared" si="158"/>
        <v>0</v>
      </c>
      <c r="GY41" s="12">
        <f t="shared" si="159"/>
        <v>0</v>
      </c>
      <c r="GZ41" s="12">
        <f t="shared" si="160"/>
        <v>0</v>
      </c>
      <c r="HA41" s="12">
        <f t="shared" si="161"/>
        <v>0</v>
      </c>
      <c r="HB41" s="12">
        <f t="shared" si="162"/>
        <v>0</v>
      </c>
      <c r="HC41" s="12">
        <f t="shared" si="163"/>
        <v>0</v>
      </c>
      <c r="HD41" s="12">
        <f t="shared" si="164"/>
        <v>0</v>
      </c>
      <c r="HE41" s="12">
        <f t="shared" si="165"/>
        <v>0</v>
      </c>
      <c r="HF41" s="12">
        <f t="shared" si="166"/>
        <v>0</v>
      </c>
      <c r="HG41" s="12">
        <f t="shared" si="167"/>
        <v>0</v>
      </c>
      <c r="HH41" s="12">
        <f t="shared" si="168"/>
        <v>0</v>
      </c>
      <c r="HI41" s="12">
        <f t="shared" si="169"/>
        <v>0</v>
      </c>
      <c r="HJ41" s="12">
        <f t="shared" si="170"/>
        <v>0</v>
      </c>
      <c r="HK41" s="12">
        <f t="shared" si="171"/>
        <v>0</v>
      </c>
      <c r="HL41" s="12">
        <f t="shared" si="172"/>
        <v>0</v>
      </c>
      <c r="HM41" s="12">
        <f t="shared" si="173"/>
        <v>0</v>
      </c>
      <c r="HN41" s="12">
        <f t="shared" si="174"/>
        <v>0</v>
      </c>
      <c r="HO41" s="12">
        <f t="shared" si="175"/>
        <v>0</v>
      </c>
      <c r="HP41" s="12">
        <f t="shared" si="176"/>
        <v>0</v>
      </c>
      <c r="HQ41" s="12">
        <f t="shared" si="177"/>
        <v>0</v>
      </c>
      <c r="HR41" s="12">
        <f t="shared" si="178"/>
        <v>0</v>
      </c>
      <c r="HS41" s="12">
        <f t="shared" si="179"/>
        <v>0</v>
      </c>
      <c r="HT41" s="12">
        <f t="shared" si="180"/>
        <v>0</v>
      </c>
      <c r="HU41" s="12">
        <f t="shared" si="181"/>
        <v>0</v>
      </c>
      <c r="HV41" s="12">
        <f t="shared" si="182"/>
        <v>0</v>
      </c>
      <c r="HW41" s="12">
        <f t="shared" si="183"/>
        <v>0</v>
      </c>
      <c r="HX41" s="12">
        <f t="shared" si="184"/>
        <v>0</v>
      </c>
      <c r="HY41" s="12">
        <f t="shared" si="185"/>
        <v>0</v>
      </c>
      <c r="HZ41" s="12">
        <f t="shared" si="186"/>
        <v>0</v>
      </c>
      <c r="IA41" s="12">
        <f t="shared" si="187"/>
        <v>0</v>
      </c>
      <c r="IB41" s="12">
        <f t="shared" si="188"/>
        <v>0</v>
      </c>
      <c r="IC41" s="12">
        <f t="shared" si="189"/>
        <v>0</v>
      </c>
      <c r="ID41" s="12">
        <f t="shared" si="190"/>
        <v>0</v>
      </c>
      <c r="IE41" s="12">
        <f t="shared" si="191"/>
        <v>0</v>
      </c>
      <c r="IF41" s="12">
        <f t="shared" si="192"/>
        <v>0</v>
      </c>
      <c r="IG41" s="12">
        <f t="shared" si="193"/>
        <v>0</v>
      </c>
      <c r="IH41" s="12">
        <f t="shared" si="194"/>
        <v>0</v>
      </c>
      <c r="II41" s="12">
        <f t="shared" si="195"/>
        <v>0</v>
      </c>
      <c r="IJ41" s="12">
        <f t="shared" si="196"/>
        <v>0</v>
      </c>
      <c r="IK41" s="12">
        <f t="shared" si="197"/>
        <v>0</v>
      </c>
      <c r="IL41" s="12">
        <f t="shared" si="198"/>
        <v>0</v>
      </c>
      <c r="IM41" s="12">
        <f t="shared" si="199"/>
        <v>0</v>
      </c>
      <c r="IN41" s="12">
        <f t="shared" si="200"/>
        <v>0</v>
      </c>
      <c r="IO41" s="12">
        <f t="shared" si="201"/>
        <v>0</v>
      </c>
      <c r="IP41" s="12">
        <f t="shared" si="202"/>
        <v>0</v>
      </c>
      <c r="IQ41" s="12">
        <f t="shared" si="203"/>
        <v>0</v>
      </c>
      <c r="IR41" s="12">
        <f t="shared" si="204"/>
        <v>0</v>
      </c>
      <c r="IS41" s="12">
        <f t="shared" si="205"/>
        <v>0</v>
      </c>
      <c r="IT41" s="12">
        <f t="shared" si="206"/>
        <v>0</v>
      </c>
      <c r="IU41" s="12">
        <f t="shared" si="207"/>
        <v>0</v>
      </c>
      <c r="IV41" s="12">
        <f t="shared" si="208"/>
        <v>0</v>
      </c>
      <c r="IW41" s="12">
        <f t="shared" si="209"/>
        <v>0</v>
      </c>
      <c r="IX41" s="12">
        <f t="shared" si="210"/>
        <v>0</v>
      </c>
      <c r="IY41" s="12">
        <f t="shared" si="211"/>
        <v>0</v>
      </c>
      <c r="IZ41" s="12">
        <f t="shared" si="212"/>
        <v>0</v>
      </c>
      <c r="JA41" s="13">
        <f t="shared" si="213"/>
        <v>0</v>
      </c>
      <c r="JB41" s="13">
        <f t="shared" si="214"/>
        <v>0</v>
      </c>
      <c r="JC41" s="13">
        <f t="shared" si="215"/>
        <v>0</v>
      </c>
      <c r="JD41" s="13">
        <f t="shared" si="216"/>
        <v>0</v>
      </c>
      <c r="JE41" s="13">
        <f t="shared" si="217"/>
        <v>0</v>
      </c>
      <c r="JF41" s="13">
        <f t="shared" si="218"/>
        <v>0</v>
      </c>
      <c r="JG41" s="13">
        <f t="shared" si="219"/>
        <v>0</v>
      </c>
      <c r="JH41" s="13">
        <f t="shared" si="220"/>
        <v>0</v>
      </c>
      <c r="JI41" s="13">
        <f t="shared" si="221"/>
        <v>0</v>
      </c>
      <c r="JJ41" s="13">
        <f t="shared" si="222"/>
        <v>0</v>
      </c>
      <c r="JK41" s="13">
        <f t="shared" si="223"/>
        <v>0</v>
      </c>
      <c r="JL41" s="13">
        <f t="shared" si="224"/>
        <v>0</v>
      </c>
      <c r="JM41" s="13">
        <f t="shared" si="225"/>
        <v>0</v>
      </c>
      <c r="JN41" s="13">
        <f t="shared" si="226"/>
        <v>0</v>
      </c>
      <c r="JO41" s="13">
        <f t="shared" si="227"/>
        <v>0</v>
      </c>
      <c r="JP41" s="13">
        <f t="shared" si="228"/>
        <v>0</v>
      </c>
      <c r="JQ41" s="13">
        <f t="shared" si="229"/>
        <v>0</v>
      </c>
      <c r="JR41" s="13">
        <f t="shared" si="230"/>
        <v>0</v>
      </c>
      <c r="JS41" s="13">
        <f t="shared" si="231"/>
        <v>0</v>
      </c>
      <c r="JT41" s="13">
        <f t="shared" si="232"/>
        <v>0</v>
      </c>
      <c r="JU41" s="13">
        <f t="shared" si="233"/>
        <v>0</v>
      </c>
      <c r="JV41" s="12">
        <f t="shared" si="234"/>
        <v>0</v>
      </c>
      <c r="JW41" s="12">
        <f t="shared" si="235"/>
        <v>0</v>
      </c>
      <c r="JX41" s="12">
        <f t="shared" si="236"/>
        <v>0</v>
      </c>
      <c r="JY41" s="12">
        <f t="shared" si="237"/>
        <v>0</v>
      </c>
      <c r="JZ41" s="12">
        <f t="shared" si="238"/>
        <v>0</v>
      </c>
      <c r="KA41" s="12">
        <f t="shared" si="239"/>
        <v>0</v>
      </c>
      <c r="KB41" s="12">
        <f t="shared" si="240"/>
        <v>0</v>
      </c>
      <c r="KC41" s="12">
        <f t="shared" si="241"/>
        <v>0</v>
      </c>
      <c r="KD41" s="12">
        <f t="shared" si="242"/>
        <v>0</v>
      </c>
      <c r="KE41" s="12">
        <f t="shared" si="243"/>
        <v>0</v>
      </c>
      <c r="KF41" s="12">
        <f t="shared" si="244"/>
        <v>0</v>
      </c>
      <c r="KG41" s="12">
        <f t="shared" si="245"/>
        <v>0</v>
      </c>
      <c r="KH41" s="12">
        <f t="shared" si="246"/>
        <v>0</v>
      </c>
      <c r="KI41" s="12">
        <f t="shared" si="247"/>
        <v>0</v>
      </c>
      <c r="KJ41" s="12">
        <f t="shared" si="248"/>
        <v>0</v>
      </c>
      <c r="KK41" s="12">
        <f t="shared" si="249"/>
        <v>0</v>
      </c>
      <c r="KL41" s="12">
        <f t="shared" si="250"/>
        <v>0</v>
      </c>
      <c r="KM41" s="12">
        <f t="shared" si="251"/>
        <v>0</v>
      </c>
      <c r="KN41" s="12">
        <f t="shared" si="252"/>
        <v>0</v>
      </c>
      <c r="KO41" s="12">
        <f t="shared" si="253"/>
        <v>0</v>
      </c>
      <c r="KP41" s="12">
        <f t="shared" si="254"/>
        <v>0</v>
      </c>
      <c r="KQ41" s="12">
        <f t="shared" si="255"/>
        <v>0</v>
      </c>
      <c r="KR41" s="12">
        <f t="shared" si="256"/>
        <v>0</v>
      </c>
      <c r="KS41" s="12">
        <f t="shared" si="257"/>
        <v>0</v>
      </c>
      <c r="KT41" s="12">
        <f t="shared" si="258"/>
        <v>0</v>
      </c>
      <c r="KU41" s="12">
        <f t="shared" si="259"/>
        <v>0</v>
      </c>
      <c r="KV41" s="12">
        <f t="shared" si="260"/>
        <v>0</v>
      </c>
      <c r="KW41" s="12">
        <f t="shared" si="261"/>
        <v>0</v>
      </c>
      <c r="KX41" s="12">
        <f t="shared" si="262"/>
        <v>0</v>
      </c>
      <c r="KY41" s="12">
        <f t="shared" si="263"/>
        <v>0</v>
      </c>
      <c r="KZ41" s="12">
        <f t="shared" si="264"/>
        <v>0</v>
      </c>
      <c r="LA41" s="12">
        <f t="shared" si="265"/>
        <v>0</v>
      </c>
      <c r="LB41" s="12">
        <f t="shared" si="266"/>
        <v>0</v>
      </c>
      <c r="LC41" s="12">
        <f t="shared" si="267"/>
        <v>0</v>
      </c>
      <c r="LD41" s="12">
        <f t="shared" si="268"/>
        <v>0</v>
      </c>
      <c r="LE41" s="12">
        <f t="shared" si="269"/>
        <v>0</v>
      </c>
      <c r="LF41" s="12">
        <f t="shared" si="270"/>
        <v>0</v>
      </c>
      <c r="LG41" s="12">
        <f t="shared" si="271"/>
        <v>0</v>
      </c>
      <c r="LH41" s="12">
        <f t="shared" si="272"/>
        <v>0</v>
      </c>
      <c r="LI41" s="12">
        <f t="shared" si="273"/>
        <v>0</v>
      </c>
      <c r="LJ41" s="12">
        <f t="shared" si="274"/>
        <v>0</v>
      </c>
      <c r="LK41" s="12">
        <f t="shared" si="275"/>
        <v>0</v>
      </c>
      <c r="LL41" s="12">
        <f t="shared" si="276"/>
        <v>0</v>
      </c>
      <c r="LM41" s="12">
        <f t="shared" si="277"/>
        <v>0</v>
      </c>
      <c r="LN41" s="12">
        <f t="shared" si="278"/>
        <v>0</v>
      </c>
      <c r="LO41" s="12">
        <f t="shared" si="279"/>
        <v>0</v>
      </c>
      <c r="LP41" s="12">
        <f t="shared" si="280"/>
        <v>0</v>
      </c>
      <c r="LQ41" s="12">
        <f t="shared" si="281"/>
        <v>0</v>
      </c>
      <c r="LR41" s="12">
        <f t="shared" si="282"/>
        <v>0</v>
      </c>
      <c r="LS41" s="12">
        <f t="shared" si="283"/>
        <v>0</v>
      </c>
      <c r="LT41" s="13">
        <f t="shared" si="284"/>
        <v>0</v>
      </c>
      <c r="LU41" s="13">
        <f t="shared" si="285"/>
        <v>0</v>
      </c>
      <c r="LV41" s="13">
        <f t="shared" si="286"/>
        <v>0</v>
      </c>
      <c r="LW41" s="13">
        <f t="shared" si="287"/>
        <v>0</v>
      </c>
      <c r="LX41" s="13">
        <f t="shared" si="288"/>
        <v>0</v>
      </c>
      <c r="LY41" s="13">
        <f t="shared" si="289"/>
        <v>0</v>
      </c>
      <c r="LZ41" s="13">
        <f t="shared" si="290"/>
        <v>0</v>
      </c>
      <c r="MA41" s="13">
        <f t="shared" si="291"/>
        <v>0</v>
      </c>
      <c r="MB41" s="13">
        <f t="shared" si="292"/>
        <v>0</v>
      </c>
      <c r="MC41" s="13">
        <f t="shared" si="293"/>
        <v>0</v>
      </c>
      <c r="MD41" s="13">
        <f t="shared" si="294"/>
        <v>0</v>
      </c>
      <c r="ME41" s="13">
        <f t="shared" si="295"/>
        <v>0</v>
      </c>
      <c r="MF41" s="13">
        <f t="shared" si="296"/>
        <v>0</v>
      </c>
      <c r="MG41" s="13">
        <f t="shared" si="297"/>
        <v>0</v>
      </c>
      <c r="MH41" s="13">
        <f t="shared" si="298"/>
        <v>0</v>
      </c>
      <c r="MI41" s="13">
        <f t="shared" si="299"/>
        <v>0</v>
      </c>
      <c r="MJ41" s="13">
        <f t="shared" si="300"/>
        <v>0</v>
      </c>
      <c r="MK41" s="13">
        <f t="shared" si="301"/>
        <v>0</v>
      </c>
      <c r="ML41" s="14">
        <f t="shared" si="302"/>
        <v>0</v>
      </c>
      <c r="MM41" s="14">
        <f t="shared" si="303"/>
        <v>0</v>
      </c>
      <c r="MN41" s="14">
        <f t="shared" si="304"/>
        <v>0</v>
      </c>
      <c r="MO41" s="14">
        <f t="shared" si="305"/>
        <v>1</v>
      </c>
      <c r="MP41" s="14">
        <f t="shared" si="306"/>
        <v>1</v>
      </c>
      <c r="MQ41" s="14">
        <f t="shared" si="307"/>
        <v>0</v>
      </c>
      <c r="MR41" s="14">
        <f t="shared" si="308"/>
        <v>0</v>
      </c>
      <c r="MS41" s="14">
        <f t="shared" si="309"/>
        <v>0</v>
      </c>
      <c r="MT41" s="14">
        <f t="shared" si="310"/>
        <v>0</v>
      </c>
      <c r="MU41" s="14">
        <f t="shared" si="311"/>
        <v>0</v>
      </c>
      <c r="MV41" s="14">
        <f t="shared" si="312"/>
        <v>0</v>
      </c>
      <c r="MW41" s="14">
        <f t="shared" si="313"/>
        <v>0</v>
      </c>
      <c r="MX41" s="14">
        <f t="shared" si="314"/>
        <v>0</v>
      </c>
      <c r="MY41" s="14">
        <f t="shared" si="315"/>
        <v>1</v>
      </c>
      <c r="MZ41" s="14">
        <f t="shared" si="316"/>
        <v>1</v>
      </c>
      <c r="NA41" s="14">
        <f t="shared" si="317"/>
        <v>0</v>
      </c>
      <c r="NB41" s="14">
        <f t="shared" si="318"/>
        <v>0</v>
      </c>
    </row>
    <row r="42" ht="15.75" customHeight="1">
      <c r="A42" s="2">
        <v>241.0</v>
      </c>
      <c r="B42" s="2" t="s">
        <v>1105</v>
      </c>
      <c r="C42" s="2" t="s">
        <v>1106</v>
      </c>
      <c r="D42" s="2" t="s">
        <v>1107</v>
      </c>
      <c r="E42" s="2">
        <v>2019.0</v>
      </c>
      <c r="F42" s="2" t="s">
        <v>1108</v>
      </c>
      <c r="G42" s="2" t="s">
        <v>1069</v>
      </c>
      <c r="H42" s="2" t="s">
        <v>392</v>
      </c>
      <c r="I42" s="2" t="s">
        <v>1109</v>
      </c>
      <c r="M42" s="2">
        <v>39.0</v>
      </c>
      <c r="N42" s="2" t="s">
        <v>1110</v>
      </c>
      <c r="O42" s="2" t="s">
        <v>1111</v>
      </c>
      <c r="P42" s="2" t="s">
        <v>1112</v>
      </c>
      <c r="Q42" s="2" t="s">
        <v>1113</v>
      </c>
      <c r="R42" s="2" t="s">
        <v>1114</v>
      </c>
      <c r="S42" s="2" t="s">
        <v>1115</v>
      </c>
      <c r="Y42" s="2" t="s">
        <v>1116</v>
      </c>
      <c r="AB42" s="2" t="s">
        <v>1117</v>
      </c>
      <c r="AG42" s="2" t="s">
        <v>1118</v>
      </c>
      <c r="AK42" s="2" t="s">
        <v>1119</v>
      </c>
      <c r="AL42" s="2" t="s">
        <v>384</v>
      </c>
      <c r="AM42" s="2" t="s">
        <v>484</v>
      </c>
      <c r="AN42" s="2" t="s">
        <v>386</v>
      </c>
      <c r="AO42" s="2" t="s">
        <v>1120</v>
      </c>
      <c r="AP42" s="2" t="s">
        <v>386</v>
      </c>
      <c r="AQ42" s="2">
        <v>1013.0</v>
      </c>
      <c r="AR42" s="2" t="s">
        <v>1121</v>
      </c>
      <c r="AS42" s="2" t="b">
        <v>1</v>
      </c>
      <c r="AT42" s="3">
        <v>0.0</v>
      </c>
      <c r="AU42" s="4"/>
      <c r="AV42" s="4">
        <v>1.0</v>
      </c>
      <c r="AW42" s="5">
        <f t="shared" si="3"/>
        <v>0</v>
      </c>
      <c r="AX42" s="5">
        <f t="shared" si="4"/>
        <v>0</v>
      </c>
      <c r="AY42" s="5">
        <f t="shared" si="5"/>
        <v>0</v>
      </c>
      <c r="AZ42" s="5">
        <f t="shared" si="6"/>
        <v>0</v>
      </c>
      <c r="BA42" s="5">
        <f t="shared" si="7"/>
        <v>0</v>
      </c>
      <c r="BB42" s="5">
        <f t="shared" si="8"/>
        <v>0</v>
      </c>
      <c r="BC42" s="5">
        <f t="shared" si="9"/>
        <v>0</v>
      </c>
      <c r="BD42" s="5">
        <f t="shared" si="10"/>
        <v>0</v>
      </c>
      <c r="BE42" s="5">
        <f t="shared" si="11"/>
        <v>0</v>
      </c>
      <c r="BF42" s="5">
        <f t="shared" si="12"/>
        <v>0</v>
      </c>
      <c r="BG42" s="5">
        <f t="shared" si="13"/>
        <v>0</v>
      </c>
      <c r="BH42" s="5">
        <f t="shared" si="14"/>
        <v>0</v>
      </c>
      <c r="BI42" s="5">
        <f t="shared" si="15"/>
        <v>0</v>
      </c>
      <c r="BJ42" s="5">
        <f t="shared" si="16"/>
        <v>0</v>
      </c>
      <c r="BK42" s="5">
        <f t="shared" si="17"/>
        <v>0</v>
      </c>
      <c r="BL42" s="5">
        <f t="shared" si="18"/>
        <v>0</v>
      </c>
      <c r="BM42" s="5">
        <f t="shared" si="19"/>
        <v>0</v>
      </c>
      <c r="BN42" s="5">
        <f t="shared" si="20"/>
        <v>0</v>
      </c>
      <c r="BO42" s="5">
        <f t="shared" si="21"/>
        <v>0</v>
      </c>
      <c r="BP42" s="5">
        <f t="shared" si="22"/>
        <v>0</v>
      </c>
      <c r="BQ42" s="5">
        <f t="shared" si="23"/>
        <v>0</v>
      </c>
      <c r="BR42" s="5">
        <f t="shared" si="24"/>
        <v>0</v>
      </c>
      <c r="BS42" s="5">
        <f t="shared" si="25"/>
        <v>0</v>
      </c>
      <c r="BT42" s="5">
        <f t="shared" si="26"/>
        <v>0</v>
      </c>
      <c r="BU42" s="5">
        <f t="shared" si="27"/>
        <v>0</v>
      </c>
      <c r="BV42" s="5">
        <f t="shared" ref="BV42:BW42" si="408">IF(OR(ISNUMBER(SEARCH("grit",$D42)),ISNUMBER(SEARCH("grit",$T42)),ISNUMBER(SEARCH("grit",$R42)),ISNUMBER(SEARCH("grit",$S42)),
ISNUMBER(SEARCH("determination",$D42)),ISNUMBER(SEARCH("determination",$T42)),ISNUMBER(SEARCH("determination",$R42)),ISNUMBER(SEARCH("determination",$S42)),
ISNUMBER(SEARCH("tenacity",$D42)),ISNUMBER(SEARCH("tenacity",$T42)),ISNUMBER(SEARCH("tenacity",$R42)),ISNUMBER(SEARCH("tenacity",$S42)),
ISNUMBER(SEARCH("endurance",$D42)),ISNUMBER(SEARCH("endurance",$T42)),ISNUMBER(SEARCH("endurance",$R42)),ISNUMBER(SEARCH("endurance",$S42)),
ISNUMBER(SEARCH("fortitude",$D42)),ISNUMBER(SEARCH("fortitude",$T42)),ISNUMBER(SEARCH("fortitude",$R42)),ISNUMBER(SEARCH("fortitude",$S42)),
ISNUMBER(SEARCH("resolve",$D42)),ISNUMBER(SEARCH("resolve",$T42)),ISNUMBER(SEARCH("resolve",$R42)),ISNUMBER(SEARCH("resolve",$S42)),
ISNUMBER(SEARCH("stamina",$D42)),ISNUMBER(SEARCH("stamina",$T42)),ISNUMBER(SEARCH("stamina",$R42)),ISNUMBER(SEARCH("stamina",$S42)),
ISNUMBER(SEARCH("guts",$D42)),ISNUMBER(SEARCH("guts",$T42)),ISNUMBER(SEARCH("guts",$R42)),ISNUMBER(SEARCH("guts",$S42)),
ISNUMBER(SEARCH("spunk",$D42)),ISNUMBER(SEARCH("spunk",$T42)),ISNUMBER(SEARCH("spunk",$R42)),ISNUMBER(SEARCH("spunk",$S42))), 1, 0)</f>
        <v>0</v>
      </c>
      <c r="BW42" s="5">
        <f t="shared" si="408"/>
        <v>0</v>
      </c>
      <c r="BX42" s="5">
        <f t="shared" si="29"/>
        <v>0</v>
      </c>
      <c r="BY42" s="5">
        <f t="shared" si="30"/>
        <v>0</v>
      </c>
      <c r="BZ42" s="5">
        <f t="shared" si="31"/>
        <v>0</v>
      </c>
      <c r="CA42" s="5">
        <f t="shared" si="32"/>
        <v>0</v>
      </c>
      <c r="CB42" s="5">
        <f t="shared" si="33"/>
        <v>0</v>
      </c>
      <c r="CC42" s="5">
        <f t="shared" si="34"/>
        <v>0</v>
      </c>
      <c r="CD42" s="5">
        <f t="shared" si="35"/>
        <v>0</v>
      </c>
      <c r="CE42" s="5">
        <f t="shared" si="36"/>
        <v>0</v>
      </c>
      <c r="CF42" s="5">
        <f t="shared" si="37"/>
        <v>0</v>
      </c>
      <c r="CG42" s="5">
        <f t="shared" si="38"/>
        <v>0</v>
      </c>
      <c r="CH42" s="5">
        <f t="shared" si="39"/>
        <v>0</v>
      </c>
      <c r="CI42" s="5">
        <f t="shared" si="40"/>
        <v>0</v>
      </c>
      <c r="CJ42" s="5">
        <f t="shared" si="41"/>
        <v>0</v>
      </c>
      <c r="CK42" s="5">
        <f t="shared" si="42"/>
        <v>0</v>
      </c>
      <c r="CL42" s="5">
        <f t="shared" si="43"/>
        <v>0</v>
      </c>
      <c r="CM42" s="5">
        <f t="shared" si="44"/>
        <v>0</v>
      </c>
      <c r="CN42" s="5">
        <f t="shared" si="45"/>
        <v>0</v>
      </c>
      <c r="CO42" s="5">
        <f t="shared" si="46"/>
        <v>0</v>
      </c>
      <c r="CP42" s="6">
        <f t="shared" si="47"/>
        <v>0</v>
      </c>
      <c r="CQ42" s="6">
        <f t="shared" si="48"/>
        <v>0</v>
      </c>
      <c r="CR42" s="6">
        <f t="shared" si="49"/>
        <v>0</v>
      </c>
      <c r="CS42" s="6">
        <f t="shared" si="50"/>
        <v>0</v>
      </c>
      <c r="CT42" s="6">
        <f t="shared" si="51"/>
        <v>0</v>
      </c>
      <c r="CU42" s="6">
        <f t="shared" si="52"/>
        <v>0</v>
      </c>
      <c r="CV42" s="6">
        <f t="shared" si="53"/>
        <v>0</v>
      </c>
      <c r="CW42" s="6">
        <f t="shared" si="54"/>
        <v>0</v>
      </c>
      <c r="CX42" s="6">
        <f t="shared" si="55"/>
        <v>0</v>
      </c>
      <c r="CY42" s="6">
        <f t="shared" si="56"/>
        <v>0</v>
      </c>
      <c r="CZ42" s="6">
        <f t="shared" si="57"/>
        <v>0</v>
      </c>
      <c r="DA42" s="6">
        <f t="shared" si="58"/>
        <v>0</v>
      </c>
      <c r="DB42" s="6">
        <f t="shared" si="59"/>
        <v>0</v>
      </c>
      <c r="DC42" s="6">
        <f t="shared" si="60"/>
        <v>0</v>
      </c>
      <c r="DD42" s="6">
        <f t="shared" si="61"/>
        <v>0</v>
      </c>
      <c r="DE42" s="6">
        <f t="shared" si="62"/>
        <v>0</v>
      </c>
      <c r="DF42" s="6">
        <f t="shared" si="63"/>
        <v>0</v>
      </c>
      <c r="DG42" s="6">
        <f t="shared" si="64"/>
        <v>0</v>
      </c>
      <c r="DH42" s="6">
        <f t="shared" si="384"/>
        <v>0</v>
      </c>
      <c r="DI42" s="6">
        <f t="shared" si="66"/>
        <v>0</v>
      </c>
      <c r="DJ42" s="6">
        <f t="shared" si="385"/>
        <v>0</v>
      </c>
      <c r="DK42" s="7">
        <f t="shared" si="68"/>
        <v>0</v>
      </c>
      <c r="DL42" s="7">
        <f t="shared" ref="DL42:DL79" si="411">IF(
OR(
ISNUMBER(SEARCH("common-sense reasoning",$D42)),ISNUMBER(SEARCH("common-sense reasoning",$T42)),ISNUMBER(SEARCH("common-sense reasoning",$R40)),ISNUMBER(SEARCH("common-sense reasoning",$S42)),
ISNUMBER(SEARCH("latent variable models",$D42)),ISNUMBER(SEARCH("latent variable models",$T42)),ISNUMBER(SEARCH("latent variable models",$R42)),ISNUMBER(SEARCH("latent variable models",$S42))), 1, 0)</f>
        <v>0</v>
      </c>
      <c r="DM42" s="7">
        <f t="shared" si="70"/>
        <v>0</v>
      </c>
      <c r="DN42" s="7">
        <f t="shared" si="71"/>
        <v>0</v>
      </c>
      <c r="DO42" s="7">
        <f t="shared" si="72"/>
        <v>0</v>
      </c>
      <c r="DP42" s="8">
        <f t="shared" si="73"/>
        <v>0</v>
      </c>
      <c r="DQ42" s="8">
        <f t="shared" si="74"/>
        <v>1</v>
      </c>
      <c r="DR42" s="7">
        <f t="shared" si="75"/>
        <v>0</v>
      </c>
      <c r="DS42" s="7">
        <f t="shared" si="76"/>
        <v>0</v>
      </c>
      <c r="DT42" s="7">
        <f t="shared" si="77"/>
        <v>0</v>
      </c>
      <c r="DU42" s="9">
        <f t="shared" si="78"/>
        <v>0</v>
      </c>
      <c r="DV42" s="9">
        <f t="shared" si="79"/>
        <v>0</v>
      </c>
      <c r="DW42" s="9">
        <f t="shared" si="80"/>
        <v>0</v>
      </c>
      <c r="DX42" s="9">
        <f t="shared" si="81"/>
        <v>0</v>
      </c>
      <c r="DY42" s="9">
        <f t="shared" si="82"/>
        <v>0</v>
      </c>
      <c r="DZ42" s="9">
        <f t="shared" si="83"/>
        <v>0</v>
      </c>
      <c r="EA42" s="9">
        <f t="shared" si="84"/>
        <v>0</v>
      </c>
      <c r="EB42" s="9">
        <f t="shared" si="85"/>
        <v>0</v>
      </c>
      <c r="EC42" s="9">
        <f t="shared" si="86"/>
        <v>0</v>
      </c>
      <c r="ED42" s="9">
        <f t="shared" si="87"/>
        <v>0</v>
      </c>
      <c r="EE42" s="9">
        <f t="shared" si="88"/>
        <v>0</v>
      </c>
      <c r="EF42" s="9">
        <f t="shared" si="89"/>
        <v>0</v>
      </c>
      <c r="EG42" s="9">
        <f t="shared" si="90"/>
        <v>0</v>
      </c>
      <c r="EH42" s="9">
        <f t="shared" si="91"/>
        <v>0</v>
      </c>
      <c r="EI42" s="9">
        <f t="shared" si="92"/>
        <v>0</v>
      </c>
      <c r="EJ42" s="10">
        <f t="shared" si="93"/>
        <v>0</v>
      </c>
      <c r="EK42" s="10">
        <f t="shared" si="94"/>
        <v>0</v>
      </c>
      <c r="EL42" s="10">
        <f t="shared" ref="EL42:EM42" si="409">IF(OR(ISNUMBER(SEARCH("ai software toolkit", $D42)), ISNUMBER(SEARCH("ai software toolkit", $T42)), ISNUMBER(SEARCH("ai software toolkit", $R42)), ISNUMBER(SEARCH("ai software toolkit", $S42))), 1, 0)</f>
        <v>0</v>
      </c>
      <c r="EM42" s="10">
        <f t="shared" si="409"/>
        <v>0</v>
      </c>
      <c r="EN42" s="10">
        <f t="shared" si="96"/>
        <v>0</v>
      </c>
      <c r="EO42" s="10">
        <f t="shared" si="97"/>
        <v>0</v>
      </c>
      <c r="EP42" s="10">
        <f t="shared" si="98"/>
        <v>0</v>
      </c>
      <c r="EQ42" s="10">
        <f t="shared" si="99"/>
        <v>0</v>
      </c>
      <c r="ER42" s="10">
        <f t="shared" si="100"/>
        <v>0</v>
      </c>
      <c r="ES42" s="10">
        <f t="shared" si="101"/>
        <v>0</v>
      </c>
      <c r="ET42" s="10">
        <f t="shared" si="102"/>
        <v>0</v>
      </c>
      <c r="EU42" s="10">
        <f t="shared" si="103"/>
        <v>0</v>
      </c>
      <c r="EV42" s="10">
        <f t="shared" si="104"/>
        <v>0</v>
      </c>
      <c r="EW42" s="10">
        <f t="shared" si="105"/>
        <v>0</v>
      </c>
      <c r="EX42" s="10">
        <f t="shared" si="106"/>
        <v>0</v>
      </c>
      <c r="EY42" s="10">
        <f t="shared" si="107"/>
        <v>0</v>
      </c>
      <c r="EZ42" s="10">
        <f t="shared" si="108"/>
        <v>0</v>
      </c>
      <c r="FA42" s="10">
        <f t="shared" si="109"/>
        <v>0</v>
      </c>
      <c r="FB42" s="10">
        <f t="shared" si="110"/>
        <v>0</v>
      </c>
      <c r="FC42" s="10">
        <f t="shared" si="111"/>
        <v>0</v>
      </c>
      <c r="FD42" s="10">
        <f t="shared" si="112"/>
        <v>0</v>
      </c>
      <c r="FE42" s="10">
        <f t="shared" si="113"/>
        <v>0</v>
      </c>
      <c r="FF42" s="10">
        <f t="shared" si="114"/>
        <v>0</v>
      </c>
      <c r="FG42" s="10">
        <f t="shared" si="115"/>
        <v>0</v>
      </c>
      <c r="FH42" s="10">
        <f t="shared" si="116"/>
        <v>0</v>
      </c>
      <c r="FI42" s="10">
        <f t="shared" si="117"/>
        <v>0</v>
      </c>
      <c r="FJ42" s="10">
        <f t="shared" si="118"/>
        <v>0</v>
      </c>
      <c r="FK42" s="10">
        <f t="shared" si="119"/>
        <v>0</v>
      </c>
      <c r="FL42" s="10">
        <f t="shared" si="120"/>
        <v>0</v>
      </c>
      <c r="FM42" s="10">
        <f t="shared" si="121"/>
        <v>0</v>
      </c>
      <c r="FN42" s="10">
        <f t="shared" si="122"/>
        <v>0</v>
      </c>
      <c r="FO42" s="10">
        <f t="shared" si="123"/>
        <v>0</v>
      </c>
      <c r="FP42" s="10">
        <f t="shared" si="124"/>
        <v>0</v>
      </c>
      <c r="FQ42" s="10">
        <f t="shared" si="125"/>
        <v>0</v>
      </c>
      <c r="FR42" s="11">
        <f t="shared" si="394"/>
        <v>0</v>
      </c>
      <c r="FS42" s="11">
        <f t="shared" si="127"/>
        <v>0</v>
      </c>
      <c r="FT42" s="11">
        <f t="shared" si="128"/>
        <v>0</v>
      </c>
      <c r="FU42" s="11">
        <f t="shared" si="129"/>
        <v>0</v>
      </c>
      <c r="FV42" s="11">
        <f t="shared" si="130"/>
        <v>0</v>
      </c>
      <c r="FW42" s="11">
        <f t="shared" si="131"/>
        <v>0</v>
      </c>
      <c r="FX42" s="11">
        <f t="shared" si="132"/>
        <v>0</v>
      </c>
      <c r="FY42" s="11">
        <f t="shared" si="133"/>
        <v>0</v>
      </c>
      <c r="FZ42" s="11">
        <f t="shared" si="134"/>
        <v>0</v>
      </c>
      <c r="GA42" s="11">
        <f t="shared" si="135"/>
        <v>0</v>
      </c>
      <c r="GB42" s="11">
        <f t="shared" si="136"/>
        <v>0</v>
      </c>
      <c r="GC42" s="11">
        <f t="shared" si="137"/>
        <v>0</v>
      </c>
      <c r="GD42" s="11">
        <f t="shared" si="138"/>
        <v>0</v>
      </c>
      <c r="GE42" s="11">
        <f t="shared" si="139"/>
        <v>0</v>
      </c>
      <c r="GF42" s="11">
        <f t="shared" si="140"/>
        <v>0</v>
      </c>
      <c r="GG42" s="11">
        <f t="shared" si="141"/>
        <v>0</v>
      </c>
      <c r="GH42" s="11">
        <f t="shared" si="142"/>
        <v>0</v>
      </c>
      <c r="GI42" s="11">
        <f t="shared" si="143"/>
        <v>0</v>
      </c>
      <c r="GJ42" s="11">
        <f t="shared" si="144"/>
        <v>0</v>
      </c>
      <c r="GK42" s="11">
        <f t="shared" si="145"/>
        <v>0</v>
      </c>
      <c r="GL42" s="11">
        <f t="shared" si="146"/>
        <v>0</v>
      </c>
      <c r="GM42" s="11">
        <f t="shared" si="147"/>
        <v>0</v>
      </c>
      <c r="GN42" s="11">
        <f t="shared" si="148"/>
        <v>0</v>
      </c>
      <c r="GO42" s="11">
        <f t="shared" si="149"/>
        <v>0</v>
      </c>
      <c r="GP42" s="11">
        <f t="shared" si="150"/>
        <v>0</v>
      </c>
      <c r="GQ42" s="11">
        <f t="shared" si="151"/>
        <v>0</v>
      </c>
      <c r="GR42" s="11">
        <f t="shared" si="152"/>
        <v>0</v>
      </c>
      <c r="GS42" s="11">
        <f t="shared" si="153"/>
        <v>0</v>
      </c>
      <c r="GT42" s="11">
        <f t="shared" si="154"/>
        <v>0</v>
      </c>
      <c r="GU42" s="12">
        <f t="shared" si="155"/>
        <v>0</v>
      </c>
      <c r="GV42" s="12">
        <f t="shared" si="156"/>
        <v>0</v>
      </c>
      <c r="GW42" s="12">
        <f t="shared" si="157"/>
        <v>0</v>
      </c>
      <c r="GX42" s="12">
        <f t="shared" si="158"/>
        <v>0</v>
      </c>
      <c r="GY42" s="12">
        <f t="shared" si="159"/>
        <v>0</v>
      </c>
      <c r="GZ42" s="12">
        <f t="shared" si="160"/>
        <v>0</v>
      </c>
      <c r="HA42" s="12">
        <f t="shared" si="161"/>
        <v>0</v>
      </c>
      <c r="HB42" s="12">
        <f t="shared" si="162"/>
        <v>0</v>
      </c>
      <c r="HC42" s="12">
        <f t="shared" si="163"/>
        <v>0</v>
      </c>
      <c r="HD42" s="12">
        <f t="shared" si="164"/>
        <v>0</v>
      </c>
      <c r="HE42" s="12">
        <f t="shared" si="165"/>
        <v>0</v>
      </c>
      <c r="HF42" s="12">
        <f t="shared" si="166"/>
        <v>0</v>
      </c>
      <c r="HG42" s="12">
        <f t="shared" si="167"/>
        <v>0</v>
      </c>
      <c r="HH42" s="12">
        <f t="shared" si="168"/>
        <v>0</v>
      </c>
      <c r="HI42" s="12">
        <f t="shared" si="169"/>
        <v>0</v>
      </c>
      <c r="HJ42" s="12">
        <f t="shared" si="170"/>
        <v>0</v>
      </c>
      <c r="HK42" s="12">
        <f t="shared" si="171"/>
        <v>0</v>
      </c>
      <c r="HL42" s="12">
        <f t="shared" si="172"/>
        <v>0</v>
      </c>
      <c r="HM42" s="12">
        <f t="shared" si="173"/>
        <v>0</v>
      </c>
      <c r="HN42" s="12">
        <f t="shared" si="174"/>
        <v>0</v>
      </c>
      <c r="HO42" s="12">
        <f t="shared" si="175"/>
        <v>0</v>
      </c>
      <c r="HP42" s="12">
        <f t="shared" si="176"/>
        <v>0</v>
      </c>
      <c r="HQ42" s="12">
        <f t="shared" si="177"/>
        <v>0</v>
      </c>
      <c r="HR42" s="12">
        <f t="shared" si="178"/>
        <v>0</v>
      </c>
      <c r="HS42" s="12">
        <f t="shared" si="179"/>
        <v>0</v>
      </c>
      <c r="HT42" s="12">
        <f t="shared" si="180"/>
        <v>0</v>
      </c>
      <c r="HU42" s="12">
        <f t="shared" si="181"/>
        <v>0</v>
      </c>
      <c r="HV42" s="12">
        <f t="shared" si="182"/>
        <v>0</v>
      </c>
      <c r="HW42" s="12">
        <f t="shared" si="183"/>
        <v>0</v>
      </c>
      <c r="HX42" s="12">
        <f t="shared" si="184"/>
        <v>0</v>
      </c>
      <c r="HY42" s="12">
        <f t="shared" si="185"/>
        <v>0</v>
      </c>
      <c r="HZ42" s="12">
        <f t="shared" si="186"/>
        <v>0</v>
      </c>
      <c r="IA42" s="12">
        <f t="shared" si="187"/>
        <v>0</v>
      </c>
      <c r="IB42" s="12">
        <f t="shared" si="188"/>
        <v>0</v>
      </c>
      <c r="IC42" s="12">
        <f t="shared" si="189"/>
        <v>0</v>
      </c>
      <c r="ID42" s="12">
        <f t="shared" si="190"/>
        <v>0</v>
      </c>
      <c r="IE42" s="12">
        <f t="shared" si="191"/>
        <v>0</v>
      </c>
      <c r="IF42" s="12">
        <f t="shared" si="192"/>
        <v>0</v>
      </c>
      <c r="IG42" s="12">
        <f t="shared" si="193"/>
        <v>0</v>
      </c>
      <c r="IH42" s="12">
        <f t="shared" si="194"/>
        <v>0</v>
      </c>
      <c r="II42" s="12">
        <f t="shared" si="195"/>
        <v>0</v>
      </c>
      <c r="IJ42" s="12">
        <f t="shared" si="196"/>
        <v>0</v>
      </c>
      <c r="IK42" s="12">
        <f t="shared" si="197"/>
        <v>0</v>
      </c>
      <c r="IL42" s="12">
        <f t="shared" si="198"/>
        <v>0</v>
      </c>
      <c r="IM42" s="12">
        <f t="shared" si="199"/>
        <v>0</v>
      </c>
      <c r="IN42" s="12">
        <f t="shared" si="200"/>
        <v>0</v>
      </c>
      <c r="IO42" s="12">
        <f t="shared" si="201"/>
        <v>0</v>
      </c>
      <c r="IP42" s="12">
        <f t="shared" si="202"/>
        <v>0</v>
      </c>
      <c r="IQ42" s="12">
        <f t="shared" si="203"/>
        <v>0</v>
      </c>
      <c r="IR42" s="12">
        <f t="shared" si="204"/>
        <v>0</v>
      </c>
      <c r="IS42" s="12">
        <f t="shared" si="205"/>
        <v>0</v>
      </c>
      <c r="IT42" s="12">
        <f t="shared" si="206"/>
        <v>0</v>
      </c>
      <c r="IU42" s="12">
        <f t="shared" si="207"/>
        <v>0</v>
      </c>
      <c r="IV42" s="12">
        <f t="shared" si="208"/>
        <v>0</v>
      </c>
      <c r="IW42" s="12">
        <f t="shared" si="209"/>
        <v>0</v>
      </c>
      <c r="IX42" s="12">
        <f t="shared" si="210"/>
        <v>0</v>
      </c>
      <c r="IY42" s="12">
        <f t="shared" si="211"/>
        <v>0</v>
      </c>
      <c r="IZ42" s="12">
        <f t="shared" si="212"/>
        <v>0</v>
      </c>
      <c r="JA42" s="13">
        <f t="shared" si="213"/>
        <v>0</v>
      </c>
      <c r="JB42" s="13">
        <f t="shared" si="214"/>
        <v>0</v>
      </c>
      <c r="JC42" s="13">
        <f t="shared" si="215"/>
        <v>0</v>
      </c>
      <c r="JD42" s="13">
        <f t="shared" si="216"/>
        <v>0</v>
      </c>
      <c r="JE42" s="13">
        <f t="shared" si="217"/>
        <v>0</v>
      </c>
      <c r="JF42" s="13">
        <f t="shared" si="218"/>
        <v>0</v>
      </c>
      <c r="JG42" s="13">
        <f t="shared" si="219"/>
        <v>0</v>
      </c>
      <c r="JH42" s="13">
        <f t="shared" si="220"/>
        <v>0</v>
      </c>
      <c r="JI42" s="13">
        <f t="shared" si="221"/>
        <v>0</v>
      </c>
      <c r="JJ42" s="13">
        <f t="shared" si="222"/>
        <v>0</v>
      </c>
      <c r="JK42" s="13">
        <f t="shared" si="223"/>
        <v>0</v>
      </c>
      <c r="JL42" s="13">
        <f t="shared" si="224"/>
        <v>0</v>
      </c>
      <c r="JM42" s="13">
        <f t="shared" si="225"/>
        <v>0</v>
      </c>
      <c r="JN42" s="13">
        <f t="shared" si="226"/>
        <v>0</v>
      </c>
      <c r="JO42" s="13">
        <f t="shared" si="227"/>
        <v>0</v>
      </c>
      <c r="JP42" s="13">
        <f t="shared" si="228"/>
        <v>0</v>
      </c>
      <c r="JQ42" s="13">
        <f t="shared" si="229"/>
        <v>0</v>
      </c>
      <c r="JR42" s="13">
        <f t="shared" si="230"/>
        <v>0</v>
      </c>
      <c r="JS42" s="13">
        <f t="shared" si="231"/>
        <v>0</v>
      </c>
      <c r="JT42" s="13">
        <f t="shared" si="232"/>
        <v>0</v>
      </c>
      <c r="JU42" s="13">
        <f t="shared" si="233"/>
        <v>0</v>
      </c>
      <c r="JV42" s="12">
        <f t="shared" si="234"/>
        <v>0</v>
      </c>
      <c r="JW42" s="12">
        <f t="shared" si="235"/>
        <v>0</v>
      </c>
      <c r="JX42" s="12">
        <f t="shared" si="236"/>
        <v>0</v>
      </c>
      <c r="JY42" s="12">
        <f t="shared" si="237"/>
        <v>0</v>
      </c>
      <c r="JZ42" s="12">
        <f t="shared" si="238"/>
        <v>0</v>
      </c>
      <c r="KA42" s="12">
        <f t="shared" si="239"/>
        <v>0</v>
      </c>
      <c r="KB42" s="12">
        <f t="shared" si="240"/>
        <v>0</v>
      </c>
      <c r="KC42" s="12">
        <f t="shared" si="241"/>
        <v>0</v>
      </c>
      <c r="KD42" s="12">
        <f t="shared" si="242"/>
        <v>0</v>
      </c>
      <c r="KE42" s="12">
        <f t="shared" si="243"/>
        <v>0</v>
      </c>
      <c r="KF42" s="12">
        <f t="shared" si="244"/>
        <v>0</v>
      </c>
      <c r="KG42" s="12">
        <f t="shared" si="245"/>
        <v>0</v>
      </c>
      <c r="KH42" s="12">
        <f t="shared" si="246"/>
        <v>0</v>
      </c>
      <c r="KI42" s="12">
        <f t="shared" si="247"/>
        <v>0</v>
      </c>
      <c r="KJ42" s="12">
        <f t="shared" si="248"/>
        <v>0</v>
      </c>
      <c r="KK42" s="12">
        <f t="shared" si="249"/>
        <v>0</v>
      </c>
      <c r="KL42" s="12">
        <f t="shared" si="250"/>
        <v>0</v>
      </c>
      <c r="KM42" s="12">
        <f t="shared" si="251"/>
        <v>0</v>
      </c>
      <c r="KN42" s="12">
        <f t="shared" si="252"/>
        <v>0</v>
      </c>
      <c r="KO42" s="12">
        <f t="shared" si="253"/>
        <v>0</v>
      </c>
      <c r="KP42" s="12">
        <f t="shared" si="254"/>
        <v>0</v>
      </c>
      <c r="KQ42" s="12">
        <f t="shared" si="255"/>
        <v>0</v>
      </c>
      <c r="KR42" s="12">
        <f t="shared" si="256"/>
        <v>0</v>
      </c>
      <c r="KS42" s="12">
        <f t="shared" si="257"/>
        <v>0</v>
      </c>
      <c r="KT42" s="12">
        <f t="shared" si="258"/>
        <v>0</v>
      </c>
      <c r="KU42" s="12">
        <f t="shared" si="259"/>
        <v>0</v>
      </c>
      <c r="KV42" s="12">
        <f t="shared" si="260"/>
        <v>0</v>
      </c>
      <c r="KW42" s="12">
        <f t="shared" si="261"/>
        <v>0</v>
      </c>
      <c r="KX42" s="12">
        <f t="shared" si="262"/>
        <v>0</v>
      </c>
      <c r="KY42" s="12">
        <f t="shared" si="263"/>
        <v>0</v>
      </c>
      <c r="KZ42" s="12">
        <f t="shared" si="264"/>
        <v>0</v>
      </c>
      <c r="LA42" s="12">
        <f t="shared" si="265"/>
        <v>0</v>
      </c>
      <c r="LB42" s="12">
        <f t="shared" si="266"/>
        <v>0</v>
      </c>
      <c r="LC42" s="12">
        <f t="shared" si="267"/>
        <v>0</v>
      </c>
      <c r="LD42" s="12">
        <f t="shared" si="268"/>
        <v>0</v>
      </c>
      <c r="LE42" s="12">
        <f t="shared" si="269"/>
        <v>0</v>
      </c>
      <c r="LF42" s="12">
        <f t="shared" si="270"/>
        <v>0</v>
      </c>
      <c r="LG42" s="12">
        <f t="shared" si="271"/>
        <v>0</v>
      </c>
      <c r="LH42" s="12">
        <f t="shared" si="272"/>
        <v>0</v>
      </c>
      <c r="LI42" s="12">
        <f t="shared" si="273"/>
        <v>0</v>
      </c>
      <c r="LJ42" s="12">
        <f t="shared" si="274"/>
        <v>0</v>
      </c>
      <c r="LK42" s="12">
        <f t="shared" si="275"/>
        <v>0</v>
      </c>
      <c r="LL42" s="12">
        <f t="shared" si="276"/>
        <v>0</v>
      </c>
      <c r="LM42" s="12">
        <f t="shared" si="277"/>
        <v>0</v>
      </c>
      <c r="LN42" s="12">
        <f t="shared" si="278"/>
        <v>0</v>
      </c>
      <c r="LO42" s="12">
        <f t="shared" si="279"/>
        <v>0</v>
      </c>
      <c r="LP42" s="12">
        <f t="shared" si="280"/>
        <v>0</v>
      </c>
      <c r="LQ42" s="12">
        <f t="shared" si="281"/>
        <v>0</v>
      </c>
      <c r="LR42" s="12">
        <f t="shared" si="282"/>
        <v>0</v>
      </c>
      <c r="LS42" s="12">
        <f t="shared" si="283"/>
        <v>0</v>
      </c>
      <c r="LT42" s="13">
        <f t="shared" si="284"/>
        <v>0</v>
      </c>
      <c r="LU42" s="13">
        <f t="shared" si="285"/>
        <v>0</v>
      </c>
      <c r="LV42" s="13">
        <f t="shared" si="286"/>
        <v>0</v>
      </c>
      <c r="LW42" s="13">
        <f t="shared" si="287"/>
        <v>0</v>
      </c>
      <c r="LX42" s="13">
        <f t="shared" si="288"/>
        <v>0</v>
      </c>
      <c r="LY42" s="13">
        <f t="shared" si="289"/>
        <v>0</v>
      </c>
      <c r="LZ42" s="13">
        <f t="shared" si="290"/>
        <v>0</v>
      </c>
      <c r="MA42" s="13">
        <f t="shared" si="291"/>
        <v>0</v>
      </c>
      <c r="MB42" s="13">
        <f t="shared" si="292"/>
        <v>0</v>
      </c>
      <c r="MC42" s="13">
        <f t="shared" si="293"/>
        <v>0</v>
      </c>
      <c r="MD42" s="13">
        <f t="shared" si="294"/>
        <v>0</v>
      </c>
      <c r="ME42" s="13">
        <f t="shared" si="295"/>
        <v>0</v>
      </c>
      <c r="MF42" s="13">
        <f t="shared" si="296"/>
        <v>0</v>
      </c>
      <c r="MG42" s="13">
        <f t="shared" si="297"/>
        <v>0</v>
      </c>
      <c r="MH42" s="13">
        <f t="shared" si="298"/>
        <v>0</v>
      </c>
      <c r="MI42" s="13">
        <f t="shared" si="299"/>
        <v>0</v>
      </c>
      <c r="MJ42" s="13">
        <f t="shared" si="300"/>
        <v>0</v>
      </c>
      <c r="MK42" s="13">
        <f t="shared" si="301"/>
        <v>0</v>
      </c>
      <c r="ML42" s="14">
        <f t="shared" si="302"/>
        <v>0</v>
      </c>
      <c r="MM42" s="14">
        <f t="shared" si="303"/>
        <v>1</v>
      </c>
      <c r="MN42" s="14">
        <f t="shared" si="304"/>
        <v>1</v>
      </c>
      <c r="MO42" s="14">
        <f t="shared" si="305"/>
        <v>1</v>
      </c>
      <c r="MP42" s="14">
        <f t="shared" si="306"/>
        <v>1</v>
      </c>
      <c r="MQ42" s="14">
        <f t="shared" si="307"/>
        <v>0</v>
      </c>
      <c r="MR42" s="14">
        <f t="shared" si="308"/>
        <v>0</v>
      </c>
      <c r="MS42" s="14">
        <f t="shared" si="309"/>
        <v>0</v>
      </c>
      <c r="MT42" s="14">
        <f t="shared" si="310"/>
        <v>0</v>
      </c>
      <c r="MU42" s="14">
        <f t="shared" si="311"/>
        <v>0</v>
      </c>
      <c r="MV42" s="14">
        <f t="shared" si="312"/>
        <v>0</v>
      </c>
      <c r="MW42" s="14">
        <f t="shared" si="313"/>
        <v>0</v>
      </c>
      <c r="MX42" s="14">
        <f t="shared" si="314"/>
        <v>0</v>
      </c>
      <c r="MY42" s="14">
        <f t="shared" si="315"/>
        <v>1</v>
      </c>
      <c r="MZ42" s="14">
        <f t="shared" si="316"/>
        <v>0</v>
      </c>
      <c r="NA42" s="14">
        <f t="shared" si="317"/>
        <v>0</v>
      </c>
      <c r="NB42" s="14">
        <f t="shared" si="318"/>
        <v>0</v>
      </c>
    </row>
    <row r="43" ht="15.75" customHeight="1">
      <c r="A43" s="2">
        <v>380.0</v>
      </c>
      <c r="B43" s="2" t="s">
        <v>1122</v>
      </c>
      <c r="C43" s="2" t="s">
        <v>1123</v>
      </c>
      <c r="D43" s="2" t="s">
        <v>1124</v>
      </c>
      <c r="E43" s="2">
        <v>2016.0</v>
      </c>
      <c r="F43" s="2" t="s">
        <v>1125</v>
      </c>
      <c r="G43" s="2" t="s">
        <v>528</v>
      </c>
      <c r="I43" s="2" t="s">
        <v>1126</v>
      </c>
      <c r="M43" s="2">
        <v>36.0</v>
      </c>
      <c r="N43" s="2" t="s">
        <v>1127</v>
      </c>
      <c r="O43" s="2" t="s">
        <v>1128</v>
      </c>
      <c r="P43" s="2" t="s">
        <v>1129</v>
      </c>
      <c r="Q43" s="2" t="s">
        <v>1130</v>
      </c>
      <c r="R43" s="2" t="s">
        <v>1131</v>
      </c>
      <c r="S43" s="2" t="s">
        <v>1132</v>
      </c>
      <c r="Y43" s="2" t="s">
        <v>1133</v>
      </c>
      <c r="AB43" s="2" t="s">
        <v>1039</v>
      </c>
      <c r="AG43" s="2" t="s">
        <v>1134</v>
      </c>
      <c r="AK43" s="2" t="s">
        <v>1135</v>
      </c>
      <c r="AL43" s="2" t="s">
        <v>384</v>
      </c>
      <c r="AM43" s="2" t="s">
        <v>484</v>
      </c>
      <c r="AN43" s="2" t="s">
        <v>386</v>
      </c>
      <c r="AO43" s="2" t="s">
        <v>1136</v>
      </c>
      <c r="AP43" s="2" t="s">
        <v>386</v>
      </c>
      <c r="AQ43" s="2">
        <v>1507.0</v>
      </c>
      <c r="AR43" s="2" t="s">
        <v>1137</v>
      </c>
      <c r="AS43" s="2" t="b">
        <v>1</v>
      </c>
      <c r="AT43" s="3">
        <v>0.0</v>
      </c>
      <c r="AU43" s="4"/>
      <c r="AV43" s="4"/>
      <c r="AW43" s="5">
        <f t="shared" si="3"/>
        <v>0</v>
      </c>
      <c r="AX43" s="5">
        <f t="shared" si="4"/>
        <v>0</v>
      </c>
      <c r="AY43" s="5">
        <f t="shared" si="5"/>
        <v>0</v>
      </c>
      <c r="AZ43" s="5">
        <f t="shared" si="6"/>
        <v>0</v>
      </c>
      <c r="BA43" s="5">
        <f t="shared" si="7"/>
        <v>0</v>
      </c>
      <c r="BB43" s="5">
        <f t="shared" si="8"/>
        <v>0</v>
      </c>
      <c r="BC43" s="5">
        <f t="shared" si="9"/>
        <v>0</v>
      </c>
      <c r="BD43" s="5">
        <f t="shared" si="10"/>
        <v>0</v>
      </c>
      <c r="BE43" s="5">
        <f t="shared" si="11"/>
        <v>0</v>
      </c>
      <c r="BF43" s="5">
        <f t="shared" si="12"/>
        <v>0</v>
      </c>
      <c r="BG43" s="5">
        <f t="shared" si="13"/>
        <v>0</v>
      </c>
      <c r="BH43" s="5">
        <f t="shared" si="14"/>
        <v>0</v>
      </c>
      <c r="BI43" s="5">
        <f t="shared" si="15"/>
        <v>0</v>
      </c>
      <c r="BJ43" s="5">
        <f t="shared" si="16"/>
        <v>0</v>
      </c>
      <c r="BK43" s="5">
        <f t="shared" si="17"/>
        <v>0</v>
      </c>
      <c r="BL43" s="5">
        <f t="shared" si="18"/>
        <v>0</v>
      </c>
      <c r="BM43" s="5">
        <f t="shared" si="19"/>
        <v>0</v>
      </c>
      <c r="BN43" s="5">
        <f t="shared" si="20"/>
        <v>0</v>
      </c>
      <c r="BO43" s="5">
        <f t="shared" si="21"/>
        <v>0</v>
      </c>
      <c r="BP43" s="5">
        <f t="shared" si="22"/>
        <v>0</v>
      </c>
      <c r="BQ43" s="5">
        <f t="shared" si="23"/>
        <v>0</v>
      </c>
      <c r="BR43" s="5">
        <f t="shared" si="24"/>
        <v>0</v>
      </c>
      <c r="BS43" s="5">
        <f t="shared" si="25"/>
        <v>0</v>
      </c>
      <c r="BT43" s="5">
        <f t="shared" si="26"/>
        <v>0</v>
      </c>
      <c r="BU43" s="5">
        <f t="shared" si="27"/>
        <v>0</v>
      </c>
      <c r="BV43" s="5">
        <f t="shared" ref="BV43:BW43" si="410">IF(OR(ISNUMBER(SEARCH("grit",$D43)),ISNUMBER(SEARCH("grit",$T43)),ISNUMBER(SEARCH("grit",$R43)),ISNUMBER(SEARCH("grit",$S43)),
ISNUMBER(SEARCH("determination",$D43)),ISNUMBER(SEARCH("determination",$T43)),ISNUMBER(SEARCH("determination",$R43)),ISNUMBER(SEARCH("determination",$S43)),
ISNUMBER(SEARCH("tenacity",$D43)),ISNUMBER(SEARCH("tenacity",$T43)),ISNUMBER(SEARCH("tenacity",$R43)),ISNUMBER(SEARCH("tenacity",$S43)),
ISNUMBER(SEARCH("endurance",$D43)),ISNUMBER(SEARCH("endurance",$T43)),ISNUMBER(SEARCH("endurance",$R43)),ISNUMBER(SEARCH("endurance",$S43)),
ISNUMBER(SEARCH("fortitude",$D43)),ISNUMBER(SEARCH("fortitude",$T43)),ISNUMBER(SEARCH("fortitude",$R43)),ISNUMBER(SEARCH("fortitude",$S43)),
ISNUMBER(SEARCH("resolve",$D43)),ISNUMBER(SEARCH("resolve",$T43)),ISNUMBER(SEARCH("resolve",$R43)),ISNUMBER(SEARCH("resolve",$S43)),
ISNUMBER(SEARCH("stamina",$D43)),ISNUMBER(SEARCH("stamina",$T43)),ISNUMBER(SEARCH("stamina",$R43)),ISNUMBER(SEARCH("stamina",$S43)),
ISNUMBER(SEARCH("guts",$D43)),ISNUMBER(SEARCH("guts",$T43)),ISNUMBER(SEARCH("guts",$R43)),ISNUMBER(SEARCH("guts",$S43)),
ISNUMBER(SEARCH("spunk",$D43)),ISNUMBER(SEARCH("spunk",$T43)),ISNUMBER(SEARCH("spunk",$R43)),ISNUMBER(SEARCH("spunk",$S43))), 1, 0)</f>
        <v>0</v>
      </c>
      <c r="BW43" s="5">
        <f t="shared" si="410"/>
        <v>0</v>
      </c>
      <c r="BX43" s="5">
        <f t="shared" si="29"/>
        <v>0</v>
      </c>
      <c r="BY43" s="5">
        <f t="shared" si="30"/>
        <v>0</v>
      </c>
      <c r="BZ43" s="5">
        <f t="shared" si="31"/>
        <v>0</v>
      </c>
      <c r="CA43" s="5">
        <f t="shared" si="32"/>
        <v>0</v>
      </c>
      <c r="CB43" s="5">
        <f t="shared" si="33"/>
        <v>0</v>
      </c>
      <c r="CC43" s="5">
        <f t="shared" si="34"/>
        <v>0</v>
      </c>
      <c r="CD43" s="5">
        <f t="shared" si="35"/>
        <v>0</v>
      </c>
      <c r="CE43" s="5">
        <f t="shared" si="36"/>
        <v>0</v>
      </c>
      <c r="CF43" s="5">
        <f t="shared" si="37"/>
        <v>0</v>
      </c>
      <c r="CG43" s="5">
        <f t="shared" si="38"/>
        <v>0</v>
      </c>
      <c r="CH43" s="5">
        <f t="shared" si="39"/>
        <v>0</v>
      </c>
      <c r="CI43" s="5">
        <f t="shared" si="40"/>
        <v>0</v>
      </c>
      <c r="CJ43" s="5">
        <f t="shared" si="41"/>
        <v>0</v>
      </c>
      <c r="CK43" s="5">
        <f t="shared" si="42"/>
        <v>0</v>
      </c>
      <c r="CL43" s="5">
        <f t="shared" si="43"/>
        <v>0</v>
      </c>
      <c r="CM43" s="5">
        <f t="shared" si="44"/>
        <v>0</v>
      </c>
      <c r="CN43" s="5">
        <f t="shared" si="45"/>
        <v>0</v>
      </c>
      <c r="CO43" s="5">
        <f t="shared" si="46"/>
        <v>0</v>
      </c>
      <c r="CP43" s="6">
        <f t="shared" si="47"/>
        <v>0</v>
      </c>
      <c r="CQ43" s="6">
        <f t="shared" si="48"/>
        <v>0</v>
      </c>
      <c r="CR43" s="6">
        <f t="shared" si="49"/>
        <v>0</v>
      </c>
      <c r="CS43" s="6">
        <f t="shared" si="50"/>
        <v>0</v>
      </c>
      <c r="CT43" s="6">
        <f t="shared" si="51"/>
        <v>0</v>
      </c>
      <c r="CU43" s="6">
        <f t="shared" si="52"/>
        <v>0</v>
      </c>
      <c r="CV43" s="6">
        <f t="shared" si="53"/>
        <v>0</v>
      </c>
      <c r="CW43" s="6">
        <f t="shared" si="54"/>
        <v>0</v>
      </c>
      <c r="CX43" s="6">
        <f t="shared" si="55"/>
        <v>0</v>
      </c>
      <c r="CY43" s="6">
        <f t="shared" si="56"/>
        <v>0</v>
      </c>
      <c r="CZ43" s="6">
        <f t="shared" si="57"/>
        <v>0</v>
      </c>
      <c r="DA43" s="6">
        <f t="shared" si="58"/>
        <v>0</v>
      </c>
      <c r="DB43" s="6">
        <f t="shared" si="59"/>
        <v>0</v>
      </c>
      <c r="DC43" s="6">
        <f t="shared" si="60"/>
        <v>0</v>
      </c>
      <c r="DD43" s="6">
        <f t="shared" si="61"/>
        <v>0</v>
      </c>
      <c r="DE43" s="6">
        <f t="shared" si="62"/>
        <v>0</v>
      </c>
      <c r="DF43" s="6">
        <f t="shared" si="63"/>
        <v>0</v>
      </c>
      <c r="DG43" s="6">
        <f t="shared" si="64"/>
        <v>0</v>
      </c>
      <c r="DH43" s="6">
        <f t="shared" si="384"/>
        <v>0</v>
      </c>
      <c r="DI43" s="6">
        <f t="shared" si="66"/>
        <v>0</v>
      </c>
      <c r="DJ43" s="6">
        <f t="shared" si="385"/>
        <v>0</v>
      </c>
      <c r="DK43" s="7">
        <f t="shared" si="68"/>
        <v>0</v>
      </c>
      <c r="DL43" s="7">
        <f t="shared" si="411"/>
        <v>0</v>
      </c>
      <c r="DM43" s="7">
        <f t="shared" si="70"/>
        <v>0</v>
      </c>
      <c r="DN43" s="7">
        <f t="shared" si="71"/>
        <v>0</v>
      </c>
      <c r="DO43" s="7">
        <f t="shared" si="72"/>
        <v>1</v>
      </c>
      <c r="DP43" s="8">
        <f t="shared" si="73"/>
        <v>0</v>
      </c>
      <c r="DQ43" s="8">
        <f t="shared" si="74"/>
        <v>1</v>
      </c>
      <c r="DR43" s="7">
        <f t="shared" si="75"/>
        <v>0</v>
      </c>
      <c r="DS43" s="7">
        <f t="shared" si="76"/>
        <v>0</v>
      </c>
      <c r="DT43" s="7">
        <f t="shared" si="77"/>
        <v>0</v>
      </c>
      <c r="DU43" s="9">
        <f t="shared" si="78"/>
        <v>0</v>
      </c>
      <c r="DV43" s="9">
        <f t="shared" si="79"/>
        <v>0</v>
      </c>
      <c r="DW43" s="9">
        <f t="shared" si="80"/>
        <v>0</v>
      </c>
      <c r="DX43" s="9">
        <f t="shared" si="81"/>
        <v>0</v>
      </c>
      <c r="DY43" s="9">
        <f t="shared" si="82"/>
        <v>0</v>
      </c>
      <c r="DZ43" s="9">
        <f t="shared" si="83"/>
        <v>0</v>
      </c>
      <c r="EA43" s="9">
        <f t="shared" si="84"/>
        <v>0</v>
      </c>
      <c r="EB43" s="9">
        <f t="shared" si="85"/>
        <v>0</v>
      </c>
      <c r="EC43" s="9">
        <f t="shared" si="86"/>
        <v>0</v>
      </c>
      <c r="ED43" s="9">
        <f t="shared" si="87"/>
        <v>0</v>
      </c>
      <c r="EE43" s="9">
        <f t="shared" si="88"/>
        <v>0</v>
      </c>
      <c r="EF43" s="9">
        <f t="shared" si="89"/>
        <v>0</v>
      </c>
      <c r="EG43" s="9">
        <f t="shared" si="90"/>
        <v>0</v>
      </c>
      <c r="EH43" s="9">
        <f t="shared" si="91"/>
        <v>0</v>
      </c>
      <c r="EI43" s="9">
        <f t="shared" si="92"/>
        <v>0</v>
      </c>
      <c r="EJ43" s="10">
        <f t="shared" si="93"/>
        <v>0</v>
      </c>
      <c r="EK43" s="10">
        <f t="shared" si="94"/>
        <v>0</v>
      </c>
      <c r="EL43" s="10">
        <f t="shared" ref="EL43:EM43" si="412">IF(OR(ISNUMBER(SEARCH("ai software toolkit", $D43)), ISNUMBER(SEARCH("ai software toolkit", $T43)), ISNUMBER(SEARCH("ai software toolkit", $R43)), ISNUMBER(SEARCH("ai software toolkit", $S43))), 1, 0)</f>
        <v>0</v>
      </c>
      <c r="EM43" s="10">
        <f t="shared" si="412"/>
        <v>0</v>
      </c>
      <c r="EN43" s="10">
        <f t="shared" si="96"/>
        <v>0</v>
      </c>
      <c r="EO43" s="10">
        <f t="shared" si="97"/>
        <v>0</v>
      </c>
      <c r="EP43" s="10">
        <f t="shared" si="98"/>
        <v>0</v>
      </c>
      <c r="EQ43" s="10">
        <f t="shared" si="99"/>
        <v>0</v>
      </c>
      <c r="ER43" s="10">
        <f t="shared" si="100"/>
        <v>0</v>
      </c>
      <c r="ES43" s="10">
        <f t="shared" si="101"/>
        <v>0</v>
      </c>
      <c r="ET43" s="10">
        <f t="shared" si="102"/>
        <v>0</v>
      </c>
      <c r="EU43" s="10">
        <f t="shared" si="103"/>
        <v>0</v>
      </c>
      <c r="EV43" s="10">
        <f t="shared" si="104"/>
        <v>0</v>
      </c>
      <c r="EW43" s="10">
        <f t="shared" si="105"/>
        <v>0</v>
      </c>
      <c r="EX43" s="10">
        <f t="shared" si="106"/>
        <v>0</v>
      </c>
      <c r="EY43" s="10">
        <f t="shared" si="107"/>
        <v>0</v>
      </c>
      <c r="EZ43" s="10">
        <f t="shared" si="108"/>
        <v>0</v>
      </c>
      <c r="FA43" s="10">
        <f t="shared" si="109"/>
        <v>0</v>
      </c>
      <c r="FB43" s="10">
        <f t="shared" si="110"/>
        <v>0</v>
      </c>
      <c r="FC43" s="10">
        <f t="shared" si="111"/>
        <v>0</v>
      </c>
      <c r="FD43" s="10">
        <f t="shared" si="112"/>
        <v>0</v>
      </c>
      <c r="FE43" s="10">
        <f t="shared" si="113"/>
        <v>0</v>
      </c>
      <c r="FF43" s="10">
        <f t="shared" si="114"/>
        <v>0</v>
      </c>
      <c r="FG43" s="10">
        <f t="shared" si="115"/>
        <v>0</v>
      </c>
      <c r="FH43" s="10">
        <f t="shared" si="116"/>
        <v>0</v>
      </c>
      <c r="FI43" s="10">
        <f t="shared" si="117"/>
        <v>0</v>
      </c>
      <c r="FJ43" s="10">
        <f t="shared" si="118"/>
        <v>0</v>
      </c>
      <c r="FK43" s="10">
        <f t="shared" si="119"/>
        <v>0</v>
      </c>
      <c r="FL43" s="10">
        <f t="shared" si="120"/>
        <v>0</v>
      </c>
      <c r="FM43" s="10">
        <f t="shared" si="121"/>
        <v>0</v>
      </c>
      <c r="FN43" s="10">
        <f t="shared" si="122"/>
        <v>0</v>
      </c>
      <c r="FO43" s="10">
        <f t="shared" si="123"/>
        <v>0</v>
      </c>
      <c r="FP43" s="10">
        <f t="shared" si="124"/>
        <v>0</v>
      </c>
      <c r="FQ43" s="10">
        <f t="shared" si="125"/>
        <v>0</v>
      </c>
      <c r="FR43" s="11">
        <f t="shared" si="394"/>
        <v>0</v>
      </c>
      <c r="FS43" s="11">
        <f t="shared" si="127"/>
        <v>0</v>
      </c>
      <c r="FT43" s="11">
        <f t="shared" si="128"/>
        <v>0</v>
      </c>
      <c r="FU43" s="11">
        <f t="shared" si="129"/>
        <v>0</v>
      </c>
      <c r="FV43" s="11">
        <f t="shared" si="130"/>
        <v>0</v>
      </c>
      <c r="FW43" s="11">
        <f t="shared" si="131"/>
        <v>0</v>
      </c>
      <c r="FX43" s="11">
        <f t="shared" si="132"/>
        <v>0</v>
      </c>
      <c r="FY43" s="11">
        <f t="shared" si="133"/>
        <v>0</v>
      </c>
      <c r="FZ43" s="11">
        <f t="shared" si="134"/>
        <v>0</v>
      </c>
      <c r="GA43" s="11">
        <f t="shared" si="135"/>
        <v>0</v>
      </c>
      <c r="GB43" s="11">
        <f t="shared" si="136"/>
        <v>0</v>
      </c>
      <c r="GC43" s="11">
        <f t="shared" si="137"/>
        <v>0</v>
      </c>
      <c r="GD43" s="11">
        <f t="shared" si="138"/>
        <v>0</v>
      </c>
      <c r="GE43" s="11">
        <f t="shared" si="139"/>
        <v>0</v>
      </c>
      <c r="GF43" s="11">
        <f t="shared" si="140"/>
        <v>0</v>
      </c>
      <c r="GG43" s="11">
        <f t="shared" si="141"/>
        <v>0</v>
      </c>
      <c r="GH43" s="11">
        <f t="shared" si="142"/>
        <v>0</v>
      </c>
      <c r="GI43" s="11">
        <f t="shared" si="143"/>
        <v>0</v>
      </c>
      <c r="GJ43" s="11">
        <f t="shared" si="144"/>
        <v>0</v>
      </c>
      <c r="GK43" s="11">
        <f t="shared" si="145"/>
        <v>0</v>
      </c>
      <c r="GL43" s="11">
        <f t="shared" si="146"/>
        <v>0</v>
      </c>
      <c r="GM43" s="11">
        <f t="shared" si="147"/>
        <v>0</v>
      </c>
      <c r="GN43" s="11">
        <f t="shared" si="148"/>
        <v>0</v>
      </c>
      <c r="GO43" s="11">
        <f t="shared" si="149"/>
        <v>0</v>
      </c>
      <c r="GP43" s="11">
        <f t="shared" si="150"/>
        <v>0</v>
      </c>
      <c r="GQ43" s="11">
        <f t="shared" si="151"/>
        <v>0</v>
      </c>
      <c r="GR43" s="11">
        <f t="shared" si="152"/>
        <v>0</v>
      </c>
      <c r="GS43" s="11">
        <f t="shared" si="153"/>
        <v>0</v>
      </c>
      <c r="GT43" s="11">
        <f t="shared" si="154"/>
        <v>0</v>
      </c>
      <c r="GU43" s="12">
        <f t="shared" si="155"/>
        <v>0</v>
      </c>
      <c r="GV43" s="12">
        <f t="shared" si="156"/>
        <v>0</v>
      </c>
      <c r="GW43" s="12">
        <f t="shared" si="157"/>
        <v>0</v>
      </c>
      <c r="GX43" s="12">
        <f t="shared" si="158"/>
        <v>0</v>
      </c>
      <c r="GY43" s="12">
        <f t="shared" si="159"/>
        <v>0</v>
      </c>
      <c r="GZ43" s="12">
        <f t="shared" si="160"/>
        <v>0</v>
      </c>
      <c r="HA43" s="12">
        <f t="shared" si="161"/>
        <v>0</v>
      </c>
      <c r="HB43" s="12">
        <f t="shared" si="162"/>
        <v>0</v>
      </c>
      <c r="HC43" s="12">
        <f t="shared" si="163"/>
        <v>0</v>
      </c>
      <c r="HD43" s="12">
        <f t="shared" si="164"/>
        <v>0</v>
      </c>
      <c r="HE43" s="12">
        <f t="shared" si="165"/>
        <v>0</v>
      </c>
      <c r="HF43" s="12">
        <f t="shared" si="166"/>
        <v>0</v>
      </c>
      <c r="HG43" s="12">
        <f t="shared" si="167"/>
        <v>0</v>
      </c>
      <c r="HH43" s="12">
        <f t="shared" si="168"/>
        <v>0</v>
      </c>
      <c r="HI43" s="12">
        <f t="shared" si="169"/>
        <v>0</v>
      </c>
      <c r="HJ43" s="12">
        <f t="shared" si="170"/>
        <v>0</v>
      </c>
      <c r="HK43" s="12">
        <f t="shared" si="171"/>
        <v>0</v>
      </c>
      <c r="HL43" s="12">
        <f t="shared" si="172"/>
        <v>0</v>
      </c>
      <c r="HM43" s="12">
        <f t="shared" si="173"/>
        <v>0</v>
      </c>
      <c r="HN43" s="12">
        <f t="shared" si="174"/>
        <v>0</v>
      </c>
      <c r="HO43" s="12">
        <f t="shared" si="175"/>
        <v>0</v>
      </c>
      <c r="HP43" s="12">
        <f t="shared" si="176"/>
        <v>0</v>
      </c>
      <c r="HQ43" s="12">
        <f t="shared" si="177"/>
        <v>0</v>
      </c>
      <c r="HR43" s="12">
        <f t="shared" si="178"/>
        <v>0</v>
      </c>
      <c r="HS43" s="12">
        <f t="shared" si="179"/>
        <v>0</v>
      </c>
      <c r="HT43" s="12">
        <f t="shared" si="180"/>
        <v>0</v>
      </c>
      <c r="HU43" s="12">
        <f t="shared" si="181"/>
        <v>0</v>
      </c>
      <c r="HV43" s="12">
        <f t="shared" si="182"/>
        <v>0</v>
      </c>
      <c r="HW43" s="12">
        <f t="shared" si="183"/>
        <v>0</v>
      </c>
      <c r="HX43" s="12">
        <f t="shared" si="184"/>
        <v>0</v>
      </c>
      <c r="HY43" s="12">
        <f t="shared" si="185"/>
        <v>0</v>
      </c>
      <c r="HZ43" s="12">
        <f t="shared" si="186"/>
        <v>0</v>
      </c>
      <c r="IA43" s="12">
        <f t="shared" si="187"/>
        <v>0</v>
      </c>
      <c r="IB43" s="12">
        <f t="shared" si="188"/>
        <v>0</v>
      </c>
      <c r="IC43" s="12">
        <f t="shared" si="189"/>
        <v>0</v>
      </c>
      <c r="ID43" s="12">
        <f t="shared" si="190"/>
        <v>0</v>
      </c>
      <c r="IE43" s="12">
        <f t="shared" si="191"/>
        <v>0</v>
      </c>
      <c r="IF43" s="12">
        <f t="shared" si="192"/>
        <v>0</v>
      </c>
      <c r="IG43" s="12">
        <f t="shared" si="193"/>
        <v>0</v>
      </c>
      <c r="IH43" s="12">
        <f t="shared" si="194"/>
        <v>0</v>
      </c>
      <c r="II43" s="12">
        <f t="shared" si="195"/>
        <v>0</v>
      </c>
      <c r="IJ43" s="12">
        <f t="shared" si="196"/>
        <v>0</v>
      </c>
      <c r="IK43" s="12">
        <f t="shared" si="197"/>
        <v>0</v>
      </c>
      <c r="IL43" s="12">
        <f t="shared" si="198"/>
        <v>0</v>
      </c>
      <c r="IM43" s="12">
        <f t="shared" si="199"/>
        <v>0</v>
      </c>
      <c r="IN43" s="12">
        <f t="shared" si="200"/>
        <v>0</v>
      </c>
      <c r="IO43" s="12">
        <f t="shared" si="201"/>
        <v>0</v>
      </c>
      <c r="IP43" s="12">
        <f t="shared" si="202"/>
        <v>0</v>
      </c>
      <c r="IQ43" s="12">
        <f t="shared" si="203"/>
        <v>0</v>
      </c>
      <c r="IR43" s="12">
        <f t="shared" si="204"/>
        <v>0</v>
      </c>
      <c r="IS43" s="12">
        <f t="shared" si="205"/>
        <v>0</v>
      </c>
      <c r="IT43" s="12">
        <f t="shared" si="206"/>
        <v>0</v>
      </c>
      <c r="IU43" s="12">
        <f t="shared" si="207"/>
        <v>0</v>
      </c>
      <c r="IV43" s="12">
        <f t="shared" si="208"/>
        <v>0</v>
      </c>
      <c r="IW43" s="12">
        <f t="shared" si="209"/>
        <v>0</v>
      </c>
      <c r="IX43" s="12">
        <f t="shared" si="210"/>
        <v>0</v>
      </c>
      <c r="IY43" s="12">
        <f t="shared" si="211"/>
        <v>0</v>
      </c>
      <c r="IZ43" s="12">
        <f t="shared" si="212"/>
        <v>1</v>
      </c>
      <c r="JA43" s="13">
        <f t="shared" si="213"/>
        <v>0</v>
      </c>
      <c r="JB43" s="13">
        <f t="shared" si="214"/>
        <v>0</v>
      </c>
      <c r="JC43" s="13">
        <f t="shared" si="215"/>
        <v>0</v>
      </c>
      <c r="JD43" s="13">
        <f t="shared" si="216"/>
        <v>0</v>
      </c>
      <c r="JE43" s="13">
        <f t="shared" si="217"/>
        <v>0</v>
      </c>
      <c r="JF43" s="13">
        <f t="shared" si="218"/>
        <v>0</v>
      </c>
      <c r="JG43" s="13">
        <f t="shared" si="219"/>
        <v>0</v>
      </c>
      <c r="JH43" s="13">
        <f t="shared" si="220"/>
        <v>0</v>
      </c>
      <c r="JI43" s="13">
        <f t="shared" si="221"/>
        <v>0</v>
      </c>
      <c r="JJ43" s="13">
        <f t="shared" si="222"/>
        <v>0</v>
      </c>
      <c r="JK43" s="13">
        <f t="shared" si="223"/>
        <v>0</v>
      </c>
      <c r="JL43" s="13">
        <f t="shared" si="224"/>
        <v>0</v>
      </c>
      <c r="JM43" s="13">
        <f t="shared" si="225"/>
        <v>0</v>
      </c>
      <c r="JN43" s="13">
        <f t="shared" si="226"/>
        <v>0</v>
      </c>
      <c r="JO43" s="13">
        <f t="shared" si="227"/>
        <v>0</v>
      </c>
      <c r="JP43" s="13">
        <f t="shared" si="228"/>
        <v>0</v>
      </c>
      <c r="JQ43" s="13">
        <f t="shared" si="229"/>
        <v>0</v>
      </c>
      <c r="JR43" s="13">
        <f t="shared" si="230"/>
        <v>0</v>
      </c>
      <c r="JS43" s="13">
        <f t="shared" si="231"/>
        <v>0</v>
      </c>
      <c r="JT43" s="13">
        <f t="shared" si="232"/>
        <v>0</v>
      </c>
      <c r="JU43" s="13">
        <f t="shared" si="233"/>
        <v>0</v>
      </c>
      <c r="JV43" s="12">
        <f t="shared" si="234"/>
        <v>0</v>
      </c>
      <c r="JW43" s="12">
        <f t="shared" si="235"/>
        <v>0</v>
      </c>
      <c r="JX43" s="12">
        <f t="shared" si="236"/>
        <v>0</v>
      </c>
      <c r="JY43" s="12">
        <f t="shared" si="237"/>
        <v>0</v>
      </c>
      <c r="JZ43" s="12">
        <f t="shared" si="238"/>
        <v>0</v>
      </c>
      <c r="KA43" s="12">
        <f t="shared" si="239"/>
        <v>0</v>
      </c>
      <c r="KB43" s="12">
        <f t="shared" si="240"/>
        <v>0</v>
      </c>
      <c r="KC43" s="12">
        <f t="shared" si="241"/>
        <v>0</v>
      </c>
      <c r="KD43" s="12">
        <f t="shared" si="242"/>
        <v>0</v>
      </c>
      <c r="KE43" s="12">
        <f t="shared" si="243"/>
        <v>0</v>
      </c>
      <c r="KF43" s="12">
        <f t="shared" si="244"/>
        <v>0</v>
      </c>
      <c r="KG43" s="12">
        <f t="shared" si="245"/>
        <v>0</v>
      </c>
      <c r="KH43" s="12">
        <f t="shared" si="246"/>
        <v>0</v>
      </c>
      <c r="KI43" s="12">
        <f t="shared" si="247"/>
        <v>0</v>
      </c>
      <c r="KJ43" s="12">
        <f t="shared" si="248"/>
        <v>0</v>
      </c>
      <c r="KK43" s="12">
        <f t="shared" si="249"/>
        <v>0</v>
      </c>
      <c r="KL43" s="12">
        <f t="shared" si="250"/>
        <v>0</v>
      </c>
      <c r="KM43" s="12">
        <f t="shared" si="251"/>
        <v>0</v>
      </c>
      <c r="KN43" s="12">
        <f t="shared" si="252"/>
        <v>0</v>
      </c>
      <c r="KO43" s="12">
        <f t="shared" si="253"/>
        <v>0</v>
      </c>
      <c r="KP43" s="12">
        <f t="shared" si="254"/>
        <v>0</v>
      </c>
      <c r="KQ43" s="12">
        <f t="shared" si="255"/>
        <v>0</v>
      </c>
      <c r="KR43" s="12">
        <f t="shared" si="256"/>
        <v>0</v>
      </c>
      <c r="KS43" s="12">
        <f t="shared" si="257"/>
        <v>0</v>
      </c>
      <c r="KT43" s="12">
        <f t="shared" si="258"/>
        <v>0</v>
      </c>
      <c r="KU43" s="12">
        <f t="shared" si="259"/>
        <v>0</v>
      </c>
      <c r="KV43" s="12">
        <f t="shared" si="260"/>
        <v>0</v>
      </c>
      <c r="KW43" s="12">
        <f t="shared" si="261"/>
        <v>0</v>
      </c>
      <c r="KX43" s="12">
        <f t="shared" si="262"/>
        <v>0</v>
      </c>
      <c r="KY43" s="12">
        <f t="shared" si="263"/>
        <v>0</v>
      </c>
      <c r="KZ43" s="12">
        <f t="shared" si="264"/>
        <v>0</v>
      </c>
      <c r="LA43" s="12">
        <f t="shared" si="265"/>
        <v>0</v>
      </c>
      <c r="LB43" s="12">
        <f t="shared" si="266"/>
        <v>0</v>
      </c>
      <c r="LC43" s="12">
        <f t="shared" si="267"/>
        <v>0</v>
      </c>
      <c r="LD43" s="12">
        <f t="shared" si="268"/>
        <v>0</v>
      </c>
      <c r="LE43" s="12">
        <f t="shared" si="269"/>
        <v>0</v>
      </c>
      <c r="LF43" s="12">
        <f t="shared" si="270"/>
        <v>0</v>
      </c>
      <c r="LG43" s="12">
        <f t="shared" si="271"/>
        <v>0</v>
      </c>
      <c r="LH43" s="12">
        <f t="shared" si="272"/>
        <v>0</v>
      </c>
      <c r="LI43" s="12">
        <f t="shared" si="273"/>
        <v>0</v>
      </c>
      <c r="LJ43" s="12">
        <f t="shared" si="274"/>
        <v>0</v>
      </c>
      <c r="LK43" s="12">
        <f t="shared" si="275"/>
        <v>0</v>
      </c>
      <c r="LL43" s="12">
        <f t="shared" si="276"/>
        <v>0</v>
      </c>
      <c r="LM43" s="12">
        <f t="shared" si="277"/>
        <v>0</v>
      </c>
      <c r="LN43" s="12">
        <f t="shared" si="278"/>
        <v>0</v>
      </c>
      <c r="LO43" s="12">
        <f t="shared" si="279"/>
        <v>0</v>
      </c>
      <c r="LP43" s="12">
        <f t="shared" si="280"/>
        <v>0</v>
      </c>
      <c r="LQ43" s="12">
        <f t="shared" si="281"/>
        <v>0</v>
      </c>
      <c r="LR43" s="12">
        <f t="shared" si="282"/>
        <v>0</v>
      </c>
      <c r="LS43" s="12">
        <f t="shared" si="283"/>
        <v>0</v>
      </c>
      <c r="LT43" s="13">
        <f t="shared" si="284"/>
        <v>0</v>
      </c>
      <c r="LU43" s="13">
        <f t="shared" si="285"/>
        <v>0</v>
      </c>
      <c r="LV43" s="13">
        <f t="shared" si="286"/>
        <v>0</v>
      </c>
      <c r="LW43" s="13">
        <f t="shared" si="287"/>
        <v>0</v>
      </c>
      <c r="LX43" s="13">
        <f t="shared" si="288"/>
        <v>0</v>
      </c>
      <c r="LY43" s="13">
        <f t="shared" si="289"/>
        <v>0</v>
      </c>
      <c r="LZ43" s="13">
        <f t="shared" si="290"/>
        <v>0</v>
      </c>
      <c r="MA43" s="13">
        <f t="shared" si="291"/>
        <v>0</v>
      </c>
      <c r="MB43" s="13">
        <f t="shared" si="292"/>
        <v>0</v>
      </c>
      <c r="MC43" s="13">
        <f t="shared" si="293"/>
        <v>0</v>
      </c>
      <c r="MD43" s="13">
        <f t="shared" si="294"/>
        <v>0</v>
      </c>
      <c r="ME43" s="13">
        <f t="shared" si="295"/>
        <v>0</v>
      </c>
      <c r="MF43" s="13">
        <f t="shared" si="296"/>
        <v>0</v>
      </c>
      <c r="MG43" s="13">
        <f t="shared" si="297"/>
        <v>0</v>
      </c>
      <c r="MH43" s="13">
        <f t="shared" si="298"/>
        <v>0</v>
      </c>
      <c r="MI43" s="13">
        <f t="shared" si="299"/>
        <v>0</v>
      </c>
      <c r="MJ43" s="13">
        <f t="shared" si="300"/>
        <v>0</v>
      </c>
      <c r="MK43" s="13">
        <f t="shared" si="301"/>
        <v>0</v>
      </c>
      <c r="ML43" s="14">
        <f t="shared" si="302"/>
        <v>0</v>
      </c>
      <c r="MM43" s="14">
        <f t="shared" si="303"/>
        <v>0</v>
      </c>
      <c r="MN43" s="14">
        <f t="shared" si="304"/>
        <v>0</v>
      </c>
      <c r="MO43" s="14">
        <f t="shared" si="305"/>
        <v>0</v>
      </c>
      <c r="MP43" s="14">
        <f t="shared" si="306"/>
        <v>0</v>
      </c>
      <c r="MQ43" s="14">
        <f t="shared" si="307"/>
        <v>0</v>
      </c>
      <c r="MR43" s="14">
        <f t="shared" si="308"/>
        <v>0</v>
      </c>
      <c r="MS43" s="14">
        <f t="shared" si="309"/>
        <v>0</v>
      </c>
      <c r="MT43" s="14">
        <f t="shared" si="310"/>
        <v>0</v>
      </c>
      <c r="MU43" s="14">
        <f t="shared" si="311"/>
        <v>0</v>
      </c>
      <c r="MV43" s="14">
        <f t="shared" si="312"/>
        <v>0</v>
      </c>
      <c r="MW43" s="14">
        <f t="shared" si="313"/>
        <v>0</v>
      </c>
      <c r="MX43" s="14">
        <f t="shared" si="314"/>
        <v>0</v>
      </c>
      <c r="MY43" s="14">
        <f t="shared" si="315"/>
        <v>0</v>
      </c>
      <c r="MZ43" s="14">
        <f t="shared" si="316"/>
        <v>0</v>
      </c>
      <c r="NA43" s="14">
        <f t="shared" si="317"/>
        <v>0</v>
      </c>
      <c r="NB43" s="14">
        <f t="shared" si="318"/>
        <v>0</v>
      </c>
    </row>
    <row r="44" ht="15.75" customHeight="1">
      <c r="A44" s="2">
        <v>273.0</v>
      </c>
      <c r="B44" s="2" t="s">
        <v>1138</v>
      </c>
      <c r="C44" s="2" t="s">
        <v>1139</v>
      </c>
      <c r="D44" s="2" t="s">
        <v>1140</v>
      </c>
      <c r="E44" s="2">
        <v>2019.0</v>
      </c>
      <c r="F44" s="2" t="s">
        <v>1141</v>
      </c>
      <c r="G44" s="2" t="s">
        <v>1142</v>
      </c>
      <c r="H44" s="2" t="s">
        <v>392</v>
      </c>
      <c r="J44" s="2" t="s">
        <v>1143</v>
      </c>
      <c r="K44" s="2" t="s">
        <v>1144</v>
      </c>
      <c r="M44" s="2">
        <v>36.0</v>
      </c>
      <c r="N44" s="2" t="s">
        <v>1145</v>
      </c>
      <c r="O44" s="2" t="s">
        <v>1146</v>
      </c>
      <c r="P44" s="2" t="s">
        <v>1147</v>
      </c>
      <c r="Q44" s="2" t="s">
        <v>1148</v>
      </c>
      <c r="R44" s="2" t="s">
        <v>1149</v>
      </c>
      <c r="T44" s="2" t="s">
        <v>1150</v>
      </c>
      <c r="AB44" s="2" t="s">
        <v>1151</v>
      </c>
      <c r="AG44" s="2" t="s">
        <v>1152</v>
      </c>
      <c r="AJ44" s="2">
        <v>3.1022744E7</v>
      </c>
      <c r="AK44" s="2" t="s">
        <v>1153</v>
      </c>
      <c r="AL44" s="2" t="s">
        <v>384</v>
      </c>
      <c r="AM44" s="2" t="s">
        <v>579</v>
      </c>
      <c r="AN44" s="2" t="s">
        <v>386</v>
      </c>
      <c r="AO44" s="2" t="s">
        <v>1154</v>
      </c>
      <c r="AP44" s="2" t="s">
        <v>386</v>
      </c>
      <c r="AQ44" s="2">
        <v>1110.0</v>
      </c>
      <c r="AR44" s="2" t="s">
        <v>1155</v>
      </c>
      <c r="AS44" s="2" t="b">
        <v>0</v>
      </c>
      <c r="AT44" s="3">
        <v>0.0</v>
      </c>
      <c r="AU44" s="4">
        <v>1.0</v>
      </c>
      <c r="AV44" s="4"/>
      <c r="AW44" s="5">
        <f t="shared" si="3"/>
        <v>0</v>
      </c>
      <c r="AX44" s="5">
        <f t="shared" si="4"/>
        <v>0</v>
      </c>
      <c r="AY44" s="5">
        <f t="shared" si="5"/>
        <v>0</v>
      </c>
      <c r="AZ44" s="5">
        <f t="shared" si="6"/>
        <v>0</v>
      </c>
      <c r="BA44" s="5">
        <f t="shared" si="7"/>
        <v>0</v>
      </c>
      <c r="BB44" s="5">
        <f t="shared" si="8"/>
        <v>0</v>
      </c>
      <c r="BC44" s="5">
        <f t="shared" si="9"/>
        <v>0</v>
      </c>
      <c r="BD44" s="5">
        <f t="shared" si="10"/>
        <v>0</v>
      </c>
      <c r="BE44" s="5">
        <f t="shared" si="11"/>
        <v>0</v>
      </c>
      <c r="BF44" s="5">
        <f t="shared" si="12"/>
        <v>0</v>
      </c>
      <c r="BG44" s="5">
        <f t="shared" si="13"/>
        <v>0</v>
      </c>
      <c r="BH44" s="5">
        <f t="shared" si="14"/>
        <v>0</v>
      </c>
      <c r="BI44" s="5">
        <f t="shared" si="15"/>
        <v>0</v>
      </c>
      <c r="BJ44" s="5">
        <f t="shared" si="16"/>
        <v>0</v>
      </c>
      <c r="BK44" s="5">
        <f t="shared" si="17"/>
        <v>0</v>
      </c>
      <c r="BL44" s="5">
        <f t="shared" si="18"/>
        <v>0</v>
      </c>
      <c r="BM44" s="5">
        <f t="shared" si="19"/>
        <v>0</v>
      </c>
      <c r="BN44" s="5">
        <f t="shared" si="20"/>
        <v>0</v>
      </c>
      <c r="BO44" s="5">
        <f t="shared" si="21"/>
        <v>0</v>
      </c>
      <c r="BP44" s="5">
        <f t="shared" si="22"/>
        <v>0</v>
      </c>
      <c r="BQ44" s="5">
        <f t="shared" si="23"/>
        <v>0</v>
      </c>
      <c r="BR44" s="5">
        <f t="shared" si="24"/>
        <v>0</v>
      </c>
      <c r="BS44" s="5">
        <f t="shared" si="25"/>
        <v>0</v>
      </c>
      <c r="BT44" s="5">
        <f t="shared" si="26"/>
        <v>0</v>
      </c>
      <c r="BU44" s="5">
        <f t="shared" si="27"/>
        <v>1</v>
      </c>
      <c r="BV44" s="5">
        <f t="shared" ref="BV44:BW44" si="413">IF(OR(ISNUMBER(SEARCH("grit",$D44)),ISNUMBER(SEARCH("grit",$T44)),ISNUMBER(SEARCH("grit",$R44)),ISNUMBER(SEARCH("grit",$S44)),
ISNUMBER(SEARCH("determination",$D44)),ISNUMBER(SEARCH("determination",$T44)),ISNUMBER(SEARCH("determination",$R44)),ISNUMBER(SEARCH("determination",$S44)),
ISNUMBER(SEARCH("tenacity",$D44)),ISNUMBER(SEARCH("tenacity",$T44)),ISNUMBER(SEARCH("tenacity",$R44)),ISNUMBER(SEARCH("tenacity",$S44)),
ISNUMBER(SEARCH("endurance",$D44)),ISNUMBER(SEARCH("endurance",$T44)),ISNUMBER(SEARCH("endurance",$R44)),ISNUMBER(SEARCH("endurance",$S44)),
ISNUMBER(SEARCH("fortitude",$D44)),ISNUMBER(SEARCH("fortitude",$T44)),ISNUMBER(SEARCH("fortitude",$R44)),ISNUMBER(SEARCH("fortitude",$S44)),
ISNUMBER(SEARCH("resolve",$D44)),ISNUMBER(SEARCH("resolve",$T44)),ISNUMBER(SEARCH("resolve",$R44)),ISNUMBER(SEARCH("resolve",$S44)),
ISNUMBER(SEARCH("stamina",$D44)),ISNUMBER(SEARCH("stamina",$T44)),ISNUMBER(SEARCH("stamina",$R44)),ISNUMBER(SEARCH("stamina",$S44)),
ISNUMBER(SEARCH("guts",$D44)),ISNUMBER(SEARCH("guts",$T44)),ISNUMBER(SEARCH("guts",$R44)),ISNUMBER(SEARCH("guts",$S44)),
ISNUMBER(SEARCH("spunk",$D44)),ISNUMBER(SEARCH("spunk",$T44)),ISNUMBER(SEARCH("spunk",$R44)),ISNUMBER(SEARCH("spunk",$S44))), 1, 0)</f>
        <v>0</v>
      </c>
      <c r="BW44" s="5">
        <f t="shared" si="413"/>
        <v>0</v>
      </c>
      <c r="BX44" s="5">
        <f t="shared" si="29"/>
        <v>1</v>
      </c>
      <c r="BY44" s="5">
        <f t="shared" si="30"/>
        <v>0</v>
      </c>
      <c r="BZ44" s="5">
        <f t="shared" si="31"/>
        <v>0</v>
      </c>
      <c r="CA44" s="5">
        <f t="shared" si="32"/>
        <v>0</v>
      </c>
      <c r="CB44" s="5">
        <f t="shared" si="33"/>
        <v>0</v>
      </c>
      <c r="CC44" s="5">
        <f t="shared" si="34"/>
        <v>0</v>
      </c>
      <c r="CD44" s="5">
        <f t="shared" si="35"/>
        <v>0</v>
      </c>
      <c r="CE44" s="5">
        <f t="shared" si="36"/>
        <v>0</v>
      </c>
      <c r="CF44" s="5">
        <f t="shared" si="37"/>
        <v>0</v>
      </c>
      <c r="CG44" s="5">
        <f t="shared" si="38"/>
        <v>1</v>
      </c>
      <c r="CH44" s="5">
        <f t="shared" si="39"/>
        <v>0</v>
      </c>
      <c r="CI44" s="5">
        <f t="shared" si="40"/>
        <v>0</v>
      </c>
      <c r="CJ44" s="5">
        <f t="shared" si="41"/>
        <v>0</v>
      </c>
      <c r="CK44" s="5">
        <f t="shared" si="42"/>
        <v>0</v>
      </c>
      <c r="CL44" s="5">
        <f t="shared" si="43"/>
        <v>0</v>
      </c>
      <c r="CM44" s="5">
        <f t="shared" si="44"/>
        <v>0</v>
      </c>
      <c r="CN44" s="5">
        <f t="shared" si="45"/>
        <v>0</v>
      </c>
      <c r="CO44" s="5">
        <f t="shared" si="46"/>
        <v>0</v>
      </c>
      <c r="CP44" s="6">
        <f t="shared" si="47"/>
        <v>0</v>
      </c>
      <c r="CQ44" s="6">
        <f t="shared" si="48"/>
        <v>0</v>
      </c>
      <c r="CR44" s="6">
        <f t="shared" si="49"/>
        <v>0</v>
      </c>
      <c r="CS44" s="6">
        <f t="shared" si="50"/>
        <v>0</v>
      </c>
      <c r="CT44" s="6">
        <f t="shared" si="51"/>
        <v>1</v>
      </c>
      <c r="CU44" s="6">
        <f t="shared" si="52"/>
        <v>0</v>
      </c>
      <c r="CV44" s="6">
        <f t="shared" si="53"/>
        <v>0</v>
      </c>
      <c r="CW44" s="6">
        <f t="shared" si="54"/>
        <v>0</v>
      </c>
      <c r="CX44" s="6">
        <f t="shared" si="55"/>
        <v>0</v>
      </c>
      <c r="CY44" s="6">
        <f t="shared" si="56"/>
        <v>0</v>
      </c>
      <c r="CZ44" s="6">
        <f t="shared" si="57"/>
        <v>0</v>
      </c>
      <c r="DA44" s="6">
        <f t="shared" si="58"/>
        <v>0</v>
      </c>
      <c r="DB44" s="6">
        <f t="shared" si="59"/>
        <v>0</v>
      </c>
      <c r="DC44" s="6">
        <f t="shared" si="60"/>
        <v>0</v>
      </c>
      <c r="DD44" s="6">
        <f t="shared" si="61"/>
        <v>0</v>
      </c>
      <c r="DE44" s="6">
        <f t="shared" si="62"/>
        <v>0</v>
      </c>
      <c r="DF44" s="6">
        <f t="shared" si="63"/>
        <v>0</v>
      </c>
      <c r="DG44" s="6">
        <f t="shared" si="64"/>
        <v>0</v>
      </c>
      <c r="DH44" s="6">
        <f t="shared" si="384"/>
        <v>0</v>
      </c>
      <c r="DI44" s="6">
        <f t="shared" si="66"/>
        <v>0</v>
      </c>
      <c r="DJ44" s="6">
        <f t="shared" si="385"/>
        <v>0</v>
      </c>
      <c r="DK44" s="7">
        <f t="shared" si="68"/>
        <v>1</v>
      </c>
      <c r="DL44" s="7">
        <f t="shared" si="411"/>
        <v>0</v>
      </c>
      <c r="DM44" s="7">
        <f t="shared" si="70"/>
        <v>0</v>
      </c>
      <c r="DN44" s="7">
        <f t="shared" si="71"/>
        <v>0</v>
      </c>
      <c r="DO44" s="7">
        <f t="shared" si="72"/>
        <v>0</v>
      </c>
      <c r="DP44" s="8">
        <f t="shared" si="73"/>
        <v>0</v>
      </c>
      <c r="DQ44" s="8">
        <f t="shared" si="74"/>
        <v>1</v>
      </c>
      <c r="DR44" s="7">
        <f t="shared" si="75"/>
        <v>0</v>
      </c>
      <c r="DS44" s="7">
        <f t="shared" si="76"/>
        <v>0</v>
      </c>
      <c r="DT44" s="7">
        <f t="shared" si="77"/>
        <v>0</v>
      </c>
      <c r="DU44" s="9">
        <f t="shared" si="78"/>
        <v>0</v>
      </c>
      <c r="DV44" s="9">
        <f t="shared" si="79"/>
        <v>0</v>
      </c>
      <c r="DW44" s="9">
        <f t="shared" si="80"/>
        <v>0</v>
      </c>
      <c r="DX44" s="9">
        <f t="shared" si="81"/>
        <v>0</v>
      </c>
      <c r="DY44" s="9">
        <f t="shared" si="82"/>
        <v>0</v>
      </c>
      <c r="DZ44" s="9">
        <f t="shared" si="83"/>
        <v>0</v>
      </c>
      <c r="EA44" s="9">
        <f t="shared" si="84"/>
        <v>0</v>
      </c>
      <c r="EB44" s="9">
        <f t="shared" si="85"/>
        <v>0</v>
      </c>
      <c r="EC44" s="9">
        <f t="shared" si="86"/>
        <v>0</v>
      </c>
      <c r="ED44" s="9">
        <f t="shared" si="87"/>
        <v>0</v>
      </c>
      <c r="EE44" s="9">
        <f t="shared" si="88"/>
        <v>0</v>
      </c>
      <c r="EF44" s="9">
        <f t="shared" si="89"/>
        <v>0</v>
      </c>
      <c r="EG44" s="9">
        <f t="shared" si="90"/>
        <v>0</v>
      </c>
      <c r="EH44" s="9">
        <f t="shared" si="91"/>
        <v>0</v>
      </c>
      <c r="EI44" s="9">
        <f t="shared" si="92"/>
        <v>0</v>
      </c>
      <c r="EJ44" s="10">
        <f t="shared" si="93"/>
        <v>0</v>
      </c>
      <c r="EK44" s="10">
        <f t="shared" si="94"/>
        <v>0</v>
      </c>
      <c r="EL44" s="10">
        <f t="shared" ref="EL44:EM44" si="414">IF(OR(ISNUMBER(SEARCH("ai software toolkit", $D44)), ISNUMBER(SEARCH("ai software toolkit", $T44)), ISNUMBER(SEARCH("ai software toolkit", $R44)), ISNUMBER(SEARCH("ai software toolkit", $S44))), 1, 0)</f>
        <v>0</v>
      </c>
      <c r="EM44" s="10">
        <f t="shared" si="414"/>
        <v>0</v>
      </c>
      <c r="EN44" s="10">
        <f t="shared" si="96"/>
        <v>0</v>
      </c>
      <c r="EO44" s="10">
        <f t="shared" si="97"/>
        <v>0</v>
      </c>
      <c r="EP44" s="10">
        <f t="shared" si="98"/>
        <v>0</v>
      </c>
      <c r="EQ44" s="10">
        <f t="shared" si="99"/>
        <v>0</v>
      </c>
      <c r="ER44" s="10">
        <f t="shared" si="100"/>
        <v>0</v>
      </c>
      <c r="ES44" s="10">
        <f t="shared" si="101"/>
        <v>0</v>
      </c>
      <c r="ET44" s="10">
        <f t="shared" si="102"/>
        <v>0</v>
      </c>
      <c r="EU44" s="10">
        <f t="shared" si="103"/>
        <v>0</v>
      </c>
      <c r="EV44" s="10">
        <f t="shared" si="104"/>
        <v>0</v>
      </c>
      <c r="EW44" s="10">
        <f t="shared" si="105"/>
        <v>0</v>
      </c>
      <c r="EX44" s="10">
        <f t="shared" si="106"/>
        <v>0</v>
      </c>
      <c r="EY44" s="10">
        <f t="shared" si="107"/>
        <v>0</v>
      </c>
      <c r="EZ44" s="10">
        <f t="shared" si="108"/>
        <v>0</v>
      </c>
      <c r="FA44" s="10">
        <f t="shared" si="109"/>
        <v>0</v>
      </c>
      <c r="FB44" s="10">
        <f t="shared" si="110"/>
        <v>0</v>
      </c>
      <c r="FC44" s="10">
        <f t="shared" si="111"/>
        <v>0</v>
      </c>
      <c r="FD44" s="10">
        <f t="shared" si="112"/>
        <v>0</v>
      </c>
      <c r="FE44" s="10">
        <f t="shared" si="113"/>
        <v>0</v>
      </c>
      <c r="FF44" s="10">
        <f t="shared" si="114"/>
        <v>0</v>
      </c>
      <c r="FG44" s="10">
        <f t="shared" si="115"/>
        <v>0</v>
      </c>
      <c r="FH44" s="10">
        <f t="shared" si="116"/>
        <v>0</v>
      </c>
      <c r="FI44" s="10">
        <f t="shared" si="117"/>
        <v>0</v>
      </c>
      <c r="FJ44" s="10">
        <f t="shared" si="118"/>
        <v>0</v>
      </c>
      <c r="FK44" s="10">
        <f t="shared" si="119"/>
        <v>0</v>
      </c>
      <c r="FL44" s="10">
        <f t="shared" si="120"/>
        <v>0</v>
      </c>
      <c r="FM44" s="10">
        <f t="shared" si="121"/>
        <v>0</v>
      </c>
      <c r="FN44" s="10">
        <f t="shared" si="122"/>
        <v>0</v>
      </c>
      <c r="FO44" s="10">
        <f t="shared" si="123"/>
        <v>0</v>
      </c>
      <c r="FP44" s="10">
        <f t="shared" si="124"/>
        <v>0</v>
      </c>
      <c r="FQ44" s="10">
        <f t="shared" si="125"/>
        <v>0</v>
      </c>
      <c r="FR44" s="11">
        <f t="shared" si="394"/>
        <v>0</v>
      </c>
      <c r="FS44" s="11">
        <f t="shared" si="127"/>
        <v>0</v>
      </c>
      <c r="FT44" s="11">
        <f t="shared" si="128"/>
        <v>0</v>
      </c>
      <c r="FU44" s="11">
        <f t="shared" si="129"/>
        <v>0</v>
      </c>
      <c r="FV44" s="11">
        <f t="shared" si="130"/>
        <v>0</v>
      </c>
      <c r="FW44" s="11">
        <f t="shared" si="131"/>
        <v>0</v>
      </c>
      <c r="FX44" s="11">
        <f t="shared" si="132"/>
        <v>0</v>
      </c>
      <c r="FY44" s="11">
        <f t="shared" si="133"/>
        <v>0</v>
      </c>
      <c r="FZ44" s="11">
        <f t="shared" si="134"/>
        <v>0</v>
      </c>
      <c r="GA44" s="11">
        <f t="shared" si="135"/>
        <v>0</v>
      </c>
      <c r="GB44" s="11">
        <f t="shared" si="136"/>
        <v>0</v>
      </c>
      <c r="GC44" s="11">
        <f t="shared" si="137"/>
        <v>0</v>
      </c>
      <c r="GD44" s="11">
        <f t="shared" si="138"/>
        <v>0</v>
      </c>
      <c r="GE44" s="11">
        <f t="shared" si="139"/>
        <v>0</v>
      </c>
      <c r="GF44" s="11">
        <f t="shared" si="140"/>
        <v>0</v>
      </c>
      <c r="GG44" s="11">
        <f t="shared" si="141"/>
        <v>0</v>
      </c>
      <c r="GH44" s="11">
        <f t="shared" si="142"/>
        <v>0</v>
      </c>
      <c r="GI44" s="11">
        <f t="shared" si="143"/>
        <v>0</v>
      </c>
      <c r="GJ44" s="11">
        <f t="shared" si="144"/>
        <v>0</v>
      </c>
      <c r="GK44" s="11">
        <f t="shared" si="145"/>
        <v>0</v>
      </c>
      <c r="GL44" s="11">
        <f t="shared" si="146"/>
        <v>0</v>
      </c>
      <c r="GM44" s="11">
        <f t="shared" si="147"/>
        <v>0</v>
      </c>
      <c r="GN44" s="11">
        <f t="shared" si="148"/>
        <v>0</v>
      </c>
      <c r="GO44" s="11">
        <f t="shared" si="149"/>
        <v>0</v>
      </c>
      <c r="GP44" s="11">
        <f t="shared" si="150"/>
        <v>0</v>
      </c>
      <c r="GQ44" s="11">
        <f t="shared" si="151"/>
        <v>0</v>
      </c>
      <c r="GR44" s="11">
        <f t="shared" si="152"/>
        <v>0</v>
      </c>
      <c r="GS44" s="11">
        <f t="shared" si="153"/>
        <v>0</v>
      </c>
      <c r="GT44" s="11">
        <f t="shared" si="154"/>
        <v>0</v>
      </c>
      <c r="GU44" s="12">
        <f t="shared" si="155"/>
        <v>0</v>
      </c>
      <c r="GV44" s="12">
        <f t="shared" si="156"/>
        <v>0</v>
      </c>
      <c r="GW44" s="12">
        <f t="shared" si="157"/>
        <v>0</v>
      </c>
      <c r="GX44" s="12">
        <f t="shared" si="158"/>
        <v>0</v>
      </c>
      <c r="GY44" s="12">
        <f t="shared" si="159"/>
        <v>0</v>
      </c>
      <c r="GZ44" s="12">
        <f t="shared" si="160"/>
        <v>0</v>
      </c>
      <c r="HA44" s="12">
        <f t="shared" si="161"/>
        <v>0</v>
      </c>
      <c r="HB44" s="12">
        <f t="shared" si="162"/>
        <v>0</v>
      </c>
      <c r="HC44" s="12">
        <f t="shared" si="163"/>
        <v>0</v>
      </c>
      <c r="HD44" s="12">
        <f t="shared" si="164"/>
        <v>0</v>
      </c>
      <c r="HE44" s="12">
        <f t="shared" si="165"/>
        <v>0</v>
      </c>
      <c r="HF44" s="12">
        <f t="shared" si="166"/>
        <v>0</v>
      </c>
      <c r="HG44" s="12">
        <f t="shared" si="167"/>
        <v>0</v>
      </c>
      <c r="HH44" s="12">
        <f t="shared" si="168"/>
        <v>0</v>
      </c>
      <c r="HI44" s="12">
        <f t="shared" si="169"/>
        <v>0</v>
      </c>
      <c r="HJ44" s="12">
        <f t="shared" si="170"/>
        <v>0</v>
      </c>
      <c r="HK44" s="12">
        <f t="shared" si="171"/>
        <v>0</v>
      </c>
      <c r="HL44" s="12">
        <f t="shared" si="172"/>
        <v>0</v>
      </c>
      <c r="HM44" s="12">
        <f t="shared" si="173"/>
        <v>0</v>
      </c>
      <c r="HN44" s="12">
        <f t="shared" si="174"/>
        <v>0</v>
      </c>
      <c r="HO44" s="12">
        <f t="shared" si="175"/>
        <v>0</v>
      </c>
      <c r="HP44" s="12">
        <f t="shared" si="176"/>
        <v>0</v>
      </c>
      <c r="HQ44" s="12">
        <f t="shared" si="177"/>
        <v>0</v>
      </c>
      <c r="HR44" s="12">
        <f t="shared" si="178"/>
        <v>0</v>
      </c>
      <c r="HS44" s="12">
        <f t="shared" si="179"/>
        <v>0</v>
      </c>
      <c r="HT44" s="12">
        <f t="shared" si="180"/>
        <v>0</v>
      </c>
      <c r="HU44" s="12">
        <f t="shared" si="181"/>
        <v>0</v>
      </c>
      <c r="HV44" s="12">
        <f t="shared" si="182"/>
        <v>0</v>
      </c>
      <c r="HW44" s="12">
        <f t="shared" si="183"/>
        <v>0</v>
      </c>
      <c r="HX44" s="12">
        <f t="shared" si="184"/>
        <v>0</v>
      </c>
      <c r="HY44" s="12">
        <f t="shared" si="185"/>
        <v>0</v>
      </c>
      <c r="HZ44" s="12">
        <f t="shared" si="186"/>
        <v>0</v>
      </c>
      <c r="IA44" s="12">
        <f t="shared" si="187"/>
        <v>0</v>
      </c>
      <c r="IB44" s="12">
        <f t="shared" si="188"/>
        <v>0</v>
      </c>
      <c r="IC44" s="12">
        <f t="shared" si="189"/>
        <v>0</v>
      </c>
      <c r="ID44" s="12">
        <f t="shared" si="190"/>
        <v>0</v>
      </c>
      <c r="IE44" s="12">
        <f t="shared" si="191"/>
        <v>0</v>
      </c>
      <c r="IF44" s="12">
        <f t="shared" si="192"/>
        <v>0</v>
      </c>
      <c r="IG44" s="12">
        <f t="shared" si="193"/>
        <v>0</v>
      </c>
      <c r="IH44" s="12">
        <f t="shared" si="194"/>
        <v>0</v>
      </c>
      <c r="II44" s="12">
        <f t="shared" si="195"/>
        <v>0</v>
      </c>
      <c r="IJ44" s="12">
        <f t="shared" si="196"/>
        <v>0</v>
      </c>
      <c r="IK44" s="12">
        <f t="shared" si="197"/>
        <v>0</v>
      </c>
      <c r="IL44" s="12">
        <f t="shared" si="198"/>
        <v>0</v>
      </c>
      <c r="IM44" s="12">
        <f t="shared" si="199"/>
        <v>0</v>
      </c>
      <c r="IN44" s="12">
        <f t="shared" si="200"/>
        <v>0</v>
      </c>
      <c r="IO44" s="12">
        <f t="shared" si="201"/>
        <v>0</v>
      </c>
      <c r="IP44" s="12">
        <f t="shared" si="202"/>
        <v>0</v>
      </c>
      <c r="IQ44" s="12">
        <f t="shared" si="203"/>
        <v>0</v>
      </c>
      <c r="IR44" s="12">
        <f t="shared" si="204"/>
        <v>0</v>
      </c>
      <c r="IS44" s="12">
        <f t="shared" si="205"/>
        <v>0</v>
      </c>
      <c r="IT44" s="12">
        <f t="shared" si="206"/>
        <v>0</v>
      </c>
      <c r="IU44" s="12">
        <f t="shared" si="207"/>
        <v>0</v>
      </c>
      <c r="IV44" s="12">
        <f t="shared" si="208"/>
        <v>0</v>
      </c>
      <c r="IW44" s="12">
        <f t="shared" si="209"/>
        <v>0</v>
      </c>
      <c r="IX44" s="12">
        <f t="shared" si="210"/>
        <v>0</v>
      </c>
      <c r="IY44" s="12">
        <f t="shared" si="211"/>
        <v>0</v>
      </c>
      <c r="IZ44" s="12">
        <f t="shared" si="212"/>
        <v>0</v>
      </c>
      <c r="JA44" s="13">
        <f t="shared" si="213"/>
        <v>0</v>
      </c>
      <c r="JB44" s="13">
        <f t="shared" si="214"/>
        <v>0</v>
      </c>
      <c r="JC44" s="13">
        <f t="shared" si="215"/>
        <v>0</v>
      </c>
      <c r="JD44" s="13">
        <f t="shared" si="216"/>
        <v>0</v>
      </c>
      <c r="JE44" s="13">
        <f t="shared" si="217"/>
        <v>0</v>
      </c>
      <c r="JF44" s="13">
        <f t="shared" si="218"/>
        <v>0</v>
      </c>
      <c r="JG44" s="13">
        <f t="shared" si="219"/>
        <v>0</v>
      </c>
      <c r="JH44" s="13">
        <f t="shared" si="220"/>
        <v>0</v>
      </c>
      <c r="JI44" s="13">
        <f t="shared" si="221"/>
        <v>0</v>
      </c>
      <c r="JJ44" s="13">
        <f t="shared" si="222"/>
        <v>0</v>
      </c>
      <c r="JK44" s="13">
        <f t="shared" si="223"/>
        <v>0</v>
      </c>
      <c r="JL44" s="13">
        <f t="shared" si="224"/>
        <v>0</v>
      </c>
      <c r="JM44" s="13">
        <f t="shared" si="225"/>
        <v>0</v>
      </c>
      <c r="JN44" s="13">
        <f t="shared" si="226"/>
        <v>0</v>
      </c>
      <c r="JO44" s="13">
        <f t="shared" si="227"/>
        <v>0</v>
      </c>
      <c r="JP44" s="13">
        <f t="shared" si="228"/>
        <v>0</v>
      </c>
      <c r="JQ44" s="13">
        <f t="shared" si="229"/>
        <v>0</v>
      </c>
      <c r="JR44" s="13">
        <f t="shared" si="230"/>
        <v>0</v>
      </c>
      <c r="JS44" s="13">
        <f t="shared" si="231"/>
        <v>0</v>
      </c>
      <c r="JT44" s="13">
        <f t="shared" si="232"/>
        <v>0</v>
      </c>
      <c r="JU44" s="13">
        <f t="shared" si="233"/>
        <v>0</v>
      </c>
      <c r="JV44" s="12">
        <f t="shared" si="234"/>
        <v>0</v>
      </c>
      <c r="JW44" s="12">
        <f t="shared" si="235"/>
        <v>0</v>
      </c>
      <c r="JX44" s="12">
        <f t="shared" si="236"/>
        <v>0</v>
      </c>
      <c r="JY44" s="12">
        <f t="shared" si="237"/>
        <v>0</v>
      </c>
      <c r="JZ44" s="12">
        <f t="shared" si="238"/>
        <v>0</v>
      </c>
      <c r="KA44" s="12">
        <f t="shared" si="239"/>
        <v>0</v>
      </c>
      <c r="KB44" s="12">
        <f t="shared" si="240"/>
        <v>0</v>
      </c>
      <c r="KC44" s="12">
        <f t="shared" si="241"/>
        <v>0</v>
      </c>
      <c r="KD44" s="12">
        <f t="shared" si="242"/>
        <v>0</v>
      </c>
      <c r="KE44" s="12">
        <f t="shared" si="243"/>
        <v>0</v>
      </c>
      <c r="KF44" s="12">
        <f t="shared" si="244"/>
        <v>0</v>
      </c>
      <c r="KG44" s="12">
        <f t="shared" si="245"/>
        <v>0</v>
      </c>
      <c r="KH44" s="12">
        <f t="shared" si="246"/>
        <v>0</v>
      </c>
      <c r="KI44" s="12">
        <f t="shared" si="247"/>
        <v>0</v>
      </c>
      <c r="KJ44" s="12">
        <f t="shared" si="248"/>
        <v>0</v>
      </c>
      <c r="KK44" s="12">
        <f t="shared" si="249"/>
        <v>0</v>
      </c>
      <c r="KL44" s="12">
        <f t="shared" si="250"/>
        <v>0</v>
      </c>
      <c r="KM44" s="12">
        <f t="shared" si="251"/>
        <v>0</v>
      </c>
      <c r="KN44" s="12">
        <f t="shared" si="252"/>
        <v>0</v>
      </c>
      <c r="KO44" s="12">
        <f t="shared" si="253"/>
        <v>0</v>
      </c>
      <c r="KP44" s="12">
        <f t="shared" si="254"/>
        <v>0</v>
      </c>
      <c r="KQ44" s="12">
        <f t="shared" si="255"/>
        <v>0</v>
      </c>
      <c r="KR44" s="12">
        <f t="shared" si="256"/>
        <v>0</v>
      </c>
      <c r="KS44" s="12">
        <f t="shared" si="257"/>
        <v>0</v>
      </c>
      <c r="KT44" s="12">
        <f t="shared" si="258"/>
        <v>0</v>
      </c>
      <c r="KU44" s="12">
        <f t="shared" si="259"/>
        <v>0</v>
      </c>
      <c r="KV44" s="12">
        <f t="shared" si="260"/>
        <v>0</v>
      </c>
      <c r="KW44" s="12">
        <f t="shared" si="261"/>
        <v>0</v>
      </c>
      <c r="KX44" s="12">
        <f t="shared" si="262"/>
        <v>0</v>
      </c>
      <c r="KY44" s="12">
        <f t="shared" si="263"/>
        <v>0</v>
      </c>
      <c r="KZ44" s="12">
        <f t="shared" si="264"/>
        <v>0</v>
      </c>
      <c r="LA44" s="12">
        <f t="shared" si="265"/>
        <v>0</v>
      </c>
      <c r="LB44" s="12">
        <f t="shared" si="266"/>
        <v>0</v>
      </c>
      <c r="LC44" s="12">
        <f t="shared" si="267"/>
        <v>0</v>
      </c>
      <c r="LD44" s="12">
        <f t="shared" si="268"/>
        <v>0</v>
      </c>
      <c r="LE44" s="12">
        <f t="shared" si="269"/>
        <v>0</v>
      </c>
      <c r="LF44" s="12">
        <f t="shared" si="270"/>
        <v>0</v>
      </c>
      <c r="LG44" s="12">
        <f t="shared" si="271"/>
        <v>0</v>
      </c>
      <c r="LH44" s="12">
        <f t="shared" si="272"/>
        <v>0</v>
      </c>
      <c r="LI44" s="12">
        <f t="shared" si="273"/>
        <v>0</v>
      </c>
      <c r="LJ44" s="12">
        <f t="shared" si="274"/>
        <v>0</v>
      </c>
      <c r="LK44" s="12">
        <f t="shared" si="275"/>
        <v>0</v>
      </c>
      <c r="LL44" s="12">
        <f t="shared" si="276"/>
        <v>0</v>
      </c>
      <c r="LM44" s="12">
        <f t="shared" si="277"/>
        <v>0</v>
      </c>
      <c r="LN44" s="12">
        <f t="shared" si="278"/>
        <v>0</v>
      </c>
      <c r="LO44" s="12">
        <f t="shared" si="279"/>
        <v>0</v>
      </c>
      <c r="LP44" s="12">
        <f t="shared" si="280"/>
        <v>0</v>
      </c>
      <c r="LQ44" s="12">
        <f t="shared" si="281"/>
        <v>0</v>
      </c>
      <c r="LR44" s="12">
        <f t="shared" si="282"/>
        <v>0</v>
      </c>
      <c r="LS44" s="12">
        <f t="shared" si="283"/>
        <v>0</v>
      </c>
      <c r="LT44" s="13">
        <f t="shared" si="284"/>
        <v>0</v>
      </c>
      <c r="LU44" s="13">
        <f t="shared" si="285"/>
        <v>0</v>
      </c>
      <c r="LV44" s="13">
        <f t="shared" si="286"/>
        <v>0</v>
      </c>
      <c r="LW44" s="13">
        <f t="shared" si="287"/>
        <v>0</v>
      </c>
      <c r="LX44" s="13">
        <f t="shared" si="288"/>
        <v>0</v>
      </c>
      <c r="LY44" s="13">
        <f t="shared" si="289"/>
        <v>0</v>
      </c>
      <c r="LZ44" s="13">
        <f t="shared" si="290"/>
        <v>0</v>
      </c>
      <c r="MA44" s="13">
        <f t="shared" si="291"/>
        <v>0</v>
      </c>
      <c r="MB44" s="13">
        <f t="shared" si="292"/>
        <v>0</v>
      </c>
      <c r="MC44" s="13">
        <f t="shared" si="293"/>
        <v>0</v>
      </c>
      <c r="MD44" s="13">
        <f t="shared" si="294"/>
        <v>0</v>
      </c>
      <c r="ME44" s="13">
        <f t="shared" si="295"/>
        <v>0</v>
      </c>
      <c r="MF44" s="13">
        <f t="shared" si="296"/>
        <v>0</v>
      </c>
      <c r="MG44" s="13">
        <f t="shared" si="297"/>
        <v>0</v>
      </c>
      <c r="MH44" s="13">
        <f t="shared" si="298"/>
        <v>0</v>
      </c>
      <c r="MI44" s="13">
        <f t="shared" si="299"/>
        <v>0</v>
      </c>
      <c r="MJ44" s="13">
        <f t="shared" si="300"/>
        <v>0</v>
      </c>
      <c r="MK44" s="13">
        <f t="shared" si="301"/>
        <v>0</v>
      </c>
      <c r="ML44" s="14">
        <f t="shared" si="302"/>
        <v>0</v>
      </c>
      <c r="MM44" s="14">
        <f t="shared" si="303"/>
        <v>0</v>
      </c>
      <c r="MN44" s="14">
        <f t="shared" si="304"/>
        <v>0</v>
      </c>
      <c r="MO44" s="14">
        <f t="shared" si="305"/>
        <v>1</v>
      </c>
      <c r="MP44" s="14">
        <f t="shared" si="306"/>
        <v>0</v>
      </c>
      <c r="MQ44" s="14">
        <f t="shared" si="307"/>
        <v>0</v>
      </c>
      <c r="MR44" s="14">
        <f t="shared" si="308"/>
        <v>0</v>
      </c>
      <c r="MS44" s="14">
        <f t="shared" si="309"/>
        <v>0</v>
      </c>
      <c r="MT44" s="14">
        <f t="shared" si="310"/>
        <v>0</v>
      </c>
      <c r="MU44" s="14">
        <f t="shared" si="311"/>
        <v>0</v>
      </c>
      <c r="MV44" s="14">
        <f t="shared" si="312"/>
        <v>0</v>
      </c>
      <c r="MW44" s="14">
        <f t="shared" si="313"/>
        <v>0</v>
      </c>
      <c r="MX44" s="14">
        <f t="shared" si="314"/>
        <v>0</v>
      </c>
      <c r="MY44" s="14">
        <f t="shared" si="315"/>
        <v>0</v>
      </c>
      <c r="MZ44" s="14">
        <f t="shared" si="316"/>
        <v>0</v>
      </c>
      <c r="NA44" s="14">
        <f t="shared" si="317"/>
        <v>0</v>
      </c>
      <c r="NB44" s="14">
        <f t="shared" si="318"/>
        <v>0</v>
      </c>
    </row>
    <row r="45" ht="15.75" customHeight="1">
      <c r="A45" s="2">
        <v>316.0</v>
      </c>
      <c r="B45" s="2" t="s">
        <v>1156</v>
      </c>
      <c r="C45" s="2" t="s">
        <v>1157</v>
      </c>
      <c r="D45" s="2" t="s">
        <v>1158</v>
      </c>
      <c r="E45" s="2">
        <v>2019.0</v>
      </c>
      <c r="F45" s="2" t="s">
        <v>1159</v>
      </c>
      <c r="G45" s="2" t="s">
        <v>1048</v>
      </c>
      <c r="H45" s="2" t="s">
        <v>392</v>
      </c>
      <c r="J45" s="2" t="s">
        <v>1160</v>
      </c>
      <c r="K45" s="2" t="s">
        <v>657</v>
      </c>
      <c r="M45" s="2">
        <v>35.0</v>
      </c>
      <c r="N45" s="2" t="s">
        <v>1161</v>
      </c>
      <c r="O45" s="2" t="s">
        <v>1162</v>
      </c>
      <c r="P45" s="2" t="s">
        <v>1163</v>
      </c>
      <c r="Q45" s="2" t="s">
        <v>1164</v>
      </c>
      <c r="R45" s="2" t="s">
        <v>1165</v>
      </c>
      <c r="S45" s="2" t="s">
        <v>1166</v>
      </c>
      <c r="T45" s="2" t="s">
        <v>1167</v>
      </c>
      <c r="Y45" s="2" t="s">
        <v>1168</v>
      </c>
      <c r="AB45" s="2" t="s">
        <v>1169</v>
      </c>
      <c r="AG45" s="2" t="s">
        <v>1170</v>
      </c>
      <c r="AI45" s="2" t="s">
        <v>1171</v>
      </c>
      <c r="AJ45" s="2">
        <v>3.1117129E7</v>
      </c>
      <c r="AK45" s="2" t="s">
        <v>1172</v>
      </c>
      <c r="AL45" s="2" t="s">
        <v>384</v>
      </c>
      <c r="AM45" s="2" t="s">
        <v>385</v>
      </c>
      <c r="AN45" s="2" t="s">
        <v>386</v>
      </c>
      <c r="AO45" s="2" t="s">
        <v>1173</v>
      </c>
      <c r="AP45" s="2" t="s">
        <v>386</v>
      </c>
      <c r="AQ45" s="2">
        <v>1247.0</v>
      </c>
      <c r="AR45" s="2" t="s">
        <v>1174</v>
      </c>
      <c r="AS45" s="2" t="b">
        <v>1</v>
      </c>
      <c r="AT45" s="3">
        <v>0.0</v>
      </c>
      <c r="AU45" s="4"/>
      <c r="AV45" s="4">
        <v>1.0</v>
      </c>
      <c r="AW45" s="5">
        <f t="shared" si="3"/>
        <v>0</v>
      </c>
      <c r="AX45" s="5">
        <f t="shared" si="4"/>
        <v>0</v>
      </c>
      <c r="AY45" s="5">
        <f t="shared" si="5"/>
        <v>0</v>
      </c>
      <c r="AZ45" s="5">
        <f t="shared" si="6"/>
        <v>0</v>
      </c>
      <c r="BA45" s="5">
        <f t="shared" si="7"/>
        <v>0</v>
      </c>
      <c r="BB45" s="5">
        <f t="shared" si="8"/>
        <v>0</v>
      </c>
      <c r="BC45" s="5">
        <f t="shared" si="9"/>
        <v>0</v>
      </c>
      <c r="BD45" s="5">
        <f t="shared" si="10"/>
        <v>0</v>
      </c>
      <c r="BE45" s="5">
        <f t="shared" si="11"/>
        <v>0</v>
      </c>
      <c r="BF45" s="5">
        <f t="shared" si="12"/>
        <v>0</v>
      </c>
      <c r="BG45" s="5">
        <f t="shared" si="13"/>
        <v>0</v>
      </c>
      <c r="BH45" s="5">
        <f t="shared" si="14"/>
        <v>0</v>
      </c>
      <c r="BI45" s="5">
        <f t="shared" si="15"/>
        <v>0</v>
      </c>
      <c r="BJ45" s="5">
        <f t="shared" si="16"/>
        <v>0</v>
      </c>
      <c r="BK45" s="5">
        <f t="shared" si="17"/>
        <v>0</v>
      </c>
      <c r="BL45" s="5">
        <f t="shared" si="18"/>
        <v>0</v>
      </c>
      <c r="BM45" s="5">
        <f t="shared" si="19"/>
        <v>0</v>
      </c>
      <c r="BN45" s="5">
        <f t="shared" si="20"/>
        <v>0</v>
      </c>
      <c r="BO45" s="5">
        <f t="shared" si="21"/>
        <v>0</v>
      </c>
      <c r="BP45" s="5">
        <f t="shared" si="22"/>
        <v>0</v>
      </c>
      <c r="BQ45" s="5">
        <f t="shared" si="23"/>
        <v>0</v>
      </c>
      <c r="BR45" s="5">
        <f t="shared" si="24"/>
        <v>0</v>
      </c>
      <c r="BS45" s="5">
        <f t="shared" si="25"/>
        <v>0</v>
      </c>
      <c r="BT45" s="5">
        <f t="shared" si="26"/>
        <v>0</v>
      </c>
      <c r="BU45" s="5">
        <f t="shared" si="27"/>
        <v>1</v>
      </c>
      <c r="BV45" s="5">
        <f t="shared" ref="BV45:BW45" si="415">IF(OR(ISNUMBER(SEARCH("grit",$D45)),ISNUMBER(SEARCH("grit",$T45)),ISNUMBER(SEARCH("grit",$R45)),ISNUMBER(SEARCH("grit",$S45)),
ISNUMBER(SEARCH("determination",$D45)),ISNUMBER(SEARCH("determination",$T45)),ISNUMBER(SEARCH("determination",$R45)),ISNUMBER(SEARCH("determination",$S45)),
ISNUMBER(SEARCH("tenacity",$D45)),ISNUMBER(SEARCH("tenacity",$T45)),ISNUMBER(SEARCH("tenacity",$R45)),ISNUMBER(SEARCH("tenacity",$S45)),
ISNUMBER(SEARCH("endurance",$D45)),ISNUMBER(SEARCH("endurance",$T45)),ISNUMBER(SEARCH("endurance",$R45)),ISNUMBER(SEARCH("endurance",$S45)),
ISNUMBER(SEARCH("fortitude",$D45)),ISNUMBER(SEARCH("fortitude",$T45)),ISNUMBER(SEARCH("fortitude",$R45)),ISNUMBER(SEARCH("fortitude",$S45)),
ISNUMBER(SEARCH("resolve",$D45)),ISNUMBER(SEARCH("resolve",$T45)),ISNUMBER(SEARCH("resolve",$R45)),ISNUMBER(SEARCH("resolve",$S45)),
ISNUMBER(SEARCH("stamina",$D45)),ISNUMBER(SEARCH("stamina",$T45)),ISNUMBER(SEARCH("stamina",$R45)),ISNUMBER(SEARCH("stamina",$S45)),
ISNUMBER(SEARCH("guts",$D45)),ISNUMBER(SEARCH("guts",$T45)),ISNUMBER(SEARCH("guts",$R45)),ISNUMBER(SEARCH("guts",$S45)),
ISNUMBER(SEARCH("spunk",$D45)),ISNUMBER(SEARCH("spunk",$T45)),ISNUMBER(SEARCH("spunk",$R45)),ISNUMBER(SEARCH("spunk",$S45))), 1, 0)</f>
        <v>0</v>
      </c>
      <c r="BW45" s="5">
        <f t="shared" si="415"/>
        <v>0</v>
      </c>
      <c r="BX45" s="5">
        <f t="shared" si="29"/>
        <v>0</v>
      </c>
      <c r="BY45" s="5">
        <f t="shared" si="30"/>
        <v>0</v>
      </c>
      <c r="BZ45" s="5">
        <f t="shared" si="31"/>
        <v>0</v>
      </c>
      <c r="CA45" s="5">
        <f t="shared" si="32"/>
        <v>0</v>
      </c>
      <c r="CB45" s="5">
        <f t="shared" si="33"/>
        <v>0</v>
      </c>
      <c r="CC45" s="5">
        <f t="shared" si="34"/>
        <v>0</v>
      </c>
      <c r="CD45" s="5">
        <f t="shared" si="35"/>
        <v>0</v>
      </c>
      <c r="CE45" s="5">
        <f t="shared" si="36"/>
        <v>0</v>
      </c>
      <c r="CF45" s="5">
        <f t="shared" si="37"/>
        <v>0</v>
      </c>
      <c r="CG45" s="5">
        <f t="shared" si="38"/>
        <v>0</v>
      </c>
      <c r="CH45" s="5">
        <f t="shared" si="39"/>
        <v>0</v>
      </c>
      <c r="CI45" s="5">
        <f t="shared" si="40"/>
        <v>0</v>
      </c>
      <c r="CJ45" s="5">
        <f t="shared" si="41"/>
        <v>0</v>
      </c>
      <c r="CK45" s="5">
        <f t="shared" si="42"/>
        <v>0</v>
      </c>
      <c r="CL45" s="5">
        <f t="shared" si="43"/>
        <v>0</v>
      </c>
      <c r="CM45" s="5">
        <f t="shared" si="44"/>
        <v>0</v>
      </c>
      <c r="CN45" s="5">
        <f t="shared" si="45"/>
        <v>0</v>
      </c>
      <c r="CO45" s="5">
        <f t="shared" si="46"/>
        <v>0</v>
      </c>
      <c r="CP45" s="6">
        <f t="shared" si="47"/>
        <v>0</v>
      </c>
      <c r="CQ45" s="6">
        <f t="shared" si="48"/>
        <v>0</v>
      </c>
      <c r="CR45" s="6">
        <f t="shared" si="49"/>
        <v>0</v>
      </c>
      <c r="CS45" s="6">
        <f t="shared" si="50"/>
        <v>0</v>
      </c>
      <c r="CT45" s="6">
        <f t="shared" si="51"/>
        <v>0</v>
      </c>
      <c r="CU45" s="6">
        <f t="shared" si="52"/>
        <v>0</v>
      </c>
      <c r="CV45" s="6">
        <f t="shared" si="53"/>
        <v>0</v>
      </c>
      <c r="CW45" s="6">
        <f t="shared" si="54"/>
        <v>0</v>
      </c>
      <c r="CX45" s="6">
        <f t="shared" si="55"/>
        <v>0</v>
      </c>
      <c r="CY45" s="6">
        <f t="shared" si="56"/>
        <v>0</v>
      </c>
      <c r="CZ45" s="6">
        <f t="shared" si="57"/>
        <v>0</v>
      </c>
      <c r="DA45" s="6">
        <f t="shared" si="58"/>
        <v>0</v>
      </c>
      <c r="DB45" s="6">
        <f t="shared" si="59"/>
        <v>0</v>
      </c>
      <c r="DC45" s="6">
        <f t="shared" si="60"/>
        <v>0</v>
      </c>
      <c r="DD45" s="6">
        <f t="shared" si="61"/>
        <v>0</v>
      </c>
      <c r="DE45" s="6">
        <f t="shared" si="62"/>
        <v>0</v>
      </c>
      <c r="DF45" s="6">
        <f t="shared" si="63"/>
        <v>0</v>
      </c>
      <c r="DG45" s="6">
        <f t="shared" si="64"/>
        <v>0</v>
      </c>
      <c r="DH45" s="6">
        <f t="shared" si="384"/>
        <v>0</v>
      </c>
      <c r="DI45" s="6">
        <f t="shared" si="66"/>
        <v>0</v>
      </c>
      <c r="DJ45" s="6">
        <f t="shared" si="385"/>
        <v>0</v>
      </c>
      <c r="DK45" s="7">
        <f t="shared" si="68"/>
        <v>0</v>
      </c>
      <c r="DL45" s="7">
        <f t="shared" si="411"/>
        <v>0</v>
      </c>
      <c r="DM45" s="7">
        <f t="shared" si="70"/>
        <v>0</v>
      </c>
      <c r="DN45" s="7">
        <f t="shared" si="71"/>
        <v>0</v>
      </c>
      <c r="DO45" s="7">
        <f t="shared" si="72"/>
        <v>1</v>
      </c>
      <c r="DP45" s="8">
        <f t="shared" si="73"/>
        <v>0</v>
      </c>
      <c r="DQ45" s="8">
        <f t="shared" si="74"/>
        <v>1</v>
      </c>
      <c r="DR45" s="7">
        <f t="shared" si="75"/>
        <v>1</v>
      </c>
      <c r="DS45" s="7">
        <f t="shared" si="76"/>
        <v>0</v>
      </c>
      <c r="DT45" s="7">
        <f t="shared" si="77"/>
        <v>0</v>
      </c>
      <c r="DU45" s="9">
        <f t="shared" si="78"/>
        <v>0</v>
      </c>
      <c r="DV45" s="9">
        <f t="shared" si="79"/>
        <v>0</v>
      </c>
      <c r="DW45" s="9">
        <f t="shared" si="80"/>
        <v>0</v>
      </c>
      <c r="DX45" s="9">
        <f t="shared" si="81"/>
        <v>0</v>
      </c>
      <c r="DY45" s="9">
        <f t="shared" si="82"/>
        <v>0</v>
      </c>
      <c r="DZ45" s="9">
        <f t="shared" si="83"/>
        <v>0</v>
      </c>
      <c r="EA45" s="9">
        <f t="shared" si="84"/>
        <v>0</v>
      </c>
      <c r="EB45" s="9">
        <f t="shared" si="85"/>
        <v>0</v>
      </c>
      <c r="EC45" s="9">
        <f t="shared" si="86"/>
        <v>0</v>
      </c>
      <c r="ED45" s="9">
        <f t="shared" si="87"/>
        <v>0</v>
      </c>
      <c r="EE45" s="9">
        <f t="shared" si="88"/>
        <v>0</v>
      </c>
      <c r="EF45" s="9">
        <f t="shared" si="89"/>
        <v>0</v>
      </c>
      <c r="EG45" s="9">
        <f t="shared" si="90"/>
        <v>0</v>
      </c>
      <c r="EH45" s="9">
        <f t="shared" si="91"/>
        <v>0</v>
      </c>
      <c r="EI45" s="9">
        <f t="shared" si="92"/>
        <v>0</v>
      </c>
      <c r="EJ45" s="10">
        <f t="shared" si="93"/>
        <v>0</v>
      </c>
      <c r="EK45" s="10">
        <f t="shared" si="94"/>
        <v>0</v>
      </c>
      <c r="EL45" s="10">
        <f t="shared" ref="EL45:EM45" si="416">IF(OR(ISNUMBER(SEARCH("ai software toolkit", $D45)), ISNUMBER(SEARCH("ai software toolkit", $T45)), ISNUMBER(SEARCH("ai software toolkit", $R45)), ISNUMBER(SEARCH("ai software toolkit", $S45))), 1, 0)</f>
        <v>0</v>
      </c>
      <c r="EM45" s="10">
        <f t="shared" si="416"/>
        <v>0</v>
      </c>
      <c r="EN45" s="10">
        <f t="shared" si="96"/>
        <v>0</v>
      </c>
      <c r="EO45" s="10">
        <f t="shared" si="97"/>
        <v>0</v>
      </c>
      <c r="EP45" s="10">
        <f t="shared" si="98"/>
        <v>0</v>
      </c>
      <c r="EQ45" s="10">
        <f t="shared" si="99"/>
        <v>0</v>
      </c>
      <c r="ER45" s="10">
        <f t="shared" si="100"/>
        <v>0</v>
      </c>
      <c r="ES45" s="10">
        <f t="shared" si="101"/>
        <v>0</v>
      </c>
      <c r="ET45" s="10">
        <f t="shared" si="102"/>
        <v>0</v>
      </c>
      <c r="EU45" s="10">
        <f t="shared" si="103"/>
        <v>0</v>
      </c>
      <c r="EV45" s="10">
        <f t="shared" si="104"/>
        <v>0</v>
      </c>
      <c r="EW45" s="10">
        <f t="shared" si="105"/>
        <v>0</v>
      </c>
      <c r="EX45" s="10">
        <f t="shared" si="106"/>
        <v>0</v>
      </c>
      <c r="EY45" s="10">
        <f t="shared" si="107"/>
        <v>0</v>
      </c>
      <c r="EZ45" s="10">
        <f t="shared" si="108"/>
        <v>0</v>
      </c>
      <c r="FA45" s="10">
        <f t="shared" si="109"/>
        <v>0</v>
      </c>
      <c r="FB45" s="10">
        <f t="shared" si="110"/>
        <v>0</v>
      </c>
      <c r="FC45" s="10">
        <f t="shared" si="111"/>
        <v>0</v>
      </c>
      <c r="FD45" s="10">
        <f t="shared" si="112"/>
        <v>0</v>
      </c>
      <c r="FE45" s="10">
        <f t="shared" si="113"/>
        <v>0</v>
      </c>
      <c r="FF45" s="10">
        <f t="shared" si="114"/>
        <v>0</v>
      </c>
      <c r="FG45" s="10">
        <f t="shared" si="115"/>
        <v>0</v>
      </c>
      <c r="FH45" s="10">
        <f t="shared" si="116"/>
        <v>0</v>
      </c>
      <c r="FI45" s="10">
        <f t="shared" si="117"/>
        <v>0</v>
      </c>
      <c r="FJ45" s="10">
        <f t="shared" si="118"/>
        <v>0</v>
      </c>
      <c r="FK45" s="10">
        <f t="shared" si="119"/>
        <v>0</v>
      </c>
      <c r="FL45" s="10">
        <f t="shared" si="120"/>
        <v>0</v>
      </c>
      <c r="FM45" s="10">
        <f t="shared" si="121"/>
        <v>0</v>
      </c>
      <c r="FN45" s="10">
        <f t="shared" si="122"/>
        <v>0</v>
      </c>
      <c r="FO45" s="10">
        <f t="shared" si="123"/>
        <v>0</v>
      </c>
      <c r="FP45" s="10">
        <f t="shared" si="124"/>
        <v>0</v>
      </c>
      <c r="FQ45" s="10">
        <f t="shared" si="125"/>
        <v>0</v>
      </c>
      <c r="FR45" s="11">
        <f>IF(
OR(
ISNUMBER(SEARCH("chatbot",$D45)),ISNUMBER(SEARCH("chatbot",$T45)),ISNUMBER(SEARCH("chatbot",$R44)),ISNUMBER(SEARCH("chatbot",$S45)),
ISNUMBER(SEARCH("virtual assistance",$D45)),ISNUMBER(SEARCH("virtual assistance",$T45)),ISNUMBER(SEARCH("virtual assistance",$R45)),ISNUMBER(SEARCH("virtual assistance",$S45))), 1, 0)</f>
        <v>0</v>
      </c>
      <c r="FS45" s="11">
        <f t="shared" si="127"/>
        <v>0</v>
      </c>
      <c r="FT45" s="11">
        <f t="shared" si="128"/>
        <v>0</v>
      </c>
      <c r="FU45" s="11">
        <f t="shared" si="129"/>
        <v>0</v>
      </c>
      <c r="FV45" s="11">
        <f t="shared" si="130"/>
        <v>0</v>
      </c>
      <c r="FW45" s="11">
        <f t="shared" si="131"/>
        <v>1</v>
      </c>
      <c r="FX45" s="11">
        <f t="shared" si="132"/>
        <v>0</v>
      </c>
      <c r="FY45" s="11">
        <f t="shared" si="133"/>
        <v>0</v>
      </c>
      <c r="FZ45" s="11">
        <f t="shared" si="134"/>
        <v>0</v>
      </c>
      <c r="GA45" s="11">
        <f t="shared" si="135"/>
        <v>0</v>
      </c>
      <c r="GB45" s="11">
        <f t="shared" si="136"/>
        <v>0</v>
      </c>
      <c r="GC45" s="11">
        <f t="shared" si="137"/>
        <v>0</v>
      </c>
      <c r="GD45" s="11">
        <f t="shared" si="138"/>
        <v>0</v>
      </c>
      <c r="GE45" s="11">
        <f t="shared" si="139"/>
        <v>0</v>
      </c>
      <c r="GF45" s="11">
        <f t="shared" si="140"/>
        <v>0</v>
      </c>
      <c r="GG45" s="11">
        <f t="shared" si="141"/>
        <v>0</v>
      </c>
      <c r="GH45" s="11">
        <f t="shared" si="142"/>
        <v>0</v>
      </c>
      <c r="GI45" s="11">
        <f t="shared" si="143"/>
        <v>0</v>
      </c>
      <c r="GJ45" s="11">
        <f t="shared" si="144"/>
        <v>0</v>
      </c>
      <c r="GK45" s="11">
        <f t="shared" si="145"/>
        <v>0</v>
      </c>
      <c r="GL45" s="11">
        <f t="shared" si="146"/>
        <v>0</v>
      </c>
      <c r="GM45" s="11">
        <f t="shared" si="147"/>
        <v>0</v>
      </c>
      <c r="GN45" s="11">
        <f t="shared" si="148"/>
        <v>0</v>
      </c>
      <c r="GO45" s="11">
        <f t="shared" si="149"/>
        <v>0</v>
      </c>
      <c r="GP45" s="11">
        <f t="shared" si="150"/>
        <v>0</v>
      </c>
      <c r="GQ45" s="11">
        <f t="shared" si="151"/>
        <v>0</v>
      </c>
      <c r="GR45" s="11">
        <f t="shared" si="152"/>
        <v>0</v>
      </c>
      <c r="GS45" s="11">
        <f t="shared" si="153"/>
        <v>0</v>
      </c>
      <c r="GT45" s="11">
        <f t="shared" si="154"/>
        <v>0</v>
      </c>
      <c r="GU45" s="12">
        <f t="shared" si="155"/>
        <v>0</v>
      </c>
      <c r="GV45" s="12">
        <f t="shared" si="156"/>
        <v>0</v>
      </c>
      <c r="GW45" s="12">
        <f t="shared" si="157"/>
        <v>0</v>
      </c>
      <c r="GX45" s="12">
        <f t="shared" si="158"/>
        <v>0</v>
      </c>
      <c r="GY45" s="12">
        <f t="shared" si="159"/>
        <v>0</v>
      </c>
      <c r="GZ45" s="12">
        <f t="shared" si="160"/>
        <v>0</v>
      </c>
      <c r="HA45" s="12">
        <f t="shared" si="161"/>
        <v>0</v>
      </c>
      <c r="HB45" s="12">
        <f t="shared" si="162"/>
        <v>0</v>
      </c>
      <c r="HC45" s="12">
        <f t="shared" si="163"/>
        <v>0</v>
      </c>
      <c r="HD45" s="12">
        <f t="shared" si="164"/>
        <v>0</v>
      </c>
      <c r="HE45" s="12">
        <f t="shared" si="165"/>
        <v>0</v>
      </c>
      <c r="HF45" s="12">
        <f t="shared" si="166"/>
        <v>0</v>
      </c>
      <c r="HG45" s="12">
        <f t="shared" si="167"/>
        <v>0</v>
      </c>
      <c r="HH45" s="12">
        <f t="shared" si="168"/>
        <v>0</v>
      </c>
      <c r="HI45" s="12">
        <f t="shared" si="169"/>
        <v>0</v>
      </c>
      <c r="HJ45" s="12">
        <f t="shared" si="170"/>
        <v>0</v>
      </c>
      <c r="HK45" s="12">
        <f t="shared" si="171"/>
        <v>0</v>
      </c>
      <c r="HL45" s="12">
        <f t="shared" si="172"/>
        <v>0</v>
      </c>
      <c r="HM45" s="12">
        <f t="shared" si="173"/>
        <v>0</v>
      </c>
      <c r="HN45" s="12">
        <f t="shared" si="174"/>
        <v>0</v>
      </c>
      <c r="HO45" s="12">
        <f t="shared" si="175"/>
        <v>0</v>
      </c>
      <c r="HP45" s="12">
        <f t="shared" si="176"/>
        <v>0</v>
      </c>
      <c r="HQ45" s="12">
        <f t="shared" si="177"/>
        <v>0</v>
      </c>
      <c r="HR45" s="12">
        <f t="shared" si="178"/>
        <v>0</v>
      </c>
      <c r="HS45" s="12">
        <f t="shared" si="179"/>
        <v>0</v>
      </c>
      <c r="HT45" s="12">
        <f t="shared" si="180"/>
        <v>0</v>
      </c>
      <c r="HU45" s="12">
        <f t="shared" si="181"/>
        <v>0</v>
      </c>
      <c r="HV45" s="12">
        <f t="shared" si="182"/>
        <v>0</v>
      </c>
      <c r="HW45" s="12">
        <f t="shared" si="183"/>
        <v>0</v>
      </c>
      <c r="HX45" s="12">
        <f t="shared" si="184"/>
        <v>0</v>
      </c>
      <c r="HY45" s="12">
        <f t="shared" si="185"/>
        <v>0</v>
      </c>
      <c r="HZ45" s="12">
        <f t="shared" si="186"/>
        <v>0</v>
      </c>
      <c r="IA45" s="12">
        <f t="shared" si="187"/>
        <v>0</v>
      </c>
      <c r="IB45" s="12">
        <f t="shared" si="188"/>
        <v>0</v>
      </c>
      <c r="IC45" s="12">
        <f t="shared" si="189"/>
        <v>0</v>
      </c>
      <c r="ID45" s="12">
        <f t="shared" si="190"/>
        <v>0</v>
      </c>
      <c r="IE45" s="12">
        <f t="shared" si="191"/>
        <v>0</v>
      </c>
      <c r="IF45" s="12">
        <f t="shared" si="192"/>
        <v>0</v>
      </c>
      <c r="IG45" s="12">
        <f t="shared" si="193"/>
        <v>0</v>
      </c>
      <c r="IH45" s="12">
        <f t="shared" si="194"/>
        <v>0</v>
      </c>
      <c r="II45" s="12">
        <f t="shared" si="195"/>
        <v>0</v>
      </c>
      <c r="IJ45" s="12">
        <f t="shared" si="196"/>
        <v>0</v>
      </c>
      <c r="IK45" s="12">
        <f t="shared" si="197"/>
        <v>0</v>
      </c>
      <c r="IL45" s="12">
        <f t="shared" si="198"/>
        <v>0</v>
      </c>
      <c r="IM45" s="12">
        <f t="shared" si="199"/>
        <v>0</v>
      </c>
      <c r="IN45" s="12">
        <f t="shared" si="200"/>
        <v>0</v>
      </c>
      <c r="IO45" s="12">
        <f t="shared" si="201"/>
        <v>0</v>
      </c>
      <c r="IP45" s="12">
        <f t="shared" si="202"/>
        <v>0</v>
      </c>
      <c r="IQ45" s="12">
        <f t="shared" si="203"/>
        <v>0</v>
      </c>
      <c r="IR45" s="12">
        <f t="shared" si="204"/>
        <v>0</v>
      </c>
      <c r="IS45" s="12">
        <f t="shared" si="205"/>
        <v>0</v>
      </c>
      <c r="IT45" s="12">
        <f t="shared" si="206"/>
        <v>0</v>
      </c>
      <c r="IU45" s="12">
        <f t="shared" si="207"/>
        <v>0</v>
      </c>
      <c r="IV45" s="12">
        <f t="shared" si="208"/>
        <v>0</v>
      </c>
      <c r="IW45" s="12">
        <f t="shared" si="209"/>
        <v>0</v>
      </c>
      <c r="IX45" s="12">
        <f t="shared" si="210"/>
        <v>0</v>
      </c>
      <c r="IY45" s="12">
        <f t="shared" si="211"/>
        <v>0</v>
      </c>
      <c r="IZ45" s="12">
        <f t="shared" si="212"/>
        <v>0</v>
      </c>
      <c r="JA45" s="13">
        <f t="shared" si="213"/>
        <v>0</v>
      </c>
      <c r="JB45" s="13">
        <f t="shared" si="214"/>
        <v>0</v>
      </c>
      <c r="JC45" s="13">
        <f t="shared" si="215"/>
        <v>0</v>
      </c>
      <c r="JD45" s="13">
        <f t="shared" si="216"/>
        <v>0</v>
      </c>
      <c r="JE45" s="13">
        <f t="shared" si="217"/>
        <v>0</v>
      </c>
      <c r="JF45" s="13">
        <f t="shared" si="218"/>
        <v>0</v>
      </c>
      <c r="JG45" s="13">
        <f t="shared" si="219"/>
        <v>0</v>
      </c>
      <c r="JH45" s="13">
        <f t="shared" si="220"/>
        <v>0</v>
      </c>
      <c r="JI45" s="13">
        <f t="shared" si="221"/>
        <v>0</v>
      </c>
      <c r="JJ45" s="13">
        <f t="shared" si="222"/>
        <v>0</v>
      </c>
      <c r="JK45" s="13">
        <f t="shared" si="223"/>
        <v>0</v>
      </c>
      <c r="JL45" s="13">
        <f t="shared" si="224"/>
        <v>0</v>
      </c>
      <c r="JM45" s="13">
        <f t="shared" si="225"/>
        <v>0</v>
      </c>
      <c r="JN45" s="13">
        <f t="shared" si="226"/>
        <v>0</v>
      </c>
      <c r="JO45" s="13">
        <f t="shared" si="227"/>
        <v>0</v>
      </c>
      <c r="JP45" s="13">
        <f t="shared" si="228"/>
        <v>0</v>
      </c>
      <c r="JQ45" s="13">
        <f t="shared" si="229"/>
        <v>0</v>
      </c>
      <c r="JR45" s="13">
        <f t="shared" si="230"/>
        <v>0</v>
      </c>
      <c r="JS45" s="13">
        <f t="shared" si="231"/>
        <v>0</v>
      </c>
      <c r="JT45" s="13">
        <f t="shared" si="232"/>
        <v>0</v>
      </c>
      <c r="JU45" s="13">
        <f t="shared" si="233"/>
        <v>0</v>
      </c>
      <c r="JV45" s="12">
        <f t="shared" si="234"/>
        <v>0</v>
      </c>
      <c r="JW45" s="12">
        <f t="shared" si="235"/>
        <v>0</v>
      </c>
      <c r="JX45" s="12">
        <f t="shared" si="236"/>
        <v>0</v>
      </c>
      <c r="JY45" s="12">
        <f t="shared" si="237"/>
        <v>0</v>
      </c>
      <c r="JZ45" s="12">
        <f t="shared" si="238"/>
        <v>0</v>
      </c>
      <c r="KA45" s="12">
        <f t="shared" si="239"/>
        <v>0</v>
      </c>
      <c r="KB45" s="12">
        <f t="shared" si="240"/>
        <v>0</v>
      </c>
      <c r="KC45" s="12">
        <f t="shared" si="241"/>
        <v>0</v>
      </c>
      <c r="KD45" s="12">
        <f t="shared" si="242"/>
        <v>0</v>
      </c>
      <c r="KE45" s="12">
        <f t="shared" si="243"/>
        <v>0</v>
      </c>
      <c r="KF45" s="12">
        <f t="shared" si="244"/>
        <v>0</v>
      </c>
      <c r="KG45" s="12">
        <f t="shared" si="245"/>
        <v>0</v>
      </c>
      <c r="KH45" s="12">
        <f t="shared" si="246"/>
        <v>0</v>
      </c>
      <c r="KI45" s="12">
        <f t="shared" si="247"/>
        <v>0</v>
      </c>
      <c r="KJ45" s="12">
        <f t="shared" si="248"/>
        <v>0</v>
      </c>
      <c r="KK45" s="12">
        <f t="shared" si="249"/>
        <v>0</v>
      </c>
      <c r="KL45" s="12">
        <f t="shared" si="250"/>
        <v>0</v>
      </c>
      <c r="KM45" s="12">
        <f t="shared" si="251"/>
        <v>0</v>
      </c>
      <c r="KN45" s="12">
        <f t="shared" si="252"/>
        <v>0</v>
      </c>
      <c r="KO45" s="12">
        <f t="shared" si="253"/>
        <v>0</v>
      </c>
      <c r="KP45" s="12">
        <f t="shared" si="254"/>
        <v>0</v>
      </c>
      <c r="KQ45" s="12">
        <f t="shared" si="255"/>
        <v>0</v>
      </c>
      <c r="KR45" s="12">
        <f t="shared" si="256"/>
        <v>0</v>
      </c>
      <c r="KS45" s="12">
        <f t="shared" si="257"/>
        <v>0</v>
      </c>
      <c r="KT45" s="12">
        <f t="shared" si="258"/>
        <v>0</v>
      </c>
      <c r="KU45" s="12">
        <f t="shared" si="259"/>
        <v>0</v>
      </c>
      <c r="KV45" s="12">
        <f t="shared" si="260"/>
        <v>0</v>
      </c>
      <c r="KW45" s="12">
        <f t="shared" si="261"/>
        <v>0</v>
      </c>
      <c r="KX45" s="12">
        <f t="shared" si="262"/>
        <v>0</v>
      </c>
      <c r="KY45" s="12">
        <f t="shared" si="263"/>
        <v>0</v>
      </c>
      <c r="KZ45" s="12">
        <f t="shared" si="264"/>
        <v>0</v>
      </c>
      <c r="LA45" s="12">
        <f t="shared" si="265"/>
        <v>0</v>
      </c>
      <c r="LB45" s="12">
        <f t="shared" si="266"/>
        <v>0</v>
      </c>
      <c r="LC45" s="12">
        <f t="shared" si="267"/>
        <v>0</v>
      </c>
      <c r="LD45" s="12">
        <f t="shared" si="268"/>
        <v>0</v>
      </c>
      <c r="LE45" s="12">
        <f t="shared" si="269"/>
        <v>0</v>
      </c>
      <c r="LF45" s="12">
        <f t="shared" si="270"/>
        <v>0</v>
      </c>
      <c r="LG45" s="12">
        <f t="shared" si="271"/>
        <v>0</v>
      </c>
      <c r="LH45" s="12">
        <f t="shared" si="272"/>
        <v>0</v>
      </c>
      <c r="LI45" s="12">
        <f t="shared" si="273"/>
        <v>0</v>
      </c>
      <c r="LJ45" s="12">
        <f t="shared" si="274"/>
        <v>0</v>
      </c>
      <c r="LK45" s="12">
        <f t="shared" si="275"/>
        <v>0</v>
      </c>
      <c r="LL45" s="12">
        <f t="shared" si="276"/>
        <v>0</v>
      </c>
      <c r="LM45" s="12">
        <f t="shared" si="277"/>
        <v>0</v>
      </c>
      <c r="LN45" s="12">
        <f t="shared" si="278"/>
        <v>0</v>
      </c>
      <c r="LO45" s="12">
        <f t="shared" si="279"/>
        <v>0</v>
      </c>
      <c r="LP45" s="12">
        <f t="shared" si="280"/>
        <v>0</v>
      </c>
      <c r="LQ45" s="12">
        <f t="shared" si="281"/>
        <v>0</v>
      </c>
      <c r="LR45" s="12">
        <f t="shared" si="282"/>
        <v>0</v>
      </c>
      <c r="LS45" s="12">
        <f t="shared" si="283"/>
        <v>0</v>
      </c>
      <c r="LT45" s="13">
        <f t="shared" si="284"/>
        <v>0</v>
      </c>
      <c r="LU45" s="13">
        <f t="shared" si="285"/>
        <v>0</v>
      </c>
      <c r="LV45" s="13">
        <f t="shared" si="286"/>
        <v>0</v>
      </c>
      <c r="LW45" s="13">
        <f t="shared" si="287"/>
        <v>0</v>
      </c>
      <c r="LX45" s="13">
        <f t="shared" si="288"/>
        <v>0</v>
      </c>
      <c r="LY45" s="13">
        <f t="shared" si="289"/>
        <v>0</v>
      </c>
      <c r="LZ45" s="13">
        <f t="shared" si="290"/>
        <v>0</v>
      </c>
      <c r="MA45" s="13">
        <f t="shared" si="291"/>
        <v>1</v>
      </c>
      <c r="MB45" s="13">
        <f t="shared" si="292"/>
        <v>0</v>
      </c>
      <c r="MC45" s="13">
        <f t="shared" si="293"/>
        <v>0</v>
      </c>
      <c r="MD45" s="13">
        <f t="shared" si="294"/>
        <v>0</v>
      </c>
      <c r="ME45" s="13">
        <f t="shared" si="295"/>
        <v>0</v>
      </c>
      <c r="MF45" s="13">
        <f t="shared" si="296"/>
        <v>0</v>
      </c>
      <c r="MG45" s="13">
        <f t="shared" si="297"/>
        <v>0</v>
      </c>
      <c r="MH45" s="13">
        <f t="shared" si="298"/>
        <v>0</v>
      </c>
      <c r="MI45" s="13">
        <f t="shared" si="299"/>
        <v>1</v>
      </c>
      <c r="MJ45" s="13">
        <f t="shared" si="300"/>
        <v>0</v>
      </c>
      <c r="MK45" s="13">
        <f t="shared" si="301"/>
        <v>0</v>
      </c>
      <c r="ML45" s="14">
        <f t="shared" si="302"/>
        <v>0</v>
      </c>
      <c r="MM45" s="14">
        <f t="shared" si="303"/>
        <v>0</v>
      </c>
      <c r="MN45" s="14">
        <f t="shared" si="304"/>
        <v>0</v>
      </c>
      <c r="MO45" s="14">
        <f t="shared" si="305"/>
        <v>0</v>
      </c>
      <c r="MP45" s="14">
        <f t="shared" si="306"/>
        <v>0</v>
      </c>
      <c r="MQ45" s="14">
        <f t="shared" si="307"/>
        <v>0</v>
      </c>
      <c r="MR45" s="14">
        <f t="shared" si="308"/>
        <v>0</v>
      </c>
      <c r="MS45" s="14">
        <f t="shared" si="309"/>
        <v>0</v>
      </c>
      <c r="MT45" s="14">
        <f t="shared" si="310"/>
        <v>0</v>
      </c>
      <c r="MU45" s="14">
        <f t="shared" si="311"/>
        <v>0</v>
      </c>
      <c r="MV45" s="14">
        <f t="shared" si="312"/>
        <v>0</v>
      </c>
      <c r="MW45" s="14">
        <f t="shared" si="313"/>
        <v>0</v>
      </c>
      <c r="MX45" s="14">
        <f t="shared" si="314"/>
        <v>0</v>
      </c>
      <c r="MY45" s="14">
        <f t="shared" si="315"/>
        <v>0</v>
      </c>
      <c r="MZ45" s="14">
        <f t="shared" si="316"/>
        <v>0</v>
      </c>
      <c r="NA45" s="14">
        <f t="shared" si="317"/>
        <v>0</v>
      </c>
      <c r="NB45" s="14">
        <f t="shared" si="318"/>
        <v>0</v>
      </c>
    </row>
    <row r="46" ht="15.75" customHeight="1">
      <c r="A46" s="2">
        <v>135.0</v>
      </c>
      <c r="B46" s="2" t="s">
        <v>1175</v>
      </c>
      <c r="C46" s="2" t="s">
        <v>1176</v>
      </c>
      <c r="D46" s="2" t="s">
        <v>1177</v>
      </c>
      <c r="E46" s="2">
        <v>2021.0</v>
      </c>
      <c r="F46" s="2" t="s">
        <v>1178</v>
      </c>
      <c r="G46" s="2" t="s">
        <v>510</v>
      </c>
      <c r="I46" s="2" t="s">
        <v>1179</v>
      </c>
      <c r="M46" s="2">
        <v>33.0</v>
      </c>
      <c r="N46" s="2" t="s">
        <v>1180</v>
      </c>
      <c r="O46" s="2" t="s">
        <v>1181</v>
      </c>
      <c r="P46" s="2" t="s">
        <v>1182</v>
      </c>
      <c r="Q46" s="2" t="s">
        <v>1183</v>
      </c>
      <c r="R46" s="2" t="s">
        <v>1184</v>
      </c>
      <c r="S46" s="2" t="s">
        <v>1185</v>
      </c>
      <c r="Y46" s="2" t="s">
        <v>1186</v>
      </c>
      <c r="AB46" s="2" t="s">
        <v>1039</v>
      </c>
      <c r="AG46" s="2" t="s">
        <v>1187</v>
      </c>
      <c r="AK46" s="2" t="s">
        <v>1188</v>
      </c>
      <c r="AL46" s="2" t="s">
        <v>384</v>
      </c>
      <c r="AM46" s="2" t="s">
        <v>484</v>
      </c>
      <c r="AN46" s="2" t="s">
        <v>386</v>
      </c>
      <c r="AO46" s="2" t="s">
        <v>1189</v>
      </c>
      <c r="AP46" s="2" t="s">
        <v>386</v>
      </c>
      <c r="AQ46" s="2">
        <v>441.0</v>
      </c>
      <c r="AR46" s="2" t="s">
        <v>1190</v>
      </c>
      <c r="AS46" s="2" t="b">
        <v>0</v>
      </c>
      <c r="AT46" s="3">
        <v>0.0</v>
      </c>
      <c r="AU46" s="4"/>
      <c r="AV46" s="4"/>
      <c r="AW46" s="5">
        <f t="shared" si="3"/>
        <v>0</v>
      </c>
      <c r="AX46" s="5">
        <f t="shared" si="4"/>
        <v>0</v>
      </c>
      <c r="AY46" s="5">
        <f t="shared" si="5"/>
        <v>0</v>
      </c>
      <c r="AZ46" s="5">
        <f t="shared" si="6"/>
        <v>0</v>
      </c>
      <c r="BA46" s="5">
        <f t="shared" si="7"/>
        <v>0</v>
      </c>
      <c r="BB46" s="5">
        <f t="shared" si="8"/>
        <v>0</v>
      </c>
      <c r="BC46" s="5">
        <f t="shared" si="9"/>
        <v>0</v>
      </c>
      <c r="BD46" s="5">
        <f t="shared" si="10"/>
        <v>0</v>
      </c>
      <c r="BE46" s="5">
        <f t="shared" si="11"/>
        <v>0</v>
      </c>
      <c r="BF46" s="5">
        <f t="shared" si="12"/>
        <v>0</v>
      </c>
      <c r="BG46" s="5">
        <f t="shared" si="13"/>
        <v>0</v>
      </c>
      <c r="BH46" s="5">
        <f t="shared" si="14"/>
        <v>0</v>
      </c>
      <c r="BI46" s="5">
        <f t="shared" si="15"/>
        <v>0</v>
      </c>
      <c r="BJ46" s="5">
        <f t="shared" si="16"/>
        <v>0</v>
      </c>
      <c r="BK46" s="5">
        <f t="shared" si="17"/>
        <v>0</v>
      </c>
      <c r="BL46" s="5">
        <f t="shared" si="18"/>
        <v>0</v>
      </c>
      <c r="BM46" s="5">
        <f t="shared" si="19"/>
        <v>0</v>
      </c>
      <c r="BN46" s="5">
        <f t="shared" si="20"/>
        <v>0</v>
      </c>
      <c r="BO46" s="5">
        <f t="shared" si="21"/>
        <v>0</v>
      </c>
      <c r="BP46" s="5">
        <f t="shared" si="22"/>
        <v>0</v>
      </c>
      <c r="BQ46" s="5">
        <f t="shared" si="23"/>
        <v>0</v>
      </c>
      <c r="BR46" s="5">
        <f t="shared" si="24"/>
        <v>0</v>
      </c>
      <c r="BS46" s="5">
        <f t="shared" si="25"/>
        <v>0</v>
      </c>
      <c r="BT46" s="5">
        <f t="shared" si="26"/>
        <v>0</v>
      </c>
      <c r="BU46" s="5">
        <f t="shared" si="27"/>
        <v>0</v>
      </c>
      <c r="BV46" s="5">
        <f t="shared" ref="BV46:BW46" si="417">IF(OR(ISNUMBER(SEARCH("grit",$D46)),ISNUMBER(SEARCH("grit",$T46)),ISNUMBER(SEARCH("grit",$R46)),ISNUMBER(SEARCH("grit",$S46)),
ISNUMBER(SEARCH("determination",$D46)),ISNUMBER(SEARCH("determination",$T46)),ISNUMBER(SEARCH("determination",$R46)),ISNUMBER(SEARCH("determination",$S46)),
ISNUMBER(SEARCH("tenacity",$D46)),ISNUMBER(SEARCH("tenacity",$T46)),ISNUMBER(SEARCH("tenacity",$R46)),ISNUMBER(SEARCH("tenacity",$S46)),
ISNUMBER(SEARCH("endurance",$D46)),ISNUMBER(SEARCH("endurance",$T46)),ISNUMBER(SEARCH("endurance",$R46)),ISNUMBER(SEARCH("endurance",$S46)),
ISNUMBER(SEARCH("fortitude",$D46)),ISNUMBER(SEARCH("fortitude",$T46)),ISNUMBER(SEARCH("fortitude",$R46)),ISNUMBER(SEARCH("fortitude",$S46)),
ISNUMBER(SEARCH("resolve",$D46)),ISNUMBER(SEARCH("resolve",$T46)),ISNUMBER(SEARCH("resolve",$R46)),ISNUMBER(SEARCH("resolve",$S46)),
ISNUMBER(SEARCH("stamina",$D46)),ISNUMBER(SEARCH("stamina",$T46)),ISNUMBER(SEARCH("stamina",$R46)),ISNUMBER(SEARCH("stamina",$S46)),
ISNUMBER(SEARCH("guts",$D46)),ISNUMBER(SEARCH("guts",$T46)),ISNUMBER(SEARCH("guts",$R46)),ISNUMBER(SEARCH("guts",$S46)),
ISNUMBER(SEARCH("spunk",$D46)),ISNUMBER(SEARCH("spunk",$T46)),ISNUMBER(SEARCH("spunk",$R46)),ISNUMBER(SEARCH("spunk",$S46))), 1, 0)</f>
        <v>0</v>
      </c>
      <c r="BW46" s="5">
        <f t="shared" si="417"/>
        <v>0</v>
      </c>
      <c r="BX46" s="5">
        <f t="shared" si="29"/>
        <v>0</v>
      </c>
      <c r="BY46" s="5">
        <f t="shared" si="30"/>
        <v>0</v>
      </c>
      <c r="BZ46" s="5">
        <f t="shared" si="31"/>
        <v>0</v>
      </c>
      <c r="CA46" s="5">
        <f t="shared" si="32"/>
        <v>0</v>
      </c>
      <c r="CB46" s="5">
        <f t="shared" si="33"/>
        <v>0</v>
      </c>
      <c r="CC46" s="5">
        <f t="shared" si="34"/>
        <v>0</v>
      </c>
      <c r="CD46" s="5">
        <f t="shared" si="35"/>
        <v>0</v>
      </c>
      <c r="CE46" s="5">
        <f t="shared" si="36"/>
        <v>0</v>
      </c>
      <c r="CF46" s="5">
        <f t="shared" si="37"/>
        <v>0</v>
      </c>
      <c r="CG46" s="5">
        <f t="shared" si="38"/>
        <v>0</v>
      </c>
      <c r="CH46" s="5">
        <f t="shared" si="39"/>
        <v>0</v>
      </c>
      <c r="CI46" s="5">
        <f t="shared" si="40"/>
        <v>0</v>
      </c>
      <c r="CJ46" s="5">
        <f t="shared" si="41"/>
        <v>0</v>
      </c>
      <c r="CK46" s="5">
        <f t="shared" si="42"/>
        <v>0</v>
      </c>
      <c r="CL46" s="5">
        <f t="shared" si="43"/>
        <v>0</v>
      </c>
      <c r="CM46" s="5">
        <f t="shared" si="44"/>
        <v>0</v>
      </c>
      <c r="CN46" s="5">
        <f t="shared" si="45"/>
        <v>0</v>
      </c>
      <c r="CO46" s="5">
        <f t="shared" si="46"/>
        <v>0</v>
      </c>
      <c r="CP46" s="6">
        <f t="shared" si="47"/>
        <v>0</v>
      </c>
      <c r="CQ46" s="6">
        <f t="shared" si="48"/>
        <v>0</v>
      </c>
      <c r="CR46" s="6">
        <f t="shared" si="49"/>
        <v>0</v>
      </c>
      <c r="CS46" s="6">
        <f t="shared" si="50"/>
        <v>0</v>
      </c>
      <c r="CT46" s="6">
        <f t="shared" si="51"/>
        <v>0</v>
      </c>
      <c r="CU46" s="6">
        <f t="shared" si="52"/>
        <v>0</v>
      </c>
      <c r="CV46" s="6">
        <f t="shared" si="53"/>
        <v>0</v>
      </c>
      <c r="CW46" s="6">
        <f t="shared" si="54"/>
        <v>0</v>
      </c>
      <c r="CX46" s="6">
        <f t="shared" si="55"/>
        <v>0</v>
      </c>
      <c r="CY46" s="6">
        <f t="shared" si="56"/>
        <v>0</v>
      </c>
      <c r="CZ46" s="6">
        <f t="shared" si="57"/>
        <v>0</v>
      </c>
      <c r="DA46" s="6">
        <f t="shared" si="58"/>
        <v>0</v>
      </c>
      <c r="DB46" s="6">
        <f t="shared" si="59"/>
        <v>0</v>
      </c>
      <c r="DC46" s="6">
        <f t="shared" si="60"/>
        <v>0</v>
      </c>
      <c r="DD46" s="6">
        <f t="shared" si="61"/>
        <v>0</v>
      </c>
      <c r="DE46" s="6">
        <f t="shared" si="62"/>
        <v>0</v>
      </c>
      <c r="DF46" s="6">
        <f t="shared" si="63"/>
        <v>0</v>
      </c>
      <c r="DG46" s="6">
        <f t="shared" si="64"/>
        <v>0</v>
      </c>
      <c r="DH46" s="6">
        <f t="shared" si="384"/>
        <v>0</v>
      </c>
      <c r="DI46" s="6">
        <f t="shared" si="66"/>
        <v>0</v>
      </c>
      <c r="DJ46" s="6">
        <f t="shared" si="385"/>
        <v>0</v>
      </c>
      <c r="DK46" s="7">
        <f t="shared" si="68"/>
        <v>0</v>
      </c>
      <c r="DL46" s="7">
        <f t="shared" si="411"/>
        <v>0</v>
      </c>
      <c r="DM46" s="7">
        <f t="shared" si="70"/>
        <v>0</v>
      </c>
      <c r="DN46" s="7">
        <f t="shared" si="71"/>
        <v>0</v>
      </c>
      <c r="DO46" s="7">
        <f t="shared" si="72"/>
        <v>1</v>
      </c>
      <c r="DP46" s="8">
        <f t="shared" si="73"/>
        <v>0</v>
      </c>
      <c r="DQ46" s="8">
        <f t="shared" si="74"/>
        <v>1</v>
      </c>
      <c r="DR46" s="7">
        <f t="shared" si="75"/>
        <v>0</v>
      </c>
      <c r="DS46" s="7">
        <f t="shared" si="76"/>
        <v>0</v>
      </c>
      <c r="DT46" s="7">
        <f t="shared" si="77"/>
        <v>0</v>
      </c>
      <c r="DU46" s="9">
        <f t="shared" si="78"/>
        <v>0</v>
      </c>
      <c r="DV46" s="9">
        <f t="shared" si="79"/>
        <v>0</v>
      </c>
      <c r="DW46" s="9">
        <f t="shared" si="80"/>
        <v>0</v>
      </c>
      <c r="DX46" s="9">
        <f t="shared" si="81"/>
        <v>0</v>
      </c>
      <c r="DY46" s="9">
        <f t="shared" si="82"/>
        <v>0</v>
      </c>
      <c r="DZ46" s="9">
        <f t="shared" si="83"/>
        <v>0</v>
      </c>
      <c r="EA46" s="9">
        <f t="shared" si="84"/>
        <v>0</v>
      </c>
      <c r="EB46" s="9">
        <f t="shared" si="85"/>
        <v>0</v>
      </c>
      <c r="EC46" s="9">
        <f t="shared" si="86"/>
        <v>0</v>
      </c>
      <c r="ED46" s="9">
        <f t="shared" si="87"/>
        <v>0</v>
      </c>
      <c r="EE46" s="9">
        <f t="shared" si="88"/>
        <v>0</v>
      </c>
      <c r="EF46" s="9">
        <f t="shared" si="89"/>
        <v>0</v>
      </c>
      <c r="EG46" s="9">
        <f t="shared" si="90"/>
        <v>0</v>
      </c>
      <c r="EH46" s="9">
        <f t="shared" si="91"/>
        <v>0</v>
      </c>
      <c r="EI46" s="9">
        <f t="shared" si="92"/>
        <v>0</v>
      </c>
      <c r="EJ46" s="10">
        <f t="shared" si="93"/>
        <v>0</v>
      </c>
      <c r="EK46" s="10">
        <f t="shared" si="94"/>
        <v>0</v>
      </c>
      <c r="EL46" s="10">
        <f t="shared" ref="EL46:EM46" si="418">IF(OR(ISNUMBER(SEARCH("ai software toolkit", $D46)), ISNUMBER(SEARCH("ai software toolkit", $T46)), ISNUMBER(SEARCH("ai software toolkit", $R46)), ISNUMBER(SEARCH("ai software toolkit", $S46))), 1, 0)</f>
        <v>0</v>
      </c>
      <c r="EM46" s="10">
        <f t="shared" si="418"/>
        <v>0</v>
      </c>
      <c r="EN46" s="10">
        <f t="shared" si="96"/>
        <v>0</v>
      </c>
      <c r="EO46" s="10">
        <f t="shared" si="97"/>
        <v>0</v>
      </c>
      <c r="EP46" s="10">
        <f t="shared" si="98"/>
        <v>0</v>
      </c>
      <c r="EQ46" s="10">
        <f t="shared" si="99"/>
        <v>0</v>
      </c>
      <c r="ER46" s="10">
        <f t="shared" si="100"/>
        <v>0</v>
      </c>
      <c r="ES46" s="10">
        <f t="shared" si="101"/>
        <v>0</v>
      </c>
      <c r="ET46" s="10">
        <f t="shared" si="102"/>
        <v>0</v>
      </c>
      <c r="EU46" s="10">
        <f t="shared" si="103"/>
        <v>0</v>
      </c>
      <c r="EV46" s="10">
        <f t="shared" si="104"/>
        <v>0</v>
      </c>
      <c r="EW46" s="10">
        <f t="shared" si="105"/>
        <v>0</v>
      </c>
      <c r="EX46" s="10">
        <f t="shared" si="106"/>
        <v>0</v>
      </c>
      <c r="EY46" s="10">
        <f t="shared" si="107"/>
        <v>0</v>
      </c>
      <c r="EZ46" s="10">
        <f t="shared" si="108"/>
        <v>0</v>
      </c>
      <c r="FA46" s="10">
        <f t="shared" si="109"/>
        <v>0</v>
      </c>
      <c r="FB46" s="10">
        <f t="shared" si="110"/>
        <v>0</v>
      </c>
      <c r="FC46" s="10">
        <f t="shared" si="111"/>
        <v>0</v>
      </c>
      <c r="FD46" s="10">
        <f t="shared" si="112"/>
        <v>0</v>
      </c>
      <c r="FE46" s="10">
        <f t="shared" si="113"/>
        <v>0</v>
      </c>
      <c r="FF46" s="10">
        <f t="shared" si="114"/>
        <v>0</v>
      </c>
      <c r="FG46" s="10">
        <f t="shared" si="115"/>
        <v>0</v>
      </c>
      <c r="FH46" s="10">
        <f t="shared" si="116"/>
        <v>0</v>
      </c>
      <c r="FI46" s="10">
        <f t="shared" si="117"/>
        <v>0</v>
      </c>
      <c r="FJ46" s="10">
        <f t="shared" si="118"/>
        <v>0</v>
      </c>
      <c r="FK46" s="10">
        <f t="shared" si="119"/>
        <v>0</v>
      </c>
      <c r="FL46" s="10">
        <f t="shared" si="120"/>
        <v>0</v>
      </c>
      <c r="FM46" s="10">
        <f t="shared" si="121"/>
        <v>0</v>
      </c>
      <c r="FN46" s="10">
        <f t="shared" si="122"/>
        <v>0</v>
      </c>
      <c r="FO46" s="10">
        <f t="shared" si="123"/>
        <v>0</v>
      </c>
      <c r="FP46" s="10">
        <f t="shared" si="124"/>
        <v>0</v>
      </c>
      <c r="FQ46" s="10">
        <f t="shared" si="125"/>
        <v>0</v>
      </c>
      <c r="FR46" s="11">
        <f>IF(
OR(
ISNUMBER(SEARCH("chatbot",$D46)),ISNUMBER(SEARCH("chatbot",$T46)),ISNUMBER(SEARCH("chatbot",#REF!)),ISNUMBER(SEARCH("chatbot",$S46)),
ISNUMBER(SEARCH("virtual assistance",$D46)),ISNUMBER(SEARCH("virtual assistance",$T46)),ISNUMBER(SEARCH("virtual assistance",$R46)),ISNUMBER(SEARCH("virtual assistance",$S46))), 1, 0)</f>
        <v>0</v>
      </c>
      <c r="FS46" s="11">
        <f t="shared" si="127"/>
        <v>0</v>
      </c>
      <c r="FT46" s="11">
        <f t="shared" si="128"/>
        <v>0</v>
      </c>
      <c r="FU46" s="11">
        <f t="shared" si="129"/>
        <v>0</v>
      </c>
      <c r="FV46" s="11">
        <f t="shared" si="130"/>
        <v>0</v>
      </c>
      <c r="FW46" s="11">
        <f t="shared" si="131"/>
        <v>0</v>
      </c>
      <c r="FX46" s="11">
        <f t="shared" si="132"/>
        <v>0</v>
      </c>
      <c r="FY46" s="11">
        <f t="shared" si="133"/>
        <v>0</v>
      </c>
      <c r="FZ46" s="11">
        <f t="shared" si="134"/>
        <v>0</v>
      </c>
      <c r="GA46" s="11">
        <f t="shared" si="135"/>
        <v>0</v>
      </c>
      <c r="GB46" s="11">
        <f t="shared" si="136"/>
        <v>0</v>
      </c>
      <c r="GC46" s="11">
        <f t="shared" si="137"/>
        <v>0</v>
      </c>
      <c r="GD46" s="11">
        <f t="shared" si="138"/>
        <v>0</v>
      </c>
      <c r="GE46" s="11">
        <f t="shared" si="139"/>
        <v>0</v>
      </c>
      <c r="GF46" s="11">
        <f t="shared" si="140"/>
        <v>0</v>
      </c>
      <c r="GG46" s="11">
        <f t="shared" si="141"/>
        <v>0</v>
      </c>
      <c r="GH46" s="11">
        <f t="shared" si="142"/>
        <v>0</v>
      </c>
      <c r="GI46" s="11">
        <f t="shared" si="143"/>
        <v>0</v>
      </c>
      <c r="GJ46" s="11">
        <f t="shared" si="144"/>
        <v>0</v>
      </c>
      <c r="GK46" s="11">
        <f t="shared" si="145"/>
        <v>0</v>
      </c>
      <c r="GL46" s="11">
        <f t="shared" si="146"/>
        <v>0</v>
      </c>
      <c r="GM46" s="11">
        <f t="shared" si="147"/>
        <v>0</v>
      </c>
      <c r="GN46" s="11">
        <f t="shared" si="148"/>
        <v>0</v>
      </c>
      <c r="GO46" s="11">
        <f t="shared" si="149"/>
        <v>0</v>
      </c>
      <c r="GP46" s="11">
        <f t="shared" si="150"/>
        <v>0</v>
      </c>
      <c r="GQ46" s="11">
        <f t="shared" si="151"/>
        <v>0</v>
      </c>
      <c r="GR46" s="11">
        <f t="shared" si="152"/>
        <v>0</v>
      </c>
      <c r="GS46" s="11">
        <f t="shared" si="153"/>
        <v>0</v>
      </c>
      <c r="GT46" s="11">
        <f t="shared" si="154"/>
        <v>0</v>
      </c>
      <c r="GU46" s="12">
        <f t="shared" si="155"/>
        <v>0</v>
      </c>
      <c r="GV46" s="12">
        <f t="shared" si="156"/>
        <v>0</v>
      </c>
      <c r="GW46" s="12">
        <f t="shared" si="157"/>
        <v>0</v>
      </c>
      <c r="GX46" s="12">
        <f t="shared" si="158"/>
        <v>0</v>
      </c>
      <c r="GY46" s="12">
        <f t="shared" si="159"/>
        <v>0</v>
      </c>
      <c r="GZ46" s="12">
        <f t="shared" si="160"/>
        <v>0</v>
      </c>
      <c r="HA46" s="12">
        <f t="shared" si="161"/>
        <v>0</v>
      </c>
      <c r="HB46" s="12">
        <f t="shared" si="162"/>
        <v>0</v>
      </c>
      <c r="HC46" s="12">
        <f t="shared" si="163"/>
        <v>0</v>
      </c>
      <c r="HD46" s="12">
        <f t="shared" si="164"/>
        <v>0</v>
      </c>
      <c r="HE46" s="12">
        <f t="shared" si="165"/>
        <v>0</v>
      </c>
      <c r="HF46" s="12">
        <f t="shared" si="166"/>
        <v>0</v>
      </c>
      <c r="HG46" s="12">
        <f t="shared" si="167"/>
        <v>0</v>
      </c>
      <c r="HH46" s="12">
        <f t="shared" si="168"/>
        <v>0</v>
      </c>
      <c r="HI46" s="12">
        <f t="shared" si="169"/>
        <v>0</v>
      </c>
      <c r="HJ46" s="12">
        <f t="shared" si="170"/>
        <v>0</v>
      </c>
      <c r="HK46" s="12">
        <f t="shared" si="171"/>
        <v>0</v>
      </c>
      <c r="HL46" s="12">
        <f t="shared" si="172"/>
        <v>0</v>
      </c>
      <c r="HM46" s="12">
        <f t="shared" si="173"/>
        <v>0</v>
      </c>
      <c r="HN46" s="12">
        <f t="shared" si="174"/>
        <v>0</v>
      </c>
      <c r="HO46" s="12">
        <f t="shared" si="175"/>
        <v>0</v>
      </c>
      <c r="HP46" s="12">
        <f t="shared" si="176"/>
        <v>0</v>
      </c>
      <c r="HQ46" s="12">
        <f t="shared" si="177"/>
        <v>0</v>
      </c>
      <c r="HR46" s="12">
        <f t="shared" si="178"/>
        <v>0</v>
      </c>
      <c r="HS46" s="12">
        <f t="shared" si="179"/>
        <v>0</v>
      </c>
      <c r="HT46" s="12">
        <f t="shared" si="180"/>
        <v>0</v>
      </c>
      <c r="HU46" s="12">
        <f t="shared" si="181"/>
        <v>0</v>
      </c>
      <c r="HV46" s="12">
        <f t="shared" si="182"/>
        <v>0</v>
      </c>
      <c r="HW46" s="12">
        <f t="shared" si="183"/>
        <v>0</v>
      </c>
      <c r="HX46" s="12">
        <f t="shared" si="184"/>
        <v>0</v>
      </c>
      <c r="HY46" s="12">
        <f t="shared" si="185"/>
        <v>0</v>
      </c>
      <c r="HZ46" s="12">
        <f t="shared" si="186"/>
        <v>0</v>
      </c>
      <c r="IA46" s="12">
        <f t="shared" si="187"/>
        <v>0</v>
      </c>
      <c r="IB46" s="12">
        <f t="shared" si="188"/>
        <v>0</v>
      </c>
      <c r="IC46" s="12">
        <f t="shared" si="189"/>
        <v>0</v>
      </c>
      <c r="ID46" s="12">
        <f t="shared" si="190"/>
        <v>0</v>
      </c>
      <c r="IE46" s="12">
        <f t="shared" si="191"/>
        <v>0</v>
      </c>
      <c r="IF46" s="12">
        <f t="shared" si="192"/>
        <v>0</v>
      </c>
      <c r="IG46" s="12">
        <f t="shared" si="193"/>
        <v>0</v>
      </c>
      <c r="IH46" s="12">
        <f t="shared" si="194"/>
        <v>0</v>
      </c>
      <c r="II46" s="12">
        <f t="shared" si="195"/>
        <v>0</v>
      </c>
      <c r="IJ46" s="12">
        <f t="shared" si="196"/>
        <v>0</v>
      </c>
      <c r="IK46" s="12">
        <f t="shared" si="197"/>
        <v>0</v>
      </c>
      <c r="IL46" s="12">
        <f t="shared" si="198"/>
        <v>0</v>
      </c>
      <c r="IM46" s="12">
        <f t="shared" si="199"/>
        <v>0</v>
      </c>
      <c r="IN46" s="12">
        <f t="shared" si="200"/>
        <v>0</v>
      </c>
      <c r="IO46" s="12">
        <f t="shared" si="201"/>
        <v>0</v>
      </c>
      <c r="IP46" s="12">
        <f t="shared" si="202"/>
        <v>0</v>
      </c>
      <c r="IQ46" s="12">
        <f t="shared" si="203"/>
        <v>0</v>
      </c>
      <c r="IR46" s="12">
        <f t="shared" si="204"/>
        <v>0</v>
      </c>
      <c r="IS46" s="12">
        <f t="shared" si="205"/>
        <v>0</v>
      </c>
      <c r="IT46" s="12">
        <f t="shared" si="206"/>
        <v>0</v>
      </c>
      <c r="IU46" s="12">
        <f t="shared" si="207"/>
        <v>0</v>
      </c>
      <c r="IV46" s="12">
        <f t="shared" si="208"/>
        <v>0</v>
      </c>
      <c r="IW46" s="12">
        <f t="shared" si="209"/>
        <v>0</v>
      </c>
      <c r="IX46" s="12">
        <f t="shared" si="210"/>
        <v>0</v>
      </c>
      <c r="IY46" s="12">
        <f t="shared" si="211"/>
        <v>0</v>
      </c>
      <c r="IZ46" s="12">
        <f t="shared" si="212"/>
        <v>0</v>
      </c>
      <c r="JA46" s="13">
        <f t="shared" si="213"/>
        <v>1</v>
      </c>
      <c r="JB46" s="13">
        <f t="shared" si="214"/>
        <v>0</v>
      </c>
      <c r="JC46" s="13">
        <f t="shared" si="215"/>
        <v>0</v>
      </c>
      <c r="JD46" s="13">
        <f t="shared" si="216"/>
        <v>0</v>
      </c>
      <c r="JE46" s="13">
        <f t="shared" si="217"/>
        <v>0</v>
      </c>
      <c r="JF46" s="13">
        <f t="shared" si="218"/>
        <v>0</v>
      </c>
      <c r="JG46" s="13">
        <f t="shared" si="219"/>
        <v>0</v>
      </c>
      <c r="JH46" s="13">
        <f t="shared" si="220"/>
        <v>0</v>
      </c>
      <c r="JI46" s="13">
        <f t="shared" si="221"/>
        <v>0</v>
      </c>
      <c r="JJ46" s="13">
        <f t="shared" si="222"/>
        <v>1</v>
      </c>
      <c r="JK46" s="13">
        <f t="shared" si="223"/>
        <v>1</v>
      </c>
      <c r="JL46" s="13">
        <f t="shared" si="224"/>
        <v>0</v>
      </c>
      <c r="JM46" s="13">
        <f t="shared" si="225"/>
        <v>0</v>
      </c>
      <c r="JN46" s="13">
        <f t="shared" si="226"/>
        <v>0</v>
      </c>
      <c r="JO46" s="13">
        <f t="shared" si="227"/>
        <v>0</v>
      </c>
      <c r="JP46" s="13">
        <f t="shared" si="228"/>
        <v>0</v>
      </c>
      <c r="JQ46" s="13">
        <f t="shared" si="229"/>
        <v>0</v>
      </c>
      <c r="JR46" s="13">
        <f t="shared" si="230"/>
        <v>0</v>
      </c>
      <c r="JS46" s="13">
        <f t="shared" si="231"/>
        <v>0</v>
      </c>
      <c r="JT46" s="13">
        <f t="shared" si="232"/>
        <v>0</v>
      </c>
      <c r="JU46" s="13">
        <f t="shared" si="233"/>
        <v>1</v>
      </c>
      <c r="JV46" s="12">
        <f t="shared" si="234"/>
        <v>0</v>
      </c>
      <c r="JW46" s="12">
        <f t="shared" si="235"/>
        <v>0</v>
      </c>
      <c r="JX46" s="12">
        <f t="shared" si="236"/>
        <v>0</v>
      </c>
      <c r="JY46" s="12">
        <f t="shared" si="237"/>
        <v>0</v>
      </c>
      <c r="JZ46" s="12">
        <f t="shared" si="238"/>
        <v>0</v>
      </c>
      <c r="KA46" s="12">
        <f t="shared" si="239"/>
        <v>0</v>
      </c>
      <c r="KB46" s="12">
        <f t="shared" si="240"/>
        <v>0</v>
      </c>
      <c r="KC46" s="12">
        <f t="shared" si="241"/>
        <v>0</v>
      </c>
      <c r="KD46" s="12">
        <f t="shared" si="242"/>
        <v>0</v>
      </c>
      <c r="KE46" s="12">
        <f t="shared" si="243"/>
        <v>0</v>
      </c>
      <c r="KF46" s="12">
        <f t="shared" si="244"/>
        <v>0</v>
      </c>
      <c r="KG46" s="12">
        <f t="shared" si="245"/>
        <v>0</v>
      </c>
      <c r="KH46" s="12">
        <f t="shared" si="246"/>
        <v>0</v>
      </c>
      <c r="KI46" s="12">
        <f t="shared" si="247"/>
        <v>0</v>
      </c>
      <c r="KJ46" s="12">
        <f t="shared" si="248"/>
        <v>0</v>
      </c>
      <c r="KK46" s="12">
        <f t="shared" si="249"/>
        <v>0</v>
      </c>
      <c r="KL46" s="12">
        <f t="shared" si="250"/>
        <v>0</v>
      </c>
      <c r="KM46" s="12">
        <f t="shared" si="251"/>
        <v>0</v>
      </c>
      <c r="KN46" s="12">
        <f t="shared" si="252"/>
        <v>0</v>
      </c>
      <c r="KO46" s="12">
        <f t="shared" si="253"/>
        <v>0</v>
      </c>
      <c r="KP46" s="12">
        <f t="shared" si="254"/>
        <v>0</v>
      </c>
      <c r="KQ46" s="12">
        <f t="shared" si="255"/>
        <v>0</v>
      </c>
      <c r="KR46" s="12">
        <f t="shared" si="256"/>
        <v>0</v>
      </c>
      <c r="KS46" s="12">
        <f t="shared" si="257"/>
        <v>0</v>
      </c>
      <c r="KT46" s="12">
        <f t="shared" si="258"/>
        <v>0</v>
      </c>
      <c r="KU46" s="12">
        <f t="shared" si="259"/>
        <v>0</v>
      </c>
      <c r="KV46" s="12">
        <f t="shared" si="260"/>
        <v>0</v>
      </c>
      <c r="KW46" s="12">
        <f t="shared" si="261"/>
        <v>0</v>
      </c>
      <c r="KX46" s="12">
        <f t="shared" si="262"/>
        <v>0</v>
      </c>
      <c r="KY46" s="12">
        <f t="shared" si="263"/>
        <v>0</v>
      </c>
      <c r="KZ46" s="12">
        <f t="shared" si="264"/>
        <v>0</v>
      </c>
      <c r="LA46" s="12">
        <f t="shared" si="265"/>
        <v>0</v>
      </c>
      <c r="LB46" s="12">
        <f t="shared" si="266"/>
        <v>0</v>
      </c>
      <c r="LC46" s="12">
        <f t="shared" si="267"/>
        <v>0</v>
      </c>
      <c r="LD46" s="12">
        <f t="shared" si="268"/>
        <v>0</v>
      </c>
      <c r="LE46" s="12">
        <f t="shared" si="269"/>
        <v>0</v>
      </c>
      <c r="LF46" s="12">
        <f t="shared" si="270"/>
        <v>0</v>
      </c>
      <c r="LG46" s="12">
        <f t="shared" si="271"/>
        <v>0</v>
      </c>
      <c r="LH46" s="12">
        <f t="shared" si="272"/>
        <v>0</v>
      </c>
      <c r="LI46" s="12">
        <f t="shared" si="273"/>
        <v>0</v>
      </c>
      <c r="LJ46" s="12">
        <f t="shared" si="274"/>
        <v>0</v>
      </c>
      <c r="LK46" s="12">
        <f t="shared" si="275"/>
        <v>0</v>
      </c>
      <c r="LL46" s="12">
        <f t="shared" si="276"/>
        <v>0</v>
      </c>
      <c r="LM46" s="12">
        <f t="shared" si="277"/>
        <v>0</v>
      </c>
      <c r="LN46" s="12">
        <f t="shared" si="278"/>
        <v>0</v>
      </c>
      <c r="LO46" s="12">
        <f t="shared" si="279"/>
        <v>0</v>
      </c>
      <c r="LP46" s="12">
        <f t="shared" si="280"/>
        <v>0</v>
      </c>
      <c r="LQ46" s="12">
        <f t="shared" si="281"/>
        <v>0</v>
      </c>
      <c r="LR46" s="12">
        <f t="shared" si="282"/>
        <v>0</v>
      </c>
      <c r="LS46" s="12">
        <f t="shared" si="283"/>
        <v>0</v>
      </c>
      <c r="LT46" s="13">
        <f t="shared" si="284"/>
        <v>0</v>
      </c>
      <c r="LU46" s="13">
        <f t="shared" si="285"/>
        <v>0</v>
      </c>
      <c r="LV46" s="13">
        <f t="shared" si="286"/>
        <v>0</v>
      </c>
      <c r="LW46" s="13">
        <f t="shared" si="287"/>
        <v>0</v>
      </c>
      <c r="LX46" s="13">
        <f t="shared" si="288"/>
        <v>0</v>
      </c>
      <c r="LY46" s="13">
        <f t="shared" si="289"/>
        <v>0</v>
      </c>
      <c r="LZ46" s="13">
        <f t="shared" si="290"/>
        <v>0</v>
      </c>
      <c r="MA46" s="13">
        <f t="shared" si="291"/>
        <v>0</v>
      </c>
      <c r="MB46" s="13">
        <f t="shared" si="292"/>
        <v>0</v>
      </c>
      <c r="MC46" s="13">
        <f t="shared" si="293"/>
        <v>0</v>
      </c>
      <c r="MD46" s="13">
        <f t="shared" si="294"/>
        <v>0</v>
      </c>
      <c r="ME46" s="13">
        <f t="shared" si="295"/>
        <v>0</v>
      </c>
      <c r="MF46" s="13">
        <f t="shared" si="296"/>
        <v>0</v>
      </c>
      <c r="MG46" s="13">
        <f t="shared" si="297"/>
        <v>0</v>
      </c>
      <c r="MH46" s="13">
        <f t="shared" si="298"/>
        <v>0</v>
      </c>
      <c r="MI46" s="13">
        <f t="shared" si="299"/>
        <v>0</v>
      </c>
      <c r="MJ46" s="13">
        <f t="shared" si="300"/>
        <v>0</v>
      </c>
      <c r="MK46" s="13">
        <f t="shared" si="301"/>
        <v>0</v>
      </c>
      <c r="ML46" s="14">
        <f t="shared" si="302"/>
        <v>0</v>
      </c>
      <c r="MM46" s="14">
        <f t="shared" si="303"/>
        <v>0</v>
      </c>
      <c r="MN46" s="14">
        <f t="shared" si="304"/>
        <v>0</v>
      </c>
      <c r="MO46" s="14">
        <f t="shared" si="305"/>
        <v>0</v>
      </c>
      <c r="MP46" s="14">
        <f t="shared" si="306"/>
        <v>0</v>
      </c>
      <c r="MQ46" s="14">
        <f t="shared" si="307"/>
        <v>0</v>
      </c>
      <c r="MR46" s="14">
        <f t="shared" si="308"/>
        <v>0</v>
      </c>
      <c r="MS46" s="14">
        <f t="shared" si="309"/>
        <v>0</v>
      </c>
      <c r="MT46" s="14">
        <f t="shared" si="310"/>
        <v>0</v>
      </c>
      <c r="MU46" s="14">
        <f t="shared" si="311"/>
        <v>0</v>
      </c>
      <c r="MV46" s="14">
        <f t="shared" si="312"/>
        <v>0</v>
      </c>
      <c r="MW46" s="14">
        <f t="shared" si="313"/>
        <v>0</v>
      </c>
      <c r="MX46" s="14">
        <f t="shared" si="314"/>
        <v>0</v>
      </c>
      <c r="MY46" s="14">
        <f t="shared" si="315"/>
        <v>0</v>
      </c>
      <c r="MZ46" s="14">
        <f t="shared" si="316"/>
        <v>0</v>
      </c>
      <c r="NA46" s="14">
        <f t="shared" si="317"/>
        <v>0</v>
      </c>
      <c r="NB46" s="14">
        <f t="shared" si="318"/>
        <v>0</v>
      </c>
    </row>
    <row r="47" ht="15.75" customHeight="1">
      <c r="A47" s="2">
        <v>215.0</v>
      </c>
      <c r="B47" s="2" t="s">
        <v>1191</v>
      </c>
      <c r="C47" s="2" t="s">
        <v>1192</v>
      </c>
      <c r="D47" s="2" t="s">
        <v>1193</v>
      </c>
      <c r="E47" s="2">
        <v>2017.0</v>
      </c>
      <c r="F47" s="2" t="s">
        <v>1194</v>
      </c>
      <c r="G47" s="2" t="s">
        <v>371</v>
      </c>
      <c r="H47" s="2" t="s">
        <v>472</v>
      </c>
      <c r="I47" s="2" t="s">
        <v>1195</v>
      </c>
      <c r="M47" s="2">
        <v>33.0</v>
      </c>
      <c r="N47" s="2" t="s">
        <v>1196</v>
      </c>
      <c r="O47" s="2" t="s">
        <v>1197</v>
      </c>
      <c r="P47" s="2" t="s">
        <v>1198</v>
      </c>
      <c r="Q47" s="2" t="s">
        <v>1199</v>
      </c>
      <c r="R47" s="2" t="s">
        <v>1200</v>
      </c>
      <c r="T47" s="2" t="s">
        <v>1201</v>
      </c>
      <c r="Y47" s="2" t="s">
        <v>1202</v>
      </c>
      <c r="AB47" s="2" t="s">
        <v>1203</v>
      </c>
      <c r="AG47" s="2" t="s">
        <v>1204</v>
      </c>
      <c r="AI47" s="2" t="s">
        <v>1205</v>
      </c>
      <c r="AJ47" s="2">
        <v>2.9135991E7</v>
      </c>
      <c r="AK47" s="2" t="s">
        <v>1194</v>
      </c>
      <c r="AL47" s="2" t="s">
        <v>384</v>
      </c>
      <c r="AM47" s="2" t="s">
        <v>484</v>
      </c>
      <c r="AN47" s="2" t="s">
        <v>386</v>
      </c>
      <c r="AO47" s="2" t="s">
        <v>1206</v>
      </c>
      <c r="AP47" s="2" t="s">
        <v>386</v>
      </c>
      <c r="AQ47" s="2">
        <v>1405.0</v>
      </c>
      <c r="AR47" s="2" t="s">
        <v>1193</v>
      </c>
      <c r="AS47" s="2" t="b">
        <v>0</v>
      </c>
      <c r="AT47" s="3">
        <v>0.0</v>
      </c>
      <c r="AU47" s="4">
        <v>1.0</v>
      </c>
      <c r="AV47" s="4"/>
      <c r="AW47" s="5">
        <f t="shared" si="3"/>
        <v>0</v>
      </c>
      <c r="AX47" s="5">
        <f t="shared" si="4"/>
        <v>0</v>
      </c>
      <c r="AY47" s="5">
        <f t="shared" si="5"/>
        <v>0</v>
      </c>
      <c r="AZ47" s="5">
        <f t="shared" si="6"/>
        <v>0</v>
      </c>
      <c r="BA47" s="5">
        <f t="shared" si="7"/>
        <v>0</v>
      </c>
      <c r="BB47" s="5">
        <f t="shared" si="8"/>
        <v>0</v>
      </c>
      <c r="BC47" s="5">
        <f t="shared" si="9"/>
        <v>0</v>
      </c>
      <c r="BD47" s="5">
        <f t="shared" si="10"/>
        <v>0</v>
      </c>
      <c r="BE47" s="5">
        <f t="shared" si="11"/>
        <v>0</v>
      </c>
      <c r="BF47" s="5">
        <f t="shared" si="12"/>
        <v>0</v>
      </c>
      <c r="BG47" s="5">
        <f t="shared" si="13"/>
        <v>0</v>
      </c>
      <c r="BH47" s="5">
        <f t="shared" si="14"/>
        <v>0</v>
      </c>
      <c r="BI47" s="5">
        <f t="shared" si="15"/>
        <v>0</v>
      </c>
      <c r="BJ47" s="5">
        <f t="shared" si="16"/>
        <v>0</v>
      </c>
      <c r="BK47" s="5">
        <f t="shared" si="17"/>
        <v>1</v>
      </c>
      <c r="BL47" s="5">
        <f t="shared" si="18"/>
        <v>0</v>
      </c>
      <c r="BM47" s="5">
        <f t="shared" si="19"/>
        <v>0</v>
      </c>
      <c r="BN47" s="5">
        <f t="shared" si="20"/>
        <v>0</v>
      </c>
      <c r="BO47" s="5">
        <f t="shared" si="21"/>
        <v>0</v>
      </c>
      <c r="BP47" s="5">
        <f t="shared" si="22"/>
        <v>0</v>
      </c>
      <c r="BQ47" s="5">
        <f t="shared" si="23"/>
        <v>0</v>
      </c>
      <c r="BR47" s="5">
        <f t="shared" si="24"/>
        <v>0</v>
      </c>
      <c r="BS47" s="5">
        <f t="shared" si="25"/>
        <v>0</v>
      </c>
      <c r="BT47" s="5">
        <f t="shared" si="26"/>
        <v>0</v>
      </c>
      <c r="BU47" s="5">
        <f t="shared" si="27"/>
        <v>0</v>
      </c>
      <c r="BV47" s="5">
        <f t="shared" ref="BV47:BW47" si="419">IF(OR(ISNUMBER(SEARCH("grit",$D47)),ISNUMBER(SEARCH("grit",$T47)),ISNUMBER(SEARCH("grit",$R47)),ISNUMBER(SEARCH("grit",$S47)),
ISNUMBER(SEARCH("determination",$D47)),ISNUMBER(SEARCH("determination",$T47)),ISNUMBER(SEARCH("determination",$R47)),ISNUMBER(SEARCH("determination",$S47)),
ISNUMBER(SEARCH("tenacity",$D47)),ISNUMBER(SEARCH("tenacity",$T47)),ISNUMBER(SEARCH("tenacity",$R47)),ISNUMBER(SEARCH("tenacity",$S47)),
ISNUMBER(SEARCH("endurance",$D47)),ISNUMBER(SEARCH("endurance",$T47)),ISNUMBER(SEARCH("endurance",$R47)),ISNUMBER(SEARCH("endurance",$S47)),
ISNUMBER(SEARCH("fortitude",$D47)),ISNUMBER(SEARCH("fortitude",$T47)),ISNUMBER(SEARCH("fortitude",$R47)),ISNUMBER(SEARCH("fortitude",$S47)),
ISNUMBER(SEARCH("resolve",$D47)),ISNUMBER(SEARCH("resolve",$T47)),ISNUMBER(SEARCH("resolve",$R47)),ISNUMBER(SEARCH("resolve",$S47)),
ISNUMBER(SEARCH("stamina",$D47)),ISNUMBER(SEARCH("stamina",$T47)),ISNUMBER(SEARCH("stamina",$R47)),ISNUMBER(SEARCH("stamina",$S47)),
ISNUMBER(SEARCH("guts",$D47)),ISNUMBER(SEARCH("guts",$T47)),ISNUMBER(SEARCH("guts",$R47)),ISNUMBER(SEARCH("guts",$S47)),
ISNUMBER(SEARCH("spunk",$D47)),ISNUMBER(SEARCH("spunk",$T47)),ISNUMBER(SEARCH("spunk",$R47)),ISNUMBER(SEARCH("spunk",$S47))), 1, 0)</f>
        <v>0</v>
      </c>
      <c r="BW47" s="5">
        <f t="shared" si="419"/>
        <v>0</v>
      </c>
      <c r="BX47" s="5">
        <f t="shared" si="29"/>
        <v>0</v>
      </c>
      <c r="BY47" s="5">
        <f t="shared" si="30"/>
        <v>0</v>
      </c>
      <c r="BZ47" s="5">
        <f t="shared" si="31"/>
        <v>0</v>
      </c>
      <c r="CA47" s="5">
        <f t="shared" si="32"/>
        <v>0</v>
      </c>
      <c r="CB47" s="5">
        <f t="shared" si="33"/>
        <v>0</v>
      </c>
      <c r="CC47" s="5">
        <f t="shared" si="34"/>
        <v>0</v>
      </c>
      <c r="CD47" s="5">
        <f t="shared" si="35"/>
        <v>0</v>
      </c>
      <c r="CE47" s="5">
        <f t="shared" si="36"/>
        <v>0</v>
      </c>
      <c r="CF47" s="5">
        <f t="shared" si="37"/>
        <v>0</v>
      </c>
      <c r="CG47" s="5">
        <f t="shared" si="38"/>
        <v>0</v>
      </c>
      <c r="CH47" s="5">
        <f t="shared" si="39"/>
        <v>0</v>
      </c>
      <c r="CI47" s="5">
        <f t="shared" si="40"/>
        <v>0</v>
      </c>
      <c r="CJ47" s="5">
        <f t="shared" si="41"/>
        <v>0</v>
      </c>
      <c r="CK47" s="5">
        <f t="shared" si="42"/>
        <v>0</v>
      </c>
      <c r="CL47" s="5">
        <f t="shared" si="43"/>
        <v>0</v>
      </c>
      <c r="CM47" s="5">
        <f t="shared" si="44"/>
        <v>0</v>
      </c>
      <c r="CN47" s="5">
        <f t="shared" si="45"/>
        <v>0</v>
      </c>
      <c r="CO47" s="5">
        <f t="shared" si="46"/>
        <v>0</v>
      </c>
      <c r="CP47" s="6">
        <f t="shared" si="47"/>
        <v>0</v>
      </c>
      <c r="CQ47" s="6">
        <f t="shared" si="48"/>
        <v>0</v>
      </c>
      <c r="CR47" s="6">
        <f t="shared" si="49"/>
        <v>0</v>
      </c>
      <c r="CS47" s="6">
        <f t="shared" si="50"/>
        <v>0</v>
      </c>
      <c r="CT47" s="6">
        <f t="shared" si="51"/>
        <v>0</v>
      </c>
      <c r="CU47" s="6">
        <f t="shared" si="52"/>
        <v>0</v>
      </c>
      <c r="CV47" s="6">
        <f t="shared" si="53"/>
        <v>0</v>
      </c>
      <c r="CW47" s="6">
        <f t="shared" si="54"/>
        <v>0</v>
      </c>
      <c r="CX47" s="6">
        <f t="shared" si="55"/>
        <v>0</v>
      </c>
      <c r="CY47" s="6">
        <f t="shared" si="56"/>
        <v>0</v>
      </c>
      <c r="CZ47" s="6">
        <f t="shared" si="57"/>
        <v>0</v>
      </c>
      <c r="DA47" s="6">
        <f t="shared" si="58"/>
        <v>0</v>
      </c>
      <c r="DB47" s="6">
        <f t="shared" si="59"/>
        <v>0</v>
      </c>
      <c r="DC47" s="6">
        <f t="shared" si="60"/>
        <v>0</v>
      </c>
      <c r="DD47" s="6">
        <f t="shared" si="61"/>
        <v>0</v>
      </c>
      <c r="DE47" s="6">
        <f t="shared" si="62"/>
        <v>1</v>
      </c>
      <c r="DF47" s="6">
        <f t="shared" si="63"/>
        <v>0</v>
      </c>
      <c r="DG47" s="6">
        <f t="shared" si="64"/>
        <v>0</v>
      </c>
      <c r="DH47" s="6">
        <f t="shared" si="384"/>
        <v>0</v>
      </c>
      <c r="DI47" s="6">
        <f t="shared" si="66"/>
        <v>0</v>
      </c>
      <c r="DJ47" s="6">
        <f t="shared" si="385"/>
        <v>0</v>
      </c>
      <c r="DK47" s="7">
        <f t="shared" si="68"/>
        <v>0</v>
      </c>
      <c r="DL47" s="7">
        <f t="shared" si="411"/>
        <v>0</v>
      </c>
      <c r="DM47" s="7">
        <f t="shared" si="70"/>
        <v>0</v>
      </c>
      <c r="DN47" s="7">
        <f t="shared" si="71"/>
        <v>0</v>
      </c>
      <c r="DO47" s="7">
        <f t="shared" si="72"/>
        <v>0</v>
      </c>
      <c r="DP47" s="8">
        <f t="shared" si="73"/>
        <v>0</v>
      </c>
      <c r="DQ47" s="8">
        <f t="shared" si="74"/>
        <v>1</v>
      </c>
      <c r="DR47" s="7">
        <f t="shared" si="75"/>
        <v>1</v>
      </c>
      <c r="DS47" s="7">
        <f t="shared" si="76"/>
        <v>0</v>
      </c>
      <c r="DT47" s="7">
        <f t="shared" si="77"/>
        <v>0</v>
      </c>
      <c r="DU47" s="9">
        <f t="shared" si="78"/>
        <v>0</v>
      </c>
      <c r="DV47" s="9">
        <f t="shared" si="79"/>
        <v>0</v>
      </c>
      <c r="DW47" s="9">
        <f t="shared" si="80"/>
        <v>0</v>
      </c>
      <c r="DX47" s="9">
        <f t="shared" si="81"/>
        <v>0</v>
      </c>
      <c r="DY47" s="9">
        <f t="shared" si="82"/>
        <v>0</v>
      </c>
      <c r="DZ47" s="9">
        <f t="shared" si="83"/>
        <v>0</v>
      </c>
      <c r="EA47" s="9">
        <f t="shared" si="84"/>
        <v>0</v>
      </c>
      <c r="EB47" s="9">
        <f t="shared" si="85"/>
        <v>0</v>
      </c>
      <c r="EC47" s="9">
        <f t="shared" si="86"/>
        <v>0</v>
      </c>
      <c r="ED47" s="9">
        <f t="shared" si="87"/>
        <v>0</v>
      </c>
      <c r="EE47" s="9">
        <f t="shared" si="88"/>
        <v>0</v>
      </c>
      <c r="EF47" s="9">
        <f t="shared" si="89"/>
        <v>0</v>
      </c>
      <c r="EG47" s="9">
        <f t="shared" si="90"/>
        <v>0</v>
      </c>
      <c r="EH47" s="9">
        <f t="shared" si="91"/>
        <v>0</v>
      </c>
      <c r="EI47" s="9">
        <f t="shared" si="92"/>
        <v>0</v>
      </c>
      <c r="EJ47" s="10">
        <f t="shared" si="93"/>
        <v>0</v>
      </c>
      <c r="EK47" s="10">
        <f t="shared" si="94"/>
        <v>0</v>
      </c>
      <c r="EL47" s="10">
        <f t="shared" ref="EL47:EM47" si="420">IF(OR(ISNUMBER(SEARCH("ai software toolkit", $D47)), ISNUMBER(SEARCH("ai software toolkit", $T47)), ISNUMBER(SEARCH("ai software toolkit", $R47)), ISNUMBER(SEARCH("ai software toolkit", $S47))), 1, 0)</f>
        <v>0</v>
      </c>
      <c r="EM47" s="10">
        <f t="shared" si="420"/>
        <v>0</v>
      </c>
      <c r="EN47" s="10">
        <f t="shared" si="96"/>
        <v>0</v>
      </c>
      <c r="EO47" s="10">
        <f t="shared" si="97"/>
        <v>0</v>
      </c>
      <c r="EP47" s="10">
        <f t="shared" si="98"/>
        <v>0</v>
      </c>
      <c r="EQ47" s="10">
        <f t="shared" si="99"/>
        <v>0</v>
      </c>
      <c r="ER47" s="10">
        <f t="shared" si="100"/>
        <v>0</v>
      </c>
      <c r="ES47" s="10">
        <f t="shared" si="101"/>
        <v>0</v>
      </c>
      <c r="ET47" s="10">
        <f t="shared" si="102"/>
        <v>0</v>
      </c>
      <c r="EU47" s="10">
        <f t="shared" si="103"/>
        <v>0</v>
      </c>
      <c r="EV47" s="10">
        <f t="shared" si="104"/>
        <v>0</v>
      </c>
      <c r="EW47" s="10">
        <f t="shared" si="105"/>
        <v>0</v>
      </c>
      <c r="EX47" s="10">
        <f t="shared" si="106"/>
        <v>0</v>
      </c>
      <c r="EY47" s="10">
        <f t="shared" si="107"/>
        <v>0</v>
      </c>
      <c r="EZ47" s="10">
        <f t="shared" si="108"/>
        <v>0</v>
      </c>
      <c r="FA47" s="10">
        <f t="shared" si="109"/>
        <v>0</v>
      </c>
      <c r="FB47" s="10">
        <f t="shared" si="110"/>
        <v>0</v>
      </c>
      <c r="FC47" s="10">
        <f t="shared" si="111"/>
        <v>0</v>
      </c>
      <c r="FD47" s="10">
        <f t="shared" si="112"/>
        <v>0</v>
      </c>
      <c r="FE47" s="10">
        <f t="shared" si="113"/>
        <v>0</v>
      </c>
      <c r="FF47" s="10">
        <f t="shared" si="114"/>
        <v>0</v>
      </c>
      <c r="FG47" s="10">
        <f t="shared" si="115"/>
        <v>0</v>
      </c>
      <c r="FH47" s="10">
        <f t="shared" si="116"/>
        <v>0</v>
      </c>
      <c r="FI47" s="10">
        <f t="shared" si="117"/>
        <v>0</v>
      </c>
      <c r="FJ47" s="10">
        <f t="shared" si="118"/>
        <v>0</v>
      </c>
      <c r="FK47" s="10">
        <f t="shared" si="119"/>
        <v>0</v>
      </c>
      <c r="FL47" s="10">
        <f t="shared" si="120"/>
        <v>0</v>
      </c>
      <c r="FM47" s="10">
        <f t="shared" si="121"/>
        <v>0</v>
      </c>
      <c r="FN47" s="10">
        <f t="shared" si="122"/>
        <v>0</v>
      </c>
      <c r="FO47" s="10">
        <f t="shared" si="123"/>
        <v>0</v>
      </c>
      <c r="FP47" s="10">
        <f t="shared" si="124"/>
        <v>0</v>
      </c>
      <c r="FQ47" s="10">
        <f t="shared" si="125"/>
        <v>0</v>
      </c>
      <c r="FR47" s="11">
        <f>IF(
OR(
ISNUMBER(SEARCH("chatbot",$D47)),ISNUMBER(SEARCH("chatbot",$T47)),ISNUMBER(SEARCH("chatbot",$R46)),ISNUMBER(SEARCH("chatbot",$S47)),
ISNUMBER(SEARCH("virtual assistance",$D47)),ISNUMBER(SEARCH("virtual assistance",$T47)),ISNUMBER(SEARCH("virtual assistance",$R47)),ISNUMBER(SEARCH("virtual assistance",$S47))), 1, 0)</f>
        <v>0</v>
      </c>
      <c r="FS47" s="11">
        <f t="shared" si="127"/>
        <v>0</v>
      </c>
      <c r="FT47" s="11">
        <f t="shared" si="128"/>
        <v>0</v>
      </c>
      <c r="FU47" s="11">
        <f t="shared" si="129"/>
        <v>0</v>
      </c>
      <c r="FV47" s="11">
        <f t="shared" si="130"/>
        <v>0</v>
      </c>
      <c r="FW47" s="11">
        <f t="shared" si="131"/>
        <v>1</v>
      </c>
      <c r="FX47" s="11">
        <f t="shared" si="132"/>
        <v>0</v>
      </c>
      <c r="FY47" s="11">
        <f t="shared" si="133"/>
        <v>0</v>
      </c>
      <c r="FZ47" s="11">
        <f t="shared" si="134"/>
        <v>0</v>
      </c>
      <c r="GA47" s="11">
        <f t="shared" si="135"/>
        <v>0</v>
      </c>
      <c r="GB47" s="11">
        <f t="shared" si="136"/>
        <v>0</v>
      </c>
      <c r="GC47" s="11">
        <f t="shared" si="137"/>
        <v>0</v>
      </c>
      <c r="GD47" s="11">
        <f t="shared" si="138"/>
        <v>0</v>
      </c>
      <c r="GE47" s="11">
        <f t="shared" si="139"/>
        <v>0</v>
      </c>
      <c r="GF47" s="11">
        <f t="shared" si="140"/>
        <v>0</v>
      </c>
      <c r="GG47" s="11">
        <f t="shared" si="141"/>
        <v>0</v>
      </c>
      <c r="GH47" s="11">
        <f t="shared" si="142"/>
        <v>0</v>
      </c>
      <c r="GI47" s="11">
        <f t="shared" si="143"/>
        <v>0</v>
      </c>
      <c r="GJ47" s="11">
        <f t="shared" si="144"/>
        <v>0</v>
      </c>
      <c r="GK47" s="11">
        <f t="shared" si="145"/>
        <v>0</v>
      </c>
      <c r="GL47" s="11">
        <f t="shared" si="146"/>
        <v>0</v>
      </c>
      <c r="GM47" s="11">
        <f t="shared" si="147"/>
        <v>0</v>
      </c>
      <c r="GN47" s="11">
        <f t="shared" si="148"/>
        <v>0</v>
      </c>
      <c r="GO47" s="11">
        <f t="shared" si="149"/>
        <v>0</v>
      </c>
      <c r="GP47" s="11">
        <f t="shared" si="150"/>
        <v>0</v>
      </c>
      <c r="GQ47" s="11">
        <f t="shared" si="151"/>
        <v>0</v>
      </c>
      <c r="GR47" s="11">
        <f t="shared" si="152"/>
        <v>0</v>
      </c>
      <c r="GS47" s="11">
        <f t="shared" si="153"/>
        <v>0</v>
      </c>
      <c r="GT47" s="11">
        <f t="shared" si="154"/>
        <v>0</v>
      </c>
      <c r="GU47" s="12">
        <f t="shared" si="155"/>
        <v>0</v>
      </c>
      <c r="GV47" s="12">
        <f t="shared" si="156"/>
        <v>0</v>
      </c>
      <c r="GW47" s="12">
        <f t="shared" si="157"/>
        <v>0</v>
      </c>
      <c r="GX47" s="12">
        <f t="shared" si="158"/>
        <v>0</v>
      </c>
      <c r="GY47" s="12">
        <f t="shared" si="159"/>
        <v>0</v>
      </c>
      <c r="GZ47" s="12">
        <f t="shared" si="160"/>
        <v>0</v>
      </c>
      <c r="HA47" s="12">
        <f t="shared" si="161"/>
        <v>0</v>
      </c>
      <c r="HB47" s="12">
        <f t="shared" si="162"/>
        <v>0</v>
      </c>
      <c r="HC47" s="12">
        <f t="shared" si="163"/>
        <v>0</v>
      </c>
      <c r="HD47" s="12">
        <f t="shared" si="164"/>
        <v>0</v>
      </c>
      <c r="HE47" s="12">
        <f t="shared" si="165"/>
        <v>0</v>
      </c>
      <c r="HF47" s="12">
        <f t="shared" si="166"/>
        <v>0</v>
      </c>
      <c r="HG47" s="12">
        <f t="shared" si="167"/>
        <v>0</v>
      </c>
      <c r="HH47" s="12">
        <f t="shared" si="168"/>
        <v>0</v>
      </c>
      <c r="HI47" s="12">
        <f t="shared" si="169"/>
        <v>0</v>
      </c>
      <c r="HJ47" s="12">
        <f t="shared" si="170"/>
        <v>0</v>
      </c>
      <c r="HK47" s="12">
        <f t="shared" si="171"/>
        <v>0</v>
      </c>
      <c r="HL47" s="12">
        <f t="shared" si="172"/>
        <v>0</v>
      </c>
      <c r="HM47" s="12">
        <f t="shared" si="173"/>
        <v>0</v>
      </c>
      <c r="HN47" s="12">
        <f t="shared" si="174"/>
        <v>0</v>
      </c>
      <c r="HO47" s="12">
        <f t="shared" si="175"/>
        <v>0</v>
      </c>
      <c r="HP47" s="12">
        <f t="shared" si="176"/>
        <v>0</v>
      </c>
      <c r="HQ47" s="12">
        <f t="shared" si="177"/>
        <v>0</v>
      </c>
      <c r="HR47" s="12">
        <f t="shared" si="178"/>
        <v>0</v>
      </c>
      <c r="HS47" s="12">
        <f t="shared" si="179"/>
        <v>0</v>
      </c>
      <c r="HT47" s="12">
        <f t="shared" si="180"/>
        <v>0</v>
      </c>
      <c r="HU47" s="12">
        <f t="shared" si="181"/>
        <v>0</v>
      </c>
      <c r="HV47" s="12">
        <f t="shared" si="182"/>
        <v>0</v>
      </c>
      <c r="HW47" s="12">
        <f t="shared" si="183"/>
        <v>0</v>
      </c>
      <c r="HX47" s="12">
        <f t="shared" si="184"/>
        <v>0</v>
      </c>
      <c r="HY47" s="12">
        <f t="shared" si="185"/>
        <v>0</v>
      </c>
      <c r="HZ47" s="12">
        <f t="shared" si="186"/>
        <v>0</v>
      </c>
      <c r="IA47" s="12">
        <f t="shared" si="187"/>
        <v>0</v>
      </c>
      <c r="IB47" s="12">
        <f t="shared" si="188"/>
        <v>0</v>
      </c>
      <c r="IC47" s="12">
        <f t="shared" si="189"/>
        <v>0</v>
      </c>
      <c r="ID47" s="12">
        <f t="shared" si="190"/>
        <v>0</v>
      </c>
      <c r="IE47" s="12">
        <f t="shared" si="191"/>
        <v>0</v>
      </c>
      <c r="IF47" s="12">
        <f t="shared" si="192"/>
        <v>0</v>
      </c>
      <c r="IG47" s="12">
        <f t="shared" si="193"/>
        <v>0</v>
      </c>
      <c r="IH47" s="12">
        <f t="shared" si="194"/>
        <v>0</v>
      </c>
      <c r="II47" s="12">
        <f t="shared" si="195"/>
        <v>0</v>
      </c>
      <c r="IJ47" s="12">
        <f t="shared" si="196"/>
        <v>0</v>
      </c>
      <c r="IK47" s="12">
        <f t="shared" si="197"/>
        <v>0</v>
      </c>
      <c r="IL47" s="12">
        <f t="shared" si="198"/>
        <v>0</v>
      </c>
      <c r="IM47" s="12">
        <f t="shared" si="199"/>
        <v>0</v>
      </c>
      <c r="IN47" s="12">
        <f t="shared" si="200"/>
        <v>0</v>
      </c>
      <c r="IO47" s="12">
        <f t="shared" si="201"/>
        <v>0</v>
      </c>
      <c r="IP47" s="12">
        <f t="shared" si="202"/>
        <v>0</v>
      </c>
      <c r="IQ47" s="12">
        <f t="shared" si="203"/>
        <v>0</v>
      </c>
      <c r="IR47" s="12">
        <f t="shared" si="204"/>
        <v>0</v>
      </c>
      <c r="IS47" s="12">
        <f t="shared" si="205"/>
        <v>0</v>
      </c>
      <c r="IT47" s="12">
        <f t="shared" si="206"/>
        <v>0</v>
      </c>
      <c r="IU47" s="12">
        <f t="shared" si="207"/>
        <v>0</v>
      </c>
      <c r="IV47" s="12">
        <f t="shared" si="208"/>
        <v>0</v>
      </c>
      <c r="IW47" s="12">
        <f t="shared" si="209"/>
        <v>0</v>
      </c>
      <c r="IX47" s="12">
        <f t="shared" si="210"/>
        <v>0</v>
      </c>
      <c r="IY47" s="12">
        <f t="shared" si="211"/>
        <v>0</v>
      </c>
      <c r="IZ47" s="12">
        <f t="shared" si="212"/>
        <v>1</v>
      </c>
      <c r="JA47" s="13">
        <f t="shared" si="213"/>
        <v>0</v>
      </c>
      <c r="JB47" s="13">
        <f t="shared" si="214"/>
        <v>0</v>
      </c>
      <c r="JC47" s="13">
        <f t="shared" si="215"/>
        <v>0</v>
      </c>
      <c r="JD47" s="13">
        <f t="shared" si="216"/>
        <v>0</v>
      </c>
      <c r="JE47" s="13">
        <f t="shared" si="217"/>
        <v>0</v>
      </c>
      <c r="JF47" s="13">
        <f t="shared" si="218"/>
        <v>0</v>
      </c>
      <c r="JG47" s="13">
        <f t="shared" si="219"/>
        <v>0</v>
      </c>
      <c r="JH47" s="13">
        <f t="shared" si="220"/>
        <v>0</v>
      </c>
      <c r="JI47" s="13">
        <f t="shared" si="221"/>
        <v>0</v>
      </c>
      <c r="JJ47" s="13">
        <f t="shared" si="222"/>
        <v>0</v>
      </c>
      <c r="JK47" s="13">
        <f t="shared" si="223"/>
        <v>0</v>
      </c>
      <c r="JL47" s="13">
        <f t="shared" si="224"/>
        <v>0</v>
      </c>
      <c r="JM47" s="13">
        <f t="shared" si="225"/>
        <v>0</v>
      </c>
      <c r="JN47" s="13">
        <f t="shared" si="226"/>
        <v>0</v>
      </c>
      <c r="JO47" s="13">
        <f t="shared" si="227"/>
        <v>0</v>
      </c>
      <c r="JP47" s="13">
        <f t="shared" si="228"/>
        <v>0</v>
      </c>
      <c r="JQ47" s="13">
        <f t="shared" si="229"/>
        <v>0</v>
      </c>
      <c r="JR47" s="13">
        <f t="shared" si="230"/>
        <v>0</v>
      </c>
      <c r="JS47" s="13">
        <f t="shared" si="231"/>
        <v>0</v>
      </c>
      <c r="JT47" s="13">
        <f t="shared" si="232"/>
        <v>0</v>
      </c>
      <c r="JU47" s="13">
        <f t="shared" si="233"/>
        <v>0</v>
      </c>
      <c r="JV47" s="12">
        <f t="shared" si="234"/>
        <v>0</v>
      </c>
      <c r="JW47" s="12">
        <f t="shared" si="235"/>
        <v>0</v>
      </c>
      <c r="JX47" s="12">
        <f t="shared" si="236"/>
        <v>0</v>
      </c>
      <c r="JY47" s="12">
        <f t="shared" si="237"/>
        <v>0</v>
      </c>
      <c r="JZ47" s="12">
        <f t="shared" si="238"/>
        <v>0</v>
      </c>
      <c r="KA47" s="12">
        <f t="shared" si="239"/>
        <v>0</v>
      </c>
      <c r="KB47" s="12">
        <f t="shared" si="240"/>
        <v>0</v>
      </c>
      <c r="KC47" s="12">
        <f t="shared" si="241"/>
        <v>0</v>
      </c>
      <c r="KD47" s="12">
        <f t="shared" si="242"/>
        <v>0</v>
      </c>
      <c r="KE47" s="12">
        <f t="shared" si="243"/>
        <v>0</v>
      </c>
      <c r="KF47" s="12">
        <f t="shared" si="244"/>
        <v>0</v>
      </c>
      <c r="KG47" s="12">
        <f t="shared" si="245"/>
        <v>0</v>
      </c>
      <c r="KH47" s="12">
        <f t="shared" si="246"/>
        <v>0</v>
      </c>
      <c r="KI47" s="12">
        <f t="shared" si="247"/>
        <v>0</v>
      </c>
      <c r="KJ47" s="12">
        <f t="shared" si="248"/>
        <v>0</v>
      </c>
      <c r="KK47" s="12">
        <f t="shared" si="249"/>
        <v>0</v>
      </c>
      <c r="KL47" s="12">
        <f t="shared" si="250"/>
        <v>0</v>
      </c>
      <c r="KM47" s="12">
        <f t="shared" si="251"/>
        <v>0</v>
      </c>
      <c r="KN47" s="12">
        <f t="shared" si="252"/>
        <v>0</v>
      </c>
      <c r="KO47" s="12">
        <f t="shared" si="253"/>
        <v>0</v>
      </c>
      <c r="KP47" s="12">
        <f t="shared" si="254"/>
        <v>0</v>
      </c>
      <c r="KQ47" s="12">
        <f t="shared" si="255"/>
        <v>0</v>
      </c>
      <c r="KR47" s="12">
        <f t="shared" si="256"/>
        <v>0</v>
      </c>
      <c r="KS47" s="12">
        <f t="shared" si="257"/>
        <v>0</v>
      </c>
      <c r="KT47" s="12">
        <f t="shared" si="258"/>
        <v>0</v>
      </c>
      <c r="KU47" s="12">
        <f t="shared" si="259"/>
        <v>0</v>
      </c>
      <c r="KV47" s="12">
        <f t="shared" si="260"/>
        <v>0</v>
      </c>
      <c r="KW47" s="12">
        <f t="shared" si="261"/>
        <v>0</v>
      </c>
      <c r="KX47" s="12">
        <f t="shared" si="262"/>
        <v>0</v>
      </c>
      <c r="KY47" s="12">
        <f t="shared" si="263"/>
        <v>0</v>
      </c>
      <c r="KZ47" s="12">
        <f t="shared" si="264"/>
        <v>0</v>
      </c>
      <c r="LA47" s="12">
        <f t="shared" si="265"/>
        <v>0</v>
      </c>
      <c r="LB47" s="12">
        <f t="shared" si="266"/>
        <v>0</v>
      </c>
      <c r="LC47" s="12">
        <f t="shared" si="267"/>
        <v>0</v>
      </c>
      <c r="LD47" s="12">
        <f t="shared" si="268"/>
        <v>0</v>
      </c>
      <c r="LE47" s="12">
        <f t="shared" si="269"/>
        <v>0</v>
      </c>
      <c r="LF47" s="12">
        <f t="shared" si="270"/>
        <v>0</v>
      </c>
      <c r="LG47" s="12">
        <f t="shared" si="271"/>
        <v>0</v>
      </c>
      <c r="LH47" s="12">
        <f t="shared" si="272"/>
        <v>0</v>
      </c>
      <c r="LI47" s="12">
        <f t="shared" si="273"/>
        <v>0</v>
      </c>
      <c r="LJ47" s="12">
        <f t="shared" si="274"/>
        <v>0</v>
      </c>
      <c r="LK47" s="12">
        <f t="shared" si="275"/>
        <v>0</v>
      </c>
      <c r="LL47" s="12">
        <f t="shared" si="276"/>
        <v>0</v>
      </c>
      <c r="LM47" s="12">
        <f t="shared" si="277"/>
        <v>0</v>
      </c>
      <c r="LN47" s="12">
        <f t="shared" si="278"/>
        <v>0</v>
      </c>
      <c r="LO47" s="12">
        <f t="shared" si="279"/>
        <v>0</v>
      </c>
      <c r="LP47" s="12">
        <f t="shared" si="280"/>
        <v>0</v>
      </c>
      <c r="LQ47" s="12">
        <f t="shared" si="281"/>
        <v>0</v>
      </c>
      <c r="LR47" s="12">
        <f t="shared" si="282"/>
        <v>0</v>
      </c>
      <c r="LS47" s="12">
        <f t="shared" si="283"/>
        <v>0</v>
      </c>
      <c r="LT47" s="13">
        <f t="shared" si="284"/>
        <v>0</v>
      </c>
      <c r="LU47" s="13">
        <f t="shared" si="285"/>
        <v>0</v>
      </c>
      <c r="LV47" s="13">
        <f t="shared" si="286"/>
        <v>0</v>
      </c>
      <c r="LW47" s="13">
        <f t="shared" si="287"/>
        <v>0</v>
      </c>
      <c r="LX47" s="13">
        <f t="shared" si="288"/>
        <v>0</v>
      </c>
      <c r="LY47" s="13">
        <f t="shared" si="289"/>
        <v>0</v>
      </c>
      <c r="LZ47" s="13">
        <f t="shared" si="290"/>
        <v>0</v>
      </c>
      <c r="MA47" s="13">
        <f t="shared" si="291"/>
        <v>1</v>
      </c>
      <c r="MB47" s="13">
        <f t="shared" si="292"/>
        <v>0</v>
      </c>
      <c r="MC47" s="13">
        <f t="shared" si="293"/>
        <v>0</v>
      </c>
      <c r="MD47" s="13">
        <f t="shared" si="294"/>
        <v>0</v>
      </c>
      <c r="ME47" s="13">
        <f t="shared" si="295"/>
        <v>0</v>
      </c>
      <c r="MF47" s="13">
        <f t="shared" si="296"/>
        <v>0</v>
      </c>
      <c r="MG47" s="13">
        <f t="shared" si="297"/>
        <v>0</v>
      </c>
      <c r="MH47" s="13">
        <f t="shared" si="298"/>
        <v>0</v>
      </c>
      <c r="MI47" s="13">
        <f t="shared" si="299"/>
        <v>0</v>
      </c>
      <c r="MJ47" s="13">
        <f t="shared" si="300"/>
        <v>0</v>
      </c>
      <c r="MK47" s="13">
        <f t="shared" si="301"/>
        <v>0</v>
      </c>
      <c r="ML47" s="14">
        <f t="shared" si="302"/>
        <v>0</v>
      </c>
      <c r="MM47" s="14">
        <f t="shared" si="303"/>
        <v>0</v>
      </c>
      <c r="MN47" s="14">
        <f t="shared" si="304"/>
        <v>0</v>
      </c>
      <c r="MO47" s="14">
        <f t="shared" si="305"/>
        <v>0</v>
      </c>
      <c r="MP47" s="14">
        <f t="shared" si="306"/>
        <v>0</v>
      </c>
      <c r="MQ47" s="14">
        <f t="shared" si="307"/>
        <v>0</v>
      </c>
      <c r="MR47" s="14">
        <f t="shared" si="308"/>
        <v>0</v>
      </c>
      <c r="MS47" s="14">
        <f t="shared" si="309"/>
        <v>0</v>
      </c>
      <c r="MT47" s="14">
        <f t="shared" si="310"/>
        <v>0</v>
      </c>
      <c r="MU47" s="14">
        <f t="shared" si="311"/>
        <v>0</v>
      </c>
      <c r="MV47" s="14">
        <f t="shared" si="312"/>
        <v>0</v>
      </c>
      <c r="MW47" s="14">
        <f t="shared" si="313"/>
        <v>0</v>
      </c>
      <c r="MX47" s="14">
        <f t="shared" si="314"/>
        <v>0</v>
      </c>
      <c r="MY47" s="14">
        <f t="shared" si="315"/>
        <v>0</v>
      </c>
      <c r="MZ47" s="14">
        <f t="shared" si="316"/>
        <v>0</v>
      </c>
      <c r="NA47" s="14">
        <f t="shared" si="317"/>
        <v>0</v>
      </c>
      <c r="NB47" s="14">
        <f t="shared" si="318"/>
        <v>0</v>
      </c>
    </row>
    <row r="48" ht="15.75" customHeight="1">
      <c r="A48" s="2">
        <v>356.0</v>
      </c>
      <c r="B48" s="2" t="s">
        <v>1207</v>
      </c>
      <c r="C48" s="2" t="s">
        <v>1208</v>
      </c>
      <c r="D48" s="2" t="s">
        <v>1209</v>
      </c>
      <c r="E48" s="2">
        <v>2018.0</v>
      </c>
      <c r="F48" s="2" t="s">
        <v>1210</v>
      </c>
      <c r="G48" s="2" t="s">
        <v>1211</v>
      </c>
      <c r="H48" s="2" t="s">
        <v>392</v>
      </c>
      <c r="J48" s="2" t="s">
        <v>471</v>
      </c>
      <c r="K48" s="2" t="s">
        <v>1029</v>
      </c>
      <c r="M48" s="2">
        <v>32.0</v>
      </c>
      <c r="N48" s="2" t="s">
        <v>1212</v>
      </c>
      <c r="O48" s="2" t="s">
        <v>1213</v>
      </c>
      <c r="P48" s="2" t="s">
        <v>1214</v>
      </c>
      <c r="Q48" s="2" t="s">
        <v>1215</v>
      </c>
      <c r="R48" s="2" t="s">
        <v>1216</v>
      </c>
      <c r="S48" s="2" t="s">
        <v>1217</v>
      </c>
      <c r="Y48" s="2" t="s">
        <v>1218</v>
      </c>
      <c r="AB48" s="2" t="s">
        <v>1219</v>
      </c>
      <c r="AG48" s="2" t="s">
        <v>1220</v>
      </c>
      <c r="AK48" s="2" t="s">
        <v>1221</v>
      </c>
      <c r="AL48" s="2" t="s">
        <v>384</v>
      </c>
      <c r="AN48" s="2" t="s">
        <v>386</v>
      </c>
      <c r="AO48" s="2" t="s">
        <v>1222</v>
      </c>
      <c r="AP48" s="2" t="s">
        <v>386</v>
      </c>
      <c r="AQ48" s="2">
        <v>1395.0</v>
      </c>
      <c r="AR48" s="2" t="s">
        <v>1223</v>
      </c>
      <c r="AS48" s="2" t="b">
        <v>0</v>
      </c>
      <c r="AT48" s="3">
        <v>0.0</v>
      </c>
      <c r="AU48" s="4"/>
      <c r="AV48" s="4"/>
      <c r="AW48" s="5">
        <f t="shared" si="3"/>
        <v>0</v>
      </c>
      <c r="AX48" s="5">
        <f t="shared" si="4"/>
        <v>0</v>
      </c>
      <c r="AY48" s="5">
        <f t="shared" si="5"/>
        <v>0</v>
      </c>
      <c r="AZ48" s="5">
        <f t="shared" si="6"/>
        <v>0</v>
      </c>
      <c r="BA48" s="5">
        <f t="shared" si="7"/>
        <v>0</v>
      </c>
      <c r="BB48" s="5">
        <f t="shared" si="8"/>
        <v>0</v>
      </c>
      <c r="BC48" s="5">
        <f t="shared" si="9"/>
        <v>0</v>
      </c>
      <c r="BD48" s="5">
        <f t="shared" si="10"/>
        <v>0</v>
      </c>
      <c r="BE48" s="5">
        <f t="shared" si="11"/>
        <v>0</v>
      </c>
      <c r="BF48" s="5">
        <f t="shared" si="12"/>
        <v>0</v>
      </c>
      <c r="BG48" s="5">
        <f t="shared" si="13"/>
        <v>0</v>
      </c>
      <c r="BH48" s="5">
        <f t="shared" si="14"/>
        <v>0</v>
      </c>
      <c r="BI48" s="5">
        <f t="shared" si="15"/>
        <v>0</v>
      </c>
      <c r="BJ48" s="5">
        <f t="shared" si="16"/>
        <v>0</v>
      </c>
      <c r="BK48" s="5">
        <f t="shared" si="17"/>
        <v>0</v>
      </c>
      <c r="BL48" s="5">
        <f t="shared" si="18"/>
        <v>0</v>
      </c>
      <c r="BM48" s="5">
        <f t="shared" si="19"/>
        <v>0</v>
      </c>
      <c r="BN48" s="5">
        <f t="shared" si="20"/>
        <v>0</v>
      </c>
      <c r="BO48" s="5">
        <f t="shared" si="21"/>
        <v>0</v>
      </c>
      <c r="BP48" s="5">
        <f t="shared" si="22"/>
        <v>0</v>
      </c>
      <c r="BQ48" s="5">
        <f t="shared" si="23"/>
        <v>0</v>
      </c>
      <c r="BR48" s="5">
        <f t="shared" si="24"/>
        <v>0</v>
      </c>
      <c r="BS48" s="5">
        <f t="shared" si="25"/>
        <v>0</v>
      </c>
      <c r="BT48" s="5">
        <f t="shared" si="26"/>
        <v>0</v>
      </c>
      <c r="BU48" s="5">
        <f t="shared" si="27"/>
        <v>0</v>
      </c>
      <c r="BV48" s="5">
        <f t="shared" ref="BV48:BW48" si="421">IF(OR(ISNUMBER(SEARCH("grit",$D48)),ISNUMBER(SEARCH("grit",$T48)),ISNUMBER(SEARCH("grit",$R48)),ISNUMBER(SEARCH("grit",$S48)),
ISNUMBER(SEARCH("determination",$D48)),ISNUMBER(SEARCH("determination",$T48)),ISNUMBER(SEARCH("determination",$R48)),ISNUMBER(SEARCH("determination",$S48)),
ISNUMBER(SEARCH("tenacity",$D48)),ISNUMBER(SEARCH("tenacity",$T48)),ISNUMBER(SEARCH("tenacity",$R48)),ISNUMBER(SEARCH("tenacity",$S48)),
ISNUMBER(SEARCH("endurance",$D48)),ISNUMBER(SEARCH("endurance",$T48)),ISNUMBER(SEARCH("endurance",$R48)),ISNUMBER(SEARCH("endurance",$S48)),
ISNUMBER(SEARCH("fortitude",$D48)),ISNUMBER(SEARCH("fortitude",$T48)),ISNUMBER(SEARCH("fortitude",$R48)),ISNUMBER(SEARCH("fortitude",$S48)),
ISNUMBER(SEARCH("resolve",$D48)),ISNUMBER(SEARCH("resolve",$T48)),ISNUMBER(SEARCH("resolve",$R48)),ISNUMBER(SEARCH("resolve",$S48)),
ISNUMBER(SEARCH("stamina",$D48)),ISNUMBER(SEARCH("stamina",$T48)),ISNUMBER(SEARCH("stamina",$R48)),ISNUMBER(SEARCH("stamina",$S48)),
ISNUMBER(SEARCH("guts",$D48)),ISNUMBER(SEARCH("guts",$T48)),ISNUMBER(SEARCH("guts",$R48)),ISNUMBER(SEARCH("guts",$S48)),
ISNUMBER(SEARCH("spunk",$D48)),ISNUMBER(SEARCH("spunk",$T48)),ISNUMBER(SEARCH("spunk",$R48)),ISNUMBER(SEARCH("spunk",$S48))), 1, 0)</f>
        <v>0</v>
      </c>
      <c r="BW48" s="5">
        <f t="shared" si="421"/>
        <v>0</v>
      </c>
      <c r="BX48" s="5">
        <f t="shared" si="29"/>
        <v>0</v>
      </c>
      <c r="BY48" s="5">
        <f t="shared" si="30"/>
        <v>0</v>
      </c>
      <c r="BZ48" s="5">
        <f t="shared" si="31"/>
        <v>0</v>
      </c>
      <c r="CA48" s="5">
        <f t="shared" si="32"/>
        <v>0</v>
      </c>
      <c r="CB48" s="5">
        <f t="shared" si="33"/>
        <v>0</v>
      </c>
      <c r="CC48" s="5">
        <f t="shared" si="34"/>
        <v>0</v>
      </c>
      <c r="CD48" s="5">
        <f t="shared" si="35"/>
        <v>0</v>
      </c>
      <c r="CE48" s="5">
        <f t="shared" si="36"/>
        <v>0</v>
      </c>
      <c r="CF48" s="5">
        <f t="shared" si="37"/>
        <v>0</v>
      </c>
      <c r="CG48" s="5">
        <f t="shared" si="38"/>
        <v>0</v>
      </c>
      <c r="CH48" s="5">
        <f t="shared" si="39"/>
        <v>0</v>
      </c>
      <c r="CI48" s="5">
        <f t="shared" si="40"/>
        <v>0</v>
      </c>
      <c r="CJ48" s="5">
        <f t="shared" si="41"/>
        <v>0</v>
      </c>
      <c r="CK48" s="5">
        <f t="shared" si="42"/>
        <v>0</v>
      </c>
      <c r="CL48" s="5">
        <f t="shared" si="43"/>
        <v>0</v>
      </c>
      <c r="CM48" s="5">
        <f t="shared" si="44"/>
        <v>0</v>
      </c>
      <c r="CN48" s="5">
        <f t="shared" si="45"/>
        <v>0</v>
      </c>
      <c r="CO48" s="5">
        <f t="shared" si="46"/>
        <v>0</v>
      </c>
      <c r="CP48" s="6">
        <f t="shared" si="47"/>
        <v>0</v>
      </c>
      <c r="CQ48" s="6">
        <f t="shared" si="48"/>
        <v>0</v>
      </c>
      <c r="CR48" s="6">
        <f t="shared" si="49"/>
        <v>0</v>
      </c>
      <c r="CS48" s="6">
        <f t="shared" si="50"/>
        <v>0</v>
      </c>
      <c r="CT48" s="6">
        <f t="shared" si="51"/>
        <v>0</v>
      </c>
      <c r="CU48" s="6">
        <f t="shared" si="52"/>
        <v>0</v>
      </c>
      <c r="CV48" s="6">
        <f t="shared" si="53"/>
        <v>0</v>
      </c>
      <c r="CW48" s="6">
        <f t="shared" si="54"/>
        <v>0</v>
      </c>
      <c r="CX48" s="6">
        <f t="shared" si="55"/>
        <v>0</v>
      </c>
      <c r="CY48" s="6">
        <f t="shared" si="56"/>
        <v>0</v>
      </c>
      <c r="CZ48" s="6">
        <f t="shared" si="57"/>
        <v>0</v>
      </c>
      <c r="DA48" s="6">
        <f t="shared" si="58"/>
        <v>0</v>
      </c>
      <c r="DB48" s="6">
        <f t="shared" si="59"/>
        <v>0</v>
      </c>
      <c r="DC48" s="6">
        <f t="shared" si="60"/>
        <v>0</v>
      </c>
      <c r="DD48" s="6">
        <f t="shared" si="61"/>
        <v>0</v>
      </c>
      <c r="DE48" s="6">
        <f t="shared" si="62"/>
        <v>0</v>
      </c>
      <c r="DF48" s="6">
        <f t="shared" si="63"/>
        <v>0</v>
      </c>
      <c r="DG48" s="6">
        <f t="shared" si="64"/>
        <v>0</v>
      </c>
      <c r="DH48" s="6">
        <f t="shared" si="384"/>
        <v>0</v>
      </c>
      <c r="DI48" s="6">
        <f t="shared" si="66"/>
        <v>0</v>
      </c>
      <c r="DJ48" s="6">
        <f t="shared" si="385"/>
        <v>0</v>
      </c>
      <c r="DK48" s="7">
        <f t="shared" si="68"/>
        <v>0</v>
      </c>
      <c r="DL48" s="7">
        <f t="shared" si="411"/>
        <v>0</v>
      </c>
      <c r="DM48" s="7">
        <f t="shared" si="70"/>
        <v>0</v>
      </c>
      <c r="DN48" s="7">
        <f t="shared" si="71"/>
        <v>0</v>
      </c>
      <c r="DO48" s="7">
        <f t="shared" si="72"/>
        <v>1</v>
      </c>
      <c r="DP48" s="8">
        <f t="shared" si="73"/>
        <v>0</v>
      </c>
      <c r="DQ48" s="8">
        <f t="shared" si="74"/>
        <v>1</v>
      </c>
      <c r="DR48" s="7">
        <f t="shared" si="75"/>
        <v>0</v>
      </c>
      <c r="DS48" s="7">
        <f t="shared" si="76"/>
        <v>0</v>
      </c>
      <c r="DT48" s="7">
        <f t="shared" si="77"/>
        <v>0</v>
      </c>
      <c r="DU48" s="9">
        <f t="shared" si="78"/>
        <v>0</v>
      </c>
      <c r="DV48" s="9">
        <f t="shared" si="79"/>
        <v>0</v>
      </c>
      <c r="DW48" s="9">
        <f t="shared" si="80"/>
        <v>0</v>
      </c>
      <c r="DX48" s="9">
        <f t="shared" si="81"/>
        <v>0</v>
      </c>
      <c r="DY48" s="9">
        <f t="shared" si="82"/>
        <v>0</v>
      </c>
      <c r="DZ48" s="9">
        <f t="shared" si="83"/>
        <v>0</v>
      </c>
      <c r="EA48" s="9">
        <f t="shared" si="84"/>
        <v>0</v>
      </c>
      <c r="EB48" s="9">
        <f t="shared" si="85"/>
        <v>0</v>
      </c>
      <c r="EC48" s="9">
        <f t="shared" si="86"/>
        <v>0</v>
      </c>
      <c r="ED48" s="9">
        <f t="shared" si="87"/>
        <v>0</v>
      </c>
      <c r="EE48" s="9">
        <f t="shared" si="88"/>
        <v>0</v>
      </c>
      <c r="EF48" s="9">
        <f t="shared" si="89"/>
        <v>0</v>
      </c>
      <c r="EG48" s="9">
        <f t="shared" si="90"/>
        <v>0</v>
      </c>
      <c r="EH48" s="9">
        <f t="shared" si="91"/>
        <v>0</v>
      </c>
      <c r="EI48" s="9">
        <f t="shared" si="92"/>
        <v>0</v>
      </c>
      <c r="EJ48" s="10">
        <f t="shared" si="93"/>
        <v>0</v>
      </c>
      <c r="EK48" s="10">
        <f t="shared" si="94"/>
        <v>0</v>
      </c>
      <c r="EL48" s="10">
        <f t="shared" ref="EL48:EM48" si="422">IF(OR(ISNUMBER(SEARCH("ai software toolkit", $D48)), ISNUMBER(SEARCH("ai software toolkit", $T48)), ISNUMBER(SEARCH("ai software toolkit", $R48)), ISNUMBER(SEARCH("ai software toolkit", $S48))), 1, 0)</f>
        <v>0</v>
      </c>
      <c r="EM48" s="10">
        <f t="shared" si="422"/>
        <v>0</v>
      </c>
      <c r="EN48" s="10">
        <f t="shared" si="96"/>
        <v>0</v>
      </c>
      <c r="EO48" s="10">
        <f t="shared" si="97"/>
        <v>0</v>
      </c>
      <c r="EP48" s="10">
        <f t="shared" si="98"/>
        <v>0</v>
      </c>
      <c r="EQ48" s="10">
        <f t="shared" si="99"/>
        <v>0</v>
      </c>
      <c r="ER48" s="10">
        <f t="shared" si="100"/>
        <v>0</v>
      </c>
      <c r="ES48" s="10">
        <f t="shared" si="101"/>
        <v>0</v>
      </c>
      <c r="ET48" s="10">
        <f t="shared" si="102"/>
        <v>0</v>
      </c>
      <c r="EU48" s="10">
        <f t="shared" si="103"/>
        <v>0</v>
      </c>
      <c r="EV48" s="10">
        <f t="shared" si="104"/>
        <v>0</v>
      </c>
      <c r="EW48" s="10">
        <f t="shared" si="105"/>
        <v>0</v>
      </c>
      <c r="EX48" s="10">
        <f t="shared" si="106"/>
        <v>0</v>
      </c>
      <c r="EY48" s="10">
        <f t="shared" si="107"/>
        <v>0</v>
      </c>
      <c r="EZ48" s="10">
        <f t="shared" si="108"/>
        <v>0</v>
      </c>
      <c r="FA48" s="10">
        <f t="shared" si="109"/>
        <v>0</v>
      </c>
      <c r="FB48" s="10">
        <f t="shared" si="110"/>
        <v>0</v>
      </c>
      <c r="FC48" s="10">
        <f t="shared" si="111"/>
        <v>0</v>
      </c>
      <c r="FD48" s="10">
        <f t="shared" si="112"/>
        <v>0</v>
      </c>
      <c r="FE48" s="10">
        <f t="shared" si="113"/>
        <v>0</v>
      </c>
      <c r="FF48" s="10">
        <f t="shared" si="114"/>
        <v>0</v>
      </c>
      <c r="FG48" s="10">
        <f t="shared" si="115"/>
        <v>0</v>
      </c>
      <c r="FH48" s="10">
        <f t="shared" si="116"/>
        <v>0</v>
      </c>
      <c r="FI48" s="10">
        <f t="shared" si="117"/>
        <v>0</v>
      </c>
      <c r="FJ48" s="10">
        <f t="shared" si="118"/>
        <v>0</v>
      </c>
      <c r="FK48" s="10">
        <f t="shared" si="119"/>
        <v>0</v>
      </c>
      <c r="FL48" s="10">
        <f t="shared" si="120"/>
        <v>0</v>
      </c>
      <c r="FM48" s="10">
        <f t="shared" si="121"/>
        <v>0</v>
      </c>
      <c r="FN48" s="10">
        <f t="shared" si="122"/>
        <v>0</v>
      </c>
      <c r="FO48" s="10">
        <f t="shared" si="123"/>
        <v>0</v>
      </c>
      <c r="FP48" s="10">
        <f t="shared" si="124"/>
        <v>0</v>
      </c>
      <c r="FQ48" s="10">
        <f t="shared" si="125"/>
        <v>0</v>
      </c>
      <c r="FR48" s="11">
        <f t="shared" ref="FR48:FR50" si="425">IF(
OR(
ISNUMBER(SEARCH("chatbot",$D48)),ISNUMBER(SEARCH("chatbot",$T48)),ISNUMBER(SEARCH("chatbot",#REF!)),ISNUMBER(SEARCH("chatbot",$S48)),
ISNUMBER(SEARCH("virtual assistance",$D48)),ISNUMBER(SEARCH("virtual assistance",$T48)),ISNUMBER(SEARCH("virtual assistance",$R48)),ISNUMBER(SEARCH("virtual assistance",$S48))), 1, 0)</f>
        <v>0</v>
      </c>
      <c r="FS48" s="11">
        <f t="shared" si="127"/>
        <v>0</v>
      </c>
      <c r="FT48" s="11">
        <f t="shared" si="128"/>
        <v>0</v>
      </c>
      <c r="FU48" s="11">
        <f t="shared" si="129"/>
        <v>0</v>
      </c>
      <c r="FV48" s="11">
        <f t="shared" si="130"/>
        <v>0</v>
      </c>
      <c r="FW48" s="11">
        <f t="shared" si="131"/>
        <v>0</v>
      </c>
      <c r="FX48" s="11">
        <f t="shared" si="132"/>
        <v>0</v>
      </c>
      <c r="FY48" s="11">
        <f t="shared" si="133"/>
        <v>0</v>
      </c>
      <c r="FZ48" s="11">
        <f t="shared" si="134"/>
        <v>0</v>
      </c>
      <c r="GA48" s="11">
        <f t="shared" si="135"/>
        <v>0</v>
      </c>
      <c r="GB48" s="11">
        <f t="shared" si="136"/>
        <v>0</v>
      </c>
      <c r="GC48" s="11">
        <f t="shared" si="137"/>
        <v>0</v>
      </c>
      <c r="GD48" s="11">
        <f t="shared" si="138"/>
        <v>0</v>
      </c>
      <c r="GE48" s="11">
        <f t="shared" si="139"/>
        <v>0</v>
      </c>
      <c r="GF48" s="11">
        <f t="shared" si="140"/>
        <v>0</v>
      </c>
      <c r="GG48" s="11">
        <f t="shared" si="141"/>
        <v>0</v>
      </c>
      <c r="GH48" s="11">
        <f t="shared" si="142"/>
        <v>0</v>
      </c>
      <c r="GI48" s="11">
        <f t="shared" si="143"/>
        <v>0</v>
      </c>
      <c r="GJ48" s="11">
        <f t="shared" si="144"/>
        <v>0</v>
      </c>
      <c r="GK48" s="11">
        <f t="shared" si="145"/>
        <v>0</v>
      </c>
      <c r="GL48" s="11">
        <f t="shared" si="146"/>
        <v>0</v>
      </c>
      <c r="GM48" s="11">
        <f t="shared" si="147"/>
        <v>0</v>
      </c>
      <c r="GN48" s="11">
        <f t="shared" si="148"/>
        <v>0</v>
      </c>
      <c r="GO48" s="11">
        <f t="shared" si="149"/>
        <v>0</v>
      </c>
      <c r="GP48" s="11">
        <f t="shared" si="150"/>
        <v>0</v>
      </c>
      <c r="GQ48" s="11">
        <f t="shared" si="151"/>
        <v>0</v>
      </c>
      <c r="GR48" s="11">
        <f t="shared" si="152"/>
        <v>0</v>
      </c>
      <c r="GS48" s="11">
        <f t="shared" si="153"/>
        <v>0</v>
      </c>
      <c r="GT48" s="11">
        <f t="shared" si="154"/>
        <v>0</v>
      </c>
      <c r="GU48" s="12">
        <f t="shared" si="155"/>
        <v>0</v>
      </c>
      <c r="GV48" s="12">
        <f t="shared" si="156"/>
        <v>0</v>
      </c>
      <c r="GW48" s="12">
        <f t="shared" si="157"/>
        <v>0</v>
      </c>
      <c r="GX48" s="12">
        <f t="shared" si="158"/>
        <v>0</v>
      </c>
      <c r="GY48" s="12">
        <f t="shared" si="159"/>
        <v>0</v>
      </c>
      <c r="GZ48" s="12">
        <f t="shared" si="160"/>
        <v>0</v>
      </c>
      <c r="HA48" s="12">
        <f t="shared" si="161"/>
        <v>0</v>
      </c>
      <c r="HB48" s="12">
        <f t="shared" si="162"/>
        <v>0</v>
      </c>
      <c r="HC48" s="12">
        <f t="shared" si="163"/>
        <v>0</v>
      </c>
      <c r="HD48" s="12">
        <f t="shared" si="164"/>
        <v>0</v>
      </c>
      <c r="HE48" s="12">
        <f t="shared" si="165"/>
        <v>0</v>
      </c>
      <c r="HF48" s="12">
        <f t="shared" si="166"/>
        <v>0</v>
      </c>
      <c r="HG48" s="12">
        <f t="shared" si="167"/>
        <v>0</v>
      </c>
      <c r="HH48" s="12">
        <f t="shared" si="168"/>
        <v>0</v>
      </c>
      <c r="HI48" s="12">
        <f t="shared" si="169"/>
        <v>0</v>
      </c>
      <c r="HJ48" s="12">
        <f t="shared" si="170"/>
        <v>0</v>
      </c>
      <c r="HK48" s="12">
        <f t="shared" si="171"/>
        <v>0</v>
      </c>
      <c r="HL48" s="12">
        <f t="shared" si="172"/>
        <v>0</v>
      </c>
      <c r="HM48" s="12">
        <f t="shared" si="173"/>
        <v>0</v>
      </c>
      <c r="HN48" s="12">
        <f t="shared" si="174"/>
        <v>0</v>
      </c>
      <c r="HO48" s="12">
        <f t="shared" si="175"/>
        <v>0</v>
      </c>
      <c r="HP48" s="12">
        <f t="shared" si="176"/>
        <v>0</v>
      </c>
      <c r="HQ48" s="12">
        <f t="shared" si="177"/>
        <v>0</v>
      </c>
      <c r="HR48" s="12">
        <f t="shared" si="178"/>
        <v>0</v>
      </c>
      <c r="HS48" s="12">
        <f t="shared" si="179"/>
        <v>0</v>
      </c>
      <c r="HT48" s="12">
        <f t="shared" si="180"/>
        <v>0</v>
      </c>
      <c r="HU48" s="12">
        <f t="shared" si="181"/>
        <v>0</v>
      </c>
      <c r="HV48" s="12">
        <f t="shared" si="182"/>
        <v>0</v>
      </c>
      <c r="HW48" s="12">
        <f t="shared" si="183"/>
        <v>0</v>
      </c>
      <c r="HX48" s="12">
        <f t="shared" si="184"/>
        <v>0</v>
      </c>
      <c r="HY48" s="12">
        <f t="shared" si="185"/>
        <v>0</v>
      </c>
      <c r="HZ48" s="12">
        <f t="shared" si="186"/>
        <v>0</v>
      </c>
      <c r="IA48" s="12">
        <f t="shared" si="187"/>
        <v>0</v>
      </c>
      <c r="IB48" s="12">
        <f t="shared" si="188"/>
        <v>0</v>
      </c>
      <c r="IC48" s="12">
        <f t="shared" si="189"/>
        <v>0</v>
      </c>
      <c r="ID48" s="12">
        <f t="shared" si="190"/>
        <v>0</v>
      </c>
      <c r="IE48" s="12">
        <f t="shared" si="191"/>
        <v>0</v>
      </c>
      <c r="IF48" s="12">
        <f t="shared" si="192"/>
        <v>0</v>
      </c>
      <c r="IG48" s="12">
        <f t="shared" si="193"/>
        <v>0</v>
      </c>
      <c r="IH48" s="12">
        <f t="shared" si="194"/>
        <v>0</v>
      </c>
      <c r="II48" s="12">
        <f t="shared" si="195"/>
        <v>0</v>
      </c>
      <c r="IJ48" s="12">
        <f t="shared" si="196"/>
        <v>0</v>
      </c>
      <c r="IK48" s="12">
        <f t="shared" si="197"/>
        <v>0</v>
      </c>
      <c r="IL48" s="12">
        <f t="shared" si="198"/>
        <v>0</v>
      </c>
      <c r="IM48" s="12">
        <f t="shared" si="199"/>
        <v>0</v>
      </c>
      <c r="IN48" s="12">
        <f t="shared" si="200"/>
        <v>0</v>
      </c>
      <c r="IO48" s="12">
        <f t="shared" si="201"/>
        <v>0</v>
      </c>
      <c r="IP48" s="12">
        <f t="shared" si="202"/>
        <v>0</v>
      </c>
      <c r="IQ48" s="12">
        <f t="shared" si="203"/>
        <v>0</v>
      </c>
      <c r="IR48" s="12">
        <f t="shared" si="204"/>
        <v>0</v>
      </c>
      <c r="IS48" s="12">
        <f t="shared" si="205"/>
        <v>0</v>
      </c>
      <c r="IT48" s="12">
        <f t="shared" si="206"/>
        <v>0</v>
      </c>
      <c r="IU48" s="12">
        <f t="shared" si="207"/>
        <v>0</v>
      </c>
      <c r="IV48" s="12">
        <f t="shared" si="208"/>
        <v>0</v>
      </c>
      <c r="IW48" s="12">
        <f t="shared" si="209"/>
        <v>0</v>
      </c>
      <c r="IX48" s="12">
        <f t="shared" si="210"/>
        <v>0</v>
      </c>
      <c r="IY48" s="12">
        <f t="shared" si="211"/>
        <v>0</v>
      </c>
      <c r="IZ48" s="12">
        <f t="shared" si="212"/>
        <v>1</v>
      </c>
      <c r="JA48" s="13">
        <f t="shared" si="213"/>
        <v>0</v>
      </c>
      <c r="JB48" s="13">
        <f t="shared" si="214"/>
        <v>0</v>
      </c>
      <c r="JC48" s="13">
        <f t="shared" si="215"/>
        <v>0</v>
      </c>
      <c r="JD48" s="13">
        <f t="shared" si="216"/>
        <v>0</v>
      </c>
      <c r="JE48" s="13">
        <f t="shared" si="217"/>
        <v>0</v>
      </c>
      <c r="JF48" s="13">
        <f t="shared" si="218"/>
        <v>0</v>
      </c>
      <c r="JG48" s="13">
        <f t="shared" si="219"/>
        <v>0</v>
      </c>
      <c r="JH48" s="13">
        <f t="shared" si="220"/>
        <v>0</v>
      </c>
      <c r="JI48" s="13">
        <f t="shared" si="221"/>
        <v>0</v>
      </c>
      <c r="JJ48" s="13">
        <f t="shared" si="222"/>
        <v>0</v>
      </c>
      <c r="JK48" s="13">
        <f t="shared" si="223"/>
        <v>0</v>
      </c>
      <c r="JL48" s="13">
        <f t="shared" si="224"/>
        <v>0</v>
      </c>
      <c r="JM48" s="13">
        <f t="shared" si="225"/>
        <v>0</v>
      </c>
      <c r="JN48" s="13">
        <f t="shared" si="226"/>
        <v>0</v>
      </c>
      <c r="JO48" s="13">
        <f t="shared" si="227"/>
        <v>0</v>
      </c>
      <c r="JP48" s="13">
        <f t="shared" si="228"/>
        <v>0</v>
      </c>
      <c r="JQ48" s="13">
        <f t="shared" si="229"/>
        <v>0</v>
      </c>
      <c r="JR48" s="13">
        <f t="shared" si="230"/>
        <v>0</v>
      </c>
      <c r="JS48" s="13">
        <f t="shared" si="231"/>
        <v>0</v>
      </c>
      <c r="JT48" s="13">
        <f t="shared" si="232"/>
        <v>0</v>
      </c>
      <c r="JU48" s="13">
        <f t="shared" si="233"/>
        <v>0</v>
      </c>
      <c r="JV48" s="12">
        <f t="shared" si="234"/>
        <v>0</v>
      </c>
      <c r="JW48" s="12">
        <f t="shared" si="235"/>
        <v>0</v>
      </c>
      <c r="JX48" s="12">
        <f t="shared" si="236"/>
        <v>0</v>
      </c>
      <c r="JY48" s="12">
        <f t="shared" si="237"/>
        <v>0</v>
      </c>
      <c r="JZ48" s="12">
        <f t="shared" si="238"/>
        <v>0</v>
      </c>
      <c r="KA48" s="12">
        <f t="shared" si="239"/>
        <v>0</v>
      </c>
      <c r="KB48" s="12">
        <f t="shared" si="240"/>
        <v>0</v>
      </c>
      <c r="KC48" s="12">
        <f t="shared" si="241"/>
        <v>0</v>
      </c>
      <c r="KD48" s="12">
        <f t="shared" si="242"/>
        <v>0</v>
      </c>
      <c r="KE48" s="12">
        <f t="shared" si="243"/>
        <v>0</v>
      </c>
      <c r="KF48" s="12">
        <f t="shared" si="244"/>
        <v>0</v>
      </c>
      <c r="KG48" s="12">
        <f t="shared" si="245"/>
        <v>0</v>
      </c>
      <c r="KH48" s="12">
        <f t="shared" si="246"/>
        <v>0</v>
      </c>
      <c r="KI48" s="12">
        <f t="shared" si="247"/>
        <v>0</v>
      </c>
      <c r="KJ48" s="12">
        <f t="shared" si="248"/>
        <v>0</v>
      </c>
      <c r="KK48" s="12">
        <f t="shared" si="249"/>
        <v>0</v>
      </c>
      <c r="KL48" s="12">
        <f t="shared" si="250"/>
        <v>0</v>
      </c>
      <c r="KM48" s="12">
        <f t="shared" si="251"/>
        <v>0</v>
      </c>
      <c r="KN48" s="12">
        <f t="shared" si="252"/>
        <v>0</v>
      </c>
      <c r="KO48" s="12">
        <f t="shared" si="253"/>
        <v>0</v>
      </c>
      <c r="KP48" s="12">
        <f t="shared" si="254"/>
        <v>0</v>
      </c>
      <c r="KQ48" s="12">
        <f t="shared" si="255"/>
        <v>0</v>
      </c>
      <c r="KR48" s="12">
        <f t="shared" si="256"/>
        <v>0</v>
      </c>
      <c r="KS48" s="12">
        <f t="shared" si="257"/>
        <v>0</v>
      </c>
      <c r="KT48" s="12">
        <f t="shared" si="258"/>
        <v>0</v>
      </c>
      <c r="KU48" s="12">
        <f t="shared" si="259"/>
        <v>0</v>
      </c>
      <c r="KV48" s="12">
        <f t="shared" si="260"/>
        <v>0</v>
      </c>
      <c r="KW48" s="12">
        <f t="shared" si="261"/>
        <v>0</v>
      </c>
      <c r="KX48" s="12">
        <f t="shared" si="262"/>
        <v>0</v>
      </c>
      <c r="KY48" s="12">
        <f t="shared" si="263"/>
        <v>0</v>
      </c>
      <c r="KZ48" s="12">
        <f t="shared" si="264"/>
        <v>1</v>
      </c>
      <c r="LA48" s="12">
        <f t="shared" si="265"/>
        <v>0</v>
      </c>
      <c r="LB48" s="12">
        <f t="shared" si="266"/>
        <v>0</v>
      </c>
      <c r="LC48" s="12">
        <f t="shared" si="267"/>
        <v>0</v>
      </c>
      <c r="LD48" s="12">
        <f t="shared" si="268"/>
        <v>0</v>
      </c>
      <c r="LE48" s="12">
        <f t="shared" si="269"/>
        <v>0</v>
      </c>
      <c r="LF48" s="12">
        <f t="shared" si="270"/>
        <v>0</v>
      </c>
      <c r="LG48" s="12">
        <f t="shared" si="271"/>
        <v>0</v>
      </c>
      <c r="LH48" s="12">
        <f t="shared" si="272"/>
        <v>0</v>
      </c>
      <c r="LI48" s="12">
        <f t="shared" si="273"/>
        <v>0</v>
      </c>
      <c r="LJ48" s="12">
        <f t="shared" si="274"/>
        <v>0</v>
      </c>
      <c r="LK48" s="12">
        <f t="shared" si="275"/>
        <v>0</v>
      </c>
      <c r="LL48" s="12">
        <f t="shared" si="276"/>
        <v>0</v>
      </c>
      <c r="LM48" s="12">
        <f t="shared" si="277"/>
        <v>0</v>
      </c>
      <c r="LN48" s="12">
        <f t="shared" si="278"/>
        <v>0</v>
      </c>
      <c r="LO48" s="12">
        <f t="shared" si="279"/>
        <v>0</v>
      </c>
      <c r="LP48" s="12">
        <f t="shared" si="280"/>
        <v>0</v>
      </c>
      <c r="LQ48" s="12">
        <f t="shared" si="281"/>
        <v>0</v>
      </c>
      <c r="LR48" s="12">
        <f t="shared" si="282"/>
        <v>0</v>
      </c>
      <c r="LS48" s="12">
        <f t="shared" si="283"/>
        <v>0</v>
      </c>
      <c r="LT48" s="13">
        <f t="shared" si="284"/>
        <v>0</v>
      </c>
      <c r="LU48" s="13">
        <f t="shared" si="285"/>
        <v>0</v>
      </c>
      <c r="LV48" s="13">
        <f t="shared" si="286"/>
        <v>0</v>
      </c>
      <c r="LW48" s="13">
        <f t="shared" si="287"/>
        <v>1</v>
      </c>
      <c r="LX48" s="13">
        <f t="shared" si="288"/>
        <v>0</v>
      </c>
      <c r="LY48" s="13">
        <f t="shared" si="289"/>
        <v>0</v>
      </c>
      <c r="LZ48" s="13">
        <f t="shared" si="290"/>
        <v>0</v>
      </c>
      <c r="MA48" s="13">
        <f t="shared" si="291"/>
        <v>0</v>
      </c>
      <c r="MB48" s="13">
        <f t="shared" si="292"/>
        <v>0</v>
      </c>
      <c r="MC48" s="13">
        <f t="shared" si="293"/>
        <v>0</v>
      </c>
      <c r="MD48" s="13">
        <f t="shared" si="294"/>
        <v>0</v>
      </c>
      <c r="ME48" s="13">
        <f t="shared" si="295"/>
        <v>0</v>
      </c>
      <c r="MF48" s="13">
        <f t="shared" si="296"/>
        <v>0</v>
      </c>
      <c r="MG48" s="13">
        <f t="shared" si="297"/>
        <v>0</v>
      </c>
      <c r="MH48" s="13">
        <f t="shared" si="298"/>
        <v>0</v>
      </c>
      <c r="MI48" s="13">
        <f t="shared" si="299"/>
        <v>0</v>
      </c>
      <c r="MJ48" s="13">
        <f t="shared" si="300"/>
        <v>0</v>
      </c>
      <c r="MK48" s="13">
        <f t="shared" si="301"/>
        <v>0</v>
      </c>
      <c r="ML48" s="14">
        <f t="shared" si="302"/>
        <v>0</v>
      </c>
      <c r="MM48" s="14">
        <f t="shared" si="303"/>
        <v>0</v>
      </c>
      <c r="MN48" s="14">
        <f t="shared" si="304"/>
        <v>0</v>
      </c>
      <c r="MO48" s="14">
        <f t="shared" si="305"/>
        <v>0</v>
      </c>
      <c r="MP48" s="14">
        <f t="shared" si="306"/>
        <v>0</v>
      </c>
      <c r="MQ48" s="14">
        <f t="shared" si="307"/>
        <v>0</v>
      </c>
      <c r="MR48" s="14">
        <f t="shared" si="308"/>
        <v>0</v>
      </c>
      <c r="MS48" s="14">
        <f t="shared" si="309"/>
        <v>0</v>
      </c>
      <c r="MT48" s="14">
        <f t="shared" si="310"/>
        <v>0</v>
      </c>
      <c r="MU48" s="14">
        <f t="shared" si="311"/>
        <v>0</v>
      </c>
      <c r="MV48" s="14">
        <f t="shared" si="312"/>
        <v>0</v>
      </c>
      <c r="MW48" s="14">
        <f t="shared" si="313"/>
        <v>0</v>
      </c>
      <c r="MX48" s="14">
        <f t="shared" si="314"/>
        <v>0</v>
      </c>
      <c r="MY48" s="14">
        <f t="shared" si="315"/>
        <v>0</v>
      </c>
      <c r="MZ48" s="14">
        <f t="shared" si="316"/>
        <v>0</v>
      </c>
      <c r="NA48" s="14">
        <f t="shared" si="317"/>
        <v>0</v>
      </c>
      <c r="NB48" s="14">
        <f t="shared" si="318"/>
        <v>0</v>
      </c>
    </row>
    <row r="49" ht="15.75" customHeight="1">
      <c r="A49" s="2">
        <v>233.0</v>
      </c>
      <c r="B49" s="2" t="s">
        <v>1224</v>
      </c>
      <c r="C49" s="2" t="s">
        <v>1225</v>
      </c>
      <c r="D49" s="2" t="s">
        <v>1226</v>
      </c>
      <c r="E49" s="2">
        <v>2020.0</v>
      </c>
      <c r="F49" s="2" t="s">
        <v>1227</v>
      </c>
      <c r="G49" s="2" t="s">
        <v>1228</v>
      </c>
      <c r="I49" s="2" t="s">
        <v>1229</v>
      </c>
      <c r="M49" s="2">
        <v>32.0</v>
      </c>
      <c r="N49" s="2" t="s">
        <v>1230</v>
      </c>
      <c r="O49" s="2" t="s">
        <v>1231</v>
      </c>
      <c r="P49" s="2" t="s">
        <v>1232</v>
      </c>
      <c r="Q49" s="2" t="s">
        <v>1233</v>
      </c>
      <c r="R49" s="2" t="s">
        <v>1234</v>
      </c>
      <c r="T49" s="2" t="s">
        <v>1235</v>
      </c>
      <c r="Y49" s="2" t="s">
        <v>1236</v>
      </c>
      <c r="AB49" s="2" t="s">
        <v>1237</v>
      </c>
      <c r="AG49" s="2" t="s">
        <v>1238</v>
      </c>
      <c r="AJ49" s="2">
        <v>3.2273887E7</v>
      </c>
      <c r="AK49" s="2" t="s">
        <v>1239</v>
      </c>
      <c r="AL49" s="2" t="s">
        <v>384</v>
      </c>
      <c r="AM49" s="2" t="s">
        <v>484</v>
      </c>
      <c r="AN49" s="2" t="s">
        <v>386</v>
      </c>
      <c r="AO49" s="2" t="s">
        <v>1240</v>
      </c>
      <c r="AP49" s="2" t="s">
        <v>386</v>
      </c>
      <c r="AQ49" s="2">
        <v>971.0</v>
      </c>
      <c r="AR49" s="2" t="s">
        <v>1241</v>
      </c>
      <c r="AS49" s="2" t="b">
        <v>1</v>
      </c>
      <c r="AT49" s="3">
        <v>0.0</v>
      </c>
      <c r="AU49" s="4"/>
      <c r="AV49" s="4"/>
      <c r="AW49" s="5">
        <f t="shared" si="3"/>
        <v>0</v>
      </c>
      <c r="AX49" s="5">
        <f t="shared" si="4"/>
        <v>0</v>
      </c>
      <c r="AY49" s="5">
        <f t="shared" si="5"/>
        <v>0</v>
      </c>
      <c r="AZ49" s="5">
        <f t="shared" si="6"/>
        <v>0</v>
      </c>
      <c r="BA49" s="5">
        <f t="shared" si="7"/>
        <v>0</v>
      </c>
      <c r="BB49" s="5">
        <f t="shared" si="8"/>
        <v>0</v>
      </c>
      <c r="BC49" s="5">
        <f t="shared" si="9"/>
        <v>0</v>
      </c>
      <c r="BD49" s="5">
        <f t="shared" si="10"/>
        <v>0</v>
      </c>
      <c r="BE49" s="5">
        <f t="shared" si="11"/>
        <v>0</v>
      </c>
      <c r="BF49" s="5">
        <f t="shared" si="12"/>
        <v>0</v>
      </c>
      <c r="BG49" s="5">
        <f t="shared" si="13"/>
        <v>0</v>
      </c>
      <c r="BH49" s="5">
        <f t="shared" si="14"/>
        <v>0</v>
      </c>
      <c r="BI49" s="5">
        <f t="shared" si="15"/>
        <v>0</v>
      </c>
      <c r="BJ49" s="5">
        <f t="shared" si="16"/>
        <v>0</v>
      </c>
      <c r="BK49" s="5">
        <f t="shared" si="17"/>
        <v>0</v>
      </c>
      <c r="BL49" s="5">
        <f t="shared" si="18"/>
        <v>0</v>
      </c>
      <c r="BM49" s="5">
        <f t="shared" si="19"/>
        <v>0</v>
      </c>
      <c r="BN49" s="5">
        <f t="shared" si="20"/>
        <v>0</v>
      </c>
      <c r="BO49" s="5">
        <f t="shared" si="21"/>
        <v>0</v>
      </c>
      <c r="BP49" s="5">
        <f t="shared" si="22"/>
        <v>0</v>
      </c>
      <c r="BQ49" s="5">
        <f t="shared" si="23"/>
        <v>0</v>
      </c>
      <c r="BR49" s="5">
        <f t="shared" si="24"/>
        <v>0</v>
      </c>
      <c r="BS49" s="5">
        <f t="shared" si="25"/>
        <v>0</v>
      </c>
      <c r="BT49" s="5">
        <f t="shared" si="26"/>
        <v>0</v>
      </c>
      <c r="BU49" s="5">
        <f t="shared" si="27"/>
        <v>0</v>
      </c>
      <c r="BV49" s="5">
        <f t="shared" ref="BV49:BW49" si="423">IF(OR(ISNUMBER(SEARCH("grit",$D49)),ISNUMBER(SEARCH("grit",$T49)),ISNUMBER(SEARCH("grit",$R49)),ISNUMBER(SEARCH("grit",$S49)),
ISNUMBER(SEARCH("determination",$D49)),ISNUMBER(SEARCH("determination",$T49)),ISNUMBER(SEARCH("determination",$R49)),ISNUMBER(SEARCH("determination",$S49)),
ISNUMBER(SEARCH("tenacity",$D49)),ISNUMBER(SEARCH("tenacity",$T49)),ISNUMBER(SEARCH("tenacity",$R49)),ISNUMBER(SEARCH("tenacity",$S49)),
ISNUMBER(SEARCH("endurance",$D49)),ISNUMBER(SEARCH("endurance",$T49)),ISNUMBER(SEARCH("endurance",$R49)),ISNUMBER(SEARCH("endurance",$S49)),
ISNUMBER(SEARCH("fortitude",$D49)),ISNUMBER(SEARCH("fortitude",$T49)),ISNUMBER(SEARCH("fortitude",$R49)),ISNUMBER(SEARCH("fortitude",$S49)),
ISNUMBER(SEARCH("resolve",$D49)),ISNUMBER(SEARCH("resolve",$T49)),ISNUMBER(SEARCH("resolve",$R49)),ISNUMBER(SEARCH("resolve",$S49)),
ISNUMBER(SEARCH("stamina",$D49)),ISNUMBER(SEARCH("stamina",$T49)),ISNUMBER(SEARCH("stamina",$R49)),ISNUMBER(SEARCH("stamina",$S49)),
ISNUMBER(SEARCH("guts",$D49)),ISNUMBER(SEARCH("guts",$T49)),ISNUMBER(SEARCH("guts",$R49)),ISNUMBER(SEARCH("guts",$S49)),
ISNUMBER(SEARCH("spunk",$D49)),ISNUMBER(SEARCH("spunk",$T49)),ISNUMBER(SEARCH("spunk",$R49)),ISNUMBER(SEARCH("spunk",$S49))), 1, 0)</f>
        <v>0</v>
      </c>
      <c r="BW49" s="5">
        <f t="shared" si="423"/>
        <v>0</v>
      </c>
      <c r="BX49" s="5">
        <f t="shared" si="29"/>
        <v>0</v>
      </c>
      <c r="BY49" s="5">
        <f t="shared" si="30"/>
        <v>0</v>
      </c>
      <c r="BZ49" s="5">
        <f t="shared" si="31"/>
        <v>0</v>
      </c>
      <c r="CA49" s="5">
        <f t="shared" si="32"/>
        <v>0</v>
      </c>
      <c r="CB49" s="5">
        <f t="shared" si="33"/>
        <v>0</v>
      </c>
      <c r="CC49" s="5">
        <f t="shared" si="34"/>
        <v>0</v>
      </c>
      <c r="CD49" s="5">
        <f t="shared" si="35"/>
        <v>0</v>
      </c>
      <c r="CE49" s="5">
        <f t="shared" si="36"/>
        <v>0</v>
      </c>
      <c r="CF49" s="5">
        <f t="shared" si="37"/>
        <v>0</v>
      </c>
      <c r="CG49" s="5">
        <f t="shared" si="38"/>
        <v>0</v>
      </c>
      <c r="CH49" s="5">
        <f t="shared" si="39"/>
        <v>0</v>
      </c>
      <c r="CI49" s="5">
        <f t="shared" si="40"/>
        <v>0</v>
      </c>
      <c r="CJ49" s="5">
        <f t="shared" si="41"/>
        <v>0</v>
      </c>
      <c r="CK49" s="5">
        <f t="shared" si="42"/>
        <v>1</v>
      </c>
      <c r="CL49" s="5">
        <f t="shared" si="43"/>
        <v>0</v>
      </c>
      <c r="CM49" s="5">
        <f t="shared" si="44"/>
        <v>0</v>
      </c>
      <c r="CN49" s="5">
        <f t="shared" si="45"/>
        <v>0</v>
      </c>
      <c r="CO49" s="5">
        <f t="shared" si="46"/>
        <v>0</v>
      </c>
      <c r="CP49" s="6">
        <f t="shared" si="47"/>
        <v>0</v>
      </c>
      <c r="CQ49" s="6">
        <f t="shared" si="48"/>
        <v>0</v>
      </c>
      <c r="CR49" s="6">
        <f t="shared" si="49"/>
        <v>0</v>
      </c>
      <c r="CS49" s="6">
        <f t="shared" si="50"/>
        <v>0</v>
      </c>
      <c r="CT49" s="6">
        <f t="shared" si="51"/>
        <v>0</v>
      </c>
      <c r="CU49" s="6">
        <f t="shared" si="52"/>
        <v>0</v>
      </c>
      <c r="CV49" s="6">
        <f t="shared" si="53"/>
        <v>0</v>
      </c>
      <c r="CW49" s="6">
        <f t="shared" si="54"/>
        <v>0</v>
      </c>
      <c r="CX49" s="6">
        <f t="shared" si="55"/>
        <v>0</v>
      </c>
      <c r="CY49" s="6">
        <f t="shared" si="56"/>
        <v>0</v>
      </c>
      <c r="CZ49" s="6">
        <f t="shared" si="57"/>
        <v>0</v>
      </c>
      <c r="DA49" s="6">
        <f t="shared" si="58"/>
        <v>0</v>
      </c>
      <c r="DB49" s="6">
        <f t="shared" si="59"/>
        <v>0</v>
      </c>
      <c r="DC49" s="6">
        <f t="shared" si="60"/>
        <v>0</v>
      </c>
      <c r="DD49" s="6">
        <f t="shared" si="61"/>
        <v>0</v>
      </c>
      <c r="DE49" s="6">
        <f t="shared" si="62"/>
        <v>0</v>
      </c>
      <c r="DF49" s="6">
        <f t="shared" si="63"/>
        <v>0</v>
      </c>
      <c r="DG49" s="6">
        <f t="shared" si="64"/>
        <v>0</v>
      </c>
      <c r="DH49" s="6">
        <f t="shared" si="384"/>
        <v>0</v>
      </c>
      <c r="DI49" s="6">
        <f t="shared" si="66"/>
        <v>0</v>
      </c>
      <c r="DJ49" s="6">
        <f t="shared" si="385"/>
        <v>0</v>
      </c>
      <c r="DK49" s="7">
        <f t="shared" si="68"/>
        <v>0</v>
      </c>
      <c r="DL49" s="7">
        <f t="shared" si="411"/>
        <v>0</v>
      </c>
      <c r="DM49" s="7">
        <f t="shared" si="70"/>
        <v>0</v>
      </c>
      <c r="DN49" s="7">
        <f t="shared" si="71"/>
        <v>0</v>
      </c>
      <c r="DO49" s="7">
        <f t="shared" si="72"/>
        <v>0</v>
      </c>
      <c r="DP49" s="8">
        <f t="shared" si="73"/>
        <v>0</v>
      </c>
      <c r="DQ49" s="8">
        <f t="shared" si="74"/>
        <v>1</v>
      </c>
      <c r="DR49" s="7">
        <f t="shared" si="75"/>
        <v>0</v>
      </c>
      <c r="DS49" s="7">
        <f t="shared" si="76"/>
        <v>1</v>
      </c>
      <c r="DT49" s="7">
        <f t="shared" si="77"/>
        <v>0</v>
      </c>
      <c r="DU49" s="9">
        <f t="shared" si="78"/>
        <v>0</v>
      </c>
      <c r="DV49" s="9">
        <f t="shared" si="79"/>
        <v>0</v>
      </c>
      <c r="DW49" s="9">
        <f t="shared" si="80"/>
        <v>0</v>
      </c>
      <c r="DX49" s="9">
        <f t="shared" si="81"/>
        <v>0</v>
      </c>
      <c r="DY49" s="9">
        <f t="shared" si="82"/>
        <v>0</v>
      </c>
      <c r="DZ49" s="9">
        <f t="shared" si="83"/>
        <v>0</v>
      </c>
      <c r="EA49" s="9">
        <f t="shared" si="84"/>
        <v>0</v>
      </c>
      <c r="EB49" s="9">
        <f t="shared" si="85"/>
        <v>0</v>
      </c>
      <c r="EC49" s="9">
        <f t="shared" si="86"/>
        <v>0</v>
      </c>
      <c r="ED49" s="9">
        <f t="shared" si="87"/>
        <v>0</v>
      </c>
      <c r="EE49" s="9">
        <f t="shared" si="88"/>
        <v>0</v>
      </c>
      <c r="EF49" s="9">
        <f t="shared" si="89"/>
        <v>0</v>
      </c>
      <c r="EG49" s="9">
        <f t="shared" si="90"/>
        <v>0</v>
      </c>
      <c r="EH49" s="9">
        <f t="shared" si="91"/>
        <v>0</v>
      </c>
      <c r="EI49" s="9">
        <f t="shared" si="92"/>
        <v>0</v>
      </c>
      <c r="EJ49" s="10">
        <f t="shared" si="93"/>
        <v>0</v>
      </c>
      <c r="EK49" s="10">
        <f t="shared" si="94"/>
        <v>0</v>
      </c>
      <c r="EL49" s="10">
        <f t="shared" ref="EL49:EM49" si="424">IF(OR(ISNUMBER(SEARCH("ai software toolkit", $D49)), ISNUMBER(SEARCH("ai software toolkit", $T49)), ISNUMBER(SEARCH("ai software toolkit", $R49)), ISNUMBER(SEARCH("ai software toolkit", $S49))), 1, 0)</f>
        <v>0</v>
      </c>
      <c r="EM49" s="10">
        <f t="shared" si="424"/>
        <v>0</v>
      </c>
      <c r="EN49" s="10">
        <f t="shared" si="96"/>
        <v>0</v>
      </c>
      <c r="EO49" s="10">
        <f t="shared" si="97"/>
        <v>0</v>
      </c>
      <c r="EP49" s="10">
        <f t="shared" si="98"/>
        <v>0</v>
      </c>
      <c r="EQ49" s="10">
        <f t="shared" si="99"/>
        <v>0</v>
      </c>
      <c r="ER49" s="10">
        <f t="shared" si="100"/>
        <v>0</v>
      </c>
      <c r="ES49" s="10">
        <f t="shared" si="101"/>
        <v>0</v>
      </c>
      <c r="ET49" s="10">
        <f t="shared" si="102"/>
        <v>0</v>
      </c>
      <c r="EU49" s="10">
        <f t="shared" si="103"/>
        <v>0</v>
      </c>
      <c r="EV49" s="10">
        <f t="shared" si="104"/>
        <v>0</v>
      </c>
      <c r="EW49" s="10">
        <f t="shared" si="105"/>
        <v>0</v>
      </c>
      <c r="EX49" s="10">
        <f t="shared" si="106"/>
        <v>0</v>
      </c>
      <c r="EY49" s="10">
        <f t="shared" si="107"/>
        <v>0</v>
      </c>
      <c r="EZ49" s="10">
        <f t="shared" si="108"/>
        <v>0</v>
      </c>
      <c r="FA49" s="10">
        <f t="shared" si="109"/>
        <v>0</v>
      </c>
      <c r="FB49" s="10">
        <f t="shared" si="110"/>
        <v>0</v>
      </c>
      <c r="FC49" s="10">
        <f t="shared" si="111"/>
        <v>0</v>
      </c>
      <c r="FD49" s="10">
        <f t="shared" si="112"/>
        <v>0</v>
      </c>
      <c r="FE49" s="10">
        <f t="shared" si="113"/>
        <v>0</v>
      </c>
      <c r="FF49" s="10">
        <f t="shared" si="114"/>
        <v>0</v>
      </c>
      <c r="FG49" s="10">
        <f t="shared" si="115"/>
        <v>0</v>
      </c>
      <c r="FH49" s="10">
        <f t="shared" si="116"/>
        <v>0</v>
      </c>
      <c r="FI49" s="10">
        <f t="shared" si="117"/>
        <v>0</v>
      </c>
      <c r="FJ49" s="10">
        <f t="shared" si="118"/>
        <v>0</v>
      </c>
      <c r="FK49" s="10">
        <f t="shared" si="119"/>
        <v>0</v>
      </c>
      <c r="FL49" s="10">
        <f t="shared" si="120"/>
        <v>0</v>
      </c>
      <c r="FM49" s="10">
        <f t="shared" si="121"/>
        <v>0</v>
      </c>
      <c r="FN49" s="10">
        <f t="shared" si="122"/>
        <v>0</v>
      </c>
      <c r="FO49" s="10">
        <f t="shared" si="123"/>
        <v>0</v>
      </c>
      <c r="FP49" s="10">
        <f t="shared" si="124"/>
        <v>0</v>
      </c>
      <c r="FQ49" s="10">
        <f t="shared" si="125"/>
        <v>0</v>
      </c>
      <c r="FR49" s="11">
        <f t="shared" si="425"/>
        <v>0</v>
      </c>
      <c r="FS49" s="11">
        <f t="shared" si="127"/>
        <v>0</v>
      </c>
      <c r="FT49" s="11">
        <f t="shared" si="128"/>
        <v>0</v>
      </c>
      <c r="FU49" s="11">
        <f t="shared" si="129"/>
        <v>0</v>
      </c>
      <c r="FV49" s="11">
        <f t="shared" si="130"/>
        <v>0</v>
      </c>
      <c r="FW49" s="11">
        <f t="shared" si="131"/>
        <v>0</v>
      </c>
      <c r="FX49" s="11">
        <f t="shared" si="132"/>
        <v>0</v>
      </c>
      <c r="FY49" s="11">
        <f t="shared" si="133"/>
        <v>0</v>
      </c>
      <c r="FZ49" s="11">
        <f t="shared" si="134"/>
        <v>0</v>
      </c>
      <c r="GA49" s="11">
        <f t="shared" si="135"/>
        <v>0</v>
      </c>
      <c r="GB49" s="11">
        <f t="shared" si="136"/>
        <v>0</v>
      </c>
      <c r="GC49" s="11">
        <f t="shared" si="137"/>
        <v>0</v>
      </c>
      <c r="GD49" s="11">
        <f t="shared" si="138"/>
        <v>0</v>
      </c>
      <c r="GE49" s="11">
        <f t="shared" si="139"/>
        <v>0</v>
      </c>
      <c r="GF49" s="11">
        <f t="shared" si="140"/>
        <v>0</v>
      </c>
      <c r="GG49" s="11">
        <f t="shared" si="141"/>
        <v>0</v>
      </c>
      <c r="GH49" s="11">
        <f t="shared" si="142"/>
        <v>0</v>
      </c>
      <c r="GI49" s="11">
        <f t="shared" si="143"/>
        <v>0</v>
      </c>
      <c r="GJ49" s="11">
        <f t="shared" si="144"/>
        <v>0</v>
      </c>
      <c r="GK49" s="11">
        <f t="shared" si="145"/>
        <v>0</v>
      </c>
      <c r="GL49" s="11">
        <f t="shared" si="146"/>
        <v>0</v>
      </c>
      <c r="GM49" s="11">
        <f t="shared" si="147"/>
        <v>0</v>
      </c>
      <c r="GN49" s="11">
        <f t="shared" si="148"/>
        <v>0</v>
      </c>
      <c r="GO49" s="11">
        <f t="shared" si="149"/>
        <v>0</v>
      </c>
      <c r="GP49" s="11">
        <f t="shared" si="150"/>
        <v>0</v>
      </c>
      <c r="GQ49" s="11">
        <f t="shared" si="151"/>
        <v>0</v>
      </c>
      <c r="GR49" s="11">
        <f t="shared" si="152"/>
        <v>0</v>
      </c>
      <c r="GS49" s="11">
        <f t="shared" si="153"/>
        <v>0</v>
      </c>
      <c r="GT49" s="11">
        <f t="shared" si="154"/>
        <v>0</v>
      </c>
      <c r="GU49" s="12">
        <f t="shared" si="155"/>
        <v>0</v>
      </c>
      <c r="GV49" s="12">
        <f t="shared" si="156"/>
        <v>0</v>
      </c>
      <c r="GW49" s="12">
        <f t="shared" si="157"/>
        <v>0</v>
      </c>
      <c r="GX49" s="12">
        <f t="shared" si="158"/>
        <v>0</v>
      </c>
      <c r="GY49" s="12">
        <f t="shared" si="159"/>
        <v>0</v>
      </c>
      <c r="GZ49" s="12">
        <f t="shared" si="160"/>
        <v>0</v>
      </c>
      <c r="HA49" s="12">
        <f t="shared" si="161"/>
        <v>0</v>
      </c>
      <c r="HB49" s="12">
        <f t="shared" si="162"/>
        <v>0</v>
      </c>
      <c r="HC49" s="12">
        <f t="shared" si="163"/>
        <v>0</v>
      </c>
      <c r="HD49" s="12">
        <f t="shared" si="164"/>
        <v>0</v>
      </c>
      <c r="HE49" s="12">
        <f t="shared" si="165"/>
        <v>0</v>
      </c>
      <c r="HF49" s="12">
        <f t="shared" si="166"/>
        <v>0</v>
      </c>
      <c r="HG49" s="12">
        <f t="shared" si="167"/>
        <v>0</v>
      </c>
      <c r="HH49" s="12">
        <f t="shared" si="168"/>
        <v>0</v>
      </c>
      <c r="HI49" s="12">
        <f t="shared" si="169"/>
        <v>0</v>
      </c>
      <c r="HJ49" s="12">
        <f t="shared" si="170"/>
        <v>0</v>
      </c>
      <c r="HK49" s="12">
        <f t="shared" si="171"/>
        <v>0</v>
      </c>
      <c r="HL49" s="12">
        <f t="shared" si="172"/>
        <v>0</v>
      </c>
      <c r="HM49" s="12">
        <f t="shared" si="173"/>
        <v>0</v>
      </c>
      <c r="HN49" s="12">
        <f t="shared" si="174"/>
        <v>0</v>
      </c>
      <c r="HO49" s="12">
        <f t="shared" si="175"/>
        <v>0</v>
      </c>
      <c r="HP49" s="12">
        <f t="shared" si="176"/>
        <v>0</v>
      </c>
      <c r="HQ49" s="12">
        <f t="shared" si="177"/>
        <v>0</v>
      </c>
      <c r="HR49" s="12">
        <f t="shared" si="178"/>
        <v>0</v>
      </c>
      <c r="HS49" s="12">
        <f t="shared" si="179"/>
        <v>0</v>
      </c>
      <c r="HT49" s="12">
        <f t="shared" si="180"/>
        <v>0</v>
      </c>
      <c r="HU49" s="12">
        <f t="shared" si="181"/>
        <v>0</v>
      </c>
      <c r="HV49" s="12">
        <f t="shared" si="182"/>
        <v>0</v>
      </c>
      <c r="HW49" s="12">
        <f t="shared" si="183"/>
        <v>0</v>
      </c>
      <c r="HX49" s="12">
        <f t="shared" si="184"/>
        <v>0</v>
      </c>
      <c r="HY49" s="12">
        <f t="shared" si="185"/>
        <v>0</v>
      </c>
      <c r="HZ49" s="12">
        <f t="shared" si="186"/>
        <v>0</v>
      </c>
      <c r="IA49" s="12">
        <f t="shared" si="187"/>
        <v>0</v>
      </c>
      <c r="IB49" s="12">
        <f t="shared" si="188"/>
        <v>0</v>
      </c>
      <c r="IC49" s="12">
        <f t="shared" si="189"/>
        <v>0</v>
      </c>
      <c r="ID49" s="12">
        <f t="shared" si="190"/>
        <v>0</v>
      </c>
      <c r="IE49" s="12">
        <f t="shared" si="191"/>
        <v>0</v>
      </c>
      <c r="IF49" s="12">
        <f t="shared" si="192"/>
        <v>0</v>
      </c>
      <c r="IG49" s="12">
        <f t="shared" si="193"/>
        <v>0</v>
      </c>
      <c r="IH49" s="12">
        <f t="shared" si="194"/>
        <v>0</v>
      </c>
      <c r="II49" s="12">
        <f t="shared" si="195"/>
        <v>0</v>
      </c>
      <c r="IJ49" s="12">
        <f t="shared" si="196"/>
        <v>0</v>
      </c>
      <c r="IK49" s="12">
        <f t="shared" si="197"/>
        <v>0</v>
      </c>
      <c r="IL49" s="12">
        <f t="shared" si="198"/>
        <v>0</v>
      </c>
      <c r="IM49" s="12">
        <f t="shared" si="199"/>
        <v>0</v>
      </c>
      <c r="IN49" s="12">
        <f t="shared" si="200"/>
        <v>0</v>
      </c>
      <c r="IO49" s="12">
        <f t="shared" si="201"/>
        <v>0</v>
      </c>
      <c r="IP49" s="12">
        <f t="shared" si="202"/>
        <v>0</v>
      </c>
      <c r="IQ49" s="12">
        <f t="shared" si="203"/>
        <v>0</v>
      </c>
      <c r="IR49" s="12">
        <f t="shared" si="204"/>
        <v>0</v>
      </c>
      <c r="IS49" s="12">
        <f t="shared" si="205"/>
        <v>0</v>
      </c>
      <c r="IT49" s="12">
        <f t="shared" si="206"/>
        <v>0</v>
      </c>
      <c r="IU49" s="12">
        <f t="shared" si="207"/>
        <v>0</v>
      </c>
      <c r="IV49" s="12">
        <f t="shared" si="208"/>
        <v>0</v>
      </c>
      <c r="IW49" s="12">
        <f t="shared" si="209"/>
        <v>0</v>
      </c>
      <c r="IX49" s="12">
        <f t="shared" si="210"/>
        <v>0</v>
      </c>
      <c r="IY49" s="12">
        <f t="shared" si="211"/>
        <v>0</v>
      </c>
      <c r="IZ49" s="12">
        <f t="shared" si="212"/>
        <v>0</v>
      </c>
      <c r="JA49" s="13">
        <f t="shared" si="213"/>
        <v>0</v>
      </c>
      <c r="JB49" s="13">
        <f t="shared" si="214"/>
        <v>0</v>
      </c>
      <c r="JC49" s="13">
        <f t="shared" si="215"/>
        <v>0</v>
      </c>
      <c r="JD49" s="13">
        <f t="shared" si="216"/>
        <v>0</v>
      </c>
      <c r="JE49" s="13">
        <f t="shared" si="217"/>
        <v>0</v>
      </c>
      <c r="JF49" s="13">
        <f t="shared" si="218"/>
        <v>0</v>
      </c>
      <c r="JG49" s="13">
        <f t="shared" si="219"/>
        <v>0</v>
      </c>
      <c r="JH49" s="13">
        <f t="shared" si="220"/>
        <v>0</v>
      </c>
      <c r="JI49" s="13">
        <f t="shared" si="221"/>
        <v>0</v>
      </c>
      <c r="JJ49" s="13">
        <f t="shared" si="222"/>
        <v>0</v>
      </c>
      <c r="JK49" s="13">
        <f t="shared" si="223"/>
        <v>0</v>
      </c>
      <c r="JL49" s="13">
        <f t="shared" si="224"/>
        <v>0</v>
      </c>
      <c r="JM49" s="13">
        <f t="shared" si="225"/>
        <v>0</v>
      </c>
      <c r="JN49" s="13">
        <f t="shared" si="226"/>
        <v>0</v>
      </c>
      <c r="JO49" s="13">
        <f t="shared" si="227"/>
        <v>0</v>
      </c>
      <c r="JP49" s="13">
        <f t="shared" si="228"/>
        <v>0</v>
      </c>
      <c r="JQ49" s="13">
        <f t="shared" si="229"/>
        <v>0</v>
      </c>
      <c r="JR49" s="13">
        <f t="shared" si="230"/>
        <v>0</v>
      </c>
      <c r="JS49" s="13">
        <f t="shared" si="231"/>
        <v>0</v>
      </c>
      <c r="JT49" s="13">
        <f t="shared" si="232"/>
        <v>0</v>
      </c>
      <c r="JU49" s="13">
        <f t="shared" si="233"/>
        <v>0</v>
      </c>
      <c r="JV49" s="12">
        <f t="shared" si="234"/>
        <v>0</v>
      </c>
      <c r="JW49" s="12">
        <f t="shared" si="235"/>
        <v>0</v>
      </c>
      <c r="JX49" s="12">
        <f t="shared" si="236"/>
        <v>0</v>
      </c>
      <c r="JY49" s="12">
        <f t="shared" si="237"/>
        <v>0</v>
      </c>
      <c r="JZ49" s="12">
        <f t="shared" si="238"/>
        <v>0</v>
      </c>
      <c r="KA49" s="12">
        <f t="shared" si="239"/>
        <v>0</v>
      </c>
      <c r="KB49" s="12">
        <f t="shared" si="240"/>
        <v>0</v>
      </c>
      <c r="KC49" s="12">
        <f t="shared" si="241"/>
        <v>0</v>
      </c>
      <c r="KD49" s="12">
        <f t="shared" si="242"/>
        <v>0</v>
      </c>
      <c r="KE49" s="12">
        <f t="shared" si="243"/>
        <v>0</v>
      </c>
      <c r="KF49" s="12">
        <f t="shared" si="244"/>
        <v>0</v>
      </c>
      <c r="KG49" s="12">
        <f t="shared" si="245"/>
        <v>0</v>
      </c>
      <c r="KH49" s="12">
        <f t="shared" si="246"/>
        <v>0</v>
      </c>
      <c r="KI49" s="12">
        <f t="shared" si="247"/>
        <v>0</v>
      </c>
      <c r="KJ49" s="12">
        <f t="shared" si="248"/>
        <v>0</v>
      </c>
      <c r="KK49" s="12">
        <f t="shared" si="249"/>
        <v>0</v>
      </c>
      <c r="KL49" s="12">
        <f t="shared" si="250"/>
        <v>0</v>
      </c>
      <c r="KM49" s="12">
        <f t="shared" si="251"/>
        <v>0</v>
      </c>
      <c r="KN49" s="12">
        <f t="shared" si="252"/>
        <v>0</v>
      </c>
      <c r="KO49" s="12">
        <f t="shared" si="253"/>
        <v>0</v>
      </c>
      <c r="KP49" s="12">
        <f t="shared" si="254"/>
        <v>0</v>
      </c>
      <c r="KQ49" s="12">
        <f t="shared" si="255"/>
        <v>0</v>
      </c>
      <c r="KR49" s="12">
        <f t="shared" si="256"/>
        <v>0</v>
      </c>
      <c r="KS49" s="12">
        <f t="shared" si="257"/>
        <v>0</v>
      </c>
      <c r="KT49" s="12">
        <f t="shared" si="258"/>
        <v>0</v>
      </c>
      <c r="KU49" s="12">
        <f t="shared" si="259"/>
        <v>0</v>
      </c>
      <c r="KV49" s="12">
        <f t="shared" si="260"/>
        <v>0</v>
      </c>
      <c r="KW49" s="12">
        <f t="shared" si="261"/>
        <v>0</v>
      </c>
      <c r="KX49" s="12">
        <f t="shared" si="262"/>
        <v>0</v>
      </c>
      <c r="KY49" s="12">
        <f t="shared" si="263"/>
        <v>0</v>
      </c>
      <c r="KZ49" s="12">
        <f t="shared" si="264"/>
        <v>0</v>
      </c>
      <c r="LA49" s="12">
        <f t="shared" si="265"/>
        <v>0</v>
      </c>
      <c r="LB49" s="12">
        <f t="shared" si="266"/>
        <v>0</v>
      </c>
      <c r="LC49" s="12">
        <f t="shared" si="267"/>
        <v>0</v>
      </c>
      <c r="LD49" s="12">
        <f t="shared" si="268"/>
        <v>0</v>
      </c>
      <c r="LE49" s="12">
        <f t="shared" si="269"/>
        <v>0</v>
      </c>
      <c r="LF49" s="12">
        <f t="shared" si="270"/>
        <v>0</v>
      </c>
      <c r="LG49" s="12">
        <f t="shared" si="271"/>
        <v>0</v>
      </c>
      <c r="LH49" s="12">
        <f t="shared" si="272"/>
        <v>0</v>
      </c>
      <c r="LI49" s="12">
        <f t="shared" si="273"/>
        <v>0</v>
      </c>
      <c r="LJ49" s="12">
        <f t="shared" si="274"/>
        <v>0</v>
      </c>
      <c r="LK49" s="12">
        <f t="shared" si="275"/>
        <v>0</v>
      </c>
      <c r="LL49" s="12">
        <f t="shared" si="276"/>
        <v>0</v>
      </c>
      <c r="LM49" s="12">
        <f t="shared" si="277"/>
        <v>0</v>
      </c>
      <c r="LN49" s="12">
        <f t="shared" si="278"/>
        <v>0</v>
      </c>
      <c r="LO49" s="12">
        <f t="shared" si="279"/>
        <v>0</v>
      </c>
      <c r="LP49" s="12">
        <f t="shared" si="280"/>
        <v>0</v>
      </c>
      <c r="LQ49" s="12">
        <f t="shared" si="281"/>
        <v>0</v>
      </c>
      <c r="LR49" s="12">
        <f t="shared" si="282"/>
        <v>0</v>
      </c>
      <c r="LS49" s="12">
        <f t="shared" si="283"/>
        <v>0</v>
      </c>
      <c r="LT49" s="13">
        <f t="shared" si="284"/>
        <v>0</v>
      </c>
      <c r="LU49" s="13">
        <f t="shared" si="285"/>
        <v>0</v>
      </c>
      <c r="LV49" s="13">
        <f t="shared" si="286"/>
        <v>0</v>
      </c>
      <c r="LW49" s="13">
        <f t="shared" si="287"/>
        <v>0</v>
      </c>
      <c r="LX49" s="13">
        <f t="shared" si="288"/>
        <v>0</v>
      </c>
      <c r="LY49" s="13">
        <f t="shared" si="289"/>
        <v>0</v>
      </c>
      <c r="LZ49" s="13">
        <f t="shared" si="290"/>
        <v>0</v>
      </c>
      <c r="MA49" s="13">
        <f t="shared" si="291"/>
        <v>0</v>
      </c>
      <c r="MB49" s="13">
        <f t="shared" si="292"/>
        <v>0</v>
      </c>
      <c r="MC49" s="13">
        <f t="shared" si="293"/>
        <v>0</v>
      </c>
      <c r="MD49" s="13">
        <f t="shared" si="294"/>
        <v>0</v>
      </c>
      <c r="ME49" s="13">
        <f t="shared" si="295"/>
        <v>0</v>
      </c>
      <c r="MF49" s="13">
        <f t="shared" si="296"/>
        <v>0</v>
      </c>
      <c r="MG49" s="13">
        <f t="shared" si="297"/>
        <v>0</v>
      </c>
      <c r="MH49" s="13">
        <f t="shared" si="298"/>
        <v>0</v>
      </c>
      <c r="MI49" s="13">
        <f t="shared" si="299"/>
        <v>0</v>
      </c>
      <c r="MJ49" s="13">
        <f t="shared" si="300"/>
        <v>0</v>
      </c>
      <c r="MK49" s="13">
        <f t="shared" si="301"/>
        <v>0</v>
      </c>
      <c r="ML49" s="14">
        <f t="shared" si="302"/>
        <v>0</v>
      </c>
      <c r="MM49" s="14">
        <f t="shared" si="303"/>
        <v>0</v>
      </c>
      <c r="MN49" s="14">
        <f t="shared" si="304"/>
        <v>0</v>
      </c>
      <c r="MO49" s="14">
        <f t="shared" si="305"/>
        <v>0</v>
      </c>
      <c r="MP49" s="14">
        <f t="shared" si="306"/>
        <v>0</v>
      </c>
      <c r="MQ49" s="14">
        <f t="shared" si="307"/>
        <v>0</v>
      </c>
      <c r="MR49" s="14">
        <f t="shared" si="308"/>
        <v>0</v>
      </c>
      <c r="MS49" s="14">
        <f t="shared" si="309"/>
        <v>0</v>
      </c>
      <c r="MT49" s="14">
        <f t="shared" si="310"/>
        <v>0</v>
      </c>
      <c r="MU49" s="14">
        <f t="shared" si="311"/>
        <v>0</v>
      </c>
      <c r="MV49" s="14">
        <f t="shared" si="312"/>
        <v>0</v>
      </c>
      <c r="MW49" s="14">
        <f t="shared" si="313"/>
        <v>0</v>
      </c>
      <c r="MX49" s="14">
        <f t="shared" si="314"/>
        <v>0</v>
      </c>
      <c r="MY49" s="14">
        <f t="shared" si="315"/>
        <v>0</v>
      </c>
      <c r="MZ49" s="14">
        <f t="shared" si="316"/>
        <v>0</v>
      </c>
      <c r="NA49" s="14">
        <f t="shared" si="317"/>
        <v>0</v>
      </c>
      <c r="NB49" s="14">
        <f t="shared" si="318"/>
        <v>0</v>
      </c>
    </row>
    <row r="50" ht="15.75" customHeight="1">
      <c r="A50" s="2">
        <v>101.0</v>
      </c>
      <c r="B50" s="2" t="s">
        <v>1242</v>
      </c>
      <c r="C50" s="2" t="s">
        <v>1243</v>
      </c>
      <c r="D50" s="2" t="s">
        <v>1244</v>
      </c>
      <c r="E50" s="2">
        <v>2021.0</v>
      </c>
      <c r="F50" s="2" t="s">
        <v>1245</v>
      </c>
      <c r="G50" s="2" t="s">
        <v>511</v>
      </c>
      <c r="J50" s="2" t="s">
        <v>1246</v>
      </c>
      <c r="K50" s="2" t="s">
        <v>411</v>
      </c>
      <c r="M50" s="2">
        <v>31.0</v>
      </c>
      <c r="N50" s="2" t="s">
        <v>1247</v>
      </c>
      <c r="O50" s="2" t="s">
        <v>1248</v>
      </c>
      <c r="P50" s="2" t="s">
        <v>1249</v>
      </c>
      <c r="Q50" s="2" t="s">
        <v>1250</v>
      </c>
      <c r="R50" s="2" t="s">
        <v>1251</v>
      </c>
      <c r="T50" s="2" t="s">
        <v>1252</v>
      </c>
      <c r="Y50" s="2" t="s">
        <v>1253</v>
      </c>
      <c r="AB50" s="2" t="s">
        <v>862</v>
      </c>
      <c r="AG50" s="2" t="s">
        <v>1254</v>
      </c>
      <c r="AK50" s="2" t="s">
        <v>1255</v>
      </c>
      <c r="AL50" s="2" t="s">
        <v>384</v>
      </c>
      <c r="AM50" s="2" t="s">
        <v>385</v>
      </c>
      <c r="AN50" s="2" t="s">
        <v>386</v>
      </c>
      <c r="AO50" s="2" t="s">
        <v>1256</v>
      </c>
      <c r="AP50" s="2" t="s">
        <v>386</v>
      </c>
      <c r="AQ50" s="2">
        <v>347.0</v>
      </c>
      <c r="AR50" s="2" t="s">
        <v>1257</v>
      </c>
      <c r="AS50" s="2" t="b">
        <v>1</v>
      </c>
      <c r="AT50" s="3">
        <v>0.0</v>
      </c>
      <c r="AU50" s="4"/>
      <c r="AV50" s="4">
        <v>1.0</v>
      </c>
      <c r="AW50" s="5">
        <f t="shared" si="3"/>
        <v>0</v>
      </c>
      <c r="AX50" s="5">
        <f t="shared" si="4"/>
        <v>0</v>
      </c>
      <c r="AY50" s="5">
        <f t="shared" si="5"/>
        <v>0</v>
      </c>
      <c r="AZ50" s="5">
        <f t="shared" si="6"/>
        <v>0</v>
      </c>
      <c r="BA50" s="5">
        <f t="shared" si="7"/>
        <v>0</v>
      </c>
      <c r="BB50" s="5">
        <f t="shared" si="8"/>
        <v>0</v>
      </c>
      <c r="BC50" s="5">
        <f t="shared" si="9"/>
        <v>0</v>
      </c>
      <c r="BD50" s="5">
        <f t="shared" si="10"/>
        <v>0</v>
      </c>
      <c r="BE50" s="5">
        <f t="shared" si="11"/>
        <v>0</v>
      </c>
      <c r="BF50" s="5">
        <f t="shared" si="12"/>
        <v>0</v>
      </c>
      <c r="BG50" s="5">
        <f t="shared" si="13"/>
        <v>0</v>
      </c>
      <c r="BH50" s="5">
        <f t="shared" si="14"/>
        <v>0</v>
      </c>
      <c r="BI50" s="5">
        <f t="shared" si="15"/>
        <v>0</v>
      </c>
      <c r="BJ50" s="5">
        <f t="shared" si="16"/>
        <v>0</v>
      </c>
      <c r="BK50" s="5">
        <f t="shared" si="17"/>
        <v>0</v>
      </c>
      <c r="BL50" s="5">
        <f t="shared" si="18"/>
        <v>0</v>
      </c>
      <c r="BM50" s="5">
        <f t="shared" si="19"/>
        <v>0</v>
      </c>
      <c r="BN50" s="5">
        <f t="shared" si="20"/>
        <v>0</v>
      </c>
      <c r="BO50" s="5">
        <f t="shared" si="21"/>
        <v>0</v>
      </c>
      <c r="BP50" s="5">
        <f t="shared" si="22"/>
        <v>0</v>
      </c>
      <c r="BQ50" s="5">
        <f t="shared" si="23"/>
        <v>0</v>
      </c>
      <c r="BR50" s="5">
        <f t="shared" si="24"/>
        <v>0</v>
      </c>
      <c r="BS50" s="5">
        <f t="shared" si="25"/>
        <v>0</v>
      </c>
      <c r="BT50" s="5">
        <f t="shared" si="26"/>
        <v>0</v>
      </c>
      <c r="BU50" s="5">
        <f t="shared" si="27"/>
        <v>0</v>
      </c>
      <c r="BV50" s="5">
        <f t="shared" ref="BV50:BW50" si="426">IF(OR(ISNUMBER(SEARCH("grit",$D50)),ISNUMBER(SEARCH("grit",$T50)),ISNUMBER(SEARCH("grit",$R50)),ISNUMBER(SEARCH("grit",$S50)),
ISNUMBER(SEARCH("determination",$D50)),ISNUMBER(SEARCH("determination",$T50)),ISNUMBER(SEARCH("determination",$R50)),ISNUMBER(SEARCH("determination",$S50)),
ISNUMBER(SEARCH("tenacity",$D50)),ISNUMBER(SEARCH("tenacity",$T50)),ISNUMBER(SEARCH("tenacity",$R50)),ISNUMBER(SEARCH("tenacity",$S50)),
ISNUMBER(SEARCH("endurance",$D50)),ISNUMBER(SEARCH("endurance",$T50)),ISNUMBER(SEARCH("endurance",$R50)),ISNUMBER(SEARCH("endurance",$S50)),
ISNUMBER(SEARCH("fortitude",$D50)),ISNUMBER(SEARCH("fortitude",$T50)),ISNUMBER(SEARCH("fortitude",$R50)),ISNUMBER(SEARCH("fortitude",$S50)),
ISNUMBER(SEARCH("resolve",$D50)),ISNUMBER(SEARCH("resolve",$T50)),ISNUMBER(SEARCH("resolve",$R50)),ISNUMBER(SEARCH("resolve",$S50)),
ISNUMBER(SEARCH("stamina",$D50)),ISNUMBER(SEARCH("stamina",$T50)),ISNUMBER(SEARCH("stamina",$R50)),ISNUMBER(SEARCH("stamina",$S50)),
ISNUMBER(SEARCH("guts",$D50)),ISNUMBER(SEARCH("guts",$T50)),ISNUMBER(SEARCH("guts",$R50)),ISNUMBER(SEARCH("guts",$S50)),
ISNUMBER(SEARCH("spunk",$D50)),ISNUMBER(SEARCH("spunk",$T50)),ISNUMBER(SEARCH("spunk",$R50)),ISNUMBER(SEARCH("spunk",$S50))), 1, 0)</f>
        <v>0</v>
      </c>
      <c r="BW50" s="5">
        <f t="shared" si="426"/>
        <v>0</v>
      </c>
      <c r="BX50" s="5">
        <f t="shared" si="29"/>
        <v>0</v>
      </c>
      <c r="BY50" s="5">
        <f t="shared" si="30"/>
        <v>0</v>
      </c>
      <c r="BZ50" s="5">
        <f t="shared" si="31"/>
        <v>0</v>
      </c>
      <c r="CA50" s="5">
        <f t="shared" si="32"/>
        <v>0</v>
      </c>
      <c r="CB50" s="5">
        <f t="shared" si="33"/>
        <v>0</v>
      </c>
      <c r="CC50" s="5">
        <f t="shared" si="34"/>
        <v>0</v>
      </c>
      <c r="CD50" s="5">
        <f t="shared" si="35"/>
        <v>0</v>
      </c>
      <c r="CE50" s="5">
        <f t="shared" si="36"/>
        <v>0</v>
      </c>
      <c r="CF50" s="5">
        <f t="shared" si="37"/>
        <v>0</v>
      </c>
      <c r="CG50" s="5">
        <f t="shared" si="38"/>
        <v>0</v>
      </c>
      <c r="CH50" s="5">
        <f t="shared" si="39"/>
        <v>0</v>
      </c>
      <c r="CI50" s="5">
        <f t="shared" si="40"/>
        <v>0</v>
      </c>
      <c r="CJ50" s="5">
        <f t="shared" si="41"/>
        <v>0</v>
      </c>
      <c r="CK50" s="5">
        <f t="shared" si="42"/>
        <v>0</v>
      </c>
      <c r="CL50" s="5">
        <f t="shared" si="43"/>
        <v>0</v>
      </c>
      <c r="CM50" s="5">
        <f t="shared" si="44"/>
        <v>0</v>
      </c>
      <c r="CN50" s="5">
        <f t="shared" si="45"/>
        <v>0</v>
      </c>
      <c r="CO50" s="5">
        <f t="shared" si="46"/>
        <v>0</v>
      </c>
      <c r="CP50" s="6">
        <f t="shared" si="47"/>
        <v>0</v>
      </c>
      <c r="CQ50" s="6">
        <f t="shared" si="48"/>
        <v>0</v>
      </c>
      <c r="CR50" s="6">
        <f t="shared" si="49"/>
        <v>0</v>
      </c>
      <c r="CS50" s="6">
        <f t="shared" si="50"/>
        <v>0</v>
      </c>
      <c r="CT50" s="6">
        <f t="shared" si="51"/>
        <v>0</v>
      </c>
      <c r="CU50" s="6">
        <f t="shared" si="52"/>
        <v>0</v>
      </c>
      <c r="CV50" s="6">
        <f t="shared" si="53"/>
        <v>0</v>
      </c>
      <c r="CW50" s="6">
        <f t="shared" si="54"/>
        <v>0</v>
      </c>
      <c r="CX50" s="6">
        <f t="shared" si="55"/>
        <v>0</v>
      </c>
      <c r="CY50" s="6">
        <f t="shared" si="56"/>
        <v>0</v>
      </c>
      <c r="CZ50" s="6">
        <f t="shared" si="57"/>
        <v>0</v>
      </c>
      <c r="DA50" s="6">
        <f t="shared" si="58"/>
        <v>0</v>
      </c>
      <c r="DB50" s="6">
        <f t="shared" si="59"/>
        <v>0</v>
      </c>
      <c r="DC50" s="6">
        <f t="shared" si="60"/>
        <v>0</v>
      </c>
      <c r="DD50" s="6">
        <f t="shared" si="61"/>
        <v>0</v>
      </c>
      <c r="DE50" s="6">
        <f t="shared" si="62"/>
        <v>0</v>
      </c>
      <c r="DF50" s="6">
        <f t="shared" si="63"/>
        <v>0</v>
      </c>
      <c r="DG50" s="6">
        <f t="shared" si="64"/>
        <v>0</v>
      </c>
      <c r="DH50" s="6">
        <f t="shared" si="384"/>
        <v>0</v>
      </c>
      <c r="DI50" s="6">
        <f t="shared" si="66"/>
        <v>0</v>
      </c>
      <c r="DJ50" s="6">
        <f t="shared" si="385"/>
        <v>0</v>
      </c>
      <c r="DK50" s="7">
        <f t="shared" si="68"/>
        <v>0</v>
      </c>
      <c r="DL50" s="7">
        <f t="shared" si="411"/>
        <v>0</v>
      </c>
      <c r="DM50" s="7">
        <f t="shared" si="70"/>
        <v>0</v>
      </c>
      <c r="DN50" s="7">
        <f t="shared" si="71"/>
        <v>0</v>
      </c>
      <c r="DO50" s="7">
        <f t="shared" si="72"/>
        <v>0</v>
      </c>
      <c r="DP50" s="8">
        <f t="shared" si="73"/>
        <v>0</v>
      </c>
      <c r="DQ50" s="8">
        <f t="shared" si="74"/>
        <v>1</v>
      </c>
      <c r="DR50" s="7">
        <f t="shared" si="75"/>
        <v>0</v>
      </c>
      <c r="DS50" s="7">
        <f t="shared" si="76"/>
        <v>0</v>
      </c>
      <c r="DT50" s="7">
        <f t="shared" si="77"/>
        <v>0</v>
      </c>
      <c r="DU50" s="9">
        <f t="shared" si="78"/>
        <v>0</v>
      </c>
      <c r="DV50" s="9">
        <f t="shared" si="79"/>
        <v>0</v>
      </c>
      <c r="DW50" s="9">
        <f t="shared" si="80"/>
        <v>0</v>
      </c>
      <c r="DX50" s="9">
        <f t="shared" si="81"/>
        <v>0</v>
      </c>
      <c r="DY50" s="9">
        <f t="shared" si="82"/>
        <v>0</v>
      </c>
      <c r="DZ50" s="9">
        <f t="shared" si="83"/>
        <v>0</v>
      </c>
      <c r="EA50" s="9">
        <f t="shared" si="84"/>
        <v>0</v>
      </c>
      <c r="EB50" s="9">
        <f t="shared" si="85"/>
        <v>0</v>
      </c>
      <c r="EC50" s="9">
        <f t="shared" si="86"/>
        <v>0</v>
      </c>
      <c r="ED50" s="9">
        <f t="shared" si="87"/>
        <v>0</v>
      </c>
      <c r="EE50" s="9">
        <f t="shared" si="88"/>
        <v>0</v>
      </c>
      <c r="EF50" s="9">
        <f t="shared" si="89"/>
        <v>0</v>
      </c>
      <c r="EG50" s="9">
        <f t="shared" si="90"/>
        <v>0</v>
      </c>
      <c r="EH50" s="9">
        <f t="shared" si="91"/>
        <v>0</v>
      </c>
      <c r="EI50" s="9">
        <f t="shared" si="92"/>
        <v>0</v>
      </c>
      <c r="EJ50" s="10">
        <f t="shared" si="93"/>
        <v>0</v>
      </c>
      <c r="EK50" s="10">
        <f t="shared" si="94"/>
        <v>0</v>
      </c>
      <c r="EL50" s="10">
        <f t="shared" ref="EL50:EM50" si="427">IF(OR(ISNUMBER(SEARCH("ai software toolkit", $D50)), ISNUMBER(SEARCH("ai software toolkit", $T50)), ISNUMBER(SEARCH("ai software toolkit", $R50)), ISNUMBER(SEARCH("ai software toolkit", $S50))), 1, 0)</f>
        <v>0</v>
      </c>
      <c r="EM50" s="10">
        <f t="shared" si="427"/>
        <v>0</v>
      </c>
      <c r="EN50" s="10">
        <f t="shared" si="96"/>
        <v>0</v>
      </c>
      <c r="EO50" s="10">
        <f t="shared" si="97"/>
        <v>0</v>
      </c>
      <c r="EP50" s="10">
        <f t="shared" si="98"/>
        <v>0</v>
      </c>
      <c r="EQ50" s="10">
        <f t="shared" si="99"/>
        <v>0</v>
      </c>
      <c r="ER50" s="10">
        <f t="shared" si="100"/>
        <v>0</v>
      </c>
      <c r="ES50" s="10">
        <f t="shared" si="101"/>
        <v>0</v>
      </c>
      <c r="ET50" s="10">
        <f t="shared" si="102"/>
        <v>0</v>
      </c>
      <c r="EU50" s="10">
        <f t="shared" si="103"/>
        <v>0</v>
      </c>
      <c r="EV50" s="10">
        <f t="shared" si="104"/>
        <v>0</v>
      </c>
      <c r="EW50" s="10">
        <f t="shared" si="105"/>
        <v>0</v>
      </c>
      <c r="EX50" s="10">
        <f t="shared" si="106"/>
        <v>0</v>
      </c>
      <c r="EY50" s="10">
        <f t="shared" si="107"/>
        <v>0</v>
      </c>
      <c r="EZ50" s="10">
        <f t="shared" si="108"/>
        <v>0</v>
      </c>
      <c r="FA50" s="10">
        <f t="shared" si="109"/>
        <v>0</v>
      </c>
      <c r="FB50" s="10">
        <f t="shared" si="110"/>
        <v>0</v>
      </c>
      <c r="FC50" s="10">
        <f t="shared" si="111"/>
        <v>0</v>
      </c>
      <c r="FD50" s="10">
        <f t="shared" si="112"/>
        <v>0</v>
      </c>
      <c r="FE50" s="10">
        <f t="shared" si="113"/>
        <v>1</v>
      </c>
      <c r="FF50" s="10">
        <f t="shared" si="114"/>
        <v>0</v>
      </c>
      <c r="FG50" s="10">
        <f t="shared" si="115"/>
        <v>0</v>
      </c>
      <c r="FH50" s="10">
        <f t="shared" si="116"/>
        <v>0</v>
      </c>
      <c r="FI50" s="10">
        <f t="shared" si="117"/>
        <v>0</v>
      </c>
      <c r="FJ50" s="10">
        <f t="shared" si="118"/>
        <v>0</v>
      </c>
      <c r="FK50" s="10">
        <f t="shared" si="119"/>
        <v>0</v>
      </c>
      <c r="FL50" s="10">
        <f t="shared" si="120"/>
        <v>0</v>
      </c>
      <c r="FM50" s="10">
        <f t="shared" si="121"/>
        <v>0</v>
      </c>
      <c r="FN50" s="10">
        <f t="shared" si="122"/>
        <v>0</v>
      </c>
      <c r="FO50" s="10">
        <f t="shared" si="123"/>
        <v>0</v>
      </c>
      <c r="FP50" s="10">
        <f t="shared" si="124"/>
        <v>0</v>
      </c>
      <c r="FQ50" s="10">
        <f t="shared" si="125"/>
        <v>1</v>
      </c>
      <c r="FR50" s="11">
        <f t="shared" si="425"/>
        <v>0</v>
      </c>
      <c r="FS50" s="11">
        <f t="shared" si="127"/>
        <v>0</v>
      </c>
      <c r="FT50" s="11">
        <f t="shared" si="128"/>
        <v>0</v>
      </c>
      <c r="FU50" s="11">
        <f t="shared" si="129"/>
        <v>0</v>
      </c>
      <c r="FV50" s="11">
        <f t="shared" si="130"/>
        <v>0</v>
      </c>
      <c r="FW50" s="11">
        <f t="shared" si="131"/>
        <v>0</v>
      </c>
      <c r="FX50" s="11">
        <f t="shared" si="132"/>
        <v>0</v>
      </c>
      <c r="FY50" s="11">
        <f t="shared" si="133"/>
        <v>0</v>
      </c>
      <c r="FZ50" s="11">
        <f t="shared" si="134"/>
        <v>0</v>
      </c>
      <c r="GA50" s="11">
        <f t="shared" si="135"/>
        <v>0</v>
      </c>
      <c r="GB50" s="11">
        <f t="shared" si="136"/>
        <v>0</v>
      </c>
      <c r="GC50" s="11">
        <f t="shared" si="137"/>
        <v>0</v>
      </c>
      <c r="GD50" s="11">
        <f t="shared" si="138"/>
        <v>0</v>
      </c>
      <c r="GE50" s="11">
        <f t="shared" si="139"/>
        <v>0</v>
      </c>
      <c r="GF50" s="11">
        <f t="shared" si="140"/>
        <v>0</v>
      </c>
      <c r="GG50" s="11">
        <f t="shared" si="141"/>
        <v>0</v>
      </c>
      <c r="GH50" s="11">
        <f t="shared" si="142"/>
        <v>0</v>
      </c>
      <c r="GI50" s="11">
        <f t="shared" si="143"/>
        <v>0</v>
      </c>
      <c r="GJ50" s="11">
        <f t="shared" si="144"/>
        <v>0</v>
      </c>
      <c r="GK50" s="11">
        <f t="shared" si="145"/>
        <v>0</v>
      </c>
      <c r="GL50" s="11">
        <f t="shared" si="146"/>
        <v>0</v>
      </c>
      <c r="GM50" s="11">
        <f t="shared" si="147"/>
        <v>0</v>
      </c>
      <c r="GN50" s="11">
        <f t="shared" si="148"/>
        <v>0</v>
      </c>
      <c r="GO50" s="11">
        <f t="shared" si="149"/>
        <v>0</v>
      </c>
      <c r="GP50" s="11">
        <f t="shared" si="150"/>
        <v>0</v>
      </c>
      <c r="GQ50" s="11">
        <f t="shared" si="151"/>
        <v>0</v>
      </c>
      <c r="GR50" s="11">
        <f t="shared" si="152"/>
        <v>1</v>
      </c>
      <c r="GS50" s="11">
        <f t="shared" si="153"/>
        <v>0</v>
      </c>
      <c r="GT50" s="11">
        <f t="shared" si="154"/>
        <v>0</v>
      </c>
      <c r="GU50" s="12">
        <f t="shared" si="155"/>
        <v>0</v>
      </c>
      <c r="GV50" s="12">
        <f t="shared" si="156"/>
        <v>0</v>
      </c>
      <c r="GW50" s="12">
        <f t="shared" si="157"/>
        <v>0</v>
      </c>
      <c r="GX50" s="12">
        <f t="shared" si="158"/>
        <v>0</v>
      </c>
      <c r="GY50" s="12">
        <f t="shared" si="159"/>
        <v>0</v>
      </c>
      <c r="GZ50" s="12">
        <f t="shared" si="160"/>
        <v>0</v>
      </c>
      <c r="HA50" s="12">
        <f t="shared" si="161"/>
        <v>0</v>
      </c>
      <c r="HB50" s="12">
        <f t="shared" si="162"/>
        <v>0</v>
      </c>
      <c r="HC50" s="12">
        <f t="shared" si="163"/>
        <v>0</v>
      </c>
      <c r="HD50" s="12">
        <f t="shared" si="164"/>
        <v>0</v>
      </c>
      <c r="HE50" s="12">
        <f t="shared" si="165"/>
        <v>0</v>
      </c>
      <c r="HF50" s="12">
        <f t="shared" si="166"/>
        <v>0</v>
      </c>
      <c r="HG50" s="12">
        <f t="shared" si="167"/>
        <v>0</v>
      </c>
      <c r="HH50" s="12">
        <f t="shared" si="168"/>
        <v>0</v>
      </c>
      <c r="HI50" s="12">
        <f t="shared" si="169"/>
        <v>0</v>
      </c>
      <c r="HJ50" s="12">
        <f t="shared" si="170"/>
        <v>0</v>
      </c>
      <c r="HK50" s="12">
        <f t="shared" si="171"/>
        <v>0</v>
      </c>
      <c r="HL50" s="12">
        <f t="shared" si="172"/>
        <v>0</v>
      </c>
      <c r="HM50" s="12">
        <f t="shared" si="173"/>
        <v>0</v>
      </c>
      <c r="HN50" s="12">
        <f t="shared" si="174"/>
        <v>0</v>
      </c>
      <c r="HO50" s="12">
        <f t="shared" si="175"/>
        <v>0</v>
      </c>
      <c r="HP50" s="12">
        <f t="shared" si="176"/>
        <v>0</v>
      </c>
      <c r="HQ50" s="12">
        <f t="shared" si="177"/>
        <v>0</v>
      </c>
      <c r="HR50" s="12">
        <f t="shared" si="178"/>
        <v>0</v>
      </c>
      <c r="HS50" s="12">
        <f t="shared" si="179"/>
        <v>0</v>
      </c>
      <c r="HT50" s="12">
        <f t="shared" si="180"/>
        <v>0</v>
      </c>
      <c r="HU50" s="12">
        <f t="shared" si="181"/>
        <v>0</v>
      </c>
      <c r="HV50" s="12">
        <f t="shared" si="182"/>
        <v>0</v>
      </c>
      <c r="HW50" s="12">
        <f t="shared" si="183"/>
        <v>0</v>
      </c>
      <c r="HX50" s="12">
        <f t="shared" si="184"/>
        <v>0</v>
      </c>
      <c r="HY50" s="12">
        <f t="shared" si="185"/>
        <v>0</v>
      </c>
      <c r="HZ50" s="12">
        <f t="shared" si="186"/>
        <v>0</v>
      </c>
      <c r="IA50" s="12">
        <f t="shared" si="187"/>
        <v>0</v>
      </c>
      <c r="IB50" s="12">
        <f t="shared" si="188"/>
        <v>0</v>
      </c>
      <c r="IC50" s="12">
        <f t="shared" si="189"/>
        <v>0</v>
      </c>
      <c r="ID50" s="12">
        <f t="shared" si="190"/>
        <v>0</v>
      </c>
      <c r="IE50" s="12">
        <f t="shared" si="191"/>
        <v>0</v>
      </c>
      <c r="IF50" s="12">
        <f t="shared" si="192"/>
        <v>0</v>
      </c>
      <c r="IG50" s="12">
        <f t="shared" si="193"/>
        <v>0</v>
      </c>
      <c r="IH50" s="12">
        <f t="shared" si="194"/>
        <v>0</v>
      </c>
      <c r="II50" s="12">
        <f t="shared" si="195"/>
        <v>0</v>
      </c>
      <c r="IJ50" s="12">
        <f t="shared" si="196"/>
        <v>0</v>
      </c>
      <c r="IK50" s="12">
        <f t="shared" si="197"/>
        <v>0</v>
      </c>
      <c r="IL50" s="12">
        <f t="shared" si="198"/>
        <v>0</v>
      </c>
      <c r="IM50" s="12">
        <f t="shared" si="199"/>
        <v>0</v>
      </c>
      <c r="IN50" s="12">
        <f t="shared" si="200"/>
        <v>0</v>
      </c>
      <c r="IO50" s="12">
        <f t="shared" si="201"/>
        <v>0</v>
      </c>
      <c r="IP50" s="12">
        <f t="shared" si="202"/>
        <v>0</v>
      </c>
      <c r="IQ50" s="12">
        <f t="shared" si="203"/>
        <v>0</v>
      </c>
      <c r="IR50" s="12">
        <f t="shared" si="204"/>
        <v>0</v>
      </c>
      <c r="IS50" s="12">
        <f t="shared" si="205"/>
        <v>0</v>
      </c>
      <c r="IT50" s="12">
        <f t="shared" si="206"/>
        <v>0</v>
      </c>
      <c r="IU50" s="12">
        <f t="shared" si="207"/>
        <v>0</v>
      </c>
      <c r="IV50" s="12">
        <f t="shared" si="208"/>
        <v>0</v>
      </c>
      <c r="IW50" s="12">
        <f t="shared" si="209"/>
        <v>0</v>
      </c>
      <c r="IX50" s="12">
        <f t="shared" si="210"/>
        <v>0</v>
      </c>
      <c r="IY50" s="12">
        <f t="shared" si="211"/>
        <v>0</v>
      </c>
      <c r="IZ50" s="12">
        <f t="shared" si="212"/>
        <v>0</v>
      </c>
      <c r="JA50" s="13">
        <f t="shared" si="213"/>
        <v>0</v>
      </c>
      <c r="JB50" s="13">
        <f t="shared" si="214"/>
        <v>0</v>
      </c>
      <c r="JC50" s="13">
        <f t="shared" si="215"/>
        <v>0</v>
      </c>
      <c r="JD50" s="13">
        <f t="shared" si="216"/>
        <v>0</v>
      </c>
      <c r="JE50" s="13">
        <f t="shared" si="217"/>
        <v>0</v>
      </c>
      <c r="JF50" s="13">
        <f t="shared" si="218"/>
        <v>0</v>
      </c>
      <c r="JG50" s="13">
        <f t="shared" si="219"/>
        <v>0</v>
      </c>
      <c r="JH50" s="13">
        <f t="shared" si="220"/>
        <v>0</v>
      </c>
      <c r="JI50" s="13">
        <f t="shared" si="221"/>
        <v>0</v>
      </c>
      <c r="JJ50" s="13">
        <f t="shared" si="222"/>
        <v>0</v>
      </c>
      <c r="JK50" s="13">
        <f t="shared" si="223"/>
        <v>0</v>
      </c>
      <c r="JL50" s="13">
        <f t="shared" si="224"/>
        <v>0</v>
      </c>
      <c r="JM50" s="13">
        <f t="shared" si="225"/>
        <v>0</v>
      </c>
      <c r="JN50" s="13">
        <f t="shared" si="226"/>
        <v>0</v>
      </c>
      <c r="JO50" s="13">
        <f t="shared" si="227"/>
        <v>0</v>
      </c>
      <c r="JP50" s="13">
        <f t="shared" si="228"/>
        <v>0</v>
      </c>
      <c r="JQ50" s="13">
        <f t="shared" si="229"/>
        <v>0</v>
      </c>
      <c r="JR50" s="13">
        <f t="shared" si="230"/>
        <v>0</v>
      </c>
      <c r="JS50" s="13">
        <f t="shared" si="231"/>
        <v>0</v>
      </c>
      <c r="JT50" s="13">
        <f t="shared" si="232"/>
        <v>0</v>
      </c>
      <c r="JU50" s="13">
        <f t="shared" si="233"/>
        <v>0</v>
      </c>
      <c r="JV50" s="12">
        <f t="shared" si="234"/>
        <v>0</v>
      </c>
      <c r="JW50" s="12">
        <f t="shared" si="235"/>
        <v>0</v>
      </c>
      <c r="JX50" s="12">
        <f t="shared" si="236"/>
        <v>0</v>
      </c>
      <c r="JY50" s="12">
        <f t="shared" si="237"/>
        <v>0</v>
      </c>
      <c r="JZ50" s="12">
        <f t="shared" si="238"/>
        <v>0</v>
      </c>
      <c r="KA50" s="12">
        <f t="shared" si="239"/>
        <v>0</v>
      </c>
      <c r="KB50" s="12">
        <f t="shared" si="240"/>
        <v>0</v>
      </c>
      <c r="KC50" s="12">
        <f t="shared" si="241"/>
        <v>0</v>
      </c>
      <c r="KD50" s="12">
        <f t="shared" si="242"/>
        <v>0</v>
      </c>
      <c r="KE50" s="12">
        <f t="shared" si="243"/>
        <v>0</v>
      </c>
      <c r="KF50" s="12">
        <f t="shared" si="244"/>
        <v>0</v>
      </c>
      <c r="KG50" s="12">
        <f t="shared" si="245"/>
        <v>0</v>
      </c>
      <c r="KH50" s="12">
        <f t="shared" si="246"/>
        <v>0</v>
      </c>
      <c r="KI50" s="12">
        <f t="shared" si="247"/>
        <v>0</v>
      </c>
      <c r="KJ50" s="12">
        <f t="shared" si="248"/>
        <v>0</v>
      </c>
      <c r="KK50" s="12">
        <f t="shared" si="249"/>
        <v>0</v>
      </c>
      <c r="KL50" s="12">
        <f t="shared" si="250"/>
        <v>0</v>
      </c>
      <c r="KM50" s="12">
        <f t="shared" si="251"/>
        <v>0</v>
      </c>
      <c r="KN50" s="12">
        <f t="shared" si="252"/>
        <v>0</v>
      </c>
      <c r="KO50" s="12">
        <f t="shared" si="253"/>
        <v>0</v>
      </c>
      <c r="KP50" s="12">
        <f t="shared" si="254"/>
        <v>0</v>
      </c>
      <c r="KQ50" s="12">
        <f t="shared" si="255"/>
        <v>0</v>
      </c>
      <c r="KR50" s="12">
        <f t="shared" si="256"/>
        <v>0</v>
      </c>
      <c r="KS50" s="12">
        <f t="shared" si="257"/>
        <v>0</v>
      </c>
      <c r="KT50" s="12">
        <f t="shared" si="258"/>
        <v>0</v>
      </c>
      <c r="KU50" s="12">
        <f t="shared" si="259"/>
        <v>0</v>
      </c>
      <c r="KV50" s="12">
        <f t="shared" si="260"/>
        <v>0</v>
      </c>
      <c r="KW50" s="12">
        <f t="shared" si="261"/>
        <v>0</v>
      </c>
      <c r="KX50" s="12">
        <f t="shared" si="262"/>
        <v>0</v>
      </c>
      <c r="KY50" s="12">
        <f t="shared" si="263"/>
        <v>0</v>
      </c>
      <c r="KZ50" s="12">
        <f t="shared" si="264"/>
        <v>0</v>
      </c>
      <c r="LA50" s="12">
        <f t="shared" si="265"/>
        <v>0</v>
      </c>
      <c r="LB50" s="12">
        <f t="shared" si="266"/>
        <v>0</v>
      </c>
      <c r="LC50" s="12">
        <f t="shared" si="267"/>
        <v>0</v>
      </c>
      <c r="LD50" s="12">
        <f t="shared" si="268"/>
        <v>0</v>
      </c>
      <c r="LE50" s="12">
        <f t="shared" si="269"/>
        <v>0</v>
      </c>
      <c r="LF50" s="12">
        <f t="shared" si="270"/>
        <v>0</v>
      </c>
      <c r="LG50" s="12">
        <f t="shared" si="271"/>
        <v>0</v>
      </c>
      <c r="LH50" s="12">
        <f t="shared" si="272"/>
        <v>0</v>
      </c>
      <c r="LI50" s="12">
        <f t="shared" si="273"/>
        <v>0</v>
      </c>
      <c r="LJ50" s="12">
        <f t="shared" si="274"/>
        <v>0</v>
      </c>
      <c r="LK50" s="12">
        <f t="shared" si="275"/>
        <v>0</v>
      </c>
      <c r="LL50" s="12">
        <f t="shared" si="276"/>
        <v>0</v>
      </c>
      <c r="LM50" s="12">
        <f t="shared" si="277"/>
        <v>0</v>
      </c>
      <c r="LN50" s="12">
        <f t="shared" si="278"/>
        <v>0</v>
      </c>
      <c r="LO50" s="12">
        <f t="shared" si="279"/>
        <v>0</v>
      </c>
      <c r="LP50" s="12">
        <f t="shared" si="280"/>
        <v>0</v>
      </c>
      <c r="LQ50" s="12">
        <f t="shared" si="281"/>
        <v>0</v>
      </c>
      <c r="LR50" s="12">
        <f t="shared" si="282"/>
        <v>0</v>
      </c>
      <c r="LS50" s="12">
        <f t="shared" si="283"/>
        <v>0</v>
      </c>
      <c r="LT50" s="13">
        <f t="shared" si="284"/>
        <v>0</v>
      </c>
      <c r="LU50" s="13">
        <f t="shared" si="285"/>
        <v>0</v>
      </c>
      <c r="LV50" s="13">
        <f t="shared" si="286"/>
        <v>0</v>
      </c>
      <c r="LW50" s="13">
        <f t="shared" si="287"/>
        <v>0</v>
      </c>
      <c r="LX50" s="13">
        <f t="shared" si="288"/>
        <v>0</v>
      </c>
      <c r="LY50" s="13">
        <f t="shared" si="289"/>
        <v>0</v>
      </c>
      <c r="LZ50" s="13">
        <f t="shared" si="290"/>
        <v>0</v>
      </c>
      <c r="MA50" s="13">
        <f t="shared" si="291"/>
        <v>0</v>
      </c>
      <c r="MB50" s="13">
        <f t="shared" si="292"/>
        <v>0</v>
      </c>
      <c r="MC50" s="13">
        <f t="shared" si="293"/>
        <v>0</v>
      </c>
      <c r="MD50" s="13">
        <f t="shared" si="294"/>
        <v>0</v>
      </c>
      <c r="ME50" s="13">
        <f t="shared" si="295"/>
        <v>0</v>
      </c>
      <c r="MF50" s="13">
        <f t="shared" si="296"/>
        <v>0</v>
      </c>
      <c r="MG50" s="13">
        <f t="shared" si="297"/>
        <v>0</v>
      </c>
      <c r="MH50" s="13">
        <f t="shared" si="298"/>
        <v>0</v>
      </c>
      <c r="MI50" s="13">
        <f t="shared" si="299"/>
        <v>0</v>
      </c>
      <c r="MJ50" s="13">
        <f t="shared" si="300"/>
        <v>0</v>
      </c>
      <c r="MK50" s="13">
        <f t="shared" si="301"/>
        <v>0</v>
      </c>
      <c r="ML50" s="14">
        <f t="shared" si="302"/>
        <v>0</v>
      </c>
      <c r="MM50" s="14">
        <f t="shared" si="303"/>
        <v>0</v>
      </c>
      <c r="MN50" s="14">
        <f t="shared" si="304"/>
        <v>0</v>
      </c>
      <c r="MO50" s="14">
        <f t="shared" si="305"/>
        <v>0</v>
      </c>
      <c r="MP50" s="14">
        <f t="shared" si="306"/>
        <v>0</v>
      </c>
      <c r="MQ50" s="14">
        <f t="shared" si="307"/>
        <v>0</v>
      </c>
      <c r="MR50" s="14">
        <f t="shared" si="308"/>
        <v>0</v>
      </c>
      <c r="MS50" s="14">
        <f t="shared" si="309"/>
        <v>0</v>
      </c>
      <c r="MT50" s="14">
        <f t="shared" si="310"/>
        <v>0</v>
      </c>
      <c r="MU50" s="14">
        <f t="shared" si="311"/>
        <v>0</v>
      </c>
      <c r="MV50" s="14">
        <f t="shared" si="312"/>
        <v>0</v>
      </c>
      <c r="MW50" s="14">
        <f t="shared" si="313"/>
        <v>0</v>
      </c>
      <c r="MX50" s="14">
        <f t="shared" si="314"/>
        <v>0</v>
      </c>
      <c r="MY50" s="14">
        <f t="shared" si="315"/>
        <v>0</v>
      </c>
      <c r="MZ50" s="14">
        <f t="shared" si="316"/>
        <v>0</v>
      </c>
      <c r="NA50" s="14">
        <f t="shared" si="317"/>
        <v>0</v>
      </c>
      <c r="NB50" s="14">
        <f t="shared" si="318"/>
        <v>0</v>
      </c>
    </row>
    <row r="51" ht="15.75" customHeight="1">
      <c r="A51" s="2">
        <v>1.0</v>
      </c>
      <c r="B51" s="2" t="s">
        <v>1258</v>
      </c>
      <c r="C51" s="2" t="s">
        <v>1259</v>
      </c>
      <c r="D51" s="2" t="s">
        <v>1260</v>
      </c>
      <c r="E51" s="2">
        <v>2021.0</v>
      </c>
      <c r="F51" s="2" t="s">
        <v>888</v>
      </c>
      <c r="G51" s="2" t="s">
        <v>564</v>
      </c>
      <c r="H51" s="2" t="s">
        <v>371</v>
      </c>
      <c r="J51" s="2" t="s">
        <v>1261</v>
      </c>
      <c r="K51" s="2" t="s">
        <v>1262</v>
      </c>
      <c r="M51" s="2">
        <v>30.0</v>
      </c>
      <c r="N51" s="2" t="s">
        <v>1263</v>
      </c>
      <c r="O51" s="2" t="s">
        <v>1264</v>
      </c>
      <c r="P51" s="2" t="s">
        <v>1265</v>
      </c>
      <c r="Q51" s="2" t="s">
        <v>1266</v>
      </c>
      <c r="R51" s="2" t="s">
        <v>1267</v>
      </c>
      <c r="T51" s="2" t="s">
        <v>1268</v>
      </c>
      <c r="Y51" s="2" t="s">
        <v>1269</v>
      </c>
      <c r="AB51" s="2" t="s">
        <v>899</v>
      </c>
      <c r="AG51" s="2" t="s">
        <v>900</v>
      </c>
      <c r="AJ51" s="2">
        <v>3.4913696E7</v>
      </c>
      <c r="AK51" s="2" t="s">
        <v>888</v>
      </c>
      <c r="AL51" s="2" t="s">
        <v>384</v>
      </c>
      <c r="AN51" s="2" t="s">
        <v>386</v>
      </c>
      <c r="AO51" s="2" t="s">
        <v>1270</v>
      </c>
      <c r="AP51" s="2" t="s">
        <v>386</v>
      </c>
      <c r="AQ51" s="2">
        <v>1.0</v>
      </c>
      <c r="AR51" s="2" t="s">
        <v>1271</v>
      </c>
      <c r="AS51" s="2" t="b">
        <v>1</v>
      </c>
      <c r="AT51" s="3">
        <v>0.0</v>
      </c>
      <c r="AU51" s="4"/>
      <c r="AV51" s="4"/>
      <c r="AW51" s="5">
        <f>IF(OR(ISNUMBER(SEARCH("Well-Being Subjective", $D51)), ISNUMBER(SEARCH("Well-Being Subjective", $T51)), ISNUMBER(SEARCH("Well-Being Subjective", $R51)), ISNUMBER(SEARCH("Well-Being Subjective3", $S51))), 1, 0)</f>
        <v>0</v>
      </c>
      <c r="AX51" s="5">
        <f t="shared" si="4"/>
        <v>0</v>
      </c>
      <c r="AY51" s="5">
        <f t="shared" si="5"/>
        <v>0</v>
      </c>
      <c r="AZ51" s="5">
        <f t="shared" si="6"/>
        <v>0</v>
      </c>
      <c r="BA51" s="5">
        <f t="shared" si="7"/>
        <v>0</v>
      </c>
      <c r="BB51" s="5">
        <f t="shared" si="8"/>
        <v>0</v>
      </c>
      <c r="BC51" s="5">
        <f t="shared" si="9"/>
        <v>0</v>
      </c>
      <c r="BD51" s="5">
        <f t="shared" si="10"/>
        <v>0</v>
      </c>
      <c r="BE51" s="5">
        <f t="shared" si="11"/>
        <v>0</v>
      </c>
      <c r="BF51" s="5">
        <f t="shared" si="12"/>
        <v>0</v>
      </c>
      <c r="BG51" s="5">
        <f t="shared" si="13"/>
        <v>0</v>
      </c>
      <c r="BH51" s="5">
        <f t="shared" si="14"/>
        <v>0</v>
      </c>
      <c r="BI51" s="5">
        <f t="shared" si="15"/>
        <v>0</v>
      </c>
      <c r="BJ51" s="5">
        <f t="shared" si="16"/>
        <v>0</v>
      </c>
      <c r="BK51" s="5">
        <f t="shared" si="17"/>
        <v>0</v>
      </c>
      <c r="BL51" s="5">
        <f t="shared" si="18"/>
        <v>0</v>
      </c>
      <c r="BM51" s="5">
        <f t="shared" si="19"/>
        <v>0</v>
      </c>
      <c r="BN51" s="5">
        <f t="shared" si="20"/>
        <v>0</v>
      </c>
      <c r="BO51" s="5">
        <f t="shared" si="21"/>
        <v>0</v>
      </c>
      <c r="BP51" s="5">
        <f t="shared" si="22"/>
        <v>0</v>
      </c>
      <c r="BQ51" s="5">
        <f t="shared" si="23"/>
        <v>0</v>
      </c>
      <c r="BR51" s="5">
        <f t="shared" si="24"/>
        <v>0</v>
      </c>
      <c r="BS51" s="5">
        <f t="shared" si="25"/>
        <v>0</v>
      </c>
      <c r="BT51" s="5">
        <f t="shared" si="26"/>
        <v>0</v>
      </c>
      <c r="BU51" s="5">
        <f t="shared" si="27"/>
        <v>0</v>
      </c>
      <c r="BV51" s="5">
        <f t="shared" ref="BV51:BW51" si="428">IF(OR(ISNUMBER(SEARCH("grit",$D51)),ISNUMBER(SEARCH("grit",$T51)),ISNUMBER(SEARCH("grit",$R51)),ISNUMBER(SEARCH("grit",$S51)),
ISNUMBER(SEARCH("determination",$D51)),ISNUMBER(SEARCH("determination",$T51)),ISNUMBER(SEARCH("determination",$R51)),ISNUMBER(SEARCH("determination",$S51)),
ISNUMBER(SEARCH("tenacity",$D51)),ISNUMBER(SEARCH("tenacity",$T51)),ISNUMBER(SEARCH("tenacity",$R51)),ISNUMBER(SEARCH("tenacity",$S51)),
ISNUMBER(SEARCH("endurance",$D51)),ISNUMBER(SEARCH("endurance",$T51)),ISNUMBER(SEARCH("endurance",$R51)),ISNUMBER(SEARCH("endurance",$S51)),
ISNUMBER(SEARCH("fortitude",$D51)),ISNUMBER(SEARCH("fortitude",$T51)),ISNUMBER(SEARCH("fortitude",$R51)),ISNUMBER(SEARCH("fortitude",$S51)),
ISNUMBER(SEARCH("resolve",$D51)),ISNUMBER(SEARCH("resolve",$T51)),ISNUMBER(SEARCH("resolve",$R51)),ISNUMBER(SEARCH("resolve",$S51)),
ISNUMBER(SEARCH("stamina",$D51)),ISNUMBER(SEARCH("stamina",$T51)),ISNUMBER(SEARCH("stamina",$R51)),ISNUMBER(SEARCH("stamina",$S51)),
ISNUMBER(SEARCH("guts",$D51)),ISNUMBER(SEARCH("guts",$T51)),ISNUMBER(SEARCH("guts",$R51)),ISNUMBER(SEARCH("guts",$S51)),
ISNUMBER(SEARCH("spunk",$D51)),ISNUMBER(SEARCH("spunk",$T51)),ISNUMBER(SEARCH("spunk",$R51)),ISNUMBER(SEARCH("spunk",$S51))), 1, 0)</f>
        <v>0</v>
      </c>
      <c r="BW51" s="5">
        <f t="shared" si="428"/>
        <v>0</v>
      </c>
      <c r="BX51" s="5">
        <f t="shared" si="29"/>
        <v>0</v>
      </c>
      <c r="BY51" s="5">
        <f t="shared" si="30"/>
        <v>0</v>
      </c>
      <c r="BZ51" s="5">
        <f t="shared" si="31"/>
        <v>0</v>
      </c>
      <c r="CA51" s="5">
        <f t="shared" si="32"/>
        <v>0</v>
      </c>
      <c r="CB51" s="5">
        <f t="shared" si="33"/>
        <v>0</v>
      </c>
      <c r="CC51" s="5">
        <f t="shared" si="34"/>
        <v>0</v>
      </c>
      <c r="CD51" s="5">
        <f t="shared" si="35"/>
        <v>0</v>
      </c>
      <c r="CE51" s="5">
        <f t="shared" si="36"/>
        <v>0</v>
      </c>
      <c r="CF51" s="5">
        <f t="shared" si="37"/>
        <v>0</v>
      </c>
      <c r="CG51" s="5">
        <f t="shared" si="38"/>
        <v>0</v>
      </c>
      <c r="CH51" s="5">
        <f t="shared" si="39"/>
        <v>0</v>
      </c>
      <c r="CI51" s="5">
        <f t="shared" si="40"/>
        <v>0</v>
      </c>
      <c r="CJ51" s="5">
        <f t="shared" si="41"/>
        <v>0</v>
      </c>
      <c r="CK51" s="5">
        <f t="shared" si="42"/>
        <v>0</v>
      </c>
      <c r="CL51" s="5">
        <f t="shared" si="43"/>
        <v>0</v>
      </c>
      <c r="CM51" s="5">
        <f t="shared" si="44"/>
        <v>0</v>
      </c>
      <c r="CN51" s="5">
        <f t="shared" si="45"/>
        <v>0</v>
      </c>
      <c r="CO51" s="5">
        <f t="shared" si="46"/>
        <v>0</v>
      </c>
      <c r="CP51" s="6">
        <f t="shared" si="47"/>
        <v>0</v>
      </c>
      <c r="CQ51" s="6">
        <f t="shared" si="48"/>
        <v>0</v>
      </c>
      <c r="CR51" s="6">
        <f t="shared" si="49"/>
        <v>0</v>
      </c>
      <c r="CS51" s="6">
        <f t="shared" si="50"/>
        <v>0</v>
      </c>
      <c r="CT51" s="6">
        <f t="shared" si="51"/>
        <v>0</v>
      </c>
      <c r="CU51" s="6">
        <f t="shared" si="52"/>
        <v>0</v>
      </c>
      <c r="CV51" s="6">
        <f t="shared" si="53"/>
        <v>0</v>
      </c>
      <c r="CW51" s="6">
        <f t="shared" si="54"/>
        <v>0</v>
      </c>
      <c r="CX51" s="6">
        <f t="shared" si="55"/>
        <v>0</v>
      </c>
      <c r="CY51" s="6">
        <f t="shared" si="56"/>
        <v>0</v>
      </c>
      <c r="CZ51" s="6">
        <f t="shared" si="57"/>
        <v>0</v>
      </c>
      <c r="DA51" s="6">
        <f t="shared" si="58"/>
        <v>0</v>
      </c>
      <c r="DB51" s="6">
        <f t="shared" si="59"/>
        <v>0</v>
      </c>
      <c r="DC51" s="6">
        <f t="shared" si="60"/>
        <v>0</v>
      </c>
      <c r="DD51" s="6">
        <f t="shared" si="61"/>
        <v>0</v>
      </c>
      <c r="DE51" s="6">
        <f t="shared" si="62"/>
        <v>0</v>
      </c>
      <c r="DF51" s="6">
        <f t="shared" si="63"/>
        <v>0</v>
      </c>
      <c r="DG51" s="6">
        <f t="shared" si="64"/>
        <v>0</v>
      </c>
      <c r="DH51" s="6">
        <f>IF(
OR(
ISNUMBER(SEARCH("Spirituality",$D51)),ISNUMBER(SEARCH("Spirituality",$T51)),ISNUMBER(SEARCH("Spirituality",$R49)),ISNUMBER(SEARCH("Spirituality",$S51)),
ISNUMBER(SEARCH("religiosity",$D51)),ISNUMBER(SEARCH("religiosity",$T51)),ISNUMBER(SEARCH("religiosity",$R51)),ISNUMBER(SEARCH("religiosity",$S51))), 1, 0)</f>
        <v>0</v>
      </c>
      <c r="DI51" s="6">
        <f t="shared" si="66"/>
        <v>0</v>
      </c>
      <c r="DJ51" s="6">
        <f>IF(OR(ISNUMBER(SEARCH("Emotional Balance", $D51)), ISNUMBER(SEARCH("Emotional Balance", $T51)), ISNUMBER(SEARCH("Emotional Balance", $R51)), ISNUMBER(SEARCH("Emotional Balance", $S51))), 1, 0)</f>
        <v>0</v>
      </c>
      <c r="DK51" s="7">
        <f t="shared" si="68"/>
        <v>0</v>
      </c>
      <c r="DL51" s="7">
        <f t="shared" si="411"/>
        <v>0</v>
      </c>
      <c r="DM51" s="7">
        <f t="shared" si="70"/>
        <v>0</v>
      </c>
      <c r="DN51" s="7">
        <f t="shared" si="71"/>
        <v>0</v>
      </c>
      <c r="DO51" s="7">
        <f t="shared" si="72"/>
        <v>0</v>
      </c>
      <c r="DP51" s="8">
        <f t="shared" si="73"/>
        <v>0</v>
      </c>
      <c r="DQ51" s="8">
        <f t="shared" si="74"/>
        <v>1</v>
      </c>
      <c r="DR51" s="7">
        <f t="shared" si="75"/>
        <v>0</v>
      </c>
      <c r="DS51" s="7">
        <f t="shared" si="76"/>
        <v>0</v>
      </c>
      <c r="DT51" s="7">
        <f t="shared" si="77"/>
        <v>0</v>
      </c>
      <c r="DU51" s="9">
        <f t="shared" si="78"/>
        <v>0</v>
      </c>
      <c r="DV51" s="9">
        <f t="shared" si="79"/>
        <v>0</v>
      </c>
      <c r="DW51" s="9">
        <f t="shared" si="80"/>
        <v>0</v>
      </c>
      <c r="DX51" s="9">
        <f t="shared" si="81"/>
        <v>0</v>
      </c>
      <c r="DY51" s="9">
        <f t="shared" si="82"/>
        <v>0</v>
      </c>
      <c r="DZ51" s="9">
        <f t="shared" si="83"/>
        <v>0</v>
      </c>
      <c r="EA51" s="9">
        <f t="shared" si="84"/>
        <v>0</v>
      </c>
      <c r="EB51" s="9">
        <f t="shared" si="85"/>
        <v>0</v>
      </c>
      <c r="EC51" s="9">
        <f t="shared" si="86"/>
        <v>0</v>
      </c>
      <c r="ED51" s="9">
        <f t="shared" si="87"/>
        <v>0</v>
      </c>
      <c r="EE51" s="9">
        <f t="shared" si="88"/>
        <v>0</v>
      </c>
      <c r="EF51" s="9">
        <f t="shared" si="89"/>
        <v>0</v>
      </c>
      <c r="EG51" s="9">
        <f t="shared" si="90"/>
        <v>0</v>
      </c>
      <c r="EH51" s="9">
        <f t="shared" si="91"/>
        <v>0</v>
      </c>
      <c r="EI51" s="9">
        <f t="shared" si="92"/>
        <v>0</v>
      </c>
      <c r="EJ51" s="10">
        <f t="shared" si="93"/>
        <v>0</v>
      </c>
      <c r="EK51" s="10">
        <f t="shared" si="94"/>
        <v>0</v>
      </c>
      <c r="EL51" s="10">
        <f t="shared" ref="EL51:EM51" si="429">IF(OR(ISNUMBER(SEARCH("ai software toolkit", $D51)), ISNUMBER(SEARCH("ai software toolkit", $T51)), ISNUMBER(SEARCH("ai software toolkit", $R51)), ISNUMBER(SEARCH("ai software toolkit", $S51))), 1, 0)</f>
        <v>0</v>
      </c>
      <c r="EM51" s="10">
        <f t="shared" si="429"/>
        <v>0</v>
      </c>
      <c r="EN51" s="10">
        <f t="shared" si="96"/>
        <v>0</v>
      </c>
      <c r="EO51" s="10">
        <f t="shared" si="97"/>
        <v>0</v>
      </c>
      <c r="EP51" s="10">
        <f t="shared" si="98"/>
        <v>0</v>
      </c>
      <c r="EQ51" s="10">
        <f t="shared" si="99"/>
        <v>0</v>
      </c>
      <c r="ER51" s="10">
        <f t="shared" si="100"/>
        <v>0</v>
      </c>
      <c r="ES51" s="10">
        <f t="shared" si="101"/>
        <v>0</v>
      </c>
      <c r="ET51" s="10">
        <f t="shared" si="102"/>
        <v>0</v>
      </c>
      <c r="EU51" s="10">
        <f t="shared" si="103"/>
        <v>0</v>
      </c>
      <c r="EV51" s="10">
        <f t="shared" si="104"/>
        <v>0</v>
      </c>
      <c r="EW51" s="10">
        <f t="shared" si="105"/>
        <v>0</v>
      </c>
      <c r="EX51" s="10">
        <f t="shared" si="106"/>
        <v>0</v>
      </c>
      <c r="EY51" s="10">
        <f t="shared" si="107"/>
        <v>0</v>
      </c>
      <c r="EZ51" s="10">
        <f t="shared" si="108"/>
        <v>0</v>
      </c>
      <c r="FA51" s="10">
        <f t="shared" si="109"/>
        <v>0</v>
      </c>
      <c r="FB51" s="10">
        <f t="shared" si="110"/>
        <v>0</v>
      </c>
      <c r="FC51" s="10">
        <f t="shared" si="111"/>
        <v>0</v>
      </c>
      <c r="FD51" s="10">
        <f t="shared" si="112"/>
        <v>0</v>
      </c>
      <c r="FE51" s="10">
        <f t="shared" si="113"/>
        <v>1</v>
      </c>
      <c r="FF51" s="10">
        <f t="shared" si="114"/>
        <v>0</v>
      </c>
      <c r="FG51" s="10">
        <f t="shared" si="115"/>
        <v>0</v>
      </c>
      <c r="FH51" s="10">
        <f t="shared" si="116"/>
        <v>0</v>
      </c>
      <c r="FI51" s="10">
        <f t="shared" si="117"/>
        <v>0</v>
      </c>
      <c r="FJ51" s="10">
        <f t="shared" si="118"/>
        <v>0</v>
      </c>
      <c r="FK51" s="10">
        <f t="shared" si="119"/>
        <v>0</v>
      </c>
      <c r="FL51" s="10">
        <f t="shared" si="120"/>
        <v>0</v>
      </c>
      <c r="FM51" s="10">
        <f t="shared" si="121"/>
        <v>0</v>
      </c>
      <c r="FN51" s="10">
        <f t="shared" si="122"/>
        <v>0</v>
      </c>
      <c r="FO51" s="10">
        <f t="shared" si="123"/>
        <v>0</v>
      </c>
      <c r="FP51" s="10">
        <f t="shared" si="124"/>
        <v>0</v>
      </c>
      <c r="FQ51" s="10">
        <f t="shared" si="125"/>
        <v>0</v>
      </c>
      <c r="FR51" s="11">
        <f>IF(
OR(
ISNUMBER(SEARCH("chatbot",$D51)),ISNUMBER(SEARCH("chatbot",$T51)),ISNUMBER(SEARCH("chatbot",$R49)),ISNUMBER(SEARCH("chatbot",$S51)),
ISNUMBER(SEARCH("virtual assistance",$D51)),ISNUMBER(SEARCH("virtual assistance",$T51)),ISNUMBER(SEARCH("virtual assistance",$R51)),ISNUMBER(SEARCH("virtual assistance",$S51))), 1, 0)</f>
        <v>0</v>
      </c>
      <c r="FS51" s="11">
        <f t="shared" si="127"/>
        <v>0</v>
      </c>
      <c r="FT51" s="11">
        <f t="shared" si="128"/>
        <v>0</v>
      </c>
      <c r="FU51" s="11">
        <f t="shared" si="129"/>
        <v>0</v>
      </c>
      <c r="FV51" s="11">
        <f t="shared" si="130"/>
        <v>0</v>
      </c>
      <c r="FW51" s="11">
        <f t="shared" si="131"/>
        <v>0</v>
      </c>
      <c r="FX51" s="11">
        <f t="shared" si="132"/>
        <v>0</v>
      </c>
      <c r="FY51" s="11">
        <f t="shared" si="133"/>
        <v>0</v>
      </c>
      <c r="FZ51" s="11">
        <f t="shared" si="134"/>
        <v>0</v>
      </c>
      <c r="GA51" s="11">
        <f t="shared" si="135"/>
        <v>0</v>
      </c>
      <c r="GB51" s="11">
        <f t="shared" si="136"/>
        <v>0</v>
      </c>
      <c r="GC51" s="11">
        <f t="shared" si="137"/>
        <v>0</v>
      </c>
      <c r="GD51" s="11">
        <f t="shared" si="138"/>
        <v>0</v>
      </c>
      <c r="GE51" s="11">
        <f t="shared" si="139"/>
        <v>0</v>
      </c>
      <c r="GF51" s="11">
        <f t="shared" si="140"/>
        <v>0</v>
      </c>
      <c r="GG51" s="11">
        <f t="shared" si="141"/>
        <v>0</v>
      </c>
      <c r="GH51" s="11">
        <f t="shared" si="142"/>
        <v>0</v>
      </c>
      <c r="GI51" s="11">
        <f t="shared" si="143"/>
        <v>0</v>
      </c>
      <c r="GJ51" s="11">
        <f t="shared" si="144"/>
        <v>0</v>
      </c>
      <c r="GK51" s="11">
        <f t="shared" si="145"/>
        <v>0</v>
      </c>
      <c r="GL51" s="11">
        <f t="shared" si="146"/>
        <v>0</v>
      </c>
      <c r="GM51" s="11">
        <f t="shared" si="147"/>
        <v>0</v>
      </c>
      <c r="GN51" s="11">
        <f t="shared" si="148"/>
        <v>0</v>
      </c>
      <c r="GO51" s="11">
        <f t="shared" si="149"/>
        <v>0</v>
      </c>
      <c r="GP51" s="11">
        <f t="shared" si="150"/>
        <v>0</v>
      </c>
      <c r="GQ51" s="11">
        <f t="shared" si="151"/>
        <v>0</v>
      </c>
      <c r="GR51" s="11">
        <f t="shared" si="152"/>
        <v>0</v>
      </c>
      <c r="GS51" s="11">
        <f t="shared" si="153"/>
        <v>0</v>
      </c>
      <c r="GT51" s="11">
        <f t="shared" si="154"/>
        <v>0</v>
      </c>
      <c r="GU51" s="12">
        <f t="shared" si="155"/>
        <v>0</v>
      </c>
      <c r="GV51" s="12">
        <f t="shared" si="156"/>
        <v>0</v>
      </c>
      <c r="GW51" s="12">
        <f t="shared" si="157"/>
        <v>0</v>
      </c>
      <c r="GX51" s="12">
        <f t="shared" si="158"/>
        <v>0</v>
      </c>
      <c r="GY51" s="12">
        <f t="shared" si="159"/>
        <v>0</v>
      </c>
      <c r="GZ51" s="12">
        <f t="shared" si="160"/>
        <v>0</v>
      </c>
      <c r="HA51" s="12">
        <f t="shared" si="161"/>
        <v>0</v>
      </c>
      <c r="HB51" s="12">
        <f t="shared" si="162"/>
        <v>0</v>
      </c>
      <c r="HC51" s="12">
        <f t="shared" si="163"/>
        <v>0</v>
      </c>
      <c r="HD51" s="12">
        <f t="shared" si="164"/>
        <v>0</v>
      </c>
      <c r="HE51" s="12">
        <f t="shared" si="165"/>
        <v>0</v>
      </c>
      <c r="HF51" s="12">
        <f t="shared" si="166"/>
        <v>0</v>
      </c>
      <c r="HG51" s="12">
        <f t="shared" si="167"/>
        <v>0</v>
      </c>
      <c r="HH51" s="12">
        <f t="shared" si="168"/>
        <v>0</v>
      </c>
      <c r="HI51" s="12">
        <f t="shared" si="169"/>
        <v>0</v>
      </c>
      <c r="HJ51" s="12">
        <f t="shared" si="170"/>
        <v>0</v>
      </c>
      <c r="HK51" s="12">
        <f t="shared" si="171"/>
        <v>0</v>
      </c>
      <c r="HL51" s="12">
        <f t="shared" si="172"/>
        <v>0</v>
      </c>
      <c r="HM51" s="12">
        <f t="shared" si="173"/>
        <v>0</v>
      </c>
      <c r="HN51" s="12">
        <f t="shared" si="174"/>
        <v>0</v>
      </c>
      <c r="HO51" s="12">
        <f t="shared" si="175"/>
        <v>0</v>
      </c>
      <c r="HP51" s="12">
        <f t="shared" si="176"/>
        <v>0</v>
      </c>
      <c r="HQ51" s="12">
        <f t="shared" si="177"/>
        <v>0</v>
      </c>
      <c r="HR51" s="12">
        <f t="shared" si="178"/>
        <v>0</v>
      </c>
      <c r="HS51" s="12">
        <f t="shared" si="179"/>
        <v>0</v>
      </c>
      <c r="HT51" s="12">
        <f t="shared" si="180"/>
        <v>0</v>
      </c>
      <c r="HU51" s="12">
        <f t="shared" si="181"/>
        <v>0</v>
      </c>
      <c r="HV51" s="12">
        <f t="shared" si="182"/>
        <v>0</v>
      </c>
      <c r="HW51" s="12">
        <f t="shared" si="183"/>
        <v>0</v>
      </c>
      <c r="HX51" s="12">
        <f t="shared" si="184"/>
        <v>0</v>
      </c>
      <c r="HY51" s="12">
        <f t="shared" si="185"/>
        <v>0</v>
      </c>
      <c r="HZ51" s="12">
        <f t="shared" si="186"/>
        <v>0</v>
      </c>
      <c r="IA51" s="12">
        <f t="shared" si="187"/>
        <v>0</v>
      </c>
      <c r="IB51" s="12">
        <f t="shared" si="188"/>
        <v>0</v>
      </c>
      <c r="IC51" s="12">
        <f t="shared" si="189"/>
        <v>0</v>
      </c>
      <c r="ID51" s="12">
        <f t="shared" si="190"/>
        <v>0</v>
      </c>
      <c r="IE51" s="12">
        <f t="shared" si="191"/>
        <v>0</v>
      </c>
      <c r="IF51" s="12">
        <f t="shared" si="192"/>
        <v>0</v>
      </c>
      <c r="IG51" s="12">
        <f t="shared" si="193"/>
        <v>0</v>
      </c>
      <c r="IH51" s="12">
        <f t="shared" si="194"/>
        <v>0</v>
      </c>
      <c r="II51" s="12">
        <f t="shared" si="195"/>
        <v>0</v>
      </c>
      <c r="IJ51" s="12">
        <f t="shared" si="196"/>
        <v>0</v>
      </c>
      <c r="IK51" s="12">
        <f t="shared" si="197"/>
        <v>0</v>
      </c>
      <c r="IL51" s="12">
        <f t="shared" si="198"/>
        <v>0</v>
      </c>
      <c r="IM51" s="12">
        <f t="shared" si="199"/>
        <v>0</v>
      </c>
      <c r="IN51" s="12">
        <f t="shared" si="200"/>
        <v>0</v>
      </c>
      <c r="IO51" s="12">
        <f t="shared" si="201"/>
        <v>0</v>
      </c>
      <c r="IP51" s="12">
        <f t="shared" si="202"/>
        <v>0</v>
      </c>
      <c r="IQ51" s="12">
        <f t="shared" si="203"/>
        <v>0</v>
      </c>
      <c r="IR51" s="12">
        <f t="shared" si="204"/>
        <v>0</v>
      </c>
      <c r="IS51" s="12">
        <f t="shared" si="205"/>
        <v>0</v>
      </c>
      <c r="IT51" s="12">
        <f t="shared" si="206"/>
        <v>0</v>
      </c>
      <c r="IU51" s="12">
        <f t="shared" si="207"/>
        <v>0</v>
      </c>
      <c r="IV51" s="12">
        <f t="shared" si="208"/>
        <v>0</v>
      </c>
      <c r="IW51" s="12">
        <f t="shared" si="209"/>
        <v>0</v>
      </c>
      <c r="IX51" s="12">
        <f t="shared" si="210"/>
        <v>0</v>
      </c>
      <c r="IY51" s="12">
        <f t="shared" si="211"/>
        <v>0</v>
      </c>
      <c r="IZ51" s="12">
        <f t="shared" si="212"/>
        <v>1</v>
      </c>
      <c r="JA51" s="13">
        <f t="shared" si="213"/>
        <v>0</v>
      </c>
      <c r="JB51" s="13">
        <f t="shared" si="214"/>
        <v>0</v>
      </c>
      <c r="JC51" s="13">
        <f t="shared" si="215"/>
        <v>0</v>
      </c>
      <c r="JD51" s="13">
        <f t="shared" si="216"/>
        <v>0</v>
      </c>
      <c r="JE51" s="13">
        <f t="shared" si="217"/>
        <v>0</v>
      </c>
      <c r="JF51" s="13">
        <f t="shared" si="218"/>
        <v>0</v>
      </c>
      <c r="JG51" s="13">
        <f t="shared" si="219"/>
        <v>0</v>
      </c>
      <c r="JH51" s="13">
        <f t="shared" si="220"/>
        <v>0</v>
      </c>
      <c r="JI51" s="13">
        <f t="shared" si="221"/>
        <v>0</v>
      </c>
      <c r="JJ51" s="13">
        <f t="shared" si="222"/>
        <v>0</v>
      </c>
      <c r="JK51" s="13">
        <f t="shared" si="223"/>
        <v>0</v>
      </c>
      <c r="JL51" s="13">
        <f t="shared" si="224"/>
        <v>0</v>
      </c>
      <c r="JM51" s="13">
        <f t="shared" si="225"/>
        <v>0</v>
      </c>
      <c r="JN51" s="13">
        <f t="shared" si="226"/>
        <v>0</v>
      </c>
      <c r="JO51" s="13">
        <f t="shared" si="227"/>
        <v>0</v>
      </c>
      <c r="JP51" s="13">
        <f t="shared" si="228"/>
        <v>0</v>
      </c>
      <c r="JQ51" s="13">
        <f t="shared" si="229"/>
        <v>0</v>
      </c>
      <c r="JR51" s="13">
        <f t="shared" si="230"/>
        <v>0</v>
      </c>
      <c r="JS51" s="13">
        <f t="shared" si="231"/>
        <v>0</v>
      </c>
      <c r="JT51" s="13">
        <f t="shared" si="232"/>
        <v>0</v>
      </c>
      <c r="JU51" s="13">
        <f t="shared" si="233"/>
        <v>0</v>
      </c>
      <c r="JV51" s="12">
        <f t="shared" si="234"/>
        <v>0</v>
      </c>
      <c r="JW51" s="12">
        <f t="shared" si="235"/>
        <v>0</v>
      </c>
      <c r="JX51" s="12">
        <f t="shared" si="236"/>
        <v>0</v>
      </c>
      <c r="JY51" s="12">
        <f t="shared" si="237"/>
        <v>0</v>
      </c>
      <c r="JZ51" s="12">
        <f t="shared" si="238"/>
        <v>0</v>
      </c>
      <c r="KA51" s="12">
        <f t="shared" si="239"/>
        <v>0</v>
      </c>
      <c r="KB51" s="12">
        <f t="shared" si="240"/>
        <v>0</v>
      </c>
      <c r="KC51" s="12">
        <f t="shared" si="241"/>
        <v>0</v>
      </c>
      <c r="KD51" s="12">
        <f t="shared" si="242"/>
        <v>0</v>
      </c>
      <c r="KE51" s="12">
        <f t="shared" si="243"/>
        <v>0</v>
      </c>
      <c r="KF51" s="12">
        <f t="shared" si="244"/>
        <v>0</v>
      </c>
      <c r="KG51" s="12">
        <f t="shared" si="245"/>
        <v>0</v>
      </c>
      <c r="KH51" s="12">
        <f t="shared" si="246"/>
        <v>0</v>
      </c>
      <c r="KI51" s="12">
        <f t="shared" si="247"/>
        <v>0</v>
      </c>
      <c r="KJ51" s="12">
        <f t="shared" si="248"/>
        <v>0</v>
      </c>
      <c r="KK51" s="12">
        <f t="shared" si="249"/>
        <v>0</v>
      </c>
      <c r="KL51" s="12">
        <f t="shared" si="250"/>
        <v>0</v>
      </c>
      <c r="KM51" s="12">
        <f t="shared" si="251"/>
        <v>0</v>
      </c>
      <c r="KN51" s="12">
        <f t="shared" si="252"/>
        <v>0</v>
      </c>
      <c r="KO51" s="12">
        <f t="shared" si="253"/>
        <v>0</v>
      </c>
      <c r="KP51" s="12">
        <f t="shared" si="254"/>
        <v>0</v>
      </c>
      <c r="KQ51" s="12">
        <f t="shared" si="255"/>
        <v>0</v>
      </c>
      <c r="KR51" s="12">
        <f t="shared" si="256"/>
        <v>0</v>
      </c>
      <c r="KS51" s="12">
        <f t="shared" si="257"/>
        <v>0</v>
      </c>
      <c r="KT51" s="12">
        <f t="shared" si="258"/>
        <v>0</v>
      </c>
      <c r="KU51" s="12">
        <f t="shared" si="259"/>
        <v>0</v>
      </c>
      <c r="KV51" s="12">
        <f t="shared" si="260"/>
        <v>0</v>
      </c>
      <c r="KW51" s="12">
        <f t="shared" si="261"/>
        <v>0</v>
      </c>
      <c r="KX51" s="12">
        <f t="shared" si="262"/>
        <v>0</v>
      </c>
      <c r="KY51" s="12">
        <f t="shared" si="263"/>
        <v>0</v>
      </c>
      <c r="KZ51" s="12">
        <f t="shared" si="264"/>
        <v>0</v>
      </c>
      <c r="LA51" s="12">
        <f t="shared" si="265"/>
        <v>0</v>
      </c>
      <c r="LB51" s="12">
        <f t="shared" si="266"/>
        <v>0</v>
      </c>
      <c r="LC51" s="12">
        <f t="shared" si="267"/>
        <v>0</v>
      </c>
      <c r="LD51" s="12">
        <f t="shared" si="268"/>
        <v>0</v>
      </c>
      <c r="LE51" s="12">
        <f t="shared" si="269"/>
        <v>0</v>
      </c>
      <c r="LF51" s="12">
        <f t="shared" si="270"/>
        <v>0</v>
      </c>
      <c r="LG51" s="12">
        <f t="shared" si="271"/>
        <v>0</v>
      </c>
      <c r="LH51" s="12">
        <f t="shared" si="272"/>
        <v>0</v>
      </c>
      <c r="LI51" s="12">
        <f t="shared" si="273"/>
        <v>0</v>
      </c>
      <c r="LJ51" s="12">
        <f t="shared" si="274"/>
        <v>0</v>
      </c>
      <c r="LK51" s="12">
        <f t="shared" si="275"/>
        <v>0</v>
      </c>
      <c r="LL51" s="12">
        <f t="shared" si="276"/>
        <v>0</v>
      </c>
      <c r="LM51" s="12">
        <f t="shared" si="277"/>
        <v>0</v>
      </c>
      <c r="LN51" s="12">
        <f t="shared" si="278"/>
        <v>0</v>
      </c>
      <c r="LO51" s="12">
        <f t="shared" si="279"/>
        <v>0</v>
      </c>
      <c r="LP51" s="12">
        <f t="shared" si="280"/>
        <v>0</v>
      </c>
      <c r="LQ51" s="12">
        <f t="shared" si="281"/>
        <v>0</v>
      </c>
      <c r="LR51" s="12">
        <f t="shared" si="282"/>
        <v>0</v>
      </c>
      <c r="LS51" s="12">
        <f t="shared" si="283"/>
        <v>0</v>
      </c>
      <c r="LT51" s="13">
        <f t="shared" si="284"/>
        <v>0</v>
      </c>
      <c r="LU51" s="13">
        <f t="shared" si="285"/>
        <v>0</v>
      </c>
      <c r="LV51" s="13">
        <f t="shared" si="286"/>
        <v>0</v>
      </c>
      <c r="LW51" s="13">
        <f t="shared" si="287"/>
        <v>0</v>
      </c>
      <c r="LX51" s="13">
        <f t="shared" si="288"/>
        <v>0</v>
      </c>
      <c r="LY51" s="13">
        <f t="shared" si="289"/>
        <v>0</v>
      </c>
      <c r="LZ51" s="13">
        <f t="shared" si="290"/>
        <v>0</v>
      </c>
      <c r="MA51" s="13">
        <f t="shared" si="291"/>
        <v>0</v>
      </c>
      <c r="MB51" s="13">
        <f t="shared" si="292"/>
        <v>0</v>
      </c>
      <c r="MC51" s="13">
        <f t="shared" si="293"/>
        <v>0</v>
      </c>
      <c r="MD51" s="13">
        <f t="shared" si="294"/>
        <v>0</v>
      </c>
      <c r="ME51" s="13">
        <f t="shared" si="295"/>
        <v>0</v>
      </c>
      <c r="MF51" s="13">
        <f t="shared" si="296"/>
        <v>0</v>
      </c>
      <c r="MG51" s="13">
        <f t="shared" si="297"/>
        <v>0</v>
      </c>
      <c r="MH51" s="13">
        <f t="shared" si="298"/>
        <v>0</v>
      </c>
      <c r="MI51" s="13">
        <f t="shared" si="299"/>
        <v>0</v>
      </c>
      <c r="MJ51" s="13">
        <f t="shared" si="300"/>
        <v>0</v>
      </c>
      <c r="MK51" s="13">
        <f t="shared" si="301"/>
        <v>0</v>
      </c>
      <c r="ML51" s="14">
        <f t="shared" si="302"/>
        <v>0</v>
      </c>
      <c r="MM51" s="14">
        <f t="shared" si="303"/>
        <v>0</v>
      </c>
      <c r="MN51" s="14">
        <f t="shared" si="304"/>
        <v>0</v>
      </c>
      <c r="MO51" s="14">
        <f t="shared" si="305"/>
        <v>0</v>
      </c>
      <c r="MP51" s="14">
        <f t="shared" si="306"/>
        <v>0</v>
      </c>
      <c r="MQ51" s="14">
        <f t="shared" si="307"/>
        <v>0</v>
      </c>
      <c r="MR51" s="14">
        <f t="shared" si="308"/>
        <v>0</v>
      </c>
      <c r="MS51" s="14">
        <f t="shared" si="309"/>
        <v>0</v>
      </c>
      <c r="MT51" s="14">
        <f t="shared" si="310"/>
        <v>0</v>
      </c>
      <c r="MU51" s="14">
        <f t="shared" si="311"/>
        <v>0</v>
      </c>
      <c r="MV51" s="14">
        <f t="shared" si="312"/>
        <v>0</v>
      </c>
      <c r="MW51" s="14">
        <f t="shared" si="313"/>
        <v>0</v>
      </c>
      <c r="MX51" s="14">
        <f t="shared" si="314"/>
        <v>0</v>
      </c>
      <c r="MY51" s="14">
        <f t="shared" si="315"/>
        <v>0</v>
      </c>
      <c r="MZ51" s="14">
        <f t="shared" si="316"/>
        <v>0</v>
      </c>
      <c r="NA51" s="14">
        <f t="shared" si="317"/>
        <v>0</v>
      </c>
      <c r="NB51" s="14">
        <f t="shared" si="318"/>
        <v>0</v>
      </c>
    </row>
    <row r="52" ht="15.75" customHeight="1">
      <c r="A52" s="2">
        <v>362.0</v>
      </c>
      <c r="B52" s="2" t="s">
        <v>1272</v>
      </c>
      <c r="C52" s="2" t="s">
        <v>1273</v>
      </c>
      <c r="D52" s="2" t="s">
        <v>1274</v>
      </c>
      <c r="E52" s="2">
        <v>2017.0</v>
      </c>
      <c r="F52" s="2" t="s">
        <v>1275</v>
      </c>
      <c r="G52" s="2" t="s">
        <v>1126</v>
      </c>
      <c r="J52" s="2" t="s">
        <v>1276</v>
      </c>
      <c r="K52" s="2" t="s">
        <v>1277</v>
      </c>
      <c r="M52" s="2">
        <v>28.0</v>
      </c>
      <c r="N52" s="2" t="s">
        <v>1278</v>
      </c>
      <c r="O52" s="2" t="s">
        <v>1279</v>
      </c>
      <c r="P52" s="2" t="s">
        <v>1280</v>
      </c>
      <c r="Q52" s="2" t="s">
        <v>1281</v>
      </c>
      <c r="R52" s="2" t="s">
        <v>1282</v>
      </c>
      <c r="S52" s="2" t="s">
        <v>1283</v>
      </c>
      <c r="T52" s="2" t="s">
        <v>1284</v>
      </c>
      <c r="Y52" s="2" t="s">
        <v>1285</v>
      </c>
      <c r="AB52" s="2" t="s">
        <v>646</v>
      </c>
      <c r="AG52" s="2" t="s">
        <v>1286</v>
      </c>
      <c r="AI52" s="2" t="s">
        <v>1287</v>
      </c>
      <c r="AJ52" s="2">
        <v>2.8755794E7</v>
      </c>
      <c r="AK52" s="2" t="s">
        <v>1288</v>
      </c>
      <c r="AL52" s="2" t="s">
        <v>384</v>
      </c>
      <c r="AM52" s="2" t="s">
        <v>385</v>
      </c>
      <c r="AN52" s="2" t="s">
        <v>386</v>
      </c>
      <c r="AO52" s="2" t="s">
        <v>1289</v>
      </c>
      <c r="AP52" s="2" t="s">
        <v>386</v>
      </c>
      <c r="AQ52" s="2">
        <v>1418.0</v>
      </c>
      <c r="AR52" s="2" t="s">
        <v>1274</v>
      </c>
      <c r="AS52" s="2" t="b">
        <v>0</v>
      </c>
      <c r="AT52" s="3">
        <v>0.0</v>
      </c>
      <c r="AU52" s="4"/>
      <c r="AV52" s="4">
        <v>1.0</v>
      </c>
      <c r="AW52" s="5">
        <f t="shared" ref="AW52:AW264" si="432">IF(OR(ISNUMBER(SEARCH("Well-Being Theory", $D52)), ISNUMBER(SEARCH("Well-Being Theory", $T52)), ISNUMBER(SEARCH("Well-Being Theory", $R52)), ISNUMBER(SEARCH("Well-Being Theory", $S52))), 1, 0)</f>
        <v>0</v>
      </c>
      <c r="AX52" s="5">
        <f t="shared" si="4"/>
        <v>0</v>
      </c>
      <c r="AY52" s="5">
        <f t="shared" si="5"/>
        <v>0</v>
      </c>
      <c r="AZ52" s="5">
        <f t="shared" si="6"/>
        <v>0</v>
      </c>
      <c r="BA52" s="5">
        <f t="shared" si="7"/>
        <v>0</v>
      </c>
      <c r="BB52" s="5">
        <f t="shared" si="8"/>
        <v>0</v>
      </c>
      <c r="BC52" s="5">
        <f t="shared" si="9"/>
        <v>0</v>
      </c>
      <c r="BD52" s="5">
        <f t="shared" si="10"/>
        <v>0</v>
      </c>
      <c r="BE52" s="5">
        <f t="shared" si="11"/>
        <v>0</v>
      </c>
      <c r="BF52" s="5">
        <f t="shared" si="12"/>
        <v>0</v>
      </c>
      <c r="BG52" s="5">
        <f t="shared" si="13"/>
        <v>0</v>
      </c>
      <c r="BH52" s="5">
        <f t="shared" si="14"/>
        <v>0</v>
      </c>
      <c r="BI52" s="5">
        <f t="shared" si="15"/>
        <v>0</v>
      </c>
      <c r="BJ52" s="5">
        <f t="shared" si="16"/>
        <v>0</v>
      </c>
      <c r="BK52" s="5">
        <f t="shared" si="17"/>
        <v>0</v>
      </c>
      <c r="BL52" s="5">
        <f t="shared" si="18"/>
        <v>0</v>
      </c>
      <c r="BM52" s="5">
        <f t="shared" si="19"/>
        <v>0</v>
      </c>
      <c r="BN52" s="5">
        <f t="shared" si="20"/>
        <v>0</v>
      </c>
      <c r="BO52" s="5">
        <f t="shared" si="21"/>
        <v>0</v>
      </c>
      <c r="BP52" s="5">
        <f t="shared" si="22"/>
        <v>0</v>
      </c>
      <c r="BQ52" s="5">
        <f t="shared" si="23"/>
        <v>0</v>
      </c>
      <c r="BR52" s="5">
        <f t="shared" si="24"/>
        <v>0</v>
      </c>
      <c r="BS52" s="5">
        <f t="shared" si="25"/>
        <v>0</v>
      </c>
      <c r="BT52" s="5">
        <f t="shared" si="26"/>
        <v>0</v>
      </c>
      <c r="BU52" s="5">
        <f t="shared" si="27"/>
        <v>0</v>
      </c>
      <c r="BV52" s="5">
        <f t="shared" ref="BV52:BW52" si="430">IF(OR(ISNUMBER(SEARCH("grit",$D52)),ISNUMBER(SEARCH("grit",$T52)),ISNUMBER(SEARCH("grit",$R52)),ISNUMBER(SEARCH("grit",$S52)),
ISNUMBER(SEARCH("determination",$D52)),ISNUMBER(SEARCH("determination",$T52)),ISNUMBER(SEARCH("determination",$R52)),ISNUMBER(SEARCH("determination",$S52)),
ISNUMBER(SEARCH("tenacity",$D52)),ISNUMBER(SEARCH("tenacity",$T52)),ISNUMBER(SEARCH("tenacity",$R52)),ISNUMBER(SEARCH("tenacity",$S52)),
ISNUMBER(SEARCH("endurance",$D52)),ISNUMBER(SEARCH("endurance",$T52)),ISNUMBER(SEARCH("endurance",$R52)),ISNUMBER(SEARCH("endurance",$S52)),
ISNUMBER(SEARCH("fortitude",$D52)),ISNUMBER(SEARCH("fortitude",$T52)),ISNUMBER(SEARCH("fortitude",$R52)),ISNUMBER(SEARCH("fortitude",$S52)),
ISNUMBER(SEARCH("resolve",$D52)),ISNUMBER(SEARCH("resolve",$T52)),ISNUMBER(SEARCH("resolve",$R52)),ISNUMBER(SEARCH("resolve",$S52)),
ISNUMBER(SEARCH("stamina",$D52)),ISNUMBER(SEARCH("stamina",$T52)),ISNUMBER(SEARCH("stamina",$R52)),ISNUMBER(SEARCH("stamina",$S52)),
ISNUMBER(SEARCH("guts",$D52)),ISNUMBER(SEARCH("guts",$T52)),ISNUMBER(SEARCH("guts",$R52)),ISNUMBER(SEARCH("guts",$S52)),
ISNUMBER(SEARCH("spunk",$D52)),ISNUMBER(SEARCH("spunk",$T52)),ISNUMBER(SEARCH("spunk",$R52)),ISNUMBER(SEARCH("spunk",$S52))), 1, 0)</f>
        <v>0</v>
      </c>
      <c r="BW52" s="5">
        <f t="shared" si="430"/>
        <v>0</v>
      </c>
      <c r="BX52" s="5">
        <f t="shared" si="29"/>
        <v>0</v>
      </c>
      <c r="BY52" s="5">
        <f t="shared" si="30"/>
        <v>0</v>
      </c>
      <c r="BZ52" s="5">
        <f t="shared" si="31"/>
        <v>0</v>
      </c>
      <c r="CA52" s="5">
        <f t="shared" si="32"/>
        <v>0</v>
      </c>
      <c r="CB52" s="5">
        <f t="shared" si="33"/>
        <v>0</v>
      </c>
      <c r="CC52" s="5">
        <f t="shared" si="34"/>
        <v>0</v>
      </c>
      <c r="CD52" s="5">
        <f t="shared" si="35"/>
        <v>0</v>
      </c>
      <c r="CE52" s="5">
        <f t="shared" si="36"/>
        <v>0</v>
      </c>
      <c r="CF52" s="5">
        <f t="shared" si="37"/>
        <v>0</v>
      </c>
      <c r="CG52" s="5">
        <f t="shared" si="38"/>
        <v>0</v>
      </c>
      <c r="CH52" s="5">
        <f t="shared" si="39"/>
        <v>0</v>
      </c>
      <c r="CI52" s="5">
        <f t="shared" si="40"/>
        <v>0</v>
      </c>
      <c r="CJ52" s="5">
        <f t="shared" si="41"/>
        <v>0</v>
      </c>
      <c r="CK52" s="5">
        <f t="shared" si="42"/>
        <v>0</v>
      </c>
      <c r="CL52" s="5">
        <f t="shared" si="43"/>
        <v>0</v>
      </c>
      <c r="CM52" s="5">
        <f t="shared" si="44"/>
        <v>0</v>
      </c>
      <c r="CN52" s="5">
        <f t="shared" si="45"/>
        <v>0</v>
      </c>
      <c r="CO52" s="5">
        <f t="shared" si="46"/>
        <v>0</v>
      </c>
      <c r="CP52" s="6">
        <f t="shared" si="47"/>
        <v>0</v>
      </c>
      <c r="CQ52" s="6">
        <f t="shared" si="48"/>
        <v>0</v>
      </c>
      <c r="CR52" s="6">
        <f t="shared" si="49"/>
        <v>0</v>
      </c>
      <c r="CS52" s="6">
        <f t="shared" si="50"/>
        <v>0</v>
      </c>
      <c r="CT52" s="6">
        <f t="shared" si="51"/>
        <v>0</v>
      </c>
      <c r="CU52" s="6">
        <f t="shared" si="52"/>
        <v>0</v>
      </c>
      <c r="CV52" s="6">
        <f t="shared" si="53"/>
        <v>0</v>
      </c>
      <c r="CW52" s="6">
        <f t="shared" si="54"/>
        <v>0</v>
      </c>
      <c r="CX52" s="6">
        <f t="shared" si="55"/>
        <v>0</v>
      </c>
      <c r="CY52" s="6">
        <f t="shared" si="56"/>
        <v>0</v>
      </c>
      <c r="CZ52" s="6">
        <f t="shared" si="57"/>
        <v>0</v>
      </c>
      <c r="DA52" s="6">
        <f t="shared" si="58"/>
        <v>0</v>
      </c>
      <c r="DB52" s="6">
        <f t="shared" si="59"/>
        <v>0</v>
      </c>
      <c r="DC52" s="6">
        <f t="shared" si="60"/>
        <v>0</v>
      </c>
      <c r="DD52" s="6">
        <f t="shared" si="61"/>
        <v>0</v>
      </c>
      <c r="DE52" s="6">
        <f t="shared" si="62"/>
        <v>0</v>
      </c>
      <c r="DF52" s="6">
        <f t="shared" si="63"/>
        <v>0</v>
      </c>
      <c r="DG52" s="6">
        <f t="shared" si="64"/>
        <v>0</v>
      </c>
      <c r="DH52" s="6">
        <f t="shared" ref="DH52:DH74" si="434">IF(
OR(
ISNUMBER(SEARCH("Spirituality",$D52)),ISNUMBER(SEARCH("Spirituality",$T52)),ISNUMBER(SEARCH("Spirituality",$R50)),ISNUMBER(SEARCH("Spirituality",$S52)),
ISNUMBER(SEARCH("religio",$D52)),ISNUMBER(SEARCH("religio",$T52)),ISNUMBER(SEARCH("religio",$R52)),ISNUMBER(SEARCH("religio",$S52))), 1, 0)</f>
        <v>0</v>
      </c>
      <c r="DI52" s="6">
        <f t="shared" si="66"/>
        <v>0</v>
      </c>
      <c r="DJ52" s="6">
        <f t="shared" ref="DJ52:DJ74" si="435">IF(OR(ISNUMBER(SEARCH("Emotional stability", $D52)), ISNUMBER(SEARCH("Emotional stability", $T52)), ISNUMBER(SEARCH("Emotional stability", $R52)), ISNUMBER(SEARCH("Emotional stability", $S52))), 1, 0)</f>
        <v>0</v>
      </c>
      <c r="DK52" s="7">
        <f t="shared" si="68"/>
        <v>0</v>
      </c>
      <c r="DL52" s="7">
        <f t="shared" si="411"/>
        <v>0</v>
      </c>
      <c r="DM52" s="7">
        <f t="shared" si="70"/>
        <v>0</v>
      </c>
      <c r="DN52" s="7">
        <f t="shared" si="71"/>
        <v>0</v>
      </c>
      <c r="DO52" s="7">
        <f t="shared" si="72"/>
        <v>0</v>
      </c>
      <c r="DP52" s="8">
        <f t="shared" si="73"/>
        <v>0</v>
      </c>
      <c r="DQ52" s="8">
        <f t="shared" si="74"/>
        <v>1</v>
      </c>
      <c r="DR52" s="7">
        <f t="shared" si="75"/>
        <v>0</v>
      </c>
      <c r="DS52" s="7">
        <f t="shared" si="76"/>
        <v>0</v>
      </c>
      <c r="DT52" s="7">
        <f t="shared" si="77"/>
        <v>0</v>
      </c>
      <c r="DU52" s="9">
        <f t="shared" si="78"/>
        <v>0</v>
      </c>
      <c r="DV52" s="9">
        <f t="shared" si="79"/>
        <v>0</v>
      </c>
      <c r="DW52" s="9">
        <f t="shared" si="80"/>
        <v>0</v>
      </c>
      <c r="DX52" s="9">
        <f t="shared" si="81"/>
        <v>0</v>
      </c>
      <c r="DY52" s="9">
        <f t="shared" si="82"/>
        <v>0</v>
      </c>
      <c r="DZ52" s="9">
        <f t="shared" si="83"/>
        <v>0</v>
      </c>
      <c r="EA52" s="9">
        <f t="shared" si="84"/>
        <v>0</v>
      </c>
      <c r="EB52" s="9">
        <f t="shared" si="85"/>
        <v>0</v>
      </c>
      <c r="EC52" s="9">
        <f t="shared" si="86"/>
        <v>0</v>
      </c>
      <c r="ED52" s="9">
        <f t="shared" si="87"/>
        <v>0</v>
      </c>
      <c r="EE52" s="9">
        <f t="shared" si="88"/>
        <v>0</v>
      </c>
      <c r="EF52" s="9">
        <f t="shared" si="89"/>
        <v>0</v>
      </c>
      <c r="EG52" s="9">
        <f t="shared" si="90"/>
        <v>0</v>
      </c>
      <c r="EH52" s="9">
        <f t="shared" si="91"/>
        <v>0</v>
      </c>
      <c r="EI52" s="9">
        <f t="shared" si="92"/>
        <v>0</v>
      </c>
      <c r="EJ52" s="10">
        <f t="shared" si="93"/>
        <v>0</v>
      </c>
      <c r="EK52" s="10">
        <f t="shared" si="94"/>
        <v>0</v>
      </c>
      <c r="EL52" s="10">
        <f t="shared" ref="EL52:EM52" si="431">IF(OR(ISNUMBER(SEARCH("ai software toolkit", $D52)), ISNUMBER(SEARCH("ai software toolkit", $T52)), ISNUMBER(SEARCH("ai software toolkit", $R52)), ISNUMBER(SEARCH("ai software toolkit", $S52))), 1, 0)</f>
        <v>0</v>
      </c>
      <c r="EM52" s="10">
        <f t="shared" si="431"/>
        <v>0</v>
      </c>
      <c r="EN52" s="10">
        <f t="shared" si="96"/>
        <v>0</v>
      </c>
      <c r="EO52" s="10">
        <f t="shared" si="97"/>
        <v>1</v>
      </c>
      <c r="EP52" s="10">
        <f t="shared" si="98"/>
        <v>0</v>
      </c>
      <c r="EQ52" s="10">
        <f t="shared" si="99"/>
        <v>0</v>
      </c>
      <c r="ER52" s="10">
        <f t="shared" si="100"/>
        <v>0</v>
      </c>
      <c r="ES52" s="10">
        <f t="shared" si="101"/>
        <v>0</v>
      </c>
      <c r="ET52" s="10">
        <f t="shared" si="102"/>
        <v>0</v>
      </c>
      <c r="EU52" s="10">
        <f t="shared" si="103"/>
        <v>0</v>
      </c>
      <c r="EV52" s="10">
        <f t="shared" si="104"/>
        <v>0</v>
      </c>
      <c r="EW52" s="10">
        <f t="shared" si="105"/>
        <v>0</v>
      </c>
      <c r="EX52" s="10">
        <f t="shared" si="106"/>
        <v>0</v>
      </c>
      <c r="EY52" s="10">
        <f t="shared" si="107"/>
        <v>0</v>
      </c>
      <c r="EZ52" s="10">
        <f t="shared" si="108"/>
        <v>0</v>
      </c>
      <c r="FA52" s="10">
        <f t="shared" si="109"/>
        <v>0</v>
      </c>
      <c r="FB52" s="10">
        <f t="shared" si="110"/>
        <v>0</v>
      </c>
      <c r="FC52" s="10">
        <f t="shared" si="111"/>
        <v>0</v>
      </c>
      <c r="FD52" s="10">
        <f t="shared" si="112"/>
        <v>0</v>
      </c>
      <c r="FE52" s="10">
        <f t="shared" si="113"/>
        <v>0</v>
      </c>
      <c r="FF52" s="10">
        <f t="shared" si="114"/>
        <v>0</v>
      </c>
      <c r="FG52" s="10">
        <f t="shared" si="115"/>
        <v>0</v>
      </c>
      <c r="FH52" s="10">
        <f t="shared" si="116"/>
        <v>0</v>
      </c>
      <c r="FI52" s="10">
        <f t="shared" si="117"/>
        <v>0</v>
      </c>
      <c r="FJ52" s="10">
        <f t="shared" si="118"/>
        <v>0</v>
      </c>
      <c r="FK52" s="10">
        <f t="shared" si="119"/>
        <v>0</v>
      </c>
      <c r="FL52" s="10">
        <f t="shared" si="120"/>
        <v>0</v>
      </c>
      <c r="FM52" s="10">
        <f t="shared" si="121"/>
        <v>0</v>
      </c>
      <c r="FN52" s="10">
        <f t="shared" si="122"/>
        <v>0</v>
      </c>
      <c r="FO52" s="10">
        <f t="shared" si="123"/>
        <v>0</v>
      </c>
      <c r="FP52" s="10">
        <f t="shared" si="124"/>
        <v>1</v>
      </c>
      <c r="FQ52" s="10">
        <f t="shared" si="125"/>
        <v>0</v>
      </c>
      <c r="FR52" s="11">
        <f t="shared" ref="FR52:FR66" si="437">IF(
OR(
ISNUMBER(SEARCH("chatbot",$D52)),ISNUMBER(SEARCH("chatbot",$T52)),ISNUMBER(SEARCH("chatbot",#REF!)),ISNUMBER(SEARCH("chatbot",$S52)),
ISNUMBER(SEARCH("virtual assistance",$D52)),ISNUMBER(SEARCH("virtual assistance",$T52)),ISNUMBER(SEARCH("virtual assistance",$R52)),ISNUMBER(SEARCH("virtual assistance",$S52))), 1, 0)</f>
        <v>0</v>
      </c>
      <c r="FS52" s="11">
        <f t="shared" si="127"/>
        <v>0</v>
      </c>
      <c r="FT52" s="11">
        <f t="shared" si="128"/>
        <v>0</v>
      </c>
      <c r="FU52" s="11">
        <f t="shared" si="129"/>
        <v>0</v>
      </c>
      <c r="FV52" s="11">
        <f t="shared" si="130"/>
        <v>0</v>
      </c>
      <c r="FW52" s="11">
        <f t="shared" si="131"/>
        <v>0</v>
      </c>
      <c r="FX52" s="11">
        <f t="shared" si="132"/>
        <v>0</v>
      </c>
      <c r="FY52" s="11">
        <f t="shared" si="133"/>
        <v>0</v>
      </c>
      <c r="FZ52" s="11">
        <f t="shared" si="134"/>
        <v>0</v>
      </c>
      <c r="GA52" s="11">
        <f t="shared" si="135"/>
        <v>0</v>
      </c>
      <c r="GB52" s="11">
        <f t="shared" si="136"/>
        <v>0</v>
      </c>
      <c r="GC52" s="11">
        <f t="shared" si="137"/>
        <v>0</v>
      </c>
      <c r="GD52" s="11">
        <f t="shared" si="138"/>
        <v>0</v>
      </c>
      <c r="GE52" s="11">
        <f t="shared" si="139"/>
        <v>0</v>
      </c>
      <c r="GF52" s="11">
        <f t="shared" si="140"/>
        <v>0</v>
      </c>
      <c r="GG52" s="11">
        <f t="shared" si="141"/>
        <v>0</v>
      </c>
      <c r="GH52" s="11">
        <f t="shared" si="142"/>
        <v>0</v>
      </c>
      <c r="GI52" s="11">
        <f t="shared" si="143"/>
        <v>0</v>
      </c>
      <c r="GJ52" s="11">
        <f t="shared" si="144"/>
        <v>0</v>
      </c>
      <c r="GK52" s="11">
        <f t="shared" si="145"/>
        <v>0</v>
      </c>
      <c r="GL52" s="11">
        <f t="shared" si="146"/>
        <v>0</v>
      </c>
      <c r="GM52" s="11">
        <f t="shared" si="147"/>
        <v>0</v>
      </c>
      <c r="GN52" s="11">
        <f t="shared" si="148"/>
        <v>0</v>
      </c>
      <c r="GO52" s="11">
        <f t="shared" si="149"/>
        <v>0</v>
      </c>
      <c r="GP52" s="11">
        <f t="shared" si="150"/>
        <v>0</v>
      </c>
      <c r="GQ52" s="11">
        <f t="shared" si="151"/>
        <v>1</v>
      </c>
      <c r="GR52" s="11">
        <f t="shared" si="152"/>
        <v>0</v>
      </c>
      <c r="GS52" s="11">
        <f t="shared" si="153"/>
        <v>0</v>
      </c>
      <c r="GT52" s="11">
        <f t="shared" si="154"/>
        <v>0</v>
      </c>
      <c r="GU52" s="12">
        <f t="shared" si="155"/>
        <v>0</v>
      </c>
      <c r="GV52" s="12">
        <f t="shared" si="156"/>
        <v>0</v>
      </c>
      <c r="GW52" s="12">
        <f t="shared" si="157"/>
        <v>0</v>
      </c>
      <c r="GX52" s="12">
        <f t="shared" si="158"/>
        <v>0</v>
      </c>
      <c r="GY52" s="12">
        <f t="shared" si="159"/>
        <v>0</v>
      </c>
      <c r="GZ52" s="12">
        <f t="shared" si="160"/>
        <v>0</v>
      </c>
      <c r="HA52" s="12">
        <f t="shared" si="161"/>
        <v>0</v>
      </c>
      <c r="HB52" s="12">
        <f t="shared" si="162"/>
        <v>0</v>
      </c>
      <c r="HC52" s="12">
        <f t="shared" si="163"/>
        <v>0</v>
      </c>
      <c r="HD52" s="12">
        <f t="shared" si="164"/>
        <v>0</v>
      </c>
      <c r="HE52" s="12">
        <f t="shared" si="165"/>
        <v>0</v>
      </c>
      <c r="HF52" s="12">
        <f t="shared" si="166"/>
        <v>0</v>
      </c>
      <c r="HG52" s="12">
        <f t="shared" si="167"/>
        <v>0</v>
      </c>
      <c r="HH52" s="12">
        <f t="shared" si="168"/>
        <v>0</v>
      </c>
      <c r="HI52" s="12">
        <f t="shared" si="169"/>
        <v>0</v>
      </c>
      <c r="HJ52" s="12">
        <f t="shared" si="170"/>
        <v>0</v>
      </c>
      <c r="HK52" s="12">
        <f t="shared" si="171"/>
        <v>0</v>
      </c>
      <c r="HL52" s="12">
        <f t="shared" si="172"/>
        <v>0</v>
      </c>
      <c r="HM52" s="12">
        <f t="shared" si="173"/>
        <v>0</v>
      </c>
      <c r="HN52" s="12">
        <f t="shared" si="174"/>
        <v>0</v>
      </c>
      <c r="HO52" s="12">
        <f t="shared" si="175"/>
        <v>0</v>
      </c>
      <c r="HP52" s="12">
        <f t="shared" si="176"/>
        <v>0</v>
      </c>
      <c r="HQ52" s="12">
        <f t="shared" si="177"/>
        <v>0</v>
      </c>
      <c r="HR52" s="12">
        <f t="shared" si="178"/>
        <v>0</v>
      </c>
      <c r="HS52" s="12">
        <f t="shared" si="179"/>
        <v>0</v>
      </c>
      <c r="HT52" s="12">
        <f t="shared" si="180"/>
        <v>0</v>
      </c>
      <c r="HU52" s="12">
        <f t="shared" si="181"/>
        <v>0</v>
      </c>
      <c r="HV52" s="12">
        <f t="shared" si="182"/>
        <v>0</v>
      </c>
      <c r="HW52" s="12">
        <f t="shared" si="183"/>
        <v>0</v>
      </c>
      <c r="HX52" s="12">
        <f t="shared" si="184"/>
        <v>0</v>
      </c>
      <c r="HY52" s="12">
        <f t="shared" si="185"/>
        <v>0</v>
      </c>
      <c r="HZ52" s="12">
        <f t="shared" si="186"/>
        <v>0</v>
      </c>
      <c r="IA52" s="12">
        <f t="shared" si="187"/>
        <v>0</v>
      </c>
      <c r="IB52" s="12">
        <f t="shared" si="188"/>
        <v>0</v>
      </c>
      <c r="IC52" s="12">
        <f t="shared" si="189"/>
        <v>0</v>
      </c>
      <c r="ID52" s="12">
        <f t="shared" si="190"/>
        <v>0</v>
      </c>
      <c r="IE52" s="12">
        <f t="shared" si="191"/>
        <v>0</v>
      </c>
      <c r="IF52" s="12">
        <f t="shared" si="192"/>
        <v>0</v>
      </c>
      <c r="IG52" s="12">
        <f t="shared" si="193"/>
        <v>0</v>
      </c>
      <c r="IH52" s="12">
        <f t="shared" si="194"/>
        <v>0</v>
      </c>
      <c r="II52" s="12">
        <f t="shared" si="195"/>
        <v>0</v>
      </c>
      <c r="IJ52" s="12">
        <f t="shared" si="196"/>
        <v>0</v>
      </c>
      <c r="IK52" s="12">
        <f t="shared" si="197"/>
        <v>0</v>
      </c>
      <c r="IL52" s="12">
        <f t="shared" si="198"/>
        <v>0</v>
      </c>
      <c r="IM52" s="12">
        <f t="shared" si="199"/>
        <v>0</v>
      </c>
      <c r="IN52" s="12">
        <f t="shared" si="200"/>
        <v>0</v>
      </c>
      <c r="IO52" s="12">
        <f t="shared" si="201"/>
        <v>0</v>
      </c>
      <c r="IP52" s="12">
        <f t="shared" si="202"/>
        <v>0</v>
      </c>
      <c r="IQ52" s="12">
        <f t="shared" si="203"/>
        <v>0</v>
      </c>
      <c r="IR52" s="12">
        <f t="shared" si="204"/>
        <v>0</v>
      </c>
      <c r="IS52" s="12">
        <f t="shared" si="205"/>
        <v>0</v>
      </c>
      <c r="IT52" s="12">
        <f t="shared" si="206"/>
        <v>0</v>
      </c>
      <c r="IU52" s="12">
        <f t="shared" si="207"/>
        <v>0</v>
      </c>
      <c r="IV52" s="12">
        <f t="shared" si="208"/>
        <v>0</v>
      </c>
      <c r="IW52" s="12">
        <f t="shared" si="209"/>
        <v>0</v>
      </c>
      <c r="IX52" s="12">
        <f t="shared" si="210"/>
        <v>0</v>
      </c>
      <c r="IY52" s="12">
        <f t="shared" si="211"/>
        <v>0</v>
      </c>
      <c r="IZ52" s="12">
        <f t="shared" si="212"/>
        <v>1</v>
      </c>
      <c r="JA52" s="13">
        <f t="shared" si="213"/>
        <v>0</v>
      </c>
      <c r="JB52" s="13">
        <f t="shared" si="214"/>
        <v>0</v>
      </c>
      <c r="JC52" s="13">
        <f t="shared" si="215"/>
        <v>0</v>
      </c>
      <c r="JD52" s="13">
        <f t="shared" si="216"/>
        <v>0</v>
      </c>
      <c r="JE52" s="13">
        <f t="shared" si="217"/>
        <v>0</v>
      </c>
      <c r="JF52" s="13">
        <f t="shared" si="218"/>
        <v>0</v>
      </c>
      <c r="JG52" s="13">
        <f t="shared" si="219"/>
        <v>0</v>
      </c>
      <c r="JH52" s="13">
        <f t="shared" si="220"/>
        <v>0</v>
      </c>
      <c r="JI52" s="13">
        <f t="shared" si="221"/>
        <v>0</v>
      </c>
      <c r="JJ52" s="13">
        <f t="shared" si="222"/>
        <v>0</v>
      </c>
      <c r="JK52" s="13">
        <f t="shared" si="223"/>
        <v>0</v>
      </c>
      <c r="JL52" s="13">
        <f t="shared" si="224"/>
        <v>0</v>
      </c>
      <c r="JM52" s="13">
        <f t="shared" si="225"/>
        <v>0</v>
      </c>
      <c r="JN52" s="13">
        <f t="shared" si="226"/>
        <v>0</v>
      </c>
      <c r="JO52" s="13">
        <f t="shared" si="227"/>
        <v>0</v>
      </c>
      <c r="JP52" s="13">
        <f t="shared" si="228"/>
        <v>0</v>
      </c>
      <c r="JQ52" s="13">
        <f t="shared" si="229"/>
        <v>0</v>
      </c>
      <c r="JR52" s="13">
        <f t="shared" si="230"/>
        <v>0</v>
      </c>
      <c r="JS52" s="13">
        <f t="shared" si="231"/>
        <v>0</v>
      </c>
      <c r="JT52" s="13">
        <f t="shared" si="232"/>
        <v>0</v>
      </c>
      <c r="JU52" s="13">
        <f t="shared" si="233"/>
        <v>0</v>
      </c>
      <c r="JV52" s="12">
        <f t="shared" si="234"/>
        <v>0</v>
      </c>
      <c r="JW52" s="12">
        <f t="shared" si="235"/>
        <v>0</v>
      </c>
      <c r="JX52" s="12">
        <f t="shared" si="236"/>
        <v>0</v>
      </c>
      <c r="JY52" s="12">
        <f t="shared" si="237"/>
        <v>0</v>
      </c>
      <c r="JZ52" s="12">
        <f t="shared" si="238"/>
        <v>0</v>
      </c>
      <c r="KA52" s="12">
        <f t="shared" si="239"/>
        <v>0</v>
      </c>
      <c r="KB52" s="12">
        <f t="shared" si="240"/>
        <v>0</v>
      </c>
      <c r="KC52" s="12">
        <f t="shared" si="241"/>
        <v>0</v>
      </c>
      <c r="KD52" s="12">
        <f t="shared" si="242"/>
        <v>0</v>
      </c>
      <c r="KE52" s="12">
        <f t="shared" si="243"/>
        <v>0</v>
      </c>
      <c r="KF52" s="12">
        <f t="shared" si="244"/>
        <v>0</v>
      </c>
      <c r="KG52" s="12">
        <f t="shared" si="245"/>
        <v>0</v>
      </c>
      <c r="KH52" s="12">
        <f t="shared" si="246"/>
        <v>0</v>
      </c>
      <c r="KI52" s="12">
        <f t="shared" si="247"/>
        <v>0</v>
      </c>
      <c r="KJ52" s="12">
        <f t="shared" si="248"/>
        <v>0</v>
      </c>
      <c r="KK52" s="12">
        <f t="shared" si="249"/>
        <v>0</v>
      </c>
      <c r="KL52" s="12">
        <f t="shared" si="250"/>
        <v>0</v>
      </c>
      <c r="KM52" s="12">
        <f t="shared" si="251"/>
        <v>0</v>
      </c>
      <c r="KN52" s="12">
        <f t="shared" si="252"/>
        <v>0</v>
      </c>
      <c r="KO52" s="12">
        <f t="shared" si="253"/>
        <v>0</v>
      </c>
      <c r="KP52" s="12">
        <f t="shared" si="254"/>
        <v>0</v>
      </c>
      <c r="KQ52" s="12">
        <f t="shared" si="255"/>
        <v>0</v>
      </c>
      <c r="KR52" s="12">
        <f t="shared" si="256"/>
        <v>0</v>
      </c>
      <c r="KS52" s="12">
        <f t="shared" si="257"/>
        <v>0</v>
      </c>
      <c r="KT52" s="12">
        <f t="shared" si="258"/>
        <v>0</v>
      </c>
      <c r="KU52" s="12">
        <f t="shared" si="259"/>
        <v>0</v>
      </c>
      <c r="KV52" s="12">
        <f t="shared" si="260"/>
        <v>0</v>
      </c>
      <c r="KW52" s="12">
        <f t="shared" si="261"/>
        <v>0</v>
      </c>
      <c r="KX52" s="12">
        <f t="shared" si="262"/>
        <v>0</v>
      </c>
      <c r="KY52" s="12">
        <f t="shared" si="263"/>
        <v>0</v>
      </c>
      <c r="KZ52" s="12">
        <f t="shared" si="264"/>
        <v>0</v>
      </c>
      <c r="LA52" s="12">
        <f t="shared" si="265"/>
        <v>0</v>
      </c>
      <c r="LB52" s="12">
        <f t="shared" si="266"/>
        <v>0</v>
      </c>
      <c r="LC52" s="12">
        <f t="shared" si="267"/>
        <v>0</v>
      </c>
      <c r="LD52" s="12">
        <f t="shared" si="268"/>
        <v>0</v>
      </c>
      <c r="LE52" s="12">
        <f t="shared" si="269"/>
        <v>0</v>
      </c>
      <c r="LF52" s="12">
        <f t="shared" si="270"/>
        <v>0</v>
      </c>
      <c r="LG52" s="12">
        <f t="shared" si="271"/>
        <v>0</v>
      </c>
      <c r="LH52" s="12">
        <f t="shared" si="272"/>
        <v>0</v>
      </c>
      <c r="LI52" s="12">
        <f t="shared" si="273"/>
        <v>0</v>
      </c>
      <c r="LJ52" s="12">
        <f t="shared" si="274"/>
        <v>0</v>
      </c>
      <c r="LK52" s="12">
        <f t="shared" si="275"/>
        <v>0</v>
      </c>
      <c r="LL52" s="12">
        <f t="shared" si="276"/>
        <v>0</v>
      </c>
      <c r="LM52" s="12">
        <f t="shared" si="277"/>
        <v>0</v>
      </c>
      <c r="LN52" s="12">
        <f t="shared" si="278"/>
        <v>0</v>
      </c>
      <c r="LO52" s="12">
        <f t="shared" si="279"/>
        <v>0</v>
      </c>
      <c r="LP52" s="12">
        <f t="shared" si="280"/>
        <v>0</v>
      </c>
      <c r="LQ52" s="12">
        <f t="shared" si="281"/>
        <v>0</v>
      </c>
      <c r="LR52" s="12">
        <f t="shared" si="282"/>
        <v>0</v>
      </c>
      <c r="LS52" s="12">
        <f t="shared" si="283"/>
        <v>0</v>
      </c>
      <c r="LT52" s="13">
        <f t="shared" si="284"/>
        <v>0</v>
      </c>
      <c r="LU52" s="13">
        <f t="shared" si="285"/>
        <v>0</v>
      </c>
      <c r="LV52" s="13">
        <f t="shared" si="286"/>
        <v>0</v>
      </c>
      <c r="LW52" s="13">
        <f t="shared" si="287"/>
        <v>0</v>
      </c>
      <c r="LX52" s="13">
        <f t="shared" si="288"/>
        <v>0</v>
      </c>
      <c r="LY52" s="13">
        <f t="shared" si="289"/>
        <v>0</v>
      </c>
      <c r="LZ52" s="13">
        <f t="shared" si="290"/>
        <v>0</v>
      </c>
      <c r="MA52" s="13">
        <f t="shared" si="291"/>
        <v>0</v>
      </c>
      <c r="MB52" s="13">
        <f t="shared" si="292"/>
        <v>0</v>
      </c>
      <c r="MC52" s="13">
        <f t="shared" si="293"/>
        <v>0</v>
      </c>
      <c r="MD52" s="13">
        <f t="shared" si="294"/>
        <v>0</v>
      </c>
      <c r="ME52" s="13">
        <f t="shared" si="295"/>
        <v>0</v>
      </c>
      <c r="MF52" s="13">
        <f t="shared" si="296"/>
        <v>0</v>
      </c>
      <c r="MG52" s="13">
        <f t="shared" si="297"/>
        <v>0</v>
      </c>
      <c r="MH52" s="13">
        <f t="shared" si="298"/>
        <v>0</v>
      </c>
      <c r="MI52" s="13">
        <f t="shared" si="299"/>
        <v>0</v>
      </c>
      <c r="MJ52" s="13">
        <f t="shared" si="300"/>
        <v>0</v>
      </c>
      <c r="MK52" s="13">
        <f t="shared" si="301"/>
        <v>0</v>
      </c>
      <c r="ML52" s="14">
        <f t="shared" si="302"/>
        <v>0</v>
      </c>
      <c r="MM52" s="14">
        <f t="shared" si="303"/>
        <v>0</v>
      </c>
      <c r="MN52" s="14">
        <f t="shared" si="304"/>
        <v>0</v>
      </c>
      <c r="MO52" s="14">
        <f t="shared" si="305"/>
        <v>0</v>
      </c>
      <c r="MP52" s="14">
        <f t="shared" si="306"/>
        <v>0</v>
      </c>
      <c r="MQ52" s="14">
        <f t="shared" si="307"/>
        <v>0</v>
      </c>
      <c r="MR52" s="14">
        <f t="shared" si="308"/>
        <v>0</v>
      </c>
      <c r="MS52" s="14">
        <f t="shared" si="309"/>
        <v>0</v>
      </c>
      <c r="MT52" s="14">
        <f t="shared" si="310"/>
        <v>0</v>
      </c>
      <c r="MU52" s="14">
        <f t="shared" si="311"/>
        <v>0</v>
      </c>
      <c r="MV52" s="14">
        <f t="shared" si="312"/>
        <v>0</v>
      </c>
      <c r="MW52" s="14">
        <f t="shared" si="313"/>
        <v>0</v>
      </c>
      <c r="MX52" s="14">
        <f t="shared" si="314"/>
        <v>0</v>
      </c>
      <c r="MY52" s="14">
        <f t="shared" si="315"/>
        <v>0</v>
      </c>
      <c r="MZ52" s="14">
        <f t="shared" si="316"/>
        <v>0</v>
      </c>
      <c r="NA52" s="14">
        <f t="shared" si="317"/>
        <v>0</v>
      </c>
      <c r="NB52" s="14">
        <f t="shared" si="318"/>
        <v>0</v>
      </c>
    </row>
    <row r="53" ht="15.75" customHeight="1">
      <c r="A53" s="2">
        <v>65.0</v>
      </c>
      <c r="B53" s="2" t="s">
        <v>1290</v>
      </c>
      <c r="C53" s="2" t="s">
        <v>1291</v>
      </c>
      <c r="D53" s="2" t="s">
        <v>1292</v>
      </c>
      <c r="E53" s="2">
        <v>2021.0</v>
      </c>
      <c r="F53" s="2" t="s">
        <v>1293</v>
      </c>
      <c r="G53" s="2" t="s">
        <v>603</v>
      </c>
      <c r="H53" s="2" t="s">
        <v>510</v>
      </c>
      <c r="I53" s="2" t="s">
        <v>1294</v>
      </c>
      <c r="M53" s="2">
        <v>27.0</v>
      </c>
      <c r="N53" s="2" t="s">
        <v>1295</v>
      </c>
      <c r="O53" s="2" t="s">
        <v>1296</v>
      </c>
      <c r="P53" s="2" t="s">
        <v>1297</v>
      </c>
      <c r="Q53" s="2" t="s">
        <v>1298</v>
      </c>
      <c r="R53" s="2" t="s">
        <v>1299</v>
      </c>
      <c r="S53" s="2" t="s">
        <v>1300</v>
      </c>
      <c r="T53" s="2" t="s">
        <v>1301</v>
      </c>
      <c r="Y53" s="2" t="s">
        <v>1302</v>
      </c>
      <c r="AB53" s="2" t="s">
        <v>1303</v>
      </c>
      <c r="AG53" s="2" t="s">
        <v>1304</v>
      </c>
      <c r="AK53" s="2" t="s">
        <v>1305</v>
      </c>
      <c r="AL53" s="2" t="s">
        <v>384</v>
      </c>
      <c r="AM53" s="2" t="s">
        <v>1306</v>
      </c>
      <c r="AN53" s="2" t="s">
        <v>386</v>
      </c>
      <c r="AO53" s="2" t="s">
        <v>1307</v>
      </c>
      <c r="AP53" s="2" t="s">
        <v>386</v>
      </c>
      <c r="AQ53" s="2">
        <v>190.0</v>
      </c>
      <c r="AR53" s="2" t="s">
        <v>1292</v>
      </c>
      <c r="AS53" s="2" t="b">
        <v>1</v>
      </c>
      <c r="AT53" s="3">
        <v>0.0</v>
      </c>
      <c r="AU53" s="4"/>
      <c r="AV53" s="4">
        <v>1.0</v>
      </c>
      <c r="AW53" s="5">
        <f t="shared" si="432"/>
        <v>0</v>
      </c>
      <c r="AX53" s="5">
        <f t="shared" si="4"/>
        <v>0</v>
      </c>
      <c r="AY53" s="5">
        <f t="shared" si="5"/>
        <v>0</v>
      </c>
      <c r="AZ53" s="5">
        <f t="shared" si="6"/>
        <v>0</v>
      </c>
      <c r="BA53" s="5">
        <f t="shared" si="7"/>
        <v>0</v>
      </c>
      <c r="BB53" s="5">
        <f t="shared" si="8"/>
        <v>0</v>
      </c>
      <c r="BC53" s="5">
        <f t="shared" si="9"/>
        <v>0</v>
      </c>
      <c r="BD53" s="5">
        <f t="shared" si="10"/>
        <v>0</v>
      </c>
      <c r="BE53" s="5">
        <f t="shared" si="11"/>
        <v>0</v>
      </c>
      <c r="BF53" s="5">
        <f t="shared" si="12"/>
        <v>0</v>
      </c>
      <c r="BG53" s="5">
        <f t="shared" si="13"/>
        <v>0</v>
      </c>
      <c r="BH53" s="5">
        <f t="shared" si="14"/>
        <v>0</v>
      </c>
      <c r="BI53" s="5">
        <f t="shared" si="15"/>
        <v>0</v>
      </c>
      <c r="BJ53" s="5">
        <f t="shared" si="16"/>
        <v>0</v>
      </c>
      <c r="BK53" s="5">
        <f t="shared" si="17"/>
        <v>0</v>
      </c>
      <c r="BL53" s="5">
        <f t="shared" si="18"/>
        <v>0</v>
      </c>
      <c r="BM53" s="5">
        <f t="shared" si="19"/>
        <v>0</v>
      </c>
      <c r="BN53" s="5">
        <f t="shared" si="20"/>
        <v>0</v>
      </c>
      <c r="BO53" s="5">
        <f t="shared" si="21"/>
        <v>0</v>
      </c>
      <c r="BP53" s="5">
        <f t="shared" si="22"/>
        <v>0</v>
      </c>
      <c r="BQ53" s="5">
        <f t="shared" si="23"/>
        <v>0</v>
      </c>
      <c r="BR53" s="5">
        <f t="shared" si="24"/>
        <v>0</v>
      </c>
      <c r="BS53" s="5">
        <f t="shared" si="25"/>
        <v>0</v>
      </c>
      <c r="BT53" s="5">
        <f t="shared" si="26"/>
        <v>0</v>
      </c>
      <c r="BU53" s="5">
        <f t="shared" si="27"/>
        <v>0</v>
      </c>
      <c r="BV53" s="5">
        <f t="shared" ref="BV53:BW53" si="433">IF(OR(ISNUMBER(SEARCH("grit",$D53)),ISNUMBER(SEARCH("grit",$T53)),ISNUMBER(SEARCH("grit",$R53)),ISNUMBER(SEARCH("grit",$S53)),
ISNUMBER(SEARCH("determination",$D53)),ISNUMBER(SEARCH("determination",$T53)),ISNUMBER(SEARCH("determination",$R53)),ISNUMBER(SEARCH("determination",$S53)),
ISNUMBER(SEARCH("tenacity",$D53)),ISNUMBER(SEARCH("tenacity",$T53)),ISNUMBER(SEARCH("tenacity",$R53)),ISNUMBER(SEARCH("tenacity",$S53)),
ISNUMBER(SEARCH("endurance",$D53)),ISNUMBER(SEARCH("endurance",$T53)),ISNUMBER(SEARCH("endurance",$R53)),ISNUMBER(SEARCH("endurance",$S53)),
ISNUMBER(SEARCH("fortitude",$D53)),ISNUMBER(SEARCH("fortitude",$T53)),ISNUMBER(SEARCH("fortitude",$R53)),ISNUMBER(SEARCH("fortitude",$S53)),
ISNUMBER(SEARCH("resolve",$D53)),ISNUMBER(SEARCH("resolve",$T53)),ISNUMBER(SEARCH("resolve",$R53)),ISNUMBER(SEARCH("resolve",$S53)),
ISNUMBER(SEARCH("stamina",$D53)),ISNUMBER(SEARCH("stamina",$T53)),ISNUMBER(SEARCH("stamina",$R53)),ISNUMBER(SEARCH("stamina",$S53)),
ISNUMBER(SEARCH("guts",$D53)),ISNUMBER(SEARCH("guts",$T53)),ISNUMBER(SEARCH("guts",$R53)),ISNUMBER(SEARCH("guts",$S53)),
ISNUMBER(SEARCH("spunk",$D53)),ISNUMBER(SEARCH("spunk",$T53)),ISNUMBER(SEARCH("spunk",$R53)),ISNUMBER(SEARCH("spunk",$S53))), 1, 0)</f>
        <v>0</v>
      </c>
      <c r="BW53" s="5">
        <f t="shared" si="433"/>
        <v>0</v>
      </c>
      <c r="BX53" s="5">
        <f t="shared" si="29"/>
        <v>0</v>
      </c>
      <c r="BY53" s="5">
        <f t="shared" si="30"/>
        <v>0</v>
      </c>
      <c r="BZ53" s="5">
        <f t="shared" si="31"/>
        <v>0</v>
      </c>
      <c r="CA53" s="5">
        <f t="shared" si="32"/>
        <v>0</v>
      </c>
      <c r="CB53" s="5">
        <f t="shared" si="33"/>
        <v>0</v>
      </c>
      <c r="CC53" s="5">
        <f t="shared" si="34"/>
        <v>0</v>
      </c>
      <c r="CD53" s="5">
        <f t="shared" si="35"/>
        <v>0</v>
      </c>
      <c r="CE53" s="5">
        <f t="shared" si="36"/>
        <v>0</v>
      </c>
      <c r="CF53" s="5">
        <f t="shared" si="37"/>
        <v>0</v>
      </c>
      <c r="CG53" s="5">
        <f t="shared" si="38"/>
        <v>0</v>
      </c>
      <c r="CH53" s="5">
        <f t="shared" si="39"/>
        <v>0</v>
      </c>
      <c r="CI53" s="5">
        <f t="shared" si="40"/>
        <v>0</v>
      </c>
      <c r="CJ53" s="5">
        <f t="shared" si="41"/>
        <v>0</v>
      </c>
      <c r="CK53" s="5">
        <f t="shared" si="42"/>
        <v>0</v>
      </c>
      <c r="CL53" s="5">
        <f t="shared" si="43"/>
        <v>0</v>
      </c>
      <c r="CM53" s="5">
        <f t="shared" si="44"/>
        <v>0</v>
      </c>
      <c r="CN53" s="5">
        <f t="shared" si="45"/>
        <v>0</v>
      </c>
      <c r="CO53" s="5">
        <f t="shared" si="46"/>
        <v>0</v>
      </c>
      <c r="CP53" s="6">
        <f t="shared" si="47"/>
        <v>0</v>
      </c>
      <c r="CQ53" s="6">
        <f t="shared" si="48"/>
        <v>0</v>
      </c>
      <c r="CR53" s="6">
        <f t="shared" si="49"/>
        <v>0</v>
      </c>
      <c r="CS53" s="6">
        <f t="shared" si="50"/>
        <v>0</v>
      </c>
      <c r="CT53" s="6">
        <f t="shared" si="51"/>
        <v>0</v>
      </c>
      <c r="CU53" s="6">
        <f t="shared" si="52"/>
        <v>0</v>
      </c>
      <c r="CV53" s="6">
        <f t="shared" si="53"/>
        <v>0</v>
      </c>
      <c r="CW53" s="6">
        <f t="shared" si="54"/>
        <v>0</v>
      </c>
      <c r="CX53" s="6">
        <f t="shared" si="55"/>
        <v>0</v>
      </c>
      <c r="CY53" s="6">
        <f t="shared" si="56"/>
        <v>0</v>
      </c>
      <c r="CZ53" s="6">
        <f t="shared" si="57"/>
        <v>0</v>
      </c>
      <c r="DA53" s="6">
        <f t="shared" si="58"/>
        <v>0</v>
      </c>
      <c r="DB53" s="6">
        <f t="shared" si="59"/>
        <v>0</v>
      </c>
      <c r="DC53" s="6">
        <f t="shared" si="60"/>
        <v>0</v>
      </c>
      <c r="DD53" s="6">
        <f t="shared" si="61"/>
        <v>0</v>
      </c>
      <c r="DE53" s="6">
        <f t="shared" si="62"/>
        <v>0</v>
      </c>
      <c r="DF53" s="6">
        <f t="shared" si="63"/>
        <v>0</v>
      </c>
      <c r="DG53" s="6">
        <f t="shared" si="64"/>
        <v>0</v>
      </c>
      <c r="DH53" s="6">
        <f t="shared" si="434"/>
        <v>0</v>
      </c>
      <c r="DI53" s="6">
        <f t="shared" si="66"/>
        <v>0</v>
      </c>
      <c r="DJ53" s="6">
        <f t="shared" si="435"/>
        <v>0</v>
      </c>
      <c r="DK53" s="7">
        <f t="shared" si="68"/>
        <v>0</v>
      </c>
      <c r="DL53" s="7">
        <f t="shared" si="411"/>
        <v>0</v>
      </c>
      <c r="DM53" s="7">
        <f t="shared" si="70"/>
        <v>0</v>
      </c>
      <c r="DN53" s="7">
        <f t="shared" si="71"/>
        <v>0</v>
      </c>
      <c r="DO53" s="7">
        <f t="shared" si="72"/>
        <v>1</v>
      </c>
      <c r="DP53" s="8">
        <f t="shared" si="73"/>
        <v>0</v>
      </c>
      <c r="DQ53" s="8">
        <f t="shared" si="74"/>
        <v>1</v>
      </c>
      <c r="DR53" s="7">
        <f t="shared" si="75"/>
        <v>0</v>
      </c>
      <c r="DS53" s="7">
        <f t="shared" si="76"/>
        <v>0</v>
      </c>
      <c r="DT53" s="7">
        <f t="shared" si="77"/>
        <v>0</v>
      </c>
      <c r="DU53" s="9">
        <f t="shared" si="78"/>
        <v>0</v>
      </c>
      <c r="DV53" s="9">
        <f t="shared" si="79"/>
        <v>0</v>
      </c>
      <c r="DW53" s="9">
        <f t="shared" si="80"/>
        <v>0</v>
      </c>
      <c r="DX53" s="9">
        <f t="shared" si="81"/>
        <v>0</v>
      </c>
      <c r="DY53" s="9">
        <f t="shared" si="82"/>
        <v>0</v>
      </c>
      <c r="DZ53" s="9">
        <f t="shared" si="83"/>
        <v>0</v>
      </c>
      <c r="EA53" s="9">
        <f t="shared" si="84"/>
        <v>0</v>
      </c>
      <c r="EB53" s="9">
        <f t="shared" si="85"/>
        <v>0</v>
      </c>
      <c r="EC53" s="9">
        <f t="shared" si="86"/>
        <v>0</v>
      </c>
      <c r="ED53" s="9">
        <f t="shared" si="87"/>
        <v>0</v>
      </c>
      <c r="EE53" s="9">
        <f t="shared" si="88"/>
        <v>0</v>
      </c>
      <c r="EF53" s="9">
        <f t="shared" si="89"/>
        <v>0</v>
      </c>
      <c r="EG53" s="9">
        <f t="shared" si="90"/>
        <v>0</v>
      </c>
      <c r="EH53" s="9">
        <f t="shared" si="91"/>
        <v>0</v>
      </c>
      <c r="EI53" s="9">
        <f t="shared" si="92"/>
        <v>0</v>
      </c>
      <c r="EJ53" s="10">
        <f t="shared" si="93"/>
        <v>0</v>
      </c>
      <c r="EK53" s="10">
        <f t="shared" si="94"/>
        <v>0</v>
      </c>
      <c r="EL53" s="10">
        <f t="shared" ref="EL53:EM53" si="436">IF(OR(ISNUMBER(SEARCH("ai software toolkit", $D53)), ISNUMBER(SEARCH("ai software toolkit", $T53)), ISNUMBER(SEARCH("ai software toolkit", $R53)), ISNUMBER(SEARCH("ai software toolkit", $S53))), 1, 0)</f>
        <v>0</v>
      </c>
      <c r="EM53" s="10">
        <f t="shared" si="436"/>
        <v>0</v>
      </c>
      <c r="EN53" s="10">
        <f t="shared" si="96"/>
        <v>0</v>
      </c>
      <c r="EO53" s="10">
        <f t="shared" si="97"/>
        <v>1</v>
      </c>
      <c r="EP53" s="10">
        <f t="shared" si="98"/>
        <v>0</v>
      </c>
      <c r="EQ53" s="10">
        <f t="shared" si="99"/>
        <v>0</v>
      </c>
      <c r="ER53" s="10">
        <f t="shared" si="100"/>
        <v>0</v>
      </c>
      <c r="ES53" s="10">
        <f t="shared" si="101"/>
        <v>0</v>
      </c>
      <c r="ET53" s="10">
        <f t="shared" si="102"/>
        <v>1</v>
      </c>
      <c r="EU53" s="10">
        <f t="shared" si="103"/>
        <v>0</v>
      </c>
      <c r="EV53" s="10">
        <f t="shared" si="104"/>
        <v>0</v>
      </c>
      <c r="EW53" s="10">
        <f t="shared" si="105"/>
        <v>0</v>
      </c>
      <c r="EX53" s="10">
        <f t="shared" si="106"/>
        <v>0</v>
      </c>
      <c r="EY53" s="10">
        <f t="shared" si="107"/>
        <v>0</v>
      </c>
      <c r="EZ53" s="10">
        <f t="shared" si="108"/>
        <v>0</v>
      </c>
      <c r="FA53" s="10">
        <f t="shared" si="109"/>
        <v>0</v>
      </c>
      <c r="FB53" s="10">
        <f t="shared" si="110"/>
        <v>0</v>
      </c>
      <c r="FC53" s="10">
        <f t="shared" si="111"/>
        <v>0</v>
      </c>
      <c r="FD53" s="10">
        <f t="shared" si="112"/>
        <v>0</v>
      </c>
      <c r="FE53" s="10">
        <f t="shared" si="113"/>
        <v>1</v>
      </c>
      <c r="FF53" s="10">
        <f t="shared" si="114"/>
        <v>0</v>
      </c>
      <c r="FG53" s="10">
        <f t="shared" si="115"/>
        <v>0</v>
      </c>
      <c r="FH53" s="10">
        <f t="shared" si="116"/>
        <v>0</v>
      </c>
      <c r="FI53" s="10">
        <f t="shared" si="117"/>
        <v>0</v>
      </c>
      <c r="FJ53" s="10">
        <f t="shared" si="118"/>
        <v>0</v>
      </c>
      <c r="FK53" s="10">
        <f t="shared" si="119"/>
        <v>0</v>
      </c>
      <c r="FL53" s="10">
        <f t="shared" si="120"/>
        <v>0</v>
      </c>
      <c r="FM53" s="10">
        <f t="shared" si="121"/>
        <v>0</v>
      </c>
      <c r="FN53" s="10">
        <f t="shared" si="122"/>
        <v>0</v>
      </c>
      <c r="FO53" s="10">
        <f t="shared" si="123"/>
        <v>1</v>
      </c>
      <c r="FP53" s="10">
        <f t="shared" si="124"/>
        <v>0</v>
      </c>
      <c r="FQ53" s="10">
        <f t="shared" si="125"/>
        <v>1</v>
      </c>
      <c r="FR53" s="11">
        <f t="shared" si="437"/>
        <v>0</v>
      </c>
      <c r="FS53" s="11">
        <f t="shared" si="127"/>
        <v>0</v>
      </c>
      <c r="FT53" s="11">
        <f t="shared" si="128"/>
        <v>0</v>
      </c>
      <c r="FU53" s="11">
        <f t="shared" si="129"/>
        <v>0</v>
      </c>
      <c r="FV53" s="11">
        <f t="shared" si="130"/>
        <v>0</v>
      </c>
      <c r="FW53" s="11">
        <f t="shared" si="131"/>
        <v>0</v>
      </c>
      <c r="FX53" s="11">
        <f t="shared" si="132"/>
        <v>0</v>
      </c>
      <c r="FY53" s="11">
        <f t="shared" si="133"/>
        <v>0</v>
      </c>
      <c r="FZ53" s="11">
        <f t="shared" si="134"/>
        <v>0</v>
      </c>
      <c r="GA53" s="11">
        <f t="shared" si="135"/>
        <v>0</v>
      </c>
      <c r="GB53" s="11">
        <f t="shared" si="136"/>
        <v>0</v>
      </c>
      <c r="GC53" s="11">
        <f t="shared" si="137"/>
        <v>0</v>
      </c>
      <c r="GD53" s="11">
        <f t="shared" si="138"/>
        <v>0</v>
      </c>
      <c r="GE53" s="11">
        <f t="shared" si="139"/>
        <v>0</v>
      </c>
      <c r="GF53" s="11">
        <f t="shared" si="140"/>
        <v>0</v>
      </c>
      <c r="GG53" s="11">
        <f t="shared" si="141"/>
        <v>0</v>
      </c>
      <c r="GH53" s="11">
        <f t="shared" si="142"/>
        <v>0</v>
      </c>
      <c r="GI53" s="11">
        <f t="shared" si="143"/>
        <v>0</v>
      </c>
      <c r="GJ53" s="11">
        <f t="shared" si="144"/>
        <v>0</v>
      </c>
      <c r="GK53" s="11">
        <f t="shared" si="145"/>
        <v>0</v>
      </c>
      <c r="GL53" s="11">
        <f t="shared" si="146"/>
        <v>0</v>
      </c>
      <c r="GM53" s="11">
        <f t="shared" si="147"/>
        <v>0</v>
      </c>
      <c r="GN53" s="11">
        <f t="shared" si="148"/>
        <v>0</v>
      </c>
      <c r="GO53" s="11">
        <f t="shared" si="149"/>
        <v>0</v>
      </c>
      <c r="GP53" s="11">
        <f t="shared" si="150"/>
        <v>1</v>
      </c>
      <c r="GQ53" s="11">
        <f t="shared" si="151"/>
        <v>0</v>
      </c>
      <c r="GR53" s="11">
        <f t="shared" si="152"/>
        <v>1</v>
      </c>
      <c r="GS53" s="11">
        <f t="shared" si="153"/>
        <v>0</v>
      </c>
      <c r="GT53" s="11">
        <f t="shared" si="154"/>
        <v>0</v>
      </c>
      <c r="GU53" s="12">
        <f t="shared" si="155"/>
        <v>0</v>
      </c>
      <c r="GV53" s="12">
        <f t="shared" si="156"/>
        <v>0</v>
      </c>
      <c r="GW53" s="12">
        <f t="shared" si="157"/>
        <v>0</v>
      </c>
      <c r="GX53" s="12">
        <f t="shared" si="158"/>
        <v>0</v>
      </c>
      <c r="GY53" s="12">
        <f t="shared" si="159"/>
        <v>0</v>
      </c>
      <c r="GZ53" s="12">
        <f t="shared" si="160"/>
        <v>0</v>
      </c>
      <c r="HA53" s="12">
        <f t="shared" si="161"/>
        <v>0</v>
      </c>
      <c r="HB53" s="12">
        <f t="shared" si="162"/>
        <v>0</v>
      </c>
      <c r="HC53" s="12">
        <f t="shared" si="163"/>
        <v>0</v>
      </c>
      <c r="HD53" s="12">
        <f t="shared" si="164"/>
        <v>0</v>
      </c>
      <c r="HE53" s="12">
        <f t="shared" si="165"/>
        <v>0</v>
      </c>
      <c r="HF53" s="12">
        <f t="shared" si="166"/>
        <v>0</v>
      </c>
      <c r="HG53" s="12">
        <f t="shared" si="167"/>
        <v>0</v>
      </c>
      <c r="HH53" s="12">
        <f t="shared" si="168"/>
        <v>0</v>
      </c>
      <c r="HI53" s="12">
        <f t="shared" si="169"/>
        <v>0</v>
      </c>
      <c r="HJ53" s="12">
        <f t="shared" si="170"/>
        <v>0</v>
      </c>
      <c r="HK53" s="12">
        <f t="shared" si="171"/>
        <v>0</v>
      </c>
      <c r="HL53" s="12">
        <f t="shared" si="172"/>
        <v>0</v>
      </c>
      <c r="HM53" s="12">
        <f t="shared" si="173"/>
        <v>0</v>
      </c>
      <c r="HN53" s="12">
        <f t="shared" si="174"/>
        <v>0</v>
      </c>
      <c r="HO53" s="12">
        <f t="shared" si="175"/>
        <v>0</v>
      </c>
      <c r="HP53" s="12">
        <f t="shared" si="176"/>
        <v>0</v>
      </c>
      <c r="HQ53" s="12">
        <f t="shared" si="177"/>
        <v>0</v>
      </c>
      <c r="HR53" s="12">
        <f t="shared" si="178"/>
        <v>0</v>
      </c>
      <c r="HS53" s="12">
        <f t="shared" si="179"/>
        <v>0</v>
      </c>
      <c r="HT53" s="12">
        <f t="shared" si="180"/>
        <v>0</v>
      </c>
      <c r="HU53" s="12">
        <f t="shared" si="181"/>
        <v>0</v>
      </c>
      <c r="HV53" s="12">
        <f t="shared" si="182"/>
        <v>0</v>
      </c>
      <c r="HW53" s="12">
        <f t="shared" si="183"/>
        <v>0</v>
      </c>
      <c r="HX53" s="12">
        <f t="shared" si="184"/>
        <v>0</v>
      </c>
      <c r="HY53" s="12">
        <f t="shared" si="185"/>
        <v>0</v>
      </c>
      <c r="HZ53" s="12">
        <f t="shared" si="186"/>
        <v>0</v>
      </c>
      <c r="IA53" s="12">
        <f t="shared" si="187"/>
        <v>0</v>
      </c>
      <c r="IB53" s="12">
        <f t="shared" si="188"/>
        <v>0</v>
      </c>
      <c r="IC53" s="12">
        <f t="shared" si="189"/>
        <v>0</v>
      </c>
      <c r="ID53" s="12">
        <f t="shared" si="190"/>
        <v>0</v>
      </c>
      <c r="IE53" s="12">
        <f t="shared" si="191"/>
        <v>0</v>
      </c>
      <c r="IF53" s="12">
        <f t="shared" si="192"/>
        <v>0</v>
      </c>
      <c r="IG53" s="12">
        <f t="shared" si="193"/>
        <v>0</v>
      </c>
      <c r="IH53" s="12">
        <f t="shared" si="194"/>
        <v>0</v>
      </c>
      <c r="II53" s="12">
        <f t="shared" si="195"/>
        <v>0</v>
      </c>
      <c r="IJ53" s="12">
        <f t="shared" si="196"/>
        <v>0</v>
      </c>
      <c r="IK53" s="12">
        <f t="shared" si="197"/>
        <v>0</v>
      </c>
      <c r="IL53" s="12">
        <f t="shared" si="198"/>
        <v>0</v>
      </c>
      <c r="IM53" s="12">
        <f t="shared" si="199"/>
        <v>0</v>
      </c>
      <c r="IN53" s="12">
        <f t="shared" si="200"/>
        <v>0</v>
      </c>
      <c r="IO53" s="12">
        <f t="shared" si="201"/>
        <v>0</v>
      </c>
      <c r="IP53" s="12">
        <f t="shared" si="202"/>
        <v>0</v>
      </c>
      <c r="IQ53" s="12">
        <f t="shared" si="203"/>
        <v>0</v>
      </c>
      <c r="IR53" s="12">
        <f t="shared" si="204"/>
        <v>0</v>
      </c>
      <c r="IS53" s="12">
        <f t="shared" si="205"/>
        <v>0</v>
      </c>
      <c r="IT53" s="12">
        <f t="shared" si="206"/>
        <v>0</v>
      </c>
      <c r="IU53" s="12">
        <f t="shared" si="207"/>
        <v>0</v>
      </c>
      <c r="IV53" s="12">
        <f t="shared" si="208"/>
        <v>0</v>
      </c>
      <c r="IW53" s="12">
        <f t="shared" si="209"/>
        <v>0</v>
      </c>
      <c r="IX53" s="12">
        <f t="shared" si="210"/>
        <v>0</v>
      </c>
      <c r="IY53" s="12">
        <f t="shared" si="211"/>
        <v>0</v>
      </c>
      <c r="IZ53" s="12">
        <f t="shared" si="212"/>
        <v>0</v>
      </c>
      <c r="JA53" s="13">
        <f t="shared" si="213"/>
        <v>0</v>
      </c>
      <c r="JB53" s="13">
        <f t="shared" si="214"/>
        <v>0</v>
      </c>
      <c r="JC53" s="13">
        <f t="shared" si="215"/>
        <v>0</v>
      </c>
      <c r="JD53" s="13">
        <f t="shared" si="216"/>
        <v>0</v>
      </c>
      <c r="JE53" s="13">
        <f t="shared" si="217"/>
        <v>0</v>
      </c>
      <c r="JF53" s="13">
        <f t="shared" si="218"/>
        <v>0</v>
      </c>
      <c r="JG53" s="13">
        <f t="shared" si="219"/>
        <v>0</v>
      </c>
      <c r="JH53" s="13">
        <f t="shared" si="220"/>
        <v>0</v>
      </c>
      <c r="JI53" s="13">
        <f t="shared" si="221"/>
        <v>0</v>
      </c>
      <c r="JJ53" s="13">
        <f t="shared" si="222"/>
        <v>0</v>
      </c>
      <c r="JK53" s="13">
        <f t="shared" si="223"/>
        <v>0</v>
      </c>
      <c r="JL53" s="13">
        <f t="shared" si="224"/>
        <v>0</v>
      </c>
      <c r="JM53" s="13">
        <f t="shared" si="225"/>
        <v>0</v>
      </c>
      <c r="JN53" s="13">
        <f t="shared" si="226"/>
        <v>0</v>
      </c>
      <c r="JO53" s="13">
        <f t="shared" si="227"/>
        <v>0</v>
      </c>
      <c r="JP53" s="13">
        <f t="shared" si="228"/>
        <v>0</v>
      </c>
      <c r="JQ53" s="13">
        <f t="shared" si="229"/>
        <v>0</v>
      </c>
      <c r="JR53" s="13">
        <f t="shared" si="230"/>
        <v>0</v>
      </c>
      <c r="JS53" s="13">
        <f t="shared" si="231"/>
        <v>0</v>
      </c>
      <c r="JT53" s="13">
        <f t="shared" si="232"/>
        <v>0</v>
      </c>
      <c r="JU53" s="13">
        <f t="shared" si="233"/>
        <v>0</v>
      </c>
      <c r="JV53" s="12">
        <f t="shared" si="234"/>
        <v>0</v>
      </c>
      <c r="JW53" s="12">
        <f t="shared" si="235"/>
        <v>0</v>
      </c>
      <c r="JX53" s="12">
        <f t="shared" si="236"/>
        <v>0</v>
      </c>
      <c r="JY53" s="12">
        <f t="shared" si="237"/>
        <v>0</v>
      </c>
      <c r="JZ53" s="12">
        <f t="shared" si="238"/>
        <v>0</v>
      </c>
      <c r="KA53" s="12">
        <f t="shared" si="239"/>
        <v>0</v>
      </c>
      <c r="KB53" s="12">
        <f t="shared" si="240"/>
        <v>0</v>
      </c>
      <c r="KC53" s="12">
        <f t="shared" si="241"/>
        <v>0</v>
      </c>
      <c r="KD53" s="12">
        <f t="shared" si="242"/>
        <v>0</v>
      </c>
      <c r="KE53" s="12">
        <f t="shared" si="243"/>
        <v>0</v>
      </c>
      <c r="KF53" s="12">
        <f t="shared" si="244"/>
        <v>0</v>
      </c>
      <c r="KG53" s="12">
        <f t="shared" si="245"/>
        <v>0</v>
      </c>
      <c r="KH53" s="12">
        <f t="shared" si="246"/>
        <v>0</v>
      </c>
      <c r="KI53" s="12">
        <f t="shared" si="247"/>
        <v>0</v>
      </c>
      <c r="KJ53" s="12">
        <f t="shared" si="248"/>
        <v>0</v>
      </c>
      <c r="KK53" s="12">
        <f t="shared" si="249"/>
        <v>0</v>
      </c>
      <c r="KL53" s="12">
        <f t="shared" si="250"/>
        <v>0</v>
      </c>
      <c r="KM53" s="12">
        <f t="shared" si="251"/>
        <v>0</v>
      </c>
      <c r="KN53" s="12">
        <f t="shared" si="252"/>
        <v>0</v>
      </c>
      <c r="KO53" s="12">
        <f t="shared" si="253"/>
        <v>0</v>
      </c>
      <c r="KP53" s="12">
        <f t="shared" si="254"/>
        <v>0</v>
      </c>
      <c r="KQ53" s="12">
        <f t="shared" si="255"/>
        <v>0</v>
      </c>
      <c r="KR53" s="12">
        <f t="shared" si="256"/>
        <v>0</v>
      </c>
      <c r="KS53" s="12">
        <f t="shared" si="257"/>
        <v>0</v>
      </c>
      <c r="KT53" s="12">
        <f t="shared" si="258"/>
        <v>0</v>
      </c>
      <c r="KU53" s="12">
        <f t="shared" si="259"/>
        <v>0</v>
      </c>
      <c r="KV53" s="12">
        <f t="shared" si="260"/>
        <v>0</v>
      </c>
      <c r="KW53" s="12">
        <f t="shared" si="261"/>
        <v>0</v>
      </c>
      <c r="KX53" s="12">
        <f t="shared" si="262"/>
        <v>0</v>
      </c>
      <c r="KY53" s="12">
        <f t="shared" si="263"/>
        <v>0</v>
      </c>
      <c r="KZ53" s="12">
        <f t="shared" si="264"/>
        <v>0</v>
      </c>
      <c r="LA53" s="12">
        <f t="shared" si="265"/>
        <v>0</v>
      </c>
      <c r="LB53" s="12">
        <f t="shared" si="266"/>
        <v>0</v>
      </c>
      <c r="LC53" s="12">
        <f t="shared" si="267"/>
        <v>0</v>
      </c>
      <c r="LD53" s="12">
        <f t="shared" si="268"/>
        <v>0</v>
      </c>
      <c r="LE53" s="12">
        <f t="shared" si="269"/>
        <v>0</v>
      </c>
      <c r="LF53" s="12">
        <f t="shared" si="270"/>
        <v>0</v>
      </c>
      <c r="LG53" s="12">
        <f t="shared" si="271"/>
        <v>0</v>
      </c>
      <c r="LH53" s="12">
        <f t="shared" si="272"/>
        <v>0</v>
      </c>
      <c r="LI53" s="12">
        <f t="shared" si="273"/>
        <v>0</v>
      </c>
      <c r="LJ53" s="12">
        <f t="shared" si="274"/>
        <v>0</v>
      </c>
      <c r="LK53" s="12">
        <f t="shared" si="275"/>
        <v>0</v>
      </c>
      <c r="LL53" s="12">
        <f t="shared" si="276"/>
        <v>0</v>
      </c>
      <c r="LM53" s="12">
        <f t="shared" si="277"/>
        <v>0</v>
      </c>
      <c r="LN53" s="12">
        <f t="shared" si="278"/>
        <v>0</v>
      </c>
      <c r="LO53" s="12">
        <f t="shared" si="279"/>
        <v>0</v>
      </c>
      <c r="LP53" s="12">
        <f t="shared" si="280"/>
        <v>0</v>
      </c>
      <c r="LQ53" s="12">
        <f t="shared" si="281"/>
        <v>0</v>
      </c>
      <c r="LR53" s="12">
        <f t="shared" si="282"/>
        <v>0</v>
      </c>
      <c r="LS53" s="12">
        <f t="shared" si="283"/>
        <v>0</v>
      </c>
      <c r="LT53" s="13">
        <f t="shared" si="284"/>
        <v>0</v>
      </c>
      <c r="LU53" s="13">
        <f t="shared" si="285"/>
        <v>0</v>
      </c>
      <c r="LV53" s="13">
        <f t="shared" si="286"/>
        <v>0</v>
      </c>
      <c r="LW53" s="13">
        <f t="shared" si="287"/>
        <v>0</v>
      </c>
      <c r="LX53" s="13">
        <f t="shared" si="288"/>
        <v>0</v>
      </c>
      <c r="LY53" s="13">
        <f t="shared" si="289"/>
        <v>0</v>
      </c>
      <c r="LZ53" s="13">
        <f t="shared" si="290"/>
        <v>0</v>
      </c>
      <c r="MA53" s="13">
        <f t="shared" si="291"/>
        <v>0</v>
      </c>
      <c r="MB53" s="13">
        <f t="shared" si="292"/>
        <v>0</v>
      </c>
      <c r="MC53" s="13">
        <f t="shared" si="293"/>
        <v>0</v>
      </c>
      <c r="MD53" s="13">
        <f t="shared" si="294"/>
        <v>0</v>
      </c>
      <c r="ME53" s="13">
        <f t="shared" si="295"/>
        <v>0</v>
      </c>
      <c r="MF53" s="13">
        <f t="shared" si="296"/>
        <v>0</v>
      </c>
      <c r="MG53" s="13">
        <f t="shared" si="297"/>
        <v>0</v>
      </c>
      <c r="MH53" s="13">
        <f t="shared" si="298"/>
        <v>0</v>
      </c>
      <c r="MI53" s="13">
        <f t="shared" si="299"/>
        <v>0</v>
      </c>
      <c r="MJ53" s="13">
        <f t="shared" si="300"/>
        <v>0</v>
      </c>
      <c r="MK53" s="13">
        <f t="shared" si="301"/>
        <v>0</v>
      </c>
      <c r="ML53" s="14">
        <f t="shared" si="302"/>
        <v>0</v>
      </c>
      <c r="MM53" s="14">
        <f t="shared" si="303"/>
        <v>0</v>
      </c>
      <c r="MN53" s="14">
        <f t="shared" si="304"/>
        <v>0</v>
      </c>
      <c r="MO53" s="14">
        <f t="shared" si="305"/>
        <v>0</v>
      </c>
      <c r="MP53" s="14">
        <f t="shared" si="306"/>
        <v>0</v>
      </c>
      <c r="MQ53" s="14">
        <f t="shared" si="307"/>
        <v>0</v>
      </c>
      <c r="MR53" s="14">
        <f t="shared" si="308"/>
        <v>0</v>
      </c>
      <c r="MS53" s="14">
        <f t="shared" si="309"/>
        <v>0</v>
      </c>
      <c r="MT53" s="14">
        <f t="shared" si="310"/>
        <v>0</v>
      </c>
      <c r="MU53" s="14">
        <f t="shared" si="311"/>
        <v>1</v>
      </c>
      <c r="MV53" s="14">
        <f t="shared" si="312"/>
        <v>0</v>
      </c>
      <c r="MW53" s="14">
        <f t="shared" si="313"/>
        <v>0</v>
      </c>
      <c r="MX53" s="14">
        <f t="shared" si="314"/>
        <v>0</v>
      </c>
      <c r="MY53" s="14">
        <f t="shared" si="315"/>
        <v>0</v>
      </c>
      <c r="MZ53" s="14">
        <f t="shared" si="316"/>
        <v>0</v>
      </c>
      <c r="NA53" s="14">
        <f t="shared" si="317"/>
        <v>0</v>
      </c>
      <c r="NB53" s="14">
        <f t="shared" si="318"/>
        <v>0</v>
      </c>
    </row>
    <row r="54" ht="15.75" customHeight="1">
      <c r="A54" s="2">
        <v>193.0</v>
      </c>
      <c r="B54" s="2" t="s">
        <v>1308</v>
      </c>
      <c r="C54" s="2" t="s">
        <v>1309</v>
      </c>
      <c r="D54" s="2" t="s">
        <v>1310</v>
      </c>
      <c r="E54" s="2">
        <v>2020.0</v>
      </c>
      <c r="F54" s="2" t="s">
        <v>1311</v>
      </c>
      <c r="G54" s="2" t="s">
        <v>452</v>
      </c>
      <c r="H54" s="2" t="s">
        <v>432</v>
      </c>
      <c r="I54" s="2" t="s">
        <v>1312</v>
      </c>
      <c r="M54" s="2">
        <v>27.0</v>
      </c>
      <c r="N54" s="2" t="s">
        <v>1313</v>
      </c>
      <c r="O54" s="2" t="s">
        <v>1314</v>
      </c>
      <c r="P54" s="2" t="s">
        <v>1315</v>
      </c>
      <c r="Q54" s="2" t="s">
        <v>1316</v>
      </c>
      <c r="R54" s="2" t="s">
        <v>1317</v>
      </c>
      <c r="S54" s="2" t="s">
        <v>1318</v>
      </c>
      <c r="T54" s="2" t="s">
        <v>1319</v>
      </c>
      <c r="Y54" s="2" t="s">
        <v>1320</v>
      </c>
      <c r="AB54" s="2" t="s">
        <v>1321</v>
      </c>
      <c r="AG54" s="2" t="s">
        <v>1322</v>
      </c>
      <c r="AK54" s="2" t="s">
        <v>1323</v>
      </c>
      <c r="AL54" s="2" t="s">
        <v>384</v>
      </c>
      <c r="AN54" s="2" t="s">
        <v>386</v>
      </c>
      <c r="AO54" s="2" t="s">
        <v>1324</v>
      </c>
      <c r="AP54" s="2" t="s">
        <v>386</v>
      </c>
      <c r="AQ54" s="2">
        <v>799.0</v>
      </c>
      <c r="AR54" s="2" t="s">
        <v>1325</v>
      </c>
      <c r="AS54" s="2" t="b">
        <v>1</v>
      </c>
      <c r="AT54" s="3">
        <v>0.0</v>
      </c>
      <c r="AU54" s="4"/>
      <c r="AV54" s="4"/>
      <c r="AW54" s="5">
        <f t="shared" si="432"/>
        <v>0</v>
      </c>
      <c r="AX54" s="5">
        <f t="shared" si="4"/>
        <v>0</v>
      </c>
      <c r="AY54" s="5">
        <f t="shared" si="5"/>
        <v>0</v>
      </c>
      <c r="AZ54" s="5">
        <f t="shared" si="6"/>
        <v>0</v>
      </c>
      <c r="BA54" s="5">
        <f t="shared" si="7"/>
        <v>0</v>
      </c>
      <c r="BB54" s="5">
        <f t="shared" si="8"/>
        <v>0</v>
      </c>
      <c r="BC54" s="5">
        <f t="shared" si="9"/>
        <v>0</v>
      </c>
      <c r="BD54" s="5">
        <f t="shared" si="10"/>
        <v>0</v>
      </c>
      <c r="BE54" s="5">
        <f t="shared" si="11"/>
        <v>0</v>
      </c>
      <c r="BF54" s="5">
        <f t="shared" si="12"/>
        <v>0</v>
      </c>
      <c r="BG54" s="5">
        <f t="shared" si="13"/>
        <v>0</v>
      </c>
      <c r="BH54" s="5">
        <f t="shared" si="14"/>
        <v>0</v>
      </c>
      <c r="BI54" s="5">
        <f t="shared" si="15"/>
        <v>0</v>
      </c>
      <c r="BJ54" s="5">
        <f t="shared" si="16"/>
        <v>0</v>
      </c>
      <c r="BK54" s="5">
        <f t="shared" si="17"/>
        <v>0</v>
      </c>
      <c r="BL54" s="5">
        <f t="shared" si="18"/>
        <v>0</v>
      </c>
      <c r="BM54" s="5">
        <f t="shared" si="19"/>
        <v>0</v>
      </c>
      <c r="BN54" s="5">
        <f t="shared" si="20"/>
        <v>0</v>
      </c>
      <c r="BO54" s="5">
        <f t="shared" si="21"/>
        <v>0</v>
      </c>
      <c r="BP54" s="5">
        <f t="shared" si="22"/>
        <v>0</v>
      </c>
      <c r="BQ54" s="5">
        <f t="shared" si="23"/>
        <v>0</v>
      </c>
      <c r="BR54" s="5">
        <f t="shared" si="24"/>
        <v>0</v>
      </c>
      <c r="BS54" s="5">
        <f t="shared" si="25"/>
        <v>0</v>
      </c>
      <c r="BT54" s="5">
        <f t="shared" si="26"/>
        <v>0</v>
      </c>
      <c r="BU54" s="5">
        <f t="shared" si="27"/>
        <v>0</v>
      </c>
      <c r="BV54" s="5">
        <f t="shared" ref="BV54:BW54" si="438">IF(OR(ISNUMBER(SEARCH("grit",$D54)),ISNUMBER(SEARCH("grit",$T54)),ISNUMBER(SEARCH("grit",$R54)),ISNUMBER(SEARCH("grit",$S54)),
ISNUMBER(SEARCH("determination",$D54)),ISNUMBER(SEARCH("determination",$T54)),ISNUMBER(SEARCH("determination",$R54)),ISNUMBER(SEARCH("determination",$S54)),
ISNUMBER(SEARCH("tenacity",$D54)),ISNUMBER(SEARCH("tenacity",$T54)),ISNUMBER(SEARCH("tenacity",$R54)),ISNUMBER(SEARCH("tenacity",$S54)),
ISNUMBER(SEARCH("endurance",$D54)),ISNUMBER(SEARCH("endurance",$T54)),ISNUMBER(SEARCH("endurance",$R54)),ISNUMBER(SEARCH("endurance",$S54)),
ISNUMBER(SEARCH("fortitude",$D54)),ISNUMBER(SEARCH("fortitude",$T54)),ISNUMBER(SEARCH("fortitude",$R54)),ISNUMBER(SEARCH("fortitude",$S54)),
ISNUMBER(SEARCH("resolve",$D54)),ISNUMBER(SEARCH("resolve",$T54)),ISNUMBER(SEARCH("resolve",$R54)),ISNUMBER(SEARCH("resolve",$S54)),
ISNUMBER(SEARCH("stamina",$D54)),ISNUMBER(SEARCH("stamina",$T54)),ISNUMBER(SEARCH("stamina",$R54)),ISNUMBER(SEARCH("stamina",$S54)),
ISNUMBER(SEARCH("guts",$D54)),ISNUMBER(SEARCH("guts",$T54)),ISNUMBER(SEARCH("guts",$R54)),ISNUMBER(SEARCH("guts",$S54)),
ISNUMBER(SEARCH("spunk",$D54)),ISNUMBER(SEARCH("spunk",$T54)),ISNUMBER(SEARCH("spunk",$R54)),ISNUMBER(SEARCH("spunk",$S54))), 1, 0)</f>
        <v>0</v>
      </c>
      <c r="BW54" s="5">
        <f t="shared" si="438"/>
        <v>0</v>
      </c>
      <c r="BX54" s="5">
        <f t="shared" si="29"/>
        <v>0</v>
      </c>
      <c r="BY54" s="5">
        <f t="shared" si="30"/>
        <v>0</v>
      </c>
      <c r="BZ54" s="5">
        <f t="shared" si="31"/>
        <v>0</v>
      </c>
      <c r="CA54" s="5">
        <f t="shared" si="32"/>
        <v>0</v>
      </c>
      <c r="CB54" s="5">
        <f t="shared" si="33"/>
        <v>0</v>
      </c>
      <c r="CC54" s="5">
        <f t="shared" si="34"/>
        <v>0</v>
      </c>
      <c r="CD54" s="5">
        <f t="shared" si="35"/>
        <v>0</v>
      </c>
      <c r="CE54" s="5">
        <f t="shared" si="36"/>
        <v>0</v>
      </c>
      <c r="CF54" s="5">
        <f t="shared" si="37"/>
        <v>0</v>
      </c>
      <c r="CG54" s="5">
        <f t="shared" si="38"/>
        <v>0</v>
      </c>
      <c r="CH54" s="5">
        <f t="shared" si="39"/>
        <v>0</v>
      </c>
      <c r="CI54" s="5">
        <f t="shared" si="40"/>
        <v>0</v>
      </c>
      <c r="CJ54" s="5">
        <f t="shared" si="41"/>
        <v>0</v>
      </c>
      <c r="CK54" s="5">
        <f t="shared" si="42"/>
        <v>0</v>
      </c>
      <c r="CL54" s="5">
        <f t="shared" si="43"/>
        <v>0</v>
      </c>
      <c r="CM54" s="5">
        <f t="shared" si="44"/>
        <v>0</v>
      </c>
      <c r="CN54" s="5">
        <f t="shared" si="45"/>
        <v>0</v>
      </c>
      <c r="CO54" s="5">
        <f t="shared" si="46"/>
        <v>0</v>
      </c>
      <c r="CP54" s="6">
        <f t="shared" si="47"/>
        <v>0</v>
      </c>
      <c r="CQ54" s="6">
        <f t="shared" si="48"/>
        <v>0</v>
      </c>
      <c r="CR54" s="6">
        <f t="shared" si="49"/>
        <v>0</v>
      </c>
      <c r="CS54" s="6">
        <f t="shared" si="50"/>
        <v>0</v>
      </c>
      <c r="CT54" s="6">
        <f t="shared" si="51"/>
        <v>0</v>
      </c>
      <c r="CU54" s="6">
        <f t="shared" si="52"/>
        <v>0</v>
      </c>
      <c r="CV54" s="6">
        <f t="shared" si="53"/>
        <v>0</v>
      </c>
      <c r="CW54" s="6">
        <f t="shared" si="54"/>
        <v>0</v>
      </c>
      <c r="CX54" s="6">
        <f t="shared" si="55"/>
        <v>0</v>
      </c>
      <c r="CY54" s="6">
        <f t="shared" si="56"/>
        <v>0</v>
      </c>
      <c r="CZ54" s="6">
        <f t="shared" si="57"/>
        <v>0</v>
      </c>
      <c r="DA54" s="6">
        <f t="shared" si="58"/>
        <v>0</v>
      </c>
      <c r="DB54" s="6">
        <f t="shared" si="59"/>
        <v>0</v>
      </c>
      <c r="DC54" s="6">
        <f t="shared" si="60"/>
        <v>0</v>
      </c>
      <c r="DD54" s="6">
        <f t="shared" si="61"/>
        <v>0</v>
      </c>
      <c r="DE54" s="6">
        <f t="shared" si="62"/>
        <v>0</v>
      </c>
      <c r="DF54" s="6">
        <f t="shared" si="63"/>
        <v>0</v>
      </c>
      <c r="DG54" s="6">
        <f t="shared" si="64"/>
        <v>0</v>
      </c>
      <c r="DH54" s="6">
        <f t="shared" si="434"/>
        <v>0</v>
      </c>
      <c r="DI54" s="6">
        <f t="shared" si="66"/>
        <v>0</v>
      </c>
      <c r="DJ54" s="6">
        <f t="shared" si="435"/>
        <v>0</v>
      </c>
      <c r="DK54" s="7">
        <f t="shared" si="68"/>
        <v>0</v>
      </c>
      <c r="DL54" s="7">
        <f t="shared" si="411"/>
        <v>0</v>
      </c>
      <c r="DM54" s="7">
        <f t="shared" si="70"/>
        <v>0</v>
      </c>
      <c r="DN54" s="7">
        <f t="shared" si="71"/>
        <v>0</v>
      </c>
      <c r="DO54" s="7">
        <f t="shared" si="72"/>
        <v>0</v>
      </c>
      <c r="DP54" s="8">
        <f t="shared" si="73"/>
        <v>0</v>
      </c>
      <c r="DQ54" s="8">
        <f t="shared" si="74"/>
        <v>1</v>
      </c>
      <c r="DR54" s="7">
        <f t="shared" si="75"/>
        <v>0</v>
      </c>
      <c r="DS54" s="7">
        <f t="shared" si="76"/>
        <v>0</v>
      </c>
      <c r="DT54" s="7">
        <f t="shared" si="77"/>
        <v>0</v>
      </c>
      <c r="DU54" s="9">
        <f t="shared" si="78"/>
        <v>0</v>
      </c>
      <c r="DV54" s="9">
        <f t="shared" si="79"/>
        <v>0</v>
      </c>
      <c r="DW54" s="9">
        <f t="shared" si="80"/>
        <v>0</v>
      </c>
      <c r="DX54" s="9">
        <f t="shared" si="81"/>
        <v>0</v>
      </c>
      <c r="DY54" s="9">
        <f t="shared" si="82"/>
        <v>0</v>
      </c>
      <c r="DZ54" s="9">
        <f t="shared" si="83"/>
        <v>0</v>
      </c>
      <c r="EA54" s="9">
        <f t="shared" si="84"/>
        <v>0</v>
      </c>
      <c r="EB54" s="9">
        <f t="shared" si="85"/>
        <v>0</v>
      </c>
      <c r="EC54" s="9">
        <f t="shared" si="86"/>
        <v>0</v>
      </c>
      <c r="ED54" s="9">
        <f t="shared" si="87"/>
        <v>0</v>
      </c>
      <c r="EE54" s="9">
        <f t="shared" si="88"/>
        <v>0</v>
      </c>
      <c r="EF54" s="9">
        <f t="shared" si="89"/>
        <v>0</v>
      </c>
      <c r="EG54" s="9">
        <f t="shared" si="90"/>
        <v>0</v>
      </c>
      <c r="EH54" s="9">
        <f t="shared" si="91"/>
        <v>0</v>
      </c>
      <c r="EI54" s="9">
        <f t="shared" si="92"/>
        <v>0</v>
      </c>
      <c r="EJ54" s="10">
        <f t="shared" si="93"/>
        <v>0</v>
      </c>
      <c r="EK54" s="10">
        <f t="shared" si="94"/>
        <v>0</v>
      </c>
      <c r="EL54" s="10">
        <f t="shared" ref="EL54:EM54" si="439">IF(OR(ISNUMBER(SEARCH("ai software toolkit", $D54)), ISNUMBER(SEARCH("ai software toolkit", $T54)), ISNUMBER(SEARCH("ai software toolkit", $R54)), ISNUMBER(SEARCH("ai software toolkit", $S54))), 1, 0)</f>
        <v>0</v>
      </c>
      <c r="EM54" s="10">
        <f t="shared" si="439"/>
        <v>0</v>
      </c>
      <c r="EN54" s="10">
        <f t="shared" si="96"/>
        <v>0</v>
      </c>
      <c r="EO54" s="10">
        <f t="shared" si="97"/>
        <v>0</v>
      </c>
      <c r="EP54" s="10">
        <f t="shared" si="98"/>
        <v>0</v>
      </c>
      <c r="EQ54" s="10">
        <f t="shared" si="99"/>
        <v>0</v>
      </c>
      <c r="ER54" s="10">
        <f t="shared" si="100"/>
        <v>0</v>
      </c>
      <c r="ES54" s="10">
        <f t="shared" si="101"/>
        <v>0</v>
      </c>
      <c r="ET54" s="10">
        <f t="shared" si="102"/>
        <v>0</v>
      </c>
      <c r="EU54" s="10">
        <f t="shared" si="103"/>
        <v>0</v>
      </c>
      <c r="EV54" s="10">
        <f t="shared" si="104"/>
        <v>0</v>
      </c>
      <c r="EW54" s="10">
        <f t="shared" si="105"/>
        <v>0</v>
      </c>
      <c r="EX54" s="10">
        <f t="shared" si="106"/>
        <v>0</v>
      </c>
      <c r="EY54" s="10">
        <f t="shared" si="107"/>
        <v>0</v>
      </c>
      <c r="EZ54" s="10">
        <f t="shared" si="108"/>
        <v>0</v>
      </c>
      <c r="FA54" s="10">
        <f t="shared" si="109"/>
        <v>0</v>
      </c>
      <c r="FB54" s="10">
        <f t="shared" si="110"/>
        <v>0</v>
      </c>
      <c r="FC54" s="10">
        <f t="shared" si="111"/>
        <v>0</v>
      </c>
      <c r="FD54" s="10">
        <f t="shared" si="112"/>
        <v>0</v>
      </c>
      <c r="FE54" s="10">
        <f t="shared" si="113"/>
        <v>0</v>
      </c>
      <c r="FF54" s="10">
        <f t="shared" si="114"/>
        <v>0</v>
      </c>
      <c r="FG54" s="10">
        <f t="shared" si="115"/>
        <v>0</v>
      </c>
      <c r="FH54" s="10">
        <f t="shared" si="116"/>
        <v>0</v>
      </c>
      <c r="FI54" s="10">
        <f t="shared" si="117"/>
        <v>0</v>
      </c>
      <c r="FJ54" s="10">
        <f t="shared" si="118"/>
        <v>0</v>
      </c>
      <c r="FK54" s="10">
        <f t="shared" si="119"/>
        <v>0</v>
      </c>
      <c r="FL54" s="10">
        <f t="shared" si="120"/>
        <v>0</v>
      </c>
      <c r="FM54" s="10">
        <f t="shared" si="121"/>
        <v>0</v>
      </c>
      <c r="FN54" s="10">
        <f t="shared" si="122"/>
        <v>0</v>
      </c>
      <c r="FO54" s="10">
        <f t="shared" si="123"/>
        <v>0</v>
      </c>
      <c r="FP54" s="10">
        <f t="shared" si="124"/>
        <v>0</v>
      </c>
      <c r="FQ54" s="10">
        <f t="shared" si="125"/>
        <v>1</v>
      </c>
      <c r="FR54" s="11">
        <f t="shared" si="437"/>
        <v>0</v>
      </c>
      <c r="FS54" s="11">
        <f t="shared" si="127"/>
        <v>0</v>
      </c>
      <c r="FT54" s="11">
        <f t="shared" si="128"/>
        <v>0</v>
      </c>
      <c r="FU54" s="11">
        <f t="shared" si="129"/>
        <v>0</v>
      </c>
      <c r="FV54" s="11">
        <f t="shared" si="130"/>
        <v>0</v>
      </c>
      <c r="FW54" s="11">
        <f t="shared" si="131"/>
        <v>0</v>
      </c>
      <c r="FX54" s="11">
        <f t="shared" si="132"/>
        <v>0</v>
      </c>
      <c r="FY54" s="11">
        <f t="shared" si="133"/>
        <v>0</v>
      </c>
      <c r="FZ54" s="11">
        <f t="shared" si="134"/>
        <v>0</v>
      </c>
      <c r="GA54" s="11">
        <f t="shared" si="135"/>
        <v>0</v>
      </c>
      <c r="GB54" s="11">
        <f t="shared" si="136"/>
        <v>0</v>
      </c>
      <c r="GC54" s="11">
        <f t="shared" si="137"/>
        <v>0</v>
      </c>
      <c r="GD54" s="11">
        <f t="shared" si="138"/>
        <v>0</v>
      </c>
      <c r="GE54" s="11">
        <f t="shared" si="139"/>
        <v>0</v>
      </c>
      <c r="GF54" s="11">
        <f t="shared" si="140"/>
        <v>0</v>
      </c>
      <c r="GG54" s="11">
        <f t="shared" si="141"/>
        <v>0</v>
      </c>
      <c r="GH54" s="11">
        <f t="shared" si="142"/>
        <v>0</v>
      </c>
      <c r="GI54" s="11">
        <f t="shared" si="143"/>
        <v>0</v>
      </c>
      <c r="GJ54" s="11">
        <f t="shared" si="144"/>
        <v>0</v>
      </c>
      <c r="GK54" s="11">
        <f t="shared" si="145"/>
        <v>0</v>
      </c>
      <c r="GL54" s="11">
        <f t="shared" si="146"/>
        <v>0</v>
      </c>
      <c r="GM54" s="11">
        <f t="shared" si="147"/>
        <v>0</v>
      </c>
      <c r="GN54" s="11">
        <f t="shared" si="148"/>
        <v>0</v>
      </c>
      <c r="GO54" s="11">
        <f t="shared" si="149"/>
        <v>0</v>
      </c>
      <c r="GP54" s="11">
        <f t="shared" si="150"/>
        <v>0</v>
      </c>
      <c r="GQ54" s="11">
        <f t="shared" si="151"/>
        <v>0</v>
      </c>
      <c r="GR54" s="11">
        <f t="shared" si="152"/>
        <v>1</v>
      </c>
      <c r="GS54" s="11">
        <f t="shared" si="153"/>
        <v>0</v>
      </c>
      <c r="GT54" s="11">
        <f t="shared" si="154"/>
        <v>0</v>
      </c>
      <c r="GU54" s="12">
        <f t="shared" si="155"/>
        <v>0</v>
      </c>
      <c r="GV54" s="12">
        <f t="shared" si="156"/>
        <v>0</v>
      </c>
      <c r="GW54" s="12">
        <f t="shared" si="157"/>
        <v>0</v>
      </c>
      <c r="GX54" s="12">
        <f t="shared" si="158"/>
        <v>0</v>
      </c>
      <c r="GY54" s="12">
        <f t="shared" si="159"/>
        <v>0</v>
      </c>
      <c r="GZ54" s="12">
        <f t="shared" si="160"/>
        <v>0</v>
      </c>
      <c r="HA54" s="12">
        <f t="shared" si="161"/>
        <v>0</v>
      </c>
      <c r="HB54" s="12">
        <f t="shared" si="162"/>
        <v>0</v>
      </c>
      <c r="HC54" s="12">
        <f t="shared" si="163"/>
        <v>0</v>
      </c>
      <c r="HD54" s="12">
        <f t="shared" si="164"/>
        <v>0</v>
      </c>
      <c r="HE54" s="12">
        <f t="shared" si="165"/>
        <v>0</v>
      </c>
      <c r="HF54" s="12">
        <f t="shared" si="166"/>
        <v>0</v>
      </c>
      <c r="HG54" s="12">
        <f t="shared" si="167"/>
        <v>0</v>
      </c>
      <c r="HH54" s="12">
        <f t="shared" si="168"/>
        <v>0</v>
      </c>
      <c r="HI54" s="12">
        <f t="shared" si="169"/>
        <v>0</v>
      </c>
      <c r="HJ54" s="12">
        <f t="shared" si="170"/>
        <v>0</v>
      </c>
      <c r="HK54" s="12">
        <f t="shared" si="171"/>
        <v>0</v>
      </c>
      <c r="HL54" s="12">
        <f t="shared" si="172"/>
        <v>0</v>
      </c>
      <c r="HM54" s="12">
        <f t="shared" si="173"/>
        <v>0</v>
      </c>
      <c r="HN54" s="12">
        <f t="shared" si="174"/>
        <v>0</v>
      </c>
      <c r="HO54" s="12">
        <f t="shared" si="175"/>
        <v>0</v>
      </c>
      <c r="HP54" s="12">
        <f t="shared" si="176"/>
        <v>0</v>
      </c>
      <c r="HQ54" s="12">
        <f t="shared" si="177"/>
        <v>0</v>
      </c>
      <c r="HR54" s="12">
        <f t="shared" si="178"/>
        <v>0</v>
      </c>
      <c r="HS54" s="12">
        <f t="shared" si="179"/>
        <v>0</v>
      </c>
      <c r="HT54" s="12">
        <f t="shared" si="180"/>
        <v>0</v>
      </c>
      <c r="HU54" s="12">
        <f t="shared" si="181"/>
        <v>0</v>
      </c>
      <c r="HV54" s="12">
        <f t="shared" si="182"/>
        <v>0</v>
      </c>
      <c r="HW54" s="12">
        <f t="shared" si="183"/>
        <v>0</v>
      </c>
      <c r="HX54" s="12">
        <f t="shared" si="184"/>
        <v>0</v>
      </c>
      <c r="HY54" s="12">
        <f t="shared" si="185"/>
        <v>0</v>
      </c>
      <c r="HZ54" s="12">
        <f t="shared" si="186"/>
        <v>0</v>
      </c>
      <c r="IA54" s="12">
        <f t="shared" si="187"/>
        <v>0</v>
      </c>
      <c r="IB54" s="12">
        <f t="shared" si="188"/>
        <v>0</v>
      </c>
      <c r="IC54" s="12">
        <f t="shared" si="189"/>
        <v>0</v>
      </c>
      <c r="ID54" s="12">
        <f t="shared" si="190"/>
        <v>0</v>
      </c>
      <c r="IE54" s="12">
        <f t="shared" si="191"/>
        <v>0</v>
      </c>
      <c r="IF54" s="12">
        <f t="shared" si="192"/>
        <v>0</v>
      </c>
      <c r="IG54" s="12">
        <f t="shared" si="193"/>
        <v>0</v>
      </c>
      <c r="IH54" s="12">
        <f t="shared" si="194"/>
        <v>0</v>
      </c>
      <c r="II54" s="12">
        <f t="shared" si="195"/>
        <v>0</v>
      </c>
      <c r="IJ54" s="12">
        <f t="shared" si="196"/>
        <v>0</v>
      </c>
      <c r="IK54" s="12">
        <f t="shared" si="197"/>
        <v>0</v>
      </c>
      <c r="IL54" s="12">
        <f t="shared" si="198"/>
        <v>0</v>
      </c>
      <c r="IM54" s="12">
        <f t="shared" si="199"/>
        <v>0</v>
      </c>
      <c r="IN54" s="12">
        <f t="shared" si="200"/>
        <v>0</v>
      </c>
      <c r="IO54" s="12">
        <f t="shared" si="201"/>
        <v>0</v>
      </c>
      <c r="IP54" s="12">
        <f t="shared" si="202"/>
        <v>0</v>
      </c>
      <c r="IQ54" s="12">
        <f t="shared" si="203"/>
        <v>0</v>
      </c>
      <c r="IR54" s="12">
        <f t="shared" si="204"/>
        <v>0</v>
      </c>
      <c r="IS54" s="12">
        <f t="shared" si="205"/>
        <v>0</v>
      </c>
      <c r="IT54" s="12">
        <f t="shared" si="206"/>
        <v>0</v>
      </c>
      <c r="IU54" s="12">
        <f t="shared" si="207"/>
        <v>0</v>
      </c>
      <c r="IV54" s="12">
        <f t="shared" si="208"/>
        <v>0</v>
      </c>
      <c r="IW54" s="12">
        <f t="shared" si="209"/>
        <v>0</v>
      </c>
      <c r="IX54" s="12">
        <f t="shared" si="210"/>
        <v>0</v>
      </c>
      <c r="IY54" s="12">
        <f t="shared" si="211"/>
        <v>0</v>
      </c>
      <c r="IZ54" s="12">
        <f t="shared" si="212"/>
        <v>0</v>
      </c>
      <c r="JA54" s="13">
        <f t="shared" si="213"/>
        <v>0</v>
      </c>
      <c r="JB54" s="13">
        <f t="shared" si="214"/>
        <v>1</v>
      </c>
      <c r="JC54" s="13">
        <f t="shared" si="215"/>
        <v>0</v>
      </c>
      <c r="JD54" s="13">
        <f t="shared" si="216"/>
        <v>0</v>
      </c>
      <c r="JE54" s="13">
        <f t="shared" si="217"/>
        <v>0</v>
      </c>
      <c r="JF54" s="13">
        <f t="shared" si="218"/>
        <v>0</v>
      </c>
      <c r="JG54" s="13">
        <f t="shared" si="219"/>
        <v>1</v>
      </c>
      <c r="JH54" s="13">
        <f t="shared" si="220"/>
        <v>0</v>
      </c>
      <c r="JI54" s="13">
        <f t="shared" si="221"/>
        <v>0</v>
      </c>
      <c r="JJ54" s="13">
        <f t="shared" si="222"/>
        <v>0</v>
      </c>
      <c r="JK54" s="13">
        <f t="shared" si="223"/>
        <v>0</v>
      </c>
      <c r="JL54" s="13">
        <f t="shared" si="224"/>
        <v>0</v>
      </c>
      <c r="JM54" s="13">
        <f t="shared" si="225"/>
        <v>0</v>
      </c>
      <c r="JN54" s="13">
        <f t="shared" si="226"/>
        <v>0</v>
      </c>
      <c r="JO54" s="13">
        <f t="shared" si="227"/>
        <v>0</v>
      </c>
      <c r="JP54" s="13">
        <f t="shared" si="228"/>
        <v>0</v>
      </c>
      <c r="JQ54" s="13">
        <f t="shared" si="229"/>
        <v>0</v>
      </c>
      <c r="JR54" s="13">
        <f t="shared" si="230"/>
        <v>0</v>
      </c>
      <c r="JS54" s="13">
        <f t="shared" si="231"/>
        <v>0</v>
      </c>
      <c r="JT54" s="13">
        <f t="shared" si="232"/>
        <v>0</v>
      </c>
      <c r="JU54" s="13">
        <f t="shared" si="233"/>
        <v>0</v>
      </c>
      <c r="JV54" s="12">
        <f t="shared" si="234"/>
        <v>0</v>
      </c>
      <c r="JW54" s="12">
        <f t="shared" si="235"/>
        <v>0</v>
      </c>
      <c r="JX54" s="12">
        <f t="shared" si="236"/>
        <v>0</v>
      </c>
      <c r="JY54" s="12">
        <f t="shared" si="237"/>
        <v>0</v>
      </c>
      <c r="JZ54" s="12">
        <f t="shared" si="238"/>
        <v>0</v>
      </c>
      <c r="KA54" s="12">
        <f t="shared" si="239"/>
        <v>0</v>
      </c>
      <c r="KB54" s="12">
        <f t="shared" si="240"/>
        <v>0</v>
      </c>
      <c r="KC54" s="12">
        <f t="shared" si="241"/>
        <v>0</v>
      </c>
      <c r="KD54" s="12">
        <f t="shared" si="242"/>
        <v>0</v>
      </c>
      <c r="KE54" s="12">
        <f t="shared" si="243"/>
        <v>0</v>
      </c>
      <c r="KF54" s="12">
        <f t="shared" si="244"/>
        <v>0</v>
      </c>
      <c r="KG54" s="12">
        <f t="shared" si="245"/>
        <v>0</v>
      </c>
      <c r="KH54" s="12">
        <f t="shared" si="246"/>
        <v>0</v>
      </c>
      <c r="KI54" s="12">
        <f t="shared" si="247"/>
        <v>0</v>
      </c>
      <c r="KJ54" s="12">
        <f t="shared" si="248"/>
        <v>0</v>
      </c>
      <c r="KK54" s="12">
        <f t="shared" si="249"/>
        <v>0</v>
      </c>
      <c r="KL54" s="12">
        <f t="shared" si="250"/>
        <v>0</v>
      </c>
      <c r="KM54" s="12">
        <f t="shared" si="251"/>
        <v>0</v>
      </c>
      <c r="KN54" s="12">
        <f t="shared" si="252"/>
        <v>0</v>
      </c>
      <c r="KO54" s="12">
        <f t="shared" si="253"/>
        <v>0</v>
      </c>
      <c r="KP54" s="12">
        <f t="shared" si="254"/>
        <v>0</v>
      </c>
      <c r="KQ54" s="12">
        <f t="shared" si="255"/>
        <v>0</v>
      </c>
      <c r="KR54" s="12">
        <f t="shared" si="256"/>
        <v>0</v>
      </c>
      <c r="KS54" s="12">
        <f t="shared" si="257"/>
        <v>0</v>
      </c>
      <c r="KT54" s="12">
        <f t="shared" si="258"/>
        <v>0</v>
      </c>
      <c r="KU54" s="12">
        <f t="shared" si="259"/>
        <v>0</v>
      </c>
      <c r="KV54" s="12">
        <f t="shared" si="260"/>
        <v>0</v>
      </c>
      <c r="KW54" s="12">
        <f t="shared" si="261"/>
        <v>0</v>
      </c>
      <c r="KX54" s="12">
        <f t="shared" si="262"/>
        <v>0</v>
      </c>
      <c r="KY54" s="12">
        <f t="shared" si="263"/>
        <v>0</v>
      </c>
      <c r="KZ54" s="12">
        <f t="shared" si="264"/>
        <v>0</v>
      </c>
      <c r="LA54" s="12">
        <f t="shared" si="265"/>
        <v>0</v>
      </c>
      <c r="LB54" s="12">
        <f t="shared" si="266"/>
        <v>0</v>
      </c>
      <c r="LC54" s="12">
        <f t="shared" si="267"/>
        <v>0</v>
      </c>
      <c r="LD54" s="12">
        <f t="shared" si="268"/>
        <v>0</v>
      </c>
      <c r="LE54" s="12">
        <f t="shared" si="269"/>
        <v>0</v>
      </c>
      <c r="LF54" s="12">
        <f t="shared" si="270"/>
        <v>0</v>
      </c>
      <c r="LG54" s="12">
        <f t="shared" si="271"/>
        <v>0</v>
      </c>
      <c r="LH54" s="12">
        <f t="shared" si="272"/>
        <v>0</v>
      </c>
      <c r="LI54" s="12">
        <f t="shared" si="273"/>
        <v>0</v>
      </c>
      <c r="LJ54" s="12">
        <f t="shared" si="274"/>
        <v>0</v>
      </c>
      <c r="LK54" s="12">
        <f t="shared" si="275"/>
        <v>0</v>
      </c>
      <c r="LL54" s="12">
        <f t="shared" si="276"/>
        <v>0</v>
      </c>
      <c r="LM54" s="12">
        <f t="shared" si="277"/>
        <v>0</v>
      </c>
      <c r="LN54" s="12">
        <f t="shared" si="278"/>
        <v>0</v>
      </c>
      <c r="LO54" s="12">
        <f t="shared" si="279"/>
        <v>0</v>
      </c>
      <c r="LP54" s="12">
        <f t="shared" si="280"/>
        <v>0</v>
      </c>
      <c r="LQ54" s="12">
        <f t="shared" si="281"/>
        <v>0</v>
      </c>
      <c r="LR54" s="12">
        <f t="shared" si="282"/>
        <v>0</v>
      </c>
      <c r="LS54" s="12">
        <f t="shared" si="283"/>
        <v>0</v>
      </c>
      <c r="LT54" s="13">
        <f t="shared" si="284"/>
        <v>0</v>
      </c>
      <c r="LU54" s="13">
        <f t="shared" si="285"/>
        <v>0</v>
      </c>
      <c r="LV54" s="13">
        <f t="shared" si="286"/>
        <v>0</v>
      </c>
      <c r="LW54" s="13">
        <f t="shared" si="287"/>
        <v>0</v>
      </c>
      <c r="LX54" s="13">
        <f t="shared" si="288"/>
        <v>0</v>
      </c>
      <c r="LY54" s="13">
        <f t="shared" si="289"/>
        <v>0</v>
      </c>
      <c r="LZ54" s="13">
        <f t="shared" si="290"/>
        <v>0</v>
      </c>
      <c r="MA54" s="13">
        <f t="shared" si="291"/>
        <v>0</v>
      </c>
      <c r="MB54" s="13">
        <f t="shared" si="292"/>
        <v>0</v>
      </c>
      <c r="MC54" s="13">
        <f t="shared" si="293"/>
        <v>0</v>
      </c>
      <c r="MD54" s="13">
        <f t="shared" si="294"/>
        <v>0</v>
      </c>
      <c r="ME54" s="13">
        <f t="shared" si="295"/>
        <v>0</v>
      </c>
      <c r="MF54" s="13">
        <f t="shared" si="296"/>
        <v>0</v>
      </c>
      <c r="MG54" s="13">
        <f t="shared" si="297"/>
        <v>0</v>
      </c>
      <c r="MH54" s="13">
        <f t="shared" si="298"/>
        <v>0</v>
      </c>
      <c r="MI54" s="13">
        <f t="shared" si="299"/>
        <v>0</v>
      </c>
      <c r="MJ54" s="13">
        <f t="shared" si="300"/>
        <v>0</v>
      </c>
      <c r="MK54" s="13">
        <f t="shared" si="301"/>
        <v>0</v>
      </c>
      <c r="ML54" s="14">
        <f t="shared" si="302"/>
        <v>0</v>
      </c>
      <c r="MM54" s="14">
        <f t="shared" si="303"/>
        <v>0</v>
      </c>
      <c r="MN54" s="14">
        <f t="shared" si="304"/>
        <v>0</v>
      </c>
      <c r="MO54" s="14">
        <f t="shared" si="305"/>
        <v>0</v>
      </c>
      <c r="MP54" s="14">
        <f t="shared" si="306"/>
        <v>0</v>
      </c>
      <c r="MQ54" s="14">
        <f t="shared" si="307"/>
        <v>0</v>
      </c>
      <c r="MR54" s="14">
        <f t="shared" si="308"/>
        <v>0</v>
      </c>
      <c r="MS54" s="14">
        <f t="shared" si="309"/>
        <v>0</v>
      </c>
      <c r="MT54" s="14">
        <f t="shared" si="310"/>
        <v>0</v>
      </c>
      <c r="MU54" s="14">
        <f t="shared" si="311"/>
        <v>0</v>
      </c>
      <c r="MV54" s="14">
        <f t="shared" si="312"/>
        <v>0</v>
      </c>
      <c r="MW54" s="14">
        <f t="shared" si="313"/>
        <v>0</v>
      </c>
      <c r="MX54" s="14">
        <f t="shared" si="314"/>
        <v>0</v>
      </c>
      <c r="MY54" s="14">
        <f t="shared" si="315"/>
        <v>0</v>
      </c>
      <c r="MZ54" s="14">
        <f t="shared" si="316"/>
        <v>0</v>
      </c>
      <c r="NA54" s="14">
        <f t="shared" si="317"/>
        <v>0</v>
      </c>
      <c r="NB54" s="14">
        <f t="shared" si="318"/>
        <v>0</v>
      </c>
    </row>
    <row r="55" ht="15.75" customHeight="1">
      <c r="A55" s="2">
        <v>109.0</v>
      </c>
      <c r="B55" s="2" t="s">
        <v>1326</v>
      </c>
      <c r="C55" s="2" t="s">
        <v>1327</v>
      </c>
      <c r="D55" s="2" t="s">
        <v>1328</v>
      </c>
      <c r="E55" s="2">
        <v>2021.0</v>
      </c>
      <c r="F55" s="2" t="s">
        <v>1329</v>
      </c>
      <c r="G55" s="2" t="s">
        <v>1126</v>
      </c>
      <c r="I55" s="2" t="s">
        <v>1330</v>
      </c>
      <c r="M55" s="2">
        <v>25.0</v>
      </c>
      <c r="N55" s="2" t="s">
        <v>1331</v>
      </c>
      <c r="O55" s="2" t="s">
        <v>1332</v>
      </c>
      <c r="P55" s="2" t="s">
        <v>1333</v>
      </c>
      <c r="Q55" s="2" t="s">
        <v>1334</v>
      </c>
      <c r="R55" s="2" t="s">
        <v>1335</v>
      </c>
      <c r="S55" s="2" t="s">
        <v>1336</v>
      </c>
      <c r="T55" s="2" t="s">
        <v>1337</v>
      </c>
      <c r="Y55" s="2" t="s">
        <v>1338</v>
      </c>
      <c r="AB55" s="2" t="s">
        <v>862</v>
      </c>
      <c r="AG55" s="2" t="s">
        <v>1339</v>
      </c>
      <c r="AI55" s="2" t="s">
        <v>1340</v>
      </c>
      <c r="AK55" s="2" t="s">
        <v>1341</v>
      </c>
      <c r="AL55" s="2" t="s">
        <v>384</v>
      </c>
      <c r="AM55" s="2" t="s">
        <v>650</v>
      </c>
      <c r="AN55" s="2" t="s">
        <v>386</v>
      </c>
      <c r="AO55" s="2" t="s">
        <v>1342</v>
      </c>
      <c r="AP55" s="2" t="s">
        <v>386</v>
      </c>
      <c r="AQ55" s="2">
        <v>364.0</v>
      </c>
      <c r="AR55" s="2" t="s">
        <v>1343</v>
      </c>
      <c r="AS55" s="2" t="b">
        <v>1</v>
      </c>
      <c r="AT55" s="3">
        <v>0.0</v>
      </c>
      <c r="AU55" s="4"/>
      <c r="AV55" s="4">
        <v>1.0</v>
      </c>
      <c r="AW55" s="5">
        <f t="shared" si="432"/>
        <v>0</v>
      </c>
      <c r="AX55" s="5">
        <f t="shared" si="4"/>
        <v>0</v>
      </c>
      <c r="AY55" s="5">
        <f t="shared" si="5"/>
        <v>0</v>
      </c>
      <c r="AZ55" s="5">
        <f t="shared" si="6"/>
        <v>0</v>
      </c>
      <c r="BA55" s="5">
        <f t="shared" si="7"/>
        <v>0</v>
      </c>
      <c r="BB55" s="5">
        <f t="shared" si="8"/>
        <v>0</v>
      </c>
      <c r="BC55" s="5">
        <f t="shared" si="9"/>
        <v>0</v>
      </c>
      <c r="BD55" s="5">
        <f t="shared" si="10"/>
        <v>0</v>
      </c>
      <c r="BE55" s="5">
        <f t="shared" si="11"/>
        <v>0</v>
      </c>
      <c r="BF55" s="5">
        <f t="shared" si="12"/>
        <v>0</v>
      </c>
      <c r="BG55" s="5">
        <f t="shared" si="13"/>
        <v>0</v>
      </c>
      <c r="BH55" s="5">
        <f t="shared" si="14"/>
        <v>0</v>
      </c>
      <c r="BI55" s="5">
        <f t="shared" si="15"/>
        <v>0</v>
      </c>
      <c r="BJ55" s="5">
        <f t="shared" si="16"/>
        <v>0</v>
      </c>
      <c r="BK55" s="5">
        <f t="shared" si="17"/>
        <v>0</v>
      </c>
      <c r="BL55" s="5">
        <f t="shared" si="18"/>
        <v>0</v>
      </c>
      <c r="BM55" s="5">
        <f t="shared" si="19"/>
        <v>0</v>
      </c>
      <c r="BN55" s="5">
        <f t="shared" si="20"/>
        <v>0</v>
      </c>
      <c r="BO55" s="5">
        <f t="shared" si="21"/>
        <v>0</v>
      </c>
      <c r="BP55" s="5">
        <f t="shared" si="22"/>
        <v>0</v>
      </c>
      <c r="BQ55" s="5">
        <f t="shared" si="23"/>
        <v>0</v>
      </c>
      <c r="BR55" s="5">
        <f t="shared" si="24"/>
        <v>0</v>
      </c>
      <c r="BS55" s="5">
        <f t="shared" si="25"/>
        <v>0</v>
      </c>
      <c r="BT55" s="5">
        <f t="shared" si="26"/>
        <v>0</v>
      </c>
      <c r="BU55" s="5">
        <f t="shared" si="27"/>
        <v>0</v>
      </c>
      <c r="BV55" s="5">
        <f t="shared" ref="BV55:BW55" si="440">IF(OR(ISNUMBER(SEARCH("grit",$D55)),ISNUMBER(SEARCH("grit",$T55)),ISNUMBER(SEARCH("grit",$R55)),ISNUMBER(SEARCH("grit",$S55)),
ISNUMBER(SEARCH("determination",$D55)),ISNUMBER(SEARCH("determination",$T55)),ISNUMBER(SEARCH("determination",$R55)),ISNUMBER(SEARCH("determination",$S55)),
ISNUMBER(SEARCH("tenacity",$D55)),ISNUMBER(SEARCH("tenacity",$T55)),ISNUMBER(SEARCH("tenacity",$R55)),ISNUMBER(SEARCH("tenacity",$S55)),
ISNUMBER(SEARCH("endurance",$D55)),ISNUMBER(SEARCH("endurance",$T55)),ISNUMBER(SEARCH("endurance",$R55)),ISNUMBER(SEARCH("endurance",$S55)),
ISNUMBER(SEARCH("fortitude",$D55)),ISNUMBER(SEARCH("fortitude",$T55)),ISNUMBER(SEARCH("fortitude",$R55)),ISNUMBER(SEARCH("fortitude",$S55)),
ISNUMBER(SEARCH("resolve",$D55)),ISNUMBER(SEARCH("resolve",$T55)),ISNUMBER(SEARCH("resolve",$R55)),ISNUMBER(SEARCH("resolve",$S55)),
ISNUMBER(SEARCH("stamina",$D55)),ISNUMBER(SEARCH("stamina",$T55)),ISNUMBER(SEARCH("stamina",$R55)),ISNUMBER(SEARCH("stamina",$S55)),
ISNUMBER(SEARCH("guts",$D55)),ISNUMBER(SEARCH("guts",$T55)),ISNUMBER(SEARCH("guts",$R55)),ISNUMBER(SEARCH("guts",$S55)),
ISNUMBER(SEARCH("spunk",$D55)),ISNUMBER(SEARCH("spunk",$T55)),ISNUMBER(SEARCH("spunk",$R55)),ISNUMBER(SEARCH("spunk",$S55))), 1, 0)</f>
        <v>0</v>
      </c>
      <c r="BW55" s="5">
        <f t="shared" si="440"/>
        <v>0</v>
      </c>
      <c r="BX55" s="5">
        <f t="shared" si="29"/>
        <v>0</v>
      </c>
      <c r="BY55" s="5">
        <f t="shared" si="30"/>
        <v>0</v>
      </c>
      <c r="BZ55" s="5">
        <f t="shared" si="31"/>
        <v>0</v>
      </c>
      <c r="CA55" s="5">
        <f t="shared" si="32"/>
        <v>0</v>
      </c>
      <c r="CB55" s="5">
        <f t="shared" si="33"/>
        <v>0</v>
      </c>
      <c r="CC55" s="5">
        <f t="shared" si="34"/>
        <v>0</v>
      </c>
      <c r="CD55" s="5">
        <f t="shared" si="35"/>
        <v>0</v>
      </c>
      <c r="CE55" s="5">
        <f t="shared" si="36"/>
        <v>0</v>
      </c>
      <c r="CF55" s="5">
        <f t="shared" si="37"/>
        <v>0</v>
      </c>
      <c r="CG55" s="5">
        <f t="shared" si="38"/>
        <v>0</v>
      </c>
      <c r="CH55" s="5">
        <f t="shared" si="39"/>
        <v>0</v>
      </c>
      <c r="CI55" s="5">
        <f t="shared" si="40"/>
        <v>0</v>
      </c>
      <c r="CJ55" s="5">
        <f t="shared" si="41"/>
        <v>0</v>
      </c>
      <c r="CK55" s="5">
        <f t="shared" si="42"/>
        <v>0</v>
      </c>
      <c r="CL55" s="5">
        <f t="shared" si="43"/>
        <v>0</v>
      </c>
      <c r="CM55" s="5">
        <f t="shared" si="44"/>
        <v>0</v>
      </c>
      <c r="CN55" s="5">
        <f t="shared" si="45"/>
        <v>0</v>
      </c>
      <c r="CO55" s="5">
        <f t="shared" si="46"/>
        <v>0</v>
      </c>
      <c r="CP55" s="6">
        <f t="shared" si="47"/>
        <v>0</v>
      </c>
      <c r="CQ55" s="6">
        <f t="shared" si="48"/>
        <v>0</v>
      </c>
      <c r="CR55" s="6">
        <f t="shared" si="49"/>
        <v>0</v>
      </c>
      <c r="CS55" s="6">
        <f t="shared" si="50"/>
        <v>0</v>
      </c>
      <c r="CT55" s="6">
        <f t="shared" si="51"/>
        <v>0</v>
      </c>
      <c r="CU55" s="6">
        <f t="shared" si="52"/>
        <v>0</v>
      </c>
      <c r="CV55" s="6">
        <f t="shared" si="53"/>
        <v>0</v>
      </c>
      <c r="CW55" s="6">
        <f t="shared" si="54"/>
        <v>0</v>
      </c>
      <c r="CX55" s="6">
        <f t="shared" si="55"/>
        <v>0</v>
      </c>
      <c r="CY55" s="6">
        <f t="shared" si="56"/>
        <v>0</v>
      </c>
      <c r="CZ55" s="6">
        <f t="shared" si="57"/>
        <v>0</v>
      </c>
      <c r="DA55" s="6">
        <f t="shared" si="58"/>
        <v>0</v>
      </c>
      <c r="DB55" s="6">
        <f t="shared" si="59"/>
        <v>0</v>
      </c>
      <c r="DC55" s="6">
        <f t="shared" si="60"/>
        <v>0</v>
      </c>
      <c r="DD55" s="6">
        <f t="shared" si="61"/>
        <v>0</v>
      </c>
      <c r="DE55" s="6">
        <f t="shared" si="62"/>
        <v>0</v>
      </c>
      <c r="DF55" s="6">
        <f t="shared" si="63"/>
        <v>0</v>
      </c>
      <c r="DG55" s="6">
        <f t="shared" si="64"/>
        <v>0</v>
      </c>
      <c r="DH55" s="6">
        <f t="shared" si="434"/>
        <v>0</v>
      </c>
      <c r="DI55" s="6">
        <f t="shared" si="66"/>
        <v>0</v>
      </c>
      <c r="DJ55" s="6">
        <f t="shared" si="435"/>
        <v>0</v>
      </c>
      <c r="DK55" s="7">
        <f t="shared" si="68"/>
        <v>0</v>
      </c>
      <c r="DL55" s="7">
        <f t="shared" si="411"/>
        <v>0</v>
      </c>
      <c r="DM55" s="7">
        <f t="shared" si="70"/>
        <v>0</v>
      </c>
      <c r="DN55" s="7">
        <f t="shared" si="71"/>
        <v>0</v>
      </c>
      <c r="DO55" s="7">
        <f t="shared" si="72"/>
        <v>0</v>
      </c>
      <c r="DP55" s="8">
        <f t="shared" si="73"/>
        <v>0</v>
      </c>
      <c r="DQ55" s="8">
        <f t="shared" si="74"/>
        <v>0</v>
      </c>
      <c r="DR55" s="7">
        <f t="shared" si="75"/>
        <v>0</v>
      </c>
      <c r="DS55" s="7">
        <f t="shared" si="76"/>
        <v>0</v>
      </c>
      <c r="DT55" s="7">
        <f t="shared" si="77"/>
        <v>0</v>
      </c>
      <c r="DU55" s="9">
        <f t="shared" si="78"/>
        <v>0</v>
      </c>
      <c r="DV55" s="9">
        <f t="shared" si="79"/>
        <v>0</v>
      </c>
      <c r="DW55" s="9">
        <f t="shared" si="80"/>
        <v>0</v>
      </c>
      <c r="DX55" s="9">
        <f t="shared" si="81"/>
        <v>0</v>
      </c>
      <c r="DY55" s="9">
        <f t="shared" si="82"/>
        <v>0</v>
      </c>
      <c r="DZ55" s="9">
        <f t="shared" si="83"/>
        <v>0</v>
      </c>
      <c r="EA55" s="9">
        <f t="shared" si="84"/>
        <v>0</v>
      </c>
      <c r="EB55" s="9">
        <f t="shared" si="85"/>
        <v>0</v>
      </c>
      <c r="EC55" s="9">
        <f t="shared" si="86"/>
        <v>0</v>
      </c>
      <c r="ED55" s="9">
        <f t="shared" si="87"/>
        <v>0</v>
      </c>
      <c r="EE55" s="9">
        <f t="shared" si="88"/>
        <v>0</v>
      </c>
      <c r="EF55" s="9">
        <f t="shared" si="89"/>
        <v>0</v>
      </c>
      <c r="EG55" s="9">
        <f t="shared" si="90"/>
        <v>0</v>
      </c>
      <c r="EH55" s="9">
        <f t="shared" si="91"/>
        <v>0</v>
      </c>
      <c r="EI55" s="9">
        <f t="shared" si="92"/>
        <v>0</v>
      </c>
      <c r="EJ55" s="10">
        <f t="shared" si="93"/>
        <v>0</v>
      </c>
      <c r="EK55" s="10">
        <f t="shared" si="94"/>
        <v>0</v>
      </c>
      <c r="EL55" s="10">
        <f t="shared" ref="EL55:EM55" si="441">IF(OR(ISNUMBER(SEARCH("ai software toolkit", $D55)), ISNUMBER(SEARCH("ai software toolkit", $T55)), ISNUMBER(SEARCH("ai software toolkit", $R55)), ISNUMBER(SEARCH("ai software toolkit", $S55))), 1, 0)</f>
        <v>0</v>
      </c>
      <c r="EM55" s="10">
        <f t="shared" si="441"/>
        <v>0</v>
      </c>
      <c r="EN55" s="10">
        <f t="shared" si="96"/>
        <v>0</v>
      </c>
      <c r="EO55" s="10">
        <f t="shared" si="97"/>
        <v>0</v>
      </c>
      <c r="EP55" s="10">
        <f t="shared" si="98"/>
        <v>0</v>
      </c>
      <c r="EQ55" s="10">
        <f t="shared" si="99"/>
        <v>0</v>
      </c>
      <c r="ER55" s="10">
        <f t="shared" si="100"/>
        <v>0</v>
      </c>
      <c r="ES55" s="10">
        <f t="shared" si="101"/>
        <v>0</v>
      </c>
      <c r="ET55" s="10">
        <f t="shared" si="102"/>
        <v>0</v>
      </c>
      <c r="EU55" s="10">
        <f t="shared" si="103"/>
        <v>0</v>
      </c>
      <c r="EV55" s="10">
        <f t="shared" si="104"/>
        <v>0</v>
      </c>
      <c r="EW55" s="10">
        <f t="shared" si="105"/>
        <v>0</v>
      </c>
      <c r="EX55" s="10">
        <f t="shared" si="106"/>
        <v>0</v>
      </c>
      <c r="EY55" s="10">
        <f t="shared" si="107"/>
        <v>0</v>
      </c>
      <c r="EZ55" s="10">
        <f t="shared" si="108"/>
        <v>0</v>
      </c>
      <c r="FA55" s="10">
        <f t="shared" si="109"/>
        <v>0</v>
      </c>
      <c r="FB55" s="10">
        <f t="shared" si="110"/>
        <v>0</v>
      </c>
      <c r="FC55" s="10">
        <f t="shared" si="111"/>
        <v>0</v>
      </c>
      <c r="FD55" s="10">
        <f t="shared" si="112"/>
        <v>0</v>
      </c>
      <c r="FE55" s="10">
        <f t="shared" si="113"/>
        <v>1</v>
      </c>
      <c r="FF55" s="10">
        <f t="shared" si="114"/>
        <v>0</v>
      </c>
      <c r="FG55" s="10">
        <f t="shared" si="115"/>
        <v>0</v>
      </c>
      <c r="FH55" s="10">
        <f t="shared" si="116"/>
        <v>0</v>
      </c>
      <c r="FI55" s="10">
        <f t="shared" si="117"/>
        <v>0</v>
      </c>
      <c r="FJ55" s="10">
        <f t="shared" si="118"/>
        <v>0</v>
      </c>
      <c r="FK55" s="10">
        <f t="shared" si="119"/>
        <v>0</v>
      </c>
      <c r="FL55" s="10">
        <f t="shared" si="120"/>
        <v>0</v>
      </c>
      <c r="FM55" s="10">
        <f t="shared" si="121"/>
        <v>0</v>
      </c>
      <c r="FN55" s="10">
        <f t="shared" si="122"/>
        <v>0</v>
      </c>
      <c r="FO55" s="10">
        <f t="shared" si="123"/>
        <v>0</v>
      </c>
      <c r="FP55" s="10">
        <f t="shared" si="124"/>
        <v>0</v>
      </c>
      <c r="FQ55" s="10">
        <f t="shared" si="125"/>
        <v>1</v>
      </c>
      <c r="FR55" s="11">
        <f t="shared" si="437"/>
        <v>0</v>
      </c>
      <c r="FS55" s="11">
        <f t="shared" si="127"/>
        <v>0</v>
      </c>
      <c r="FT55" s="11">
        <f t="shared" si="128"/>
        <v>0</v>
      </c>
      <c r="FU55" s="11">
        <f t="shared" si="129"/>
        <v>0</v>
      </c>
      <c r="FV55" s="11">
        <f t="shared" si="130"/>
        <v>0</v>
      </c>
      <c r="FW55" s="11">
        <f t="shared" si="131"/>
        <v>0</v>
      </c>
      <c r="FX55" s="11">
        <f t="shared" si="132"/>
        <v>0</v>
      </c>
      <c r="FY55" s="11">
        <f t="shared" si="133"/>
        <v>0</v>
      </c>
      <c r="FZ55" s="11">
        <f t="shared" si="134"/>
        <v>0</v>
      </c>
      <c r="GA55" s="11">
        <f t="shared" si="135"/>
        <v>0</v>
      </c>
      <c r="GB55" s="11">
        <f t="shared" si="136"/>
        <v>0</v>
      </c>
      <c r="GC55" s="11">
        <f t="shared" si="137"/>
        <v>0</v>
      </c>
      <c r="GD55" s="11">
        <f t="shared" si="138"/>
        <v>0</v>
      </c>
      <c r="GE55" s="11">
        <f t="shared" si="139"/>
        <v>0</v>
      </c>
      <c r="GF55" s="11">
        <f t="shared" si="140"/>
        <v>0</v>
      </c>
      <c r="GG55" s="11">
        <f t="shared" si="141"/>
        <v>0</v>
      </c>
      <c r="GH55" s="11">
        <f t="shared" si="142"/>
        <v>0</v>
      </c>
      <c r="GI55" s="11">
        <f t="shared" si="143"/>
        <v>0</v>
      </c>
      <c r="GJ55" s="11">
        <f t="shared" si="144"/>
        <v>0</v>
      </c>
      <c r="GK55" s="11">
        <f t="shared" si="145"/>
        <v>0</v>
      </c>
      <c r="GL55" s="11">
        <f t="shared" si="146"/>
        <v>0</v>
      </c>
      <c r="GM55" s="11">
        <f t="shared" si="147"/>
        <v>0</v>
      </c>
      <c r="GN55" s="11">
        <f t="shared" si="148"/>
        <v>0</v>
      </c>
      <c r="GO55" s="11">
        <f t="shared" si="149"/>
        <v>0</v>
      </c>
      <c r="GP55" s="11">
        <f t="shared" si="150"/>
        <v>0</v>
      </c>
      <c r="GQ55" s="11">
        <f t="shared" si="151"/>
        <v>0</v>
      </c>
      <c r="GR55" s="11">
        <f t="shared" si="152"/>
        <v>1</v>
      </c>
      <c r="GS55" s="11">
        <f t="shared" si="153"/>
        <v>0</v>
      </c>
      <c r="GT55" s="11">
        <f t="shared" si="154"/>
        <v>0</v>
      </c>
      <c r="GU55" s="12">
        <f t="shared" si="155"/>
        <v>0</v>
      </c>
      <c r="GV55" s="12">
        <f t="shared" si="156"/>
        <v>0</v>
      </c>
      <c r="GW55" s="12">
        <f t="shared" si="157"/>
        <v>0</v>
      </c>
      <c r="GX55" s="12">
        <f t="shared" si="158"/>
        <v>0</v>
      </c>
      <c r="GY55" s="12">
        <f t="shared" si="159"/>
        <v>0</v>
      </c>
      <c r="GZ55" s="12">
        <f t="shared" si="160"/>
        <v>0</v>
      </c>
      <c r="HA55" s="12">
        <f t="shared" si="161"/>
        <v>0</v>
      </c>
      <c r="HB55" s="12">
        <f t="shared" si="162"/>
        <v>0</v>
      </c>
      <c r="HC55" s="12">
        <f t="shared" si="163"/>
        <v>0</v>
      </c>
      <c r="HD55" s="12">
        <f t="shared" si="164"/>
        <v>0</v>
      </c>
      <c r="HE55" s="12">
        <f t="shared" si="165"/>
        <v>0</v>
      </c>
      <c r="HF55" s="12">
        <f t="shared" si="166"/>
        <v>0</v>
      </c>
      <c r="HG55" s="12">
        <f t="shared" si="167"/>
        <v>0</v>
      </c>
      <c r="HH55" s="12">
        <f t="shared" si="168"/>
        <v>0</v>
      </c>
      <c r="HI55" s="12">
        <f t="shared" si="169"/>
        <v>0</v>
      </c>
      <c r="HJ55" s="12">
        <f t="shared" si="170"/>
        <v>0</v>
      </c>
      <c r="HK55" s="12">
        <f t="shared" si="171"/>
        <v>0</v>
      </c>
      <c r="HL55" s="12">
        <f t="shared" si="172"/>
        <v>0</v>
      </c>
      <c r="HM55" s="12">
        <f t="shared" si="173"/>
        <v>0</v>
      </c>
      <c r="HN55" s="12">
        <f t="shared" si="174"/>
        <v>0</v>
      </c>
      <c r="HO55" s="12">
        <f t="shared" si="175"/>
        <v>0</v>
      </c>
      <c r="HP55" s="12">
        <f t="shared" si="176"/>
        <v>0</v>
      </c>
      <c r="HQ55" s="12">
        <f t="shared" si="177"/>
        <v>0</v>
      </c>
      <c r="HR55" s="12">
        <f t="shared" si="178"/>
        <v>0</v>
      </c>
      <c r="HS55" s="12">
        <f t="shared" si="179"/>
        <v>0</v>
      </c>
      <c r="HT55" s="12">
        <f t="shared" si="180"/>
        <v>0</v>
      </c>
      <c r="HU55" s="12">
        <f t="shared" si="181"/>
        <v>0</v>
      </c>
      <c r="HV55" s="12">
        <f t="shared" si="182"/>
        <v>0</v>
      </c>
      <c r="HW55" s="12">
        <f t="shared" si="183"/>
        <v>0</v>
      </c>
      <c r="HX55" s="12">
        <f t="shared" si="184"/>
        <v>0</v>
      </c>
      <c r="HY55" s="12">
        <f t="shared" si="185"/>
        <v>0</v>
      </c>
      <c r="HZ55" s="12">
        <f t="shared" si="186"/>
        <v>0</v>
      </c>
      <c r="IA55" s="12">
        <f t="shared" si="187"/>
        <v>0</v>
      </c>
      <c r="IB55" s="12">
        <f t="shared" si="188"/>
        <v>0</v>
      </c>
      <c r="IC55" s="12">
        <f t="shared" si="189"/>
        <v>0</v>
      </c>
      <c r="ID55" s="12">
        <f t="shared" si="190"/>
        <v>0</v>
      </c>
      <c r="IE55" s="12">
        <f t="shared" si="191"/>
        <v>0</v>
      </c>
      <c r="IF55" s="12">
        <f t="shared" si="192"/>
        <v>0</v>
      </c>
      <c r="IG55" s="12">
        <f t="shared" si="193"/>
        <v>0</v>
      </c>
      <c r="IH55" s="12">
        <f t="shared" si="194"/>
        <v>0</v>
      </c>
      <c r="II55" s="12">
        <f t="shared" si="195"/>
        <v>0</v>
      </c>
      <c r="IJ55" s="12">
        <f t="shared" si="196"/>
        <v>0</v>
      </c>
      <c r="IK55" s="12">
        <f t="shared" si="197"/>
        <v>0</v>
      </c>
      <c r="IL55" s="12">
        <f t="shared" si="198"/>
        <v>0</v>
      </c>
      <c r="IM55" s="12">
        <f t="shared" si="199"/>
        <v>0</v>
      </c>
      <c r="IN55" s="12">
        <f t="shared" si="200"/>
        <v>0</v>
      </c>
      <c r="IO55" s="12">
        <f t="shared" si="201"/>
        <v>0</v>
      </c>
      <c r="IP55" s="12">
        <f t="shared" si="202"/>
        <v>0</v>
      </c>
      <c r="IQ55" s="12">
        <f t="shared" si="203"/>
        <v>0</v>
      </c>
      <c r="IR55" s="12">
        <f t="shared" si="204"/>
        <v>0</v>
      </c>
      <c r="IS55" s="12">
        <f t="shared" si="205"/>
        <v>0</v>
      </c>
      <c r="IT55" s="12">
        <f t="shared" si="206"/>
        <v>0</v>
      </c>
      <c r="IU55" s="12">
        <f t="shared" si="207"/>
        <v>0</v>
      </c>
      <c r="IV55" s="12">
        <f t="shared" si="208"/>
        <v>0</v>
      </c>
      <c r="IW55" s="12">
        <f t="shared" si="209"/>
        <v>0</v>
      </c>
      <c r="IX55" s="12">
        <f t="shared" si="210"/>
        <v>0</v>
      </c>
      <c r="IY55" s="12">
        <f t="shared" si="211"/>
        <v>0</v>
      </c>
      <c r="IZ55" s="12">
        <f t="shared" si="212"/>
        <v>0</v>
      </c>
      <c r="JA55" s="13">
        <f t="shared" si="213"/>
        <v>0</v>
      </c>
      <c r="JB55" s="13">
        <f t="shared" si="214"/>
        <v>0</v>
      </c>
      <c r="JC55" s="13">
        <f t="shared" si="215"/>
        <v>0</v>
      </c>
      <c r="JD55" s="13">
        <f t="shared" si="216"/>
        <v>0</v>
      </c>
      <c r="JE55" s="13">
        <f t="shared" si="217"/>
        <v>0</v>
      </c>
      <c r="JF55" s="13">
        <f t="shared" si="218"/>
        <v>0</v>
      </c>
      <c r="JG55" s="13">
        <f t="shared" si="219"/>
        <v>0</v>
      </c>
      <c r="JH55" s="13">
        <f t="shared" si="220"/>
        <v>0</v>
      </c>
      <c r="JI55" s="13">
        <f t="shared" si="221"/>
        <v>0</v>
      </c>
      <c r="JJ55" s="13">
        <f t="shared" si="222"/>
        <v>0</v>
      </c>
      <c r="JK55" s="13">
        <f t="shared" si="223"/>
        <v>0</v>
      </c>
      <c r="JL55" s="13">
        <f t="shared" si="224"/>
        <v>0</v>
      </c>
      <c r="JM55" s="13">
        <f t="shared" si="225"/>
        <v>0</v>
      </c>
      <c r="JN55" s="13">
        <f t="shared" si="226"/>
        <v>0</v>
      </c>
      <c r="JO55" s="13">
        <f t="shared" si="227"/>
        <v>0</v>
      </c>
      <c r="JP55" s="13">
        <f t="shared" si="228"/>
        <v>0</v>
      </c>
      <c r="JQ55" s="13">
        <f t="shared" si="229"/>
        <v>0</v>
      </c>
      <c r="JR55" s="13">
        <f t="shared" si="230"/>
        <v>0</v>
      </c>
      <c r="JS55" s="13">
        <f t="shared" si="231"/>
        <v>0</v>
      </c>
      <c r="JT55" s="13">
        <f t="shared" si="232"/>
        <v>0</v>
      </c>
      <c r="JU55" s="13">
        <f t="shared" si="233"/>
        <v>0</v>
      </c>
      <c r="JV55" s="12">
        <f t="shared" si="234"/>
        <v>0</v>
      </c>
      <c r="JW55" s="12">
        <f t="shared" si="235"/>
        <v>0</v>
      </c>
      <c r="JX55" s="12">
        <f t="shared" si="236"/>
        <v>0</v>
      </c>
      <c r="JY55" s="12">
        <f t="shared" si="237"/>
        <v>0</v>
      </c>
      <c r="JZ55" s="12">
        <f t="shared" si="238"/>
        <v>0</v>
      </c>
      <c r="KA55" s="12">
        <f t="shared" si="239"/>
        <v>0</v>
      </c>
      <c r="KB55" s="12">
        <f t="shared" si="240"/>
        <v>0</v>
      </c>
      <c r="KC55" s="12">
        <f t="shared" si="241"/>
        <v>0</v>
      </c>
      <c r="KD55" s="12">
        <f t="shared" si="242"/>
        <v>0</v>
      </c>
      <c r="KE55" s="12">
        <f t="shared" si="243"/>
        <v>0</v>
      </c>
      <c r="KF55" s="12">
        <f t="shared" si="244"/>
        <v>0</v>
      </c>
      <c r="KG55" s="12">
        <f t="shared" si="245"/>
        <v>0</v>
      </c>
      <c r="KH55" s="12">
        <f t="shared" si="246"/>
        <v>0</v>
      </c>
      <c r="KI55" s="12">
        <f t="shared" si="247"/>
        <v>0</v>
      </c>
      <c r="KJ55" s="12">
        <f t="shared" si="248"/>
        <v>0</v>
      </c>
      <c r="KK55" s="12">
        <f t="shared" si="249"/>
        <v>0</v>
      </c>
      <c r="KL55" s="12">
        <f t="shared" si="250"/>
        <v>0</v>
      </c>
      <c r="KM55" s="12">
        <f t="shared" si="251"/>
        <v>0</v>
      </c>
      <c r="KN55" s="12">
        <f t="shared" si="252"/>
        <v>0</v>
      </c>
      <c r="KO55" s="12">
        <f t="shared" si="253"/>
        <v>0</v>
      </c>
      <c r="KP55" s="12">
        <f t="shared" si="254"/>
        <v>0</v>
      </c>
      <c r="KQ55" s="12">
        <f t="shared" si="255"/>
        <v>0</v>
      </c>
      <c r="KR55" s="12">
        <f t="shared" si="256"/>
        <v>0</v>
      </c>
      <c r="KS55" s="12">
        <f t="shared" si="257"/>
        <v>0</v>
      </c>
      <c r="KT55" s="12">
        <f t="shared" si="258"/>
        <v>0</v>
      </c>
      <c r="KU55" s="12">
        <f t="shared" si="259"/>
        <v>0</v>
      </c>
      <c r="KV55" s="12">
        <f t="shared" si="260"/>
        <v>0</v>
      </c>
      <c r="KW55" s="12">
        <f t="shared" si="261"/>
        <v>0</v>
      </c>
      <c r="KX55" s="12">
        <f t="shared" si="262"/>
        <v>0</v>
      </c>
      <c r="KY55" s="12">
        <f t="shared" si="263"/>
        <v>0</v>
      </c>
      <c r="KZ55" s="12">
        <f t="shared" si="264"/>
        <v>0</v>
      </c>
      <c r="LA55" s="12">
        <f t="shared" si="265"/>
        <v>0</v>
      </c>
      <c r="LB55" s="12">
        <f t="shared" si="266"/>
        <v>0</v>
      </c>
      <c r="LC55" s="12">
        <f t="shared" si="267"/>
        <v>0</v>
      </c>
      <c r="LD55" s="12">
        <f t="shared" si="268"/>
        <v>0</v>
      </c>
      <c r="LE55" s="12">
        <f t="shared" si="269"/>
        <v>0</v>
      </c>
      <c r="LF55" s="12">
        <f t="shared" si="270"/>
        <v>0</v>
      </c>
      <c r="LG55" s="12">
        <f t="shared" si="271"/>
        <v>0</v>
      </c>
      <c r="LH55" s="12">
        <f t="shared" si="272"/>
        <v>0</v>
      </c>
      <c r="LI55" s="12">
        <f t="shared" si="273"/>
        <v>0</v>
      </c>
      <c r="LJ55" s="12">
        <f t="shared" si="274"/>
        <v>0</v>
      </c>
      <c r="LK55" s="12">
        <f t="shared" si="275"/>
        <v>0</v>
      </c>
      <c r="LL55" s="12">
        <f t="shared" si="276"/>
        <v>0</v>
      </c>
      <c r="LM55" s="12">
        <f t="shared" si="277"/>
        <v>0</v>
      </c>
      <c r="LN55" s="12">
        <f t="shared" si="278"/>
        <v>0</v>
      </c>
      <c r="LO55" s="12">
        <f t="shared" si="279"/>
        <v>0</v>
      </c>
      <c r="LP55" s="12">
        <f t="shared" si="280"/>
        <v>0</v>
      </c>
      <c r="LQ55" s="12">
        <f t="shared" si="281"/>
        <v>0</v>
      </c>
      <c r="LR55" s="12">
        <f t="shared" si="282"/>
        <v>0</v>
      </c>
      <c r="LS55" s="12">
        <f t="shared" si="283"/>
        <v>0</v>
      </c>
      <c r="LT55" s="13">
        <f t="shared" si="284"/>
        <v>0</v>
      </c>
      <c r="LU55" s="13">
        <f t="shared" si="285"/>
        <v>0</v>
      </c>
      <c r="LV55" s="13">
        <f t="shared" si="286"/>
        <v>0</v>
      </c>
      <c r="LW55" s="13">
        <f t="shared" si="287"/>
        <v>0</v>
      </c>
      <c r="LX55" s="13">
        <f t="shared" si="288"/>
        <v>0</v>
      </c>
      <c r="LY55" s="13">
        <f t="shared" si="289"/>
        <v>0</v>
      </c>
      <c r="LZ55" s="13">
        <f t="shared" si="290"/>
        <v>0</v>
      </c>
      <c r="MA55" s="13">
        <f t="shared" si="291"/>
        <v>0</v>
      </c>
      <c r="MB55" s="13">
        <f t="shared" si="292"/>
        <v>0</v>
      </c>
      <c r="MC55" s="13">
        <f t="shared" si="293"/>
        <v>0</v>
      </c>
      <c r="MD55" s="13">
        <f t="shared" si="294"/>
        <v>0</v>
      </c>
      <c r="ME55" s="13">
        <f t="shared" si="295"/>
        <v>0</v>
      </c>
      <c r="MF55" s="13">
        <f t="shared" si="296"/>
        <v>0</v>
      </c>
      <c r="MG55" s="13">
        <f t="shared" si="297"/>
        <v>0</v>
      </c>
      <c r="MH55" s="13">
        <f t="shared" si="298"/>
        <v>0</v>
      </c>
      <c r="MI55" s="13">
        <f t="shared" si="299"/>
        <v>0</v>
      </c>
      <c r="MJ55" s="13">
        <f t="shared" si="300"/>
        <v>0</v>
      </c>
      <c r="MK55" s="13">
        <f t="shared" si="301"/>
        <v>0</v>
      </c>
      <c r="ML55" s="14">
        <f t="shared" si="302"/>
        <v>0</v>
      </c>
      <c r="MM55" s="14">
        <f t="shared" si="303"/>
        <v>0</v>
      </c>
      <c r="MN55" s="14">
        <f t="shared" si="304"/>
        <v>0</v>
      </c>
      <c r="MO55" s="14">
        <f t="shared" si="305"/>
        <v>0</v>
      </c>
      <c r="MP55" s="14">
        <f t="shared" si="306"/>
        <v>0</v>
      </c>
      <c r="MQ55" s="14">
        <f t="shared" si="307"/>
        <v>0</v>
      </c>
      <c r="MR55" s="14">
        <f t="shared" si="308"/>
        <v>0</v>
      </c>
      <c r="MS55" s="14">
        <f t="shared" si="309"/>
        <v>0</v>
      </c>
      <c r="MT55" s="14">
        <f t="shared" si="310"/>
        <v>0</v>
      </c>
      <c r="MU55" s="14">
        <f t="shared" si="311"/>
        <v>0</v>
      </c>
      <c r="MV55" s="14">
        <f t="shared" si="312"/>
        <v>0</v>
      </c>
      <c r="MW55" s="14">
        <f t="shared" si="313"/>
        <v>0</v>
      </c>
      <c r="MX55" s="14">
        <f t="shared" si="314"/>
        <v>0</v>
      </c>
      <c r="MY55" s="14">
        <f t="shared" si="315"/>
        <v>0</v>
      </c>
      <c r="MZ55" s="14">
        <f t="shared" si="316"/>
        <v>0</v>
      </c>
      <c r="NA55" s="14">
        <f t="shared" si="317"/>
        <v>0</v>
      </c>
      <c r="NB55" s="14">
        <f t="shared" si="318"/>
        <v>0</v>
      </c>
    </row>
    <row r="56" ht="15.75" customHeight="1">
      <c r="A56" s="2">
        <v>279.0</v>
      </c>
      <c r="B56" s="2" t="s">
        <v>1344</v>
      </c>
      <c r="C56" s="2" t="s">
        <v>1345</v>
      </c>
      <c r="D56" s="2" t="s">
        <v>1346</v>
      </c>
      <c r="E56" s="2">
        <v>2019.0</v>
      </c>
      <c r="F56" s="2" t="s">
        <v>1347</v>
      </c>
      <c r="G56" s="2" t="s">
        <v>564</v>
      </c>
      <c r="H56" s="2" t="s">
        <v>432</v>
      </c>
      <c r="J56" s="2" t="s">
        <v>1348</v>
      </c>
      <c r="K56" s="2" t="s">
        <v>1349</v>
      </c>
      <c r="M56" s="2">
        <v>25.0</v>
      </c>
      <c r="N56" s="2" t="s">
        <v>1350</v>
      </c>
      <c r="O56" s="2" t="s">
        <v>1351</v>
      </c>
      <c r="P56" s="2" t="s">
        <v>1352</v>
      </c>
      <c r="Q56" s="2" t="s">
        <v>1353</v>
      </c>
      <c r="R56" s="2" t="s">
        <v>1354</v>
      </c>
      <c r="S56" s="2" t="s">
        <v>1355</v>
      </c>
      <c r="Y56" s="2" t="s">
        <v>1356</v>
      </c>
      <c r="AB56" s="2" t="s">
        <v>1357</v>
      </c>
      <c r="AG56" s="2" t="s">
        <v>1358</v>
      </c>
      <c r="AK56" s="2" t="s">
        <v>1359</v>
      </c>
      <c r="AL56" s="2" t="s">
        <v>384</v>
      </c>
      <c r="AM56" s="2" t="s">
        <v>650</v>
      </c>
      <c r="AN56" s="2" t="s">
        <v>386</v>
      </c>
      <c r="AO56" s="2" t="s">
        <v>1360</v>
      </c>
      <c r="AP56" s="2" t="s">
        <v>386</v>
      </c>
      <c r="AQ56" s="2">
        <v>1132.0</v>
      </c>
      <c r="AR56" s="2" t="s">
        <v>1361</v>
      </c>
      <c r="AS56" s="2" t="b">
        <v>1</v>
      </c>
      <c r="AT56" s="3">
        <v>0.0</v>
      </c>
      <c r="AU56" s="4"/>
      <c r="AV56" s="4"/>
      <c r="AW56" s="5">
        <f t="shared" si="432"/>
        <v>0</v>
      </c>
      <c r="AX56" s="5">
        <f t="shared" si="4"/>
        <v>0</v>
      </c>
      <c r="AY56" s="5">
        <f t="shared" si="5"/>
        <v>0</v>
      </c>
      <c r="AZ56" s="5">
        <f t="shared" si="6"/>
        <v>0</v>
      </c>
      <c r="BA56" s="5">
        <f t="shared" si="7"/>
        <v>0</v>
      </c>
      <c r="BB56" s="5">
        <f t="shared" si="8"/>
        <v>0</v>
      </c>
      <c r="BC56" s="5">
        <f t="shared" si="9"/>
        <v>0</v>
      </c>
      <c r="BD56" s="5">
        <f t="shared" si="10"/>
        <v>0</v>
      </c>
      <c r="BE56" s="5">
        <f t="shared" si="11"/>
        <v>0</v>
      </c>
      <c r="BF56" s="5">
        <f t="shared" si="12"/>
        <v>0</v>
      </c>
      <c r="BG56" s="5">
        <f t="shared" si="13"/>
        <v>0</v>
      </c>
      <c r="BH56" s="5">
        <f t="shared" si="14"/>
        <v>0</v>
      </c>
      <c r="BI56" s="5">
        <f t="shared" si="15"/>
        <v>0</v>
      </c>
      <c r="BJ56" s="5">
        <f t="shared" si="16"/>
        <v>0</v>
      </c>
      <c r="BK56" s="5">
        <f t="shared" si="17"/>
        <v>0</v>
      </c>
      <c r="BL56" s="5">
        <f t="shared" si="18"/>
        <v>0</v>
      </c>
      <c r="BM56" s="5">
        <f t="shared" si="19"/>
        <v>0</v>
      </c>
      <c r="BN56" s="5">
        <f t="shared" si="20"/>
        <v>0</v>
      </c>
      <c r="BO56" s="5">
        <f t="shared" si="21"/>
        <v>0</v>
      </c>
      <c r="BP56" s="5">
        <f t="shared" si="22"/>
        <v>0</v>
      </c>
      <c r="BQ56" s="5">
        <f t="shared" si="23"/>
        <v>0</v>
      </c>
      <c r="BR56" s="5">
        <f t="shared" si="24"/>
        <v>0</v>
      </c>
      <c r="BS56" s="5">
        <f t="shared" si="25"/>
        <v>0</v>
      </c>
      <c r="BT56" s="5">
        <f t="shared" si="26"/>
        <v>0</v>
      </c>
      <c r="BU56" s="5">
        <f t="shared" si="27"/>
        <v>0</v>
      </c>
      <c r="BV56" s="5">
        <f t="shared" ref="BV56:BW56" si="442">IF(OR(ISNUMBER(SEARCH("grit",$D56)),ISNUMBER(SEARCH("grit",$T56)),ISNUMBER(SEARCH("grit",$R56)),ISNUMBER(SEARCH("grit",$S56)),
ISNUMBER(SEARCH("determination",$D56)),ISNUMBER(SEARCH("determination",$T56)),ISNUMBER(SEARCH("determination",$R56)),ISNUMBER(SEARCH("determination",$S56)),
ISNUMBER(SEARCH("tenacity",$D56)),ISNUMBER(SEARCH("tenacity",$T56)),ISNUMBER(SEARCH("tenacity",$R56)),ISNUMBER(SEARCH("tenacity",$S56)),
ISNUMBER(SEARCH("endurance",$D56)),ISNUMBER(SEARCH("endurance",$T56)),ISNUMBER(SEARCH("endurance",$R56)),ISNUMBER(SEARCH("endurance",$S56)),
ISNUMBER(SEARCH("fortitude",$D56)),ISNUMBER(SEARCH("fortitude",$T56)),ISNUMBER(SEARCH("fortitude",$R56)),ISNUMBER(SEARCH("fortitude",$S56)),
ISNUMBER(SEARCH("resolve",$D56)),ISNUMBER(SEARCH("resolve",$T56)),ISNUMBER(SEARCH("resolve",$R56)),ISNUMBER(SEARCH("resolve",$S56)),
ISNUMBER(SEARCH("stamina",$D56)),ISNUMBER(SEARCH("stamina",$T56)),ISNUMBER(SEARCH("stamina",$R56)),ISNUMBER(SEARCH("stamina",$S56)),
ISNUMBER(SEARCH("guts",$D56)),ISNUMBER(SEARCH("guts",$T56)),ISNUMBER(SEARCH("guts",$R56)),ISNUMBER(SEARCH("guts",$S56)),
ISNUMBER(SEARCH("spunk",$D56)),ISNUMBER(SEARCH("spunk",$T56)),ISNUMBER(SEARCH("spunk",$R56)),ISNUMBER(SEARCH("spunk",$S56))), 1, 0)</f>
        <v>0</v>
      </c>
      <c r="BW56" s="5">
        <f t="shared" si="442"/>
        <v>0</v>
      </c>
      <c r="BX56" s="5">
        <f t="shared" si="29"/>
        <v>1</v>
      </c>
      <c r="BY56" s="5">
        <f t="shared" si="30"/>
        <v>0</v>
      </c>
      <c r="BZ56" s="5">
        <f t="shared" si="31"/>
        <v>0</v>
      </c>
      <c r="CA56" s="5">
        <f t="shared" si="32"/>
        <v>0</v>
      </c>
      <c r="CB56" s="5">
        <f t="shared" si="33"/>
        <v>0</v>
      </c>
      <c r="CC56" s="5">
        <f t="shared" si="34"/>
        <v>0</v>
      </c>
      <c r="CD56" s="5">
        <f t="shared" si="35"/>
        <v>0</v>
      </c>
      <c r="CE56" s="5">
        <f t="shared" si="36"/>
        <v>0</v>
      </c>
      <c r="CF56" s="5">
        <f t="shared" si="37"/>
        <v>0</v>
      </c>
      <c r="CG56" s="5">
        <f t="shared" si="38"/>
        <v>1</v>
      </c>
      <c r="CH56" s="5">
        <f t="shared" si="39"/>
        <v>0</v>
      </c>
      <c r="CI56" s="5">
        <f t="shared" si="40"/>
        <v>0</v>
      </c>
      <c r="CJ56" s="5">
        <f t="shared" si="41"/>
        <v>0</v>
      </c>
      <c r="CK56" s="5">
        <f t="shared" si="42"/>
        <v>0</v>
      </c>
      <c r="CL56" s="5">
        <f t="shared" si="43"/>
        <v>0</v>
      </c>
      <c r="CM56" s="5">
        <f t="shared" si="44"/>
        <v>0</v>
      </c>
      <c r="CN56" s="5">
        <f t="shared" si="45"/>
        <v>0</v>
      </c>
      <c r="CO56" s="5">
        <f t="shared" si="46"/>
        <v>0</v>
      </c>
      <c r="CP56" s="6">
        <f t="shared" si="47"/>
        <v>0</v>
      </c>
      <c r="CQ56" s="6">
        <f t="shared" si="48"/>
        <v>0</v>
      </c>
      <c r="CR56" s="6">
        <f t="shared" si="49"/>
        <v>0</v>
      </c>
      <c r="CS56" s="6">
        <f t="shared" si="50"/>
        <v>0</v>
      </c>
      <c r="CT56" s="6">
        <f t="shared" si="51"/>
        <v>1</v>
      </c>
      <c r="CU56" s="6">
        <f t="shared" si="52"/>
        <v>0</v>
      </c>
      <c r="CV56" s="6">
        <f t="shared" si="53"/>
        <v>0</v>
      </c>
      <c r="CW56" s="6">
        <f t="shared" si="54"/>
        <v>0</v>
      </c>
      <c r="CX56" s="6">
        <f t="shared" si="55"/>
        <v>0</v>
      </c>
      <c r="CY56" s="6">
        <f t="shared" si="56"/>
        <v>0</v>
      </c>
      <c r="CZ56" s="6">
        <f t="shared" si="57"/>
        <v>0</v>
      </c>
      <c r="DA56" s="6">
        <f t="shared" si="58"/>
        <v>0</v>
      </c>
      <c r="DB56" s="6">
        <f t="shared" si="59"/>
        <v>0</v>
      </c>
      <c r="DC56" s="6">
        <f t="shared" si="60"/>
        <v>0</v>
      </c>
      <c r="DD56" s="6">
        <f t="shared" si="61"/>
        <v>0</v>
      </c>
      <c r="DE56" s="6">
        <f t="shared" si="62"/>
        <v>0</v>
      </c>
      <c r="DF56" s="6">
        <f t="shared" si="63"/>
        <v>0</v>
      </c>
      <c r="DG56" s="6">
        <f t="shared" si="64"/>
        <v>0</v>
      </c>
      <c r="DH56" s="6">
        <f t="shared" si="434"/>
        <v>0</v>
      </c>
      <c r="DI56" s="6">
        <f t="shared" si="66"/>
        <v>0</v>
      </c>
      <c r="DJ56" s="6">
        <f t="shared" si="435"/>
        <v>0</v>
      </c>
      <c r="DK56" s="7">
        <f t="shared" si="68"/>
        <v>0</v>
      </c>
      <c r="DL56" s="7">
        <f t="shared" si="411"/>
        <v>0</v>
      </c>
      <c r="DM56" s="7">
        <f t="shared" si="70"/>
        <v>0</v>
      </c>
      <c r="DN56" s="7">
        <f t="shared" si="71"/>
        <v>0</v>
      </c>
      <c r="DO56" s="7">
        <f t="shared" si="72"/>
        <v>0</v>
      </c>
      <c r="DP56" s="8">
        <f t="shared" si="73"/>
        <v>0</v>
      </c>
      <c r="DQ56" s="8">
        <f t="shared" si="74"/>
        <v>1</v>
      </c>
      <c r="DR56" s="7">
        <f t="shared" si="75"/>
        <v>0</v>
      </c>
      <c r="DS56" s="7">
        <f t="shared" si="76"/>
        <v>0</v>
      </c>
      <c r="DT56" s="7">
        <f t="shared" si="77"/>
        <v>0</v>
      </c>
      <c r="DU56" s="9">
        <f t="shared" si="78"/>
        <v>0</v>
      </c>
      <c r="DV56" s="9">
        <f t="shared" si="79"/>
        <v>0</v>
      </c>
      <c r="DW56" s="9">
        <f t="shared" si="80"/>
        <v>0</v>
      </c>
      <c r="DX56" s="9">
        <f t="shared" si="81"/>
        <v>0</v>
      </c>
      <c r="DY56" s="9">
        <f t="shared" si="82"/>
        <v>0</v>
      </c>
      <c r="DZ56" s="9">
        <f t="shared" si="83"/>
        <v>0</v>
      </c>
      <c r="EA56" s="9">
        <f t="shared" si="84"/>
        <v>0</v>
      </c>
      <c r="EB56" s="9">
        <f t="shared" si="85"/>
        <v>0</v>
      </c>
      <c r="EC56" s="9">
        <f t="shared" si="86"/>
        <v>0</v>
      </c>
      <c r="ED56" s="9">
        <f t="shared" si="87"/>
        <v>0</v>
      </c>
      <c r="EE56" s="9">
        <f t="shared" si="88"/>
        <v>0</v>
      </c>
      <c r="EF56" s="9">
        <f t="shared" si="89"/>
        <v>0</v>
      </c>
      <c r="EG56" s="9">
        <f t="shared" si="90"/>
        <v>0</v>
      </c>
      <c r="EH56" s="9">
        <f t="shared" si="91"/>
        <v>0</v>
      </c>
      <c r="EI56" s="9">
        <f t="shared" si="92"/>
        <v>0</v>
      </c>
      <c r="EJ56" s="10">
        <f t="shared" si="93"/>
        <v>0</v>
      </c>
      <c r="EK56" s="10">
        <f t="shared" si="94"/>
        <v>0</v>
      </c>
      <c r="EL56" s="10">
        <f t="shared" ref="EL56:EM56" si="443">IF(OR(ISNUMBER(SEARCH("ai software toolkit", $D56)), ISNUMBER(SEARCH("ai software toolkit", $T56)), ISNUMBER(SEARCH("ai software toolkit", $R56)), ISNUMBER(SEARCH("ai software toolkit", $S56))), 1, 0)</f>
        <v>0</v>
      </c>
      <c r="EM56" s="10">
        <f t="shared" si="443"/>
        <v>0</v>
      </c>
      <c r="EN56" s="10">
        <f t="shared" si="96"/>
        <v>0</v>
      </c>
      <c r="EO56" s="10">
        <f t="shared" si="97"/>
        <v>1</v>
      </c>
      <c r="EP56" s="10">
        <f t="shared" si="98"/>
        <v>0</v>
      </c>
      <c r="EQ56" s="10">
        <f t="shared" si="99"/>
        <v>0</v>
      </c>
      <c r="ER56" s="10">
        <f t="shared" si="100"/>
        <v>0</v>
      </c>
      <c r="ES56" s="10">
        <f t="shared" si="101"/>
        <v>0</v>
      </c>
      <c r="ET56" s="10">
        <f t="shared" si="102"/>
        <v>0</v>
      </c>
      <c r="EU56" s="10">
        <f t="shared" si="103"/>
        <v>0</v>
      </c>
      <c r="EV56" s="10">
        <f t="shared" si="104"/>
        <v>0</v>
      </c>
      <c r="EW56" s="10">
        <f t="shared" si="105"/>
        <v>0</v>
      </c>
      <c r="EX56" s="10">
        <f t="shared" si="106"/>
        <v>0</v>
      </c>
      <c r="EY56" s="10">
        <f t="shared" si="107"/>
        <v>0</v>
      </c>
      <c r="EZ56" s="10">
        <f t="shared" si="108"/>
        <v>0</v>
      </c>
      <c r="FA56" s="10">
        <f t="shared" si="109"/>
        <v>0</v>
      </c>
      <c r="FB56" s="10">
        <f t="shared" si="110"/>
        <v>0</v>
      </c>
      <c r="FC56" s="10">
        <f t="shared" si="111"/>
        <v>0</v>
      </c>
      <c r="FD56" s="10">
        <f t="shared" si="112"/>
        <v>0</v>
      </c>
      <c r="FE56" s="10">
        <f t="shared" si="113"/>
        <v>0</v>
      </c>
      <c r="FF56" s="10">
        <f t="shared" si="114"/>
        <v>0</v>
      </c>
      <c r="FG56" s="10">
        <f t="shared" si="115"/>
        <v>0</v>
      </c>
      <c r="FH56" s="10">
        <f t="shared" si="116"/>
        <v>0</v>
      </c>
      <c r="FI56" s="10">
        <f t="shared" si="117"/>
        <v>0</v>
      </c>
      <c r="FJ56" s="10">
        <f t="shared" si="118"/>
        <v>0</v>
      </c>
      <c r="FK56" s="10">
        <f t="shared" si="119"/>
        <v>0</v>
      </c>
      <c r="FL56" s="10">
        <f t="shared" si="120"/>
        <v>0</v>
      </c>
      <c r="FM56" s="10">
        <f t="shared" si="121"/>
        <v>0</v>
      </c>
      <c r="FN56" s="10">
        <f t="shared" si="122"/>
        <v>0</v>
      </c>
      <c r="FO56" s="10">
        <f t="shared" si="123"/>
        <v>0</v>
      </c>
      <c r="FP56" s="10">
        <f t="shared" si="124"/>
        <v>0</v>
      </c>
      <c r="FQ56" s="10">
        <f t="shared" si="125"/>
        <v>0</v>
      </c>
      <c r="FR56" s="11">
        <f t="shared" si="437"/>
        <v>0</v>
      </c>
      <c r="FS56" s="11">
        <f t="shared" si="127"/>
        <v>0</v>
      </c>
      <c r="FT56" s="11">
        <f t="shared" si="128"/>
        <v>0</v>
      </c>
      <c r="FU56" s="11">
        <f t="shared" si="129"/>
        <v>0</v>
      </c>
      <c r="FV56" s="11">
        <f t="shared" si="130"/>
        <v>0</v>
      </c>
      <c r="FW56" s="11">
        <f t="shared" si="131"/>
        <v>0</v>
      </c>
      <c r="FX56" s="11">
        <f t="shared" si="132"/>
        <v>0</v>
      </c>
      <c r="FY56" s="11">
        <f t="shared" si="133"/>
        <v>0</v>
      </c>
      <c r="FZ56" s="11">
        <f t="shared" si="134"/>
        <v>0</v>
      </c>
      <c r="GA56" s="11">
        <f t="shared" si="135"/>
        <v>0</v>
      </c>
      <c r="GB56" s="11">
        <f t="shared" si="136"/>
        <v>0</v>
      </c>
      <c r="GC56" s="11">
        <f t="shared" si="137"/>
        <v>0</v>
      </c>
      <c r="GD56" s="11">
        <f t="shared" si="138"/>
        <v>0</v>
      </c>
      <c r="GE56" s="11">
        <f t="shared" si="139"/>
        <v>0</v>
      </c>
      <c r="GF56" s="11">
        <f t="shared" si="140"/>
        <v>0</v>
      </c>
      <c r="GG56" s="11">
        <f t="shared" si="141"/>
        <v>0</v>
      </c>
      <c r="GH56" s="11">
        <f t="shared" si="142"/>
        <v>0</v>
      </c>
      <c r="GI56" s="11">
        <f t="shared" si="143"/>
        <v>0</v>
      </c>
      <c r="GJ56" s="11">
        <f t="shared" si="144"/>
        <v>0</v>
      </c>
      <c r="GK56" s="11">
        <f t="shared" si="145"/>
        <v>0</v>
      </c>
      <c r="GL56" s="11">
        <f t="shared" si="146"/>
        <v>0</v>
      </c>
      <c r="GM56" s="11">
        <f t="shared" si="147"/>
        <v>0</v>
      </c>
      <c r="GN56" s="11">
        <f t="shared" si="148"/>
        <v>0</v>
      </c>
      <c r="GO56" s="11">
        <f t="shared" si="149"/>
        <v>0</v>
      </c>
      <c r="GP56" s="11">
        <f t="shared" si="150"/>
        <v>0</v>
      </c>
      <c r="GQ56" s="11">
        <f t="shared" si="151"/>
        <v>0</v>
      </c>
      <c r="GR56" s="11">
        <f t="shared" si="152"/>
        <v>0</v>
      </c>
      <c r="GS56" s="11">
        <f t="shared" si="153"/>
        <v>0</v>
      </c>
      <c r="GT56" s="11">
        <f t="shared" si="154"/>
        <v>0</v>
      </c>
      <c r="GU56" s="12">
        <f t="shared" si="155"/>
        <v>0</v>
      </c>
      <c r="GV56" s="12">
        <f t="shared" si="156"/>
        <v>0</v>
      </c>
      <c r="GW56" s="12">
        <f t="shared" si="157"/>
        <v>0</v>
      </c>
      <c r="GX56" s="12">
        <f t="shared" si="158"/>
        <v>0</v>
      </c>
      <c r="GY56" s="12">
        <f t="shared" si="159"/>
        <v>0</v>
      </c>
      <c r="GZ56" s="12">
        <f t="shared" si="160"/>
        <v>0</v>
      </c>
      <c r="HA56" s="12">
        <f t="shared" si="161"/>
        <v>0</v>
      </c>
      <c r="HB56" s="12">
        <f t="shared" si="162"/>
        <v>0</v>
      </c>
      <c r="HC56" s="12">
        <f t="shared" si="163"/>
        <v>0</v>
      </c>
      <c r="HD56" s="12">
        <f t="shared" si="164"/>
        <v>0</v>
      </c>
      <c r="HE56" s="12">
        <f t="shared" si="165"/>
        <v>0</v>
      </c>
      <c r="HF56" s="12">
        <f t="shared" si="166"/>
        <v>0</v>
      </c>
      <c r="HG56" s="12">
        <f t="shared" si="167"/>
        <v>0</v>
      </c>
      <c r="HH56" s="12">
        <f t="shared" si="168"/>
        <v>0</v>
      </c>
      <c r="HI56" s="12">
        <f t="shared" si="169"/>
        <v>0</v>
      </c>
      <c r="HJ56" s="12">
        <f t="shared" si="170"/>
        <v>0</v>
      </c>
      <c r="HK56" s="12">
        <f t="shared" si="171"/>
        <v>0</v>
      </c>
      <c r="HL56" s="12">
        <f t="shared" si="172"/>
        <v>0</v>
      </c>
      <c r="HM56" s="12">
        <f t="shared" si="173"/>
        <v>0</v>
      </c>
      <c r="HN56" s="12">
        <f t="shared" si="174"/>
        <v>0</v>
      </c>
      <c r="HO56" s="12">
        <f t="shared" si="175"/>
        <v>0</v>
      </c>
      <c r="HP56" s="12">
        <f t="shared" si="176"/>
        <v>0</v>
      </c>
      <c r="HQ56" s="12">
        <f t="shared" si="177"/>
        <v>0</v>
      </c>
      <c r="HR56" s="12">
        <f t="shared" si="178"/>
        <v>0</v>
      </c>
      <c r="HS56" s="12">
        <f t="shared" si="179"/>
        <v>0</v>
      </c>
      <c r="HT56" s="12">
        <f t="shared" si="180"/>
        <v>0</v>
      </c>
      <c r="HU56" s="12">
        <f t="shared" si="181"/>
        <v>0</v>
      </c>
      <c r="HV56" s="12">
        <f t="shared" si="182"/>
        <v>0</v>
      </c>
      <c r="HW56" s="12">
        <f t="shared" si="183"/>
        <v>0</v>
      </c>
      <c r="HX56" s="12">
        <f t="shared" si="184"/>
        <v>0</v>
      </c>
      <c r="HY56" s="12">
        <f t="shared" si="185"/>
        <v>0</v>
      </c>
      <c r="HZ56" s="12">
        <f t="shared" si="186"/>
        <v>0</v>
      </c>
      <c r="IA56" s="12">
        <f t="shared" si="187"/>
        <v>0</v>
      </c>
      <c r="IB56" s="12">
        <f t="shared" si="188"/>
        <v>0</v>
      </c>
      <c r="IC56" s="12">
        <f t="shared" si="189"/>
        <v>0</v>
      </c>
      <c r="ID56" s="12">
        <f t="shared" si="190"/>
        <v>0</v>
      </c>
      <c r="IE56" s="12">
        <f t="shared" si="191"/>
        <v>0</v>
      </c>
      <c r="IF56" s="12">
        <f t="shared" si="192"/>
        <v>0</v>
      </c>
      <c r="IG56" s="12">
        <f t="shared" si="193"/>
        <v>0</v>
      </c>
      <c r="IH56" s="12">
        <f t="shared" si="194"/>
        <v>0</v>
      </c>
      <c r="II56" s="12">
        <f t="shared" si="195"/>
        <v>0</v>
      </c>
      <c r="IJ56" s="12">
        <f t="shared" si="196"/>
        <v>0</v>
      </c>
      <c r="IK56" s="12">
        <f t="shared" si="197"/>
        <v>0</v>
      </c>
      <c r="IL56" s="12">
        <f t="shared" si="198"/>
        <v>0</v>
      </c>
      <c r="IM56" s="12">
        <f t="shared" si="199"/>
        <v>0</v>
      </c>
      <c r="IN56" s="12">
        <f t="shared" si="200"/>
        <v>0</v>
      </c>
      <c r="IO56" s="12">
        <f t="shared" si="201"/>
        <v>0</v>
      </c>
      <c r="IP56" s="12">
        <f t="shared" si="202"/>
        <v>0</v>
      </c>
      <c r="IQ56" s="12">
        <f t="shared" si="203"/>
        <v>0</v>
      </c>
      <c r="IR56" s="12">
        <f t="shared" si="204"/>
        <v>0</v>
      </c>
      <c r="IS56" s="12">
        <f t="shared" si="205"/>
        <v>0</v>
      </c>
      <c r="IT56" s="12">
        <f t="shared" si="206"/>
        <v>0</v>
      </c>
      <c r="IU56" s="12">
        <f t="shared" si="207"/>
        <v>0</v>
      </c>
      <c r="IV56" s="12">
        <f t="shared" si="208"/>
        <v>0</v>
      </c>
      <c r="IW56" s="12">
        <f t="shared" si="209"/>
        <v>0</v>
      </c>
      <c r="IX56" s="12">
        <f t="shared" si="210"/>
        <v>0</v>
      </c>
      <c r="IY56" s="12">
        <f t="shared" si="211"/>
        <v>0</v>
      </c>
      <c r="IZ56" s="12">
        <f t="shared" si="212"/>
        <v>0</v>
      </c>
      <c r="JA56" s="13">
        <f t="shared" si="213"/>
        <v>0</v>
      </c>
      <c r="JB56" s="13">
        <f t="shared" si="214"/>
        <v>0</v>
      </c>
      <c r="JC56" s="13">
        <f t="shared" si="215"/>
        <v>0</v>
      </c>
      <c r="JD56" s="13">
        <f t="shared" si="216"/>
        <v>0</v>
      </c>
      <c r="JE56" s="13">
        <f t="shared" si="217"/>
        <v>0</v>
      </c>
      <c r="JF56" s="13">
        <f t="shared" si="218"/>
        <v>0</v>
      </c>
      <c r="JG56" s="13">
        <f t="shared" si="219"/>
        <v>0</v>
      </c>
      <c r="JH56" s="13">
        <f t="shared" si="220"/>
        <v>0</v>
      </c>
      <c r="JI56" s="13">
        <f t="shared" si="221"/>
        <v>0</v>
      </c>
      <c r="JJ56" s="13">
        <f t="shared" si="222"/>
        <v>0</v>
      </c>
      <c r="JK56" s="13">
        <f t="shared" si="223"/>
        <v>0</v>
      </c>
      <c r="JL56" s="13">
        <f t="shared" si="224"/>
        <v>0</v>
      </c>
      <c r="JM56" s="13">
        <f t="shared" si="225"/>
        <v>0</v>
      </c>
      <c r="JN56" s="13">
        <f t="shared" si="226"/>
        <v>0</v>
      </c>
      <c r="JO56" s="13">
        <f t="shared" si="227"/>
        <v>0</v>
      </c>
      <c r="JP56" s="13">
        <f t="shared" si="228"/>
        <v>0</v>
      </c>
      <c r="JQ56" s="13">
        <f t="shared" si="229"/>
        <v>0</v>
      </c>
      <c r="JR56" s="13">
        <f t="shared" si="230"/>
        <v>0</v>
      </c>
      <c r="JS56" s="13">
        <f t="shared" si="231"/>
        <v>0</v>
      </c>
      <c r="JT56" s="13">
        <f t="shared" si="232"/>
        <v>0</v>
      </c>
      <c r="JU56" s="13">
        <f t="shared" si="233"/>
        <v>0</v>
      </c>
      <c r="JV56" s="12">
        <f t="shared" si="234"/>
        <v>0</v>
      </c>
      <c r="JW56" s="12">
        <f t="shared" si="235"/>
        <v>0</v>
      </c>
      <c r="JX56" s="12">
        <f t="shared" si="236"/>
        <v>0</v>
      </c>
      <c r="JY56" s="12">
        <f t="shared" si="237"/>
        <v>0</v>
      </c>
      <c r="JZ56" s="12">
        <f t="shared" si="238"/>
        <v>0</v>
      </c>
      <c r="KA56" s="12">
        <f t="shared" si="239"/>
        <v>0</v>
      </c>
      <c r="KB56" s="12">
        <f t="shared" si="240"/>
        <v>0</v>
      </c>
      <c r="KC56" s="12">
        <f t="shared" si="241"/>
        <v>0</v>
      </c>
      <c r="KD56" s="12">
        <f t="shared" si="242"/>
        <v>0</v>
      </c>
      <c r="KE56" s="12">
        <f t="shared" si="243"/>
        <v>0</v>
      </c>
      <c r="KF56" s="12">
        <f t="shared" si="244"/>
        <v>0</v>
      </c>
      <c r="KG56" s="12">
        <f t="shared" si="245"/>
        <v>0</v>
      </c>
      <c r="KH56" s="12">
        <f t="shared" si="246"/>
        <v>0</v>
      </c>
      <c r="KI56" s="12">
        <f t="shared" si="247"/>
        <v>0</v>
      </c>
      <c r="KJ56" s="12">
        <f t="shared" si="248"/>
        <v>0</v>
      </c>
      <c r="KK56" s="12">
        <f t="shared" si="249"/>
        <v>0</v>
      </c>
      <c r="KL56" s="12">
        <f t="shared" si="250"/>
        <v>0</v>
      </c>
      <c r="KM56" s="12">
        <f t="shared" si="251"/>
        <v>0</v>
      </c>
      <c r="KN56" s="12">
        <f t="shared" si="252"/>
        <v>0</v>
      </c>
      <c r="KO56" s="12">
        <f t="shared" si="253"/>
        <v>0</v>
      </c>
      <c r="KP56" s="12">
        <f t="shared" si="254"/>
        <v>0</v>
      </c>
      <c r="KQ56" s="12">
        <f t="shared" si="255"/>
        <v>0</v>
      </c>
      <c r="KR56" s="12">
        <f t="shared" si="256"/>
        <v>0</v>
      </c>
      <c r="KS56" s="12">
        <f t="shared" si="257"/>
        <v>0</v>
      </c>
      <c r="KT56" s="12">
        <f t="shared" si="258"/>
        <v>0</v>
      </c>
      <c r="KU56" s="12">
        <f t="shared" si="259"/>
        <v>0</v>
      </c>
      <c r="KV56" s="12">
        <f t="shared" si="260"/>
        <v>0</v>
      </c>
      <c r="KW56" s="12">
        <f t="shared" si="261"/>
        <v>0</v>
      </c>
      <c r="KX56" s="12">
        <f t="shared" si="262"/>
        <v>0</v>
      </c>
      <c r="KY56" s="12">
        <f t="shared" si="263"/>
        <v>0</v>
      </c>
      <c r="KZ56" s="12">
        <f t="shared" si="264"/>
        <v>0</v>
      </c>
      <c r="LA56" s="12">
        <f t="shared" si="265"/>
        <v>0</v>
      </c>
      <c r="LB56" s="12">
        <f t="shared" si="266"/>
        <v>0</v>
      </c>
      <c r="LC56" s="12">
        <f t="shared" si="267"/>
        <v>0</v>
      </c>
      <c r="LD56" s="12">
        <f t="shared" si="268"/>
        <v>0</v>
      </c>
      <c r="LE56" s="12">
        <f t="shared" si="269"/>
        <v>0</v>
      </c>
      <c r="LF56" s="12">
        <f t="shared" si="270"/>
        <v>0</v>
      </c>
      <c r="LG56" s="12">
        <f t="shared" si="271"/>
        <v>0</v>
      </c>
      <c r="LH56" s="12">
        <f t="shared" si="272"/>
        <v>0</v>
      </c>
      <c r="LI56" s="12">
        <f t="shared" si="273"/>
        <v>0</v>
      </c>
      <c r="LJ56" s="12">
        <f t="shared" si="274"/>
        <v>0</v>
      </c>
      <c r="LK56" s="12">
        <f t="shared" si="275"/>
        <v>0</v>
      </c>
      <c r="LL56" s="12">
        <f t="shared" si="276"/>
        <v>0</v>
      </c>
      <c r="LM56" s="12">
        <f t="shared" si="277"/>
        <v>0</v>
      </c>
      <c r="LN56" s="12">
        <f t="shared" si="278"/>
        <v>0</v>
      </c>
      <c r="LO56" s="12">
        <f t="shared" si="279"/>
        <v>0</v>
      </c>
      <c r="LP56" s="12">
        <f t="shared" si="280"/>
        <v>0</v>
      </c>
      <c r="LQ56" s="12">
        <f t="shared" si="281"/>
        <v>0</v>
      </c>
      <c r="LR56" s="12">
        <f t="shared" si="282"/>
        <v>0</v>
      </c>
      <c r="LS56" s="12">
        <f t="shared" si="283"/>
        <v>0</v>
      </c>
      <c r="LT56" s="13">
        <f t="shared" si="284"/>
        <v>0</v>
      </c>
      <c r="LU56" s="13">
        <f t="shared" si="285"/>
        <v>0</v>
      </c>
      <c r="LV56" s="13">
        <f t="shared" si="286"/>
        <v>0</v>
      </c>
      <c r="LW56" s="13">
        <f t="shared" si="287"/>
        <v>0</v>
      </c>
      <c r="LX56" s="13">
        <f t="shared" si="288"/>
        <v>0</v>
      </c>
      <c r="LY56" s="13">
        <f t="shared" si="289"/>
        <v>0</v>
      </c>
      <c r="LZ56" s="13">
        <f t="shared" si="290"/>
        <v>0</v>
      </c>
      <c r="MA56" s="13">
        <f t="shared" si="291"/>
        <v>0</v>
      </c>
      <c r="MB56" s="13">
        <f t="shared" si="292"/>
        <v>0</v>
      </c>
      <c r="MC56" s="13">
        <f t="shared" si="293"/>
        <v>0</v>
      </c>
      <c r="MD56" s="13">
        <f t="shared" si="294"/>
        <v>0</v>
      </c>
      <c r="ME56" s="13">
        <f t="shared" si="295"/>
        <v>0</v>
      </c>
      <c r="MF56" s="13">
        <f t="shared" si="296"/>
        <v>0</v>
      </c>
      <c r="MG56" s="13">
        <f t="shared" si="297"/>
        <v>0</v>
      </c>
      <c r="MH56" s="13">
        <f t="shared" si="298"/>
        <v>0</v>
      </c>
      <c r="MI56" s="13">
        <f t="shared" si="299"/>
        <v>0</v>
      </c>
      <c r="MJ56" s="13">
        <f t="shared" si="300"/>
        <v>0</v>
      </c>
      <c r="MK56" s="13">
        <f t="shared" si="301"/>
        <v>0</v>
      </c>
      <c r="ML56" s="14">
        <f t="shared" si="302"/>
        <v>1</v>
      </c>
      <c r="MM56" s="14">
        <f t="shared" si="303"/>
        <v>1</v>
      </c>
      <c r="MN56" s="14">
        <f t="shared" si="304"/>
        <v>1</v>
      </c>
      <c r="MO56" s="14">
        <f t="shared" si="305"/>
        <v>1</v>
      </c>
      <c r="MP56" s="14">
        <f t="shared" si="306"/>
        <v>0</v>
      </c>
      <c r="MQ56" s="14">
        <f t="shared" si="307"/>
        <v>0</v>
      </c>
      <c r="MR56" s="14">
        <f t="shared" si="308"/>
        <v>0</v>
      </c>
      <c r="MS56" s="14">
        <f t="shared" si="309"/>
        <v>0</v>
      </c>
      <c r="MT56" s="14">
        <f t="shared" si="310"/>
        <v>0</v>
      </c>
      <c r="MU56" s="14">
        <f t="shared" si="311"/>
        <v>0</v>
      </c>
      <c r="MV56" s="14">
        <f t="shared" si="312"/>
        <v>0</v>
      </c>
      <c r="MW56" s="14">
        <f t="shared" si="313"/>
        <v>0</v>
      </c>
      <c r="MX56" s="14">
        <f t="shared" si="314"/>
        <v>0</v>
      </c>
      <c r="MY56" s="14">
        <f t="shared" si="315"/>
        <v>1</v>
      </c>
      <c r="MZ56" s="14">
        <f t="shared" si="316"/>
        <v>0</v>
      </c>
      <c r="NA56" s="14">
        <f t="shared" si="317"/>
        <v>0</v>
      </c>
      <c r="NB56" s="14">
        <f t="shared" si="318"/>
        <v>1</v>
      </c>
    </row>
    <row r="57" ht="15.75" customHeight="1">
      <c r="A57" s="2">
        <v>112.0</v>
      </c>
      <c r="B57" s="2" t="s">
        <v>1362</v>
      </c>
      <c r="C57" s="2" t="s">
        <v>1363</v>
      </c>
      <c r="D57" s="2" t="s">
        <v>1364</v>
      </c>
      <c r="E57" s="2">
        <v>2021.0</v>
      </c>
      <c r="F57" s="2" t="s">
        <v>689</v>
      </c>
      <c r="G57" s="2" t="s">
        <v>1365</v>
      </c>
      <c r="H57" s="2" t="s">
        <v>528</v>
      </c>
      <c r="I57" s="2" t="s">
        <v>1366</v>
      </c>
      <c r="M57" s="2">
        <v>25.0</v>
      </c>
      <c r="N57" s="2" t="s">
        <v>1367</v>
      </c>
      <c r="O57" s="2" t="s">
        <v>1368</v>
      </c>
      <c r="P57" s="2" t="s">
        <v>1369</v>
      </c>
      <c r="Q57" s="2" t="s">
        <v>1370</v>
      </c>
      <c r="R57" s="2" t="s">
        <v>1371</v>
      </c>
      <c r="S57" s="2" t="s">
        <v>1372</v>
      </c>
      <c r="T57" s="2" t="s">
        <v>1373</v>
      </c>
      <c r="Y57" s="2" t="s">
        <v>1374</v>
      </c>
      <c r="AB57" s="2" t="s">
        <v>687</v>
      </c>
      <c r="AG57" s="2" t="s">
        <v>688</v>
      </c>
      <c r="AJ57" s="2">
        <v>3.3801663E7</v>
      </c>
      <c r="AK57" s="2" t="s">
        <v>689</v>
      </c>
      <c r="AL57" s="2" t="s">
        <v>384</v>
      </c>
      <c r="AM57" s="2" t="s">
        <v>484</v>
      </c>
      <c r="AN57" s="2" t="s">
        <v>386</v>
      </c>
      <c r="AO57" s="2" t="s">
        <v>1375</v>
      </c>
      <c r="AP57" s="2" t="s">
        <v>386</v>
      </c>
      <c r="AQ57" s="2">
        <v>379.0</v>
      </c>
      <c r="AR57" s="2" t="s">
        <v>1376</v>
      </c>
      <c r="AS57" s="2" t="b">
        <v>0</v>
      </c>
      <c r="AT57" s="3">
        <v>0.0</v>
      </c>
      <c r="AU57" s="4"/>
      <c r="AV57" s="4"/>
      <c r="AW57" s="5">
        <f t="shared" si="432"/>
        <v>0</v>
      </c>
      <c r="AX57" s="5">
        <f t="shared" si="4"/>
        <v>0</v>
      </c>
      <c r="AY57" s="5">
        <f t="shared" si="5"/>
        <v>0</v>
      </c>
      <c r="AZ57" s="5">
        <f t="shared" si="6"/>
        <v>0</v>
      </c>
      <c r="BA57" s="5">
        <f t="shared" si="7"/>
        <v>0</v>
      </c>
      <c r="BB57" s="5">
        <f t="shared" si="8"/>
        <v>0</v>
      </c>
      <c r="BC57" s="5">
        <f t="shared" si="9"/>
        <v>0</v>
      </c>
      <c r="BD57" s="5">
        <f t="shared" si="10"/>
        <v>0</v>
      </c>
      <c r="BE57" s="5">
        <f t="shared" si="11"/>
        <v>0</v>
      </c>
      <c r="BF57" s="5">
        <f t="shared" si="12"/>
        <v>0</v>
      </c>
      <c r="BG57" s="5">
        <f t="shared" si="13"/>
        <v>0</v>
      </c>
      <c r="BH57" s="5">
        <f t="shared" si="14"/>
        <v>0</v>
      </c>
      <c r="BI57" s="5">
        <f t="shared" si="15"/>
        <v>0</v>
      </c>
      <c r="BJ57" s="5">
        <f t="shared" si="16"/>
        <v>0</v>
      </c>
      <c r="BK57" s="5">
        <f t="shared" si="17"/>
        <v>0</v>
      </c>
      <c r="BL57" s="5">
        <f t="shared" si="18"/>
        <v>0</v>
      </c>
      <c r="BM57" s="5">
        <f t="shared" si="19"/>
        <v>0</v>
      </c>
      <c r="BN57" s="5">
        <f t="shared" si="20"/>
        <v>0</v>
      </c>
      <c r="BO57" s="5">
        <f t="shared" si="21"/>
        <v>0</v>
      </c>
      <c r="BP57" s="5">
        <f t="shared" si="22"/>
        <v>0</v>
      </c>
      <c r="BQ57" s="5">
        <f t="shared" si="23"/>
        <v>0</v>
      </c>
      <c r="BR57" s="5">
        <f t="shared" si="24"/>
        <v>0</v>
      </c>
      <c r="BS57" s="5">
        <f t="shared" si="25"/>
        <v>0</v>
      </c>
      <c r="BT57" s="5">
        <f t="shared" si="26"/>
        <v>0</v>
      </c>
      <c r="BU57" s="5">
        <f t="shared" si="27"/>
        <v>1</v>
      </c>
      <c r="BV57" s="5">
        <f t="shared" ref="BV57:BW57" si="444">IF(OR(ISNUMBER(SEARCH("grit",$D57)),ISNUMBER(SEARCH("grit",$T57)),ISNUMBER(SEARCH("grit",$R57)),ISNUMBER(SEARCH("grit",$S57)),
ISNUMBER(SEARCH("determination",$D57)),ISNUMBER(SEARCH("determination",$T57)),ISNUMBER(SEARCH("determination",$R57)),ISNUMBER(SEARCH("determination",$S57)),
ISNUMBER(SEARCH("tenacity",$D57)),ISNUMBER(SEARCH("tenacity",$T57)),ISNUMBER(SEARCH("tenacity",$R57)),ISNUMBER(SEARCH("tenacity",$S57)),
ISNUMBER(SEARCH("endurance",$D57)),ISNUMBER(SEARCH("endurance",$T57)),ISNUMBER(SEARCH("endurance",$R57)),ISNUMBER(SEARCH("endurance",$S57)),
ISNUMBER(SEARCH("fortitude",$D57)),ISNUMBER(SEARCH("fortitude",$T57)),ISNUMBER(SEARCH("fortitude",$R57)),ISNUMBER(SEARCH("fortitude",$S57)),
ISNUMBER(SEARCH("resolve",$D57)),ISNUMBER(SEARCH("resolve",$T57)),ISNUMBER(SEARCH("resolve",$R57)),ISNUMBER(SEARCH("resolve",$S57)),
ISNUMBER(SEARCH("stamina",$D57)),ISNUMBER(SEARCH("stamina",$T57)),ISNUMBER(SEARCH("stamina",$R57)),ISNUMBER(SEARCH("stamina",$S57)),
ISNUMBER(SEARCH("guts",$D57)),ISNUMBER(SEARCH("guts",$T57)),ISNUMBER(SEARCH("guts",$R57)),ISNUMBER(SEARCH("guts",$S57)),
ISNUMBER(SEARCH("spunk",$D57)),ISNUMBER(SEARCH("spunk",$T57)),ISNUMBER(SEARCH("spunk",$R57)),ISNUMBER(SEARCH("spunk",$S57))), 1, 0)</f>
        <v>0</v>
      </c>
      <c r="BW57" s="5">
        <f t="shared" si="444"/>
        <v>0</v>
      </c>
      <c r="BX57" s="5">
        <f t="shared" si="29"/>
        <v>0</v>
      </c>
      <c r="BY57" s="5">
        <f t="shared" si="30"/>
        <v>0</v>
      </c>
      <c r="BZ57" s="5">
        <f t="shared" si="31"/>
        <v>0</v>
      </c>
      <c r="CA57" s="5">
        <f t="shared" si="32"/>
        <v>0</v>
      </c>
      <c r="CB57" s="5">
        <f t="shared" si="33"/>
        <v>0</v>
      </c>
      <c r="CC57" s="5">
        <f t="shared" si="34"/>
        <v>0</v>
      </c>
      <c r="CD57" s="5">
        <f t="shared" si="35"/>
        <v>0</v>
      </c>
      <c r="CE57" s="5">
        <f t="shared" si="36"/>
        <v>0</v>
      </c>
      <c r="CF57" s="5">
        <f t="shared" si="37"/>
        <v>0</v>
      </c>
      <c r="CG57" s="5">
        <f t="shared" si="38"/>
        <v>0</v>
      </c>
      <c r="CH57" s="5">
        <f t="shared" si="39"/>
        <v>0</v>
      </c>
      <c r="CI57" s="5">
        <f t="shared" si="40"/>
        <v>0</v>
      </c>
      <c r="CJ57" s="5">
        <f t="shared" si="41"/>
        <v>0</v>
      </c>
      <c r="CK57" s="5">
        <f t="shared" si="42"/>
        <v>0</v>
      </c>
      <c r="CL57" s="5">
        <f t="shared" si="43"/>
        <v>0</v>
      </c>
      <c r="CM57" s="5">
        <f t="shared" si="44"/>
        <v>0</v>
      </c>
      <c r="CN57" s="5">
        <f t="shared" si="45"/>
        <v>0</v>
      </c>
      <c r="CO57" s="5">
        <f t="shared" si="46"/>
        <v>0</v>
      </c>
      <c r="CP57" s="6">
        <f t="shared" si="47"/>
        <v>0</v>
      </c>
      <c r="CQ57" s="6">
        <f t="shared" si="48"/>
        <v>0</v>
      </c>
      <c r="CR57" s="6">
        <f t="shared" si="49"/>
        <v>0</v>
      </c>
      <c r="CS57" s="6">
        <f t="shared" si="50"/>
        <v>0</v>
      </c>
      <c r="CT57" s="6">
        <f t="shared" si="51"/>
        <v>0</v>
      </c>
      <c r="CU57" s="6">
        <f t="shared" si="52"/>
        <v>0</v>
      </c>
      <c r="CV57" s="6">
        <f t="shared" si="53"/>
        <v>0</v>
      </c>
      <c r="CW57" s="6">
        <f t="shared" si="54"/>
        <v>0</v>
      </c>
      <c r="CX57" s="6">
        <f t="shared" si="55"/>
        <v>0</v>
      </c>
      <c r="CY57" s="6">
        <f t="shared" si="56"/>
        <v>0</v>
      </c>
      <c r="CZ57" s="6">
        <f t="shared" si="57"/>
        <v>0</v>
      </c>
      <c r="DA57" s="6">
        <f t="shared" si="58"/>
        <v>0</v>
      </c>
      <c r="DB57" s="6">
        <f t="shared" si="59"/>
        <v>0</v>
      </c>
      <c r="DC57" s="6">
        <f t="shared" si="60"/>
        <v>0</v>
      </c>
      <c r="DD57" s="6">
        <f t="shared" si="61"/>
        <v>0</v>
      </c>
      <c r="DE57" s="6">
        <f t="shared" si="62"/>
        <v>0</v>
      </c>
      <c r="DF57" s="6">
        <f t="shared" si="63"/>
        <v>0</v>
      </c>
      <c r="DG57" s="6">
        <f t="shared" si="64"/>
        <v>0</v>
      </c>
      <c r="DH57" s="6">
        <f t="shared" si="434"/>
        <v>0</v>
      </c>
      <c r="DI57" s="6">
        <f t="shared" si="66"/>
        <v>0</v>
      </c>
      <c r="DJ57" s="6">
        <f t="shared" si="435"/>
        <v>0</v>
      </c>
      <c r="DK57" s="7">
        <f t="shared" si="68"/>
        <v>0</v>
      </c>
      <c r="DL57" s="7">
        <f t="shared" si="411"/>
        <v>0</v>
      </c>
      <c r="DM57" s="7">
        <f t="shared" si="70"/>
        <v>0</v>
      </c>
      <c r="DN57" s="7">
        <f t="shared" si="71"/>
        <v>0</v>
      </c>
      <c r="DO57" s="7">
        <f t="shared" si="72"/>
        <v>1</v>
      </c>
      <c r="DP57" s="8">
        <f t="shared" si="73"/>
        <v>0</v>
      </c>
      <c r="DQ57" s="8">
        <f t="shared" si="74"/>
        <v>1</v>
      </c>
      <c r="DR57" s="7">
        <f t="shared" si="75"/>
        <v>0</v>
      </c>
      <c r="DS57" s="7">
        <f t="shared" si="76"/>
        <v>0</v>
      </c>
      <c r="DT57" s="7">
        <f t="shared" si="77"/>
        <v>0</v>
      </c>
      <c r="DU57" s="9">
        <f t="shared" si="78"/>
        <v>0</v>
      </c>
      <c r="DV57" s="9">
        <f t="shared" si="79"/>
        <v>0</v>
      </c>
      <c r="DW57" s="9">
        <f t="shared" si="80"/>
        <v>0</v>
      </c>
      <c r="DX57" s="9">
        <f t="shared" si="81"/>
        <v>0</v>
      </c>
      <c r="DY57" s="9">
        <f t="shared" si="82"/>
        <v>0</v>
      </c>
      <c r="DZ57" s="9">
        <f t="shared" si="83"/>
        <v>0</v>
      </c>
      <c r="EA57" s="9">
        <f t="shared" si="84"/>
        <v>0</v>
      </c>
      <c r="EB57" s="9">
        <f t="shared" si="85"/>
        <v>0</v>
      </c>
      <c r="EC57" s="9">
        <f t="shared" si="86"/>
        <v>0</v>
      </c>
      <c r="ED57" s="9">
        <f t="shared" si="87"/>
        <v>0</v>
      </c>
      <c r="EE57" s="9">
        <f t="shared" si="88"/>
        <v>0</v>
      </c>
      <c r="EF57" s="9">
        <f t="shared" si="89"/>
        <v>0</v>
      </c>
      <c r="EG57" s="9">
        <f t="shared" si="90"/>
        <v>0</v>
      </c>
      <c r="EH57" s="9">
        <f t="shared" si="91"/>
        <v>0</v>
      </c>
      <c r="EI57" s="9">
        <f t="shared" si="92"/>
        <v>0</v>
      </c>
      <c r="EJ57" s="10">
        <f t="shared" si="93"/>
        <v>0</v>
      </c>
      <c r="EK57" s="10">
        <f t="shared" si="94"/>
        <v>0</v>
      </c>
      <c r="EL57" s="10">
        <f t="shared" ref="EL57:EM57" si="445">IF(OR(ISNUMBER(SEARCH("ai software toolkit", $D57)), ISNUMBER(SEARCH("ai software toolkit", $T57)), ISNUMBER(SEARCH("ai software toolkit", $R57)), ISNUMBER(SEARCH("ai software toolkit", $S57))), 1, 0)</f>
        <v>0</v>
      </c>
      <c r="EM57" s="10">
        <f t="shared" si="445"/>
        <v>0</v>
      </c>
      <c r="EN57" s="10">
        <f t="shared" si="96"/>
        <v>0</v>
      </c>
      <c r="EO57" s="10">
        <f t="shared" si="97"/>
        <v>0</v>
      </c>
      <c r="EP57" s="10">
        <f t="shared" si="98"/>
        <v>0</v>
      </c>
      <c r="EQ57" s="10">
        <f t="shared" si="99"/>
        <v>0</v>
      </c>
      <c r="ER57" s="10">
        <f t="shared" si="100"/>
        <v>0</v>
      </c>
      <c r="ES57" s="10">
        <f t="shared" si="101"/>
        <v>0</v>
      </c>
      <c r="ET57" s="10">
        <f t="shared" si="102"/>
        <v>0</v>
      </c>
      <c r="EU57" s="10">
        <f t="shared" si="103"/>
        <v>0</v>
      </c>
      <c r="EV57" s="10">
        <f t="shared" si="104"/>
        <v>0</v>
      </c>
      <c r="EW57" s="10">
        <f t="shared" si="105"/>
        <v>0</v>
      </c>
      <c r="EX57" s="10">
        <f t="shared" si="106"/>
        <v>0</v>
      </c>
      <c r="EY57" s="10">
        <f t="shared" si="107"/>
        <v>0</v>
      </c>
      <c r="EZ57" s="10">
        <f t="shared" si="108"/>
        <v>0</v>
      </c>
      <c r="FA57" s="10">
        <f t="shared" si="109"/>
        <v>0</v>
      </c>
      <c r="FB57" s="10">
        <f t="shared" si="110"/>
        <v>0</v>
      </c>
      <c r="FC57" s="10">
        <f t="shared" si="111"/>
        <v>0</v>
      </c>
      <c r="FD57" s="10">
        <f t="shared" si="112"/>
        <v>0</v>
      </c>
      <c r="FE57" s="10">
        <f t="shared" si="113"/>
        <v>0</v>
      </c>
      <c r="FF57" s="10">
        <f t="shared" si="114"/>
        <v>0</v>
      </c>
      <c r="FG57" s="10">
        <f t="shared" si="115"/>
        <v>0</v>
      </c>
      <c r="FH57" s="10">
        <f t="shared" si="116"/>
        <v>0</v>
      </c>
      <c r="FI57" s="10">
        <f t="shared" si="117"/>
        <v>0</v>
      </c>
      <c r="FJ57" s="10">
        <f t="shared" si="118"/>
        <v>0</v>
      </c>
      <c r="FK57" s="10">
        <f t="shared" si="119"/>
        <v>0</v>
      </c>
      <c r="FL57" s="10">
        <f t="shared" si="120"/>
        <v>0</v>
      </c>
      <c r="FM57" s="10">
        <f t="shared" si="121"/>
        <v>0</v>
      </c>
      <c r="FN57" s="10">
        <f t="shared" si="122"/>
        <v>0</v>
      </c>
      <c r="FO57" s="10">
        <f t="shared" si="123"/>
        <v>0</v>
      </c>
      <c r="FP57" s="10">
        <f t="shared" si="124"/>
        <v>0</v>
      </c>
      <c r="FQ57" s="10">
        <f t="shared" si="125"/>
        <v>1</v>
      </c>
      <c r="FR57" s="11">
        <f t="shared" si="437"/>
        <v>0</v>
      </c>
      <c r="FS57" s="11">
        <f t="shared" si="127"/>
        <v>0</v>
      </c>
      <c r="FT57" s="11">
        <f t="shared" si="128"/>
        <v>0</v>
      </c>
      <c r="FU57" s="11">
        <f t="shared" si="129"/>
        <v>0</v>
      </c>
      <c r="FV57" s="11">
        <f t="shared" si="130"/>
        <v>0</v>
      </c>
      <c r="FW57" s="11">
        <f t="shared" si="131"/>
        <v>0</v>
      </c>
      <c r="FX57" s="11">
        <f t="shared" si="132"/>
        <v>0</v>
      </c>
      <c r="FY57" s="11">
        <f t="shared" si="133"/>
        <v>0</v>
      </c>
      <c r="FZ57" s="11">
        <f t="shared" si="134"/>
        <v>0</v>
      </c>
      <c r="GA57" s="11">
        <f t="shared" si="135"/>
        <v>0</v>
      </c>
      <c r="GB57" s="11">
        <f t="shared" si="136"/>
        <v>0</v>
      </c>
      <c r="GC57" s="11">
        <f t="shared" si="137"/>
        <v>0</v>
      </c>
      <c r="GD57" s="11">
        <f t="shared" si="138"/>
        <v>0</v>
      </c>
      <c r="GE57" s="11">
        <f t="shared" si="139"/>
        <v>0</v>
      </c>
      <c r="GF57" s="11">
        <f t="shared" si="140"/>
        <v>0</v>
      </c>
      <c r="GG57" s="11">
        <f t="shared" si="141"/>
        <v>0</v>
      </c>
      <c r="GH57" s="11">
        <f t="shared" si="142"/>
        <v>0</v>
      </c>
      <c r="GI57" s="11">
        <f t="shared" si="143"/>
        <v>1</v>
      </c>
      <c r="GJ57" s="11">
        <f t="shared" si="144"/>
        <v>0</v>
      </c>
      <c r="GK57" s="11">
        <f t="shared" si="145"/>
        <v>0</v>
      </c>
      <c r="GL57" s="11">
        <f t="shared" si="146"/>
        <v>0</v>
      </c>
      <c r="GM57" s="11">
        <f t="shared" si="147"/>
        <v>0</v>
      </c>
      <c r="GN57" s="11">
        <f t="shared" si="148"/>
        <v>0</v>
      </c>
      <c r="GO57" s="11">
        <f t="shared" si="149"/>
        <v>0</v>
      </c>
      <c r="GP57" s="11">
        <f t="shared" si="150"/>
        <v>0</v>
      </c>
      <c r="GQ57" s="11">
        <f t="shared" si="151"/>
        <v>0</v>
      </c>
      <c r="GR57" s="11">
        <f t="shared" si="152"/>
        <v>1</v>
      </c>
      <c r="GS57" s="11">
        <f t="shared" si="153"/>
        <v>0</v>
      </c>
      <c r="GT57" s="11">
        <f t="shared" si="154"/>
        <v>0</v>
      </c>
      <c r="GU57" s="12">
        <f t="shared" si="155"/>
        <v>0</v>
      </c>
      <c r="GV57" s="12">
        <f t="shared" si="156"/>
        <v>0</v>
      </c>
      <c r="GW57" s="12">
        <f t="shared" si="157"/>
        <v>0</v>
      </c>
      <c r="GX57" s="12">
        <f t="shared" si="158"/>
        <v>0</v>
      </c>
      <c r="GY57" s="12">
        <f t="shared" si="159"/>
        <v>0</v>
      </c>
      <c r="GZ57" s="12">
        <f t="shared" si="160"/>
        <v>0</v>
      </c>
      <c r="HA57" s="12">
        <f t="shared" si="161"/>
        <v>0</v>
      </c>
      <c r="HB57" s="12">
        <f t="shared" si="162"/>
        <v>0</v>
      </c>
      <c r="HC57" s="12">
        <f t="shared" si="163"/>
        <v>0</v>
      </c>
      <c r="HD57" s="12">
        <f t="shared" si="164"/>
        <v>0</v>
      </c>
      <c r="HE57" s="12">
        <f t="shared" si="165"/>
        <v>0</v>
      </c>
      <c r="HF57" s="12">
        <f t="shared" si="166"/>
        <v>0</v>
      </c>
      <c r="HG57" s="12">
        <f t="shared" si="167"/>
        <v>0</v>
      </c>
      <c r="HH57" s="12">
        <f t="shared" si="168"/>
        <v>0</v>
      </c>
      <c r="HI57" s="12">
        <f t="shared" si="169"/>
        <v>0</v>
      </c>
      <c r="HJ57" s="12">
        <f t="shared" si="170"/>
        <v>0</v>
      </c>
      <c r="HK57" s="12">
        <f t="shared" si="171"/>
        <v>0</v>
      </c>
      <c r="HL57" s="12">
        <f t="shared" si="172"/>
        <v>0</v>
      </c>
      <c r="HM57" s="12">
        <f t="shared" si="173"/>
        <v>0</v>
      </c>
      <c r="HN57" s="12">
        <f t="shared" si="174"/>
        <v>0</v>
      </c>
      <c r="HO57" s="12">
        <f t="shared" si="175"/>
        <v>0</v>
      </c>
      <c r="HP57" s="12">
        <f t="shared" si="176"/>
        <v>0</v>
      </c>
      <c r="HQ57" s="12">
        <f t="shared" si="177"/>
        <v>0</v>
      </c>
      <c r="HR57" s="12">
        <f t="shared" si="178"/>
        <v>0</v>
      </c>
      <c r="HS57" s="12">
        <f t="shared" si="179"/>
        <v>0</v>
      </c>
      <c r="HT57" s="12">
        <f t="shared" si="180"/>
        <v>0</v>
      </c>
      <c r="HU57" s="12">
        <f t="shared" si="181"/>
        <v>0</v>
      </c>
      <c r="HV57" s="12">
        <f t="shared" si="182"/>
        <v>0</v>
      </c>
      <c r="HW57" s="12">
        <f t="shared" si="183"/>
        <v>0</v>
      </c>
      <c r="HX57" s="12">
        <f t="shared" si="184"/>
        <v>0</v>
      </c>
      <c r="HY57" s="12">
        <f t="shared" si="185"/>
        <v>0</v>
      </c>
      <c r="HZ57" s="12">
        <f t="shared" si="186"/>
        <v>0</v>
      </c>
      <c r="IA57" s="12">
        <f t="shared" si="187"/>
        <v>0</v>
      </c>
      <c r="IB57" s="12">
        <f t="shared" si="188"/>
        <v>0</v>
      </c>
      <c r="IC57" s="12">
        <f t="shared" si="189"/>
        <v>0</v>
      </c>
      <c r="ID57" s="12">
        <f t="shared" si="190"/>
        <v>0</v>
      </c>
      <c r="IE57" s="12">
        <f t="shared" si="191"/>
        <v>0</v>
      </c>
      <c r="IF57" s="12">
        <f t="shared" si="192"/>
        <v>0</v>
      </c>
      <c r="IG57" s="12">
        <f t="shared" si="193"/>
        <v>0</v>
      </c>
      <c r="IH57" s="12">
        <f t="shared" si="194"/>
        <v>0</v>
      </c>
      <c r="II57" s="12">
        <f t="shared" si="195"/>
        <v>0</v>
      </c>
      <c r="IJ57" s="12">
        <f t="shared" si="196"/>
        <v>0</v>
      </c>
      <c r="IK57" s="12">
        <f t="shared" si="197"/>
        <v>0</v>
      </c>
      <c r="IL57" s="12">
        <f t="shared" si="198"/>
        <v>0</v>
      </c>
      <c r="IM57" s="12">
        <f t="shared" si="199"/>
        <v>0</v>
      </c>
      <c r="IN57" s="12">
        <f t="shared" si="200"/>
        <v>0</v>
      </c>
      <c r="IO57" s="12">
        <f t="shared" si="201"/>
        <v>0</v>
      </c>
      <c r="IP57" s="12">
        <f t="shared" si="202"/>
        <v>0</v>
      </c>
      <c r="IQ57" s="12">
        <f t="shared" si="203"/>
        <v>0</v>
      </c>
      <c r="IR57" s="12">
        <f t="shared" si="204"/>
        <v>0</v>
      </c>
      <c r="IS57" s="12">
        <f t="shared" si="205"/>
        <v>0</v>
      </c>
      <c r="IT57" s="12">
        <f t="shared" si="206"/>
        <v>0</v>
      </c>
      <c r="IU57" s="12">
        <f t="shared" si="207"/>
        <v>0</v>
      </c>
      <c r="IV57" s="12">
        <f t="shared" si="208"/>
        <v>0</v>
      </c>
      <c r="IW57" s="12">
        <f t="shared" si="209"/>
        <v>0</v>
      </c>
      <c r="IX57" s="12">
        <f t="shared" si="210"/>
        <v>0</v>
      </c>
      <c r="IY57" s="12">
        <f t="shared" si="211"/>
        <v>0</v>
      </c>
      <c r="IZ57" s="12">
        <f t="shared" si="212"/>
        <v>1</v>
      </c>
      <c r="JA57" s="13">
        <f t="shared" si="213"/>
        <v>0</v>
      </c>
      <c r="JB57" s="13">
        <f t="shared" si="214"/>
        <v>0</v>
      </c>
      <c r="JC57" s="13">
        <f t="shared" si="215"/>
        <v>1</v>
      </c>
      <c r="JD57" s="13">
        <f t="shared" si="216"/>
        <v>0</v>
      </c>
      <c r="JE57" s="13">
        <f t="shared" si="217"/>
        <v>0</v>
      </c>
      <c r="JF57" s="13">
        <f t="shared" si="218"/>
        <v>0</v>
      </c>
      <c r="JG57" s="13">
        <f t="shared" si="219"/>
        <v>0</v>
      </c>
      <c r="JH57" s="13">
        <f t="shared" si="220"/>
        <v>0</v>
      </c>
      <c r="JI57" s="13">
        <f t="shared" si="221"/>
        <v>0</v>
      </c>
      <c r="JJ57" s="13">
        <f t="shared" si="222"/>
        <v>0</v>
      </c>
      <c r="JK57" s="13">
        <f t="shared" si="223"/>
        <v>0</v>
      </c>
      <c r="JL57" s="13">
        <f t="shared" si="224"/>
        <v>0</v>
      </c>
      <c r="JM57" s="13">
        <f t="shared" si="225"/>
        <v>0</v>
      </c>
      <c r="JN57" s="13">
        <f t="shared" si="226"/>
        <v>0</v>
      </c>
      <c r="JO57" s="13">
        <f t="shared" si="227"/>
        <v>0</v>
      </c>
      <c r="JP57" s="13">
        <f t="shared" si="228"/>
        <v>0</v>
      </c>
      <c r="JQ57" s="13">
        <f t="shared" si="229"/>
        <v>1</v>
      </c>
      <c r="JR57" s="13">
        <f t="shared" si="230"/>
        <v>0</v>
      </c>
      <c r="JS57" s="13">
        <f t="shared" si="231"/>
        <v>0</v>
      </c>
      <c r="JT57" s="13">
        <f t="shared" si="232"/>
        <v>0</v>
      </c>
      <c r="JU57" s="13">
        <f t="shared" si="233"/>
        <v>0</v>
      </c>
      <c r="JV57" s="12">
        <f t="shared" si="234"/>
        <v>0</v>
      </c>
      <c r="JW57" s="12">
        <f t="shared" si="235"/>
        <v>0</v>
      </c>
      <c r="JX57" s="12">
        <f t="shared" si="236"/>
        <v>0</v>
      </c>
      <c r="JY57" s="12">
        <f t="shared" si="237"/>
        <v>0</v>
      </c>
      <c r="JZ57" s="12">
        <f t="shared" si="238"/>
        <v>0</v>
      </c>
      <c r="KA57" s="12">
        <f t="shared" si="239"/>
        <v>0</v>
      </c>
      <c r="KB57" s="12">
        <f t="shared" si="240"/>
        <v>0</v>
      </c>
      <c r="KC57" s="12">
        <f t="shared" si="241"/>
        <v>0</v>
      </c>
      <c r="KD57" s="12">
        <f t="shared" si="242"/>
        <v>0</v>
      </c>
      <c r="KE57" s="12">
        <f t="shared" si="243"/>
        <v>0</v>
      </c>
      <c r="KF57" s="12">
        <f t="shared" si="244"/>
        <v>0</v>
      </c>
      <c r="KG57" s="12">
        <f t="shared" si="245"/>
        <v>0</v>
      </c>
      <c r="KH57" s="12">
        <f t="shared" si="246"/>
        <v>0</v>
      </c>
      <c r="KI57" s="12">
        <f t="shared" si="247"/>
        <v>0</v>
      </c>
      <c r="KJ57" s="12">
        <f t="shared" si="248"/>
        <v>0</v>
      </c>
      <c r="KK57" s="12">
        <f t="shared" si="249"/>
        <v>0</v>
      </c>
      <c r="KL57" s="12">
        <f t="shared" si="250"/>
        <v>0</v>
      </c>
      <c r="KM57" s="12">
        <f t="shared" si="251"/>
        <v>0</v>
      </c>
      <c r="KN57" s="12">
        <f t="shared" si="252"/>
        <v>0</v>
      </c>
      <c r="KO57" s="12">
        <f t="shared" si="253"/>
        <v>0</v>
      </c>
      <c r="KP57" s="12">
        <f t="shared" si="254"/>
        <v>0</v>
      </c>
      <c r="KQ57" s="12">
        <f t="shared" si="255"/>
        <v>0</v>
      </c>
      <c r="KR57" s="12">
        <f t="shared" si="256"/>
        <v>0</v>
      </c>
      <c r="KS57" s="12">
        <f t="shared" si="257"/>
        <v>0</v>
      </c>
      <c r="KT57" s="12">
        <f t="shared" si="258"/>
        <v>0</v>
      </c>
      <c r="KU57" s="12">
        <f t="shared" si="259"/>
        <v>0</v>
      </c>
      <c r="KV57" s="12">
        <f t="shared" si="260"/>
        <v>0</v>
      </c>
      <c r="KW57" s="12">
        <f t="shared" si="261"/>
        <v>0</v>
      </c>
      <c r="KX57" s="12">
        <f t="shared" si="262"/>
        <v>0</v>
      </c>
      <c r="KY57" s="12">
        <f t="shared" si="263"/>
        <v>0</v>
      </c>
      <c r="KZ57" s="12">
        <f t="shared" si="264"/>
        <v>0</v>
      </c>
      <c r="LA57" s="12">
        <f t="shared" si="265"/>
        <v>0</v>
      </c>
      <c r="LB57" s="12">
        <f t="shared" si="266"/>
        <v>0</v>
      </c>
      <c r="LC57" s="12">
        <f t="shared" si="267"/>
        <v>0</v>
      </c>
      <c r="LD57" s="12">
        <f t="shared" si="268"/>
        <v>0</v>
      </c>
      <c r="LE57" s="12">
        <f t="shared" si="269"/>
        <v>0</v>
      </c>
      <c r="LF57" s="12">
        <f t="shared" si="270"/>
        <v>0</v>
      </c>
      <c r="LG57" s="12">
        <f t="shared" si="271"/>
        <v>0</v>
      </c>
      <c r="LH57" s="12">
        <f t="shared" si="272"/>
        <v>0</v>
      </c>
      <c r="LI57" s="12">
        <f t="shared" si="273"/>
        <v>0</v>
      </c>
      <c r="LJ57" s="12">
        <f t="shared" si="274"/>
        <v>0</v>
      </c>
      <c r="LK57" s="12">
        <f t="shared" si="275"/>
        <v>0</v>
      </c>
      <c r="LL57" s="12">
        <f t="shared" si="276"/>
        <v>0</v>
      </c>
      <c r="LM57" s="12">
        <f t="shared" si="277"/>
        <v>0</v>
      </c>
      <c r="LN57" s="12">
        <f t="shared" si="278"/>
        <v>0</v>
      </c>
      <c r="LO57" s="12">
        <f t="shared" si="279"/>
        <v>0</v>
      </c>
      <c r="LP57" s="12">
        <f t="shared" si="280"/>
        <v>0</v>
      </c>
      <c r="LQ57" s="12">
        <f t="shared" si="281"/>
        <v>0</v>
      </c>
      <c r="LR57" s="12">
        <f t="shared" si="282"/>
        <v>0</v>
      </c>
      <c r="LS57" s="12">
        <f t="shared" si="283"/>
        <v>0</v>
      </c>
      <c r="LT57" s="13">
        <f t="shared" si="284"/>
        <v>0</v>
      </c>
      <c r="LU57" s="13">
        <f t="shared" si="285"/>
        <v>0</v>
      </c>
      <c r="LV57" s="13">
        <f t="shared" si="286"/>
        <v>0</v>
      </c>
      <c r="LW57" s="13">
        <f t="shared" si="287"/>
        <v>0</v>
      </c>
      <c r="LX57" s="13">
        <f t="shared" si="288"/>
        <v>0</v>
      </c>
      <c r="LY57" s="13">
        <f t="shared" si="289"/>
        <v>0</v>
      </c>
      <c r="LZ57" s="13">
        <f t="shared" si="290"/>
        <v>0</v>
      </c>
      <c r="MA57" s="13">
        <f t="shared" si="291"/>
        <v>0</v>
      </c>
      <c r="MB57" s="13">
        <f t="shared" si="292"/>
        <v>0</v>
      </c>
      <c r="MC57" s="13">
        <f t="shared" si="293"/>
        <v>0</v>
      </c>
      <c r="MD57" s="13">
        <f t="shared" si="294"/>
        <v>0</v>
      </c>
      <c r="ME57" s="13">
        <f t="shared" si="295"/>
        <v>0</v>
      </c>
      <c r="MF57" s="13">
        <f t="shared" si="296"/>
        <v>0</v>
      </c>
      <c r="MG57" s="13">
        <f t="shared" si="297"/>
        <v>0</v>
      </c>
      <c r="MH57" s="13">
        <f t="shared" si="298"/>
        <v>0</v>
      </c>
      <c r="MI57" s="13">
        <f t="shared" si="299"/>
        <v>0</v>
      </c>
      <c r="MJ57" s="13">
        <f t="shared" si="300"/>
        <v>0</v>
      </c>
      <c r="MK57" s="13">
        <f t="shared" si="301"/>
        <v>0</v>
      </c>
      <c r="ML57" s="14">
        <f t="shared" si="302"/>
        <v>0</v>
      </c>
      <c r="MM57" s="14">
        <f t="shared" si="303"/>
        <v>0</v>
      </c>
      <c r="MN57" s="14">
        <f t="shared" si="304"/>
        <v>0</v>
      </c>
      <c r="MO57" s="14">
        <f t="shared" si="305"/>
        <v>0</v>
      </c>
      <c r="MP57" s="14">
        <f t="shared" si="306"/>
        <v>0</v>
      </c>
      <c r="MQ57" s="14">
        <f t="shared" si="307"/>
        <v>0</v>
      </c>
      <c r="MR57" s="14">
        <f t="shared" si="308"/>
        <v>0</v>
      </c>
      <c r="MS57" s="14">
        <f t="shared" si="309"/>
        <v>0</v>
      </c>
      <c r="MT57" s="14">
        <f t="shared" si="310"/>
        <v>0</v>
      </c>
      <c r="MU57" s="14">
        <f t="shared" si="311"/>
        <v>0</v>
      </c>
      <c r="MV57" s="14">
        <f t="shared" si="312"/>
        <v>0</v>
      </c>
      <c r="MW57" s="14">
        <f t="shared" si="313"/>
        <v>0</v>
      </c>
      <c r="MX57" s="14">
        <f t="shared" si="314"/>
        <v>0</v>
      </c>
      <c r="MY57" s="14">
        <f t="shared" si="315"/>
        <v>0</v>
      </c>
      <c r="MZ57" s="14">
        <f t="shared" si="316"/>
        <v>0</v>
      </c>
      <c r="NA57" s="14">
        <f t="shared" si="317"/>
        <v>0</v>
      </c>
      <c r="NB57" s="14">
        <f t="shared" si="318"/>
        <v>0</v>
      </c>
    </row>
    <row r="58" ht="15.75" customHeight="1">
      <c r="A58" s="2">
        <v>187.0</v>
      </c>
      <c r="B58" s="2" t="s">
        <v>1377</v>
      </c>
      <c r="C58" s="2" t="s">
        <v>1378</v>
      </c>
      <c r="D58" s="2" t="s">
        <v>1379</v>
      </c>
      <c r="E58" s="2">
        <v>2020.0</v>
      </c>
      <c r="F58" s="2" t="s">
        <v>1380</v>
      </c>
      <c r="G58" s="2" t="s">
        <v>1029</v>
      </c>
      <c r="H58" s="2" t="s">
        <v>564</v>
      </c>
      <c r="I58" s="2" t="s">
        <v>1381</v>
      </c>
      <c r="M58" s="2">
        <v>25.0</v>
      </c>
      <c r="N58" s="2" t="s">
        <v>1382</v>
      </c>
      <c r="O58" s="2" t="s">
        <v>1383</v>
      </c>
      <c r="P58" s="2" t="s">
        <v>1384</v>
      </c>
      <c r="Q58" s="2" t="s">
        <v>1385</v>
      </c>
      <c r="R58" s="2" t="s">
        <v>1386</v>
      </c>
      <c r="S58" s="2" t="s">
        <v>1387</v>
      </c>
      <c r="T58" s="2" t="s">
        <v>1388</v>
      </c>
      <c r="Y58" s="2" t="s">
        <v>1389</v>
      </c>
      <c r="AB58" s="2" t="s">
        <v>687</v>
      </c>
      <c r="AG58" s="2" t="s">
        <v>1390</v>
      </c>
      <c r="AK58" s="2" t="s">
        <v>1391</v>
      </c>
      <c r="AL58" s="2" t="s">
        <v>384</v>
      </c>
      <c r="AM58" s="2" t="s">
        <v>484</v>
      </c>
      <c r="AN58" s="2" t="s">
        <v>386</v>
      </c>
      <c r="AO58" s="2" t="s">
        <v>1392</v>
      </c>
      <c r="AP58" s="2" t="s">
        <v>386</v>
      </c>
      <c r="AQ58" s="2">
        <v>760.0</v>
      </c>
      <c r="AR58" s="2" t="s">
        <v>1393</v>
      </c>
      <c r="AS58" s="2" t="b">
        <v>1</v>
      </c>
      <c r="AT58" s="3">
        <v>0.0</v>
      </c>
      <c r="AU58" s="4"/>
      <c r="AV58" s="4"/>
      <c r="AW58" s="5">
        <f t="shared" si="432"/>
        <v>0</v>
      </c>
      <c r="AX58" s="5">
        <f t="shared" si="4"/>
        <v>0</v>
      </c>
      <c r="AY58" s="5">
        <f t="shared" si="5"/>
        <v>0</v>
      </c>
      <c r="AZ58" s="5">
        <f t="shared" si="6"/>
        <v>0</v>
      </c>
      <c r="BA58" s="5">
        <f t="shared" si="7"/>
        <v>0</v>
      </c>
      <c r="BB58" s="5">
        <f t="shared" si="8"/>
        <v>0</v>
      </c>
      <c r="BC58" s="5">
        <f t="shared" si="9"/>
        <v>0</v>
      </c>
      <c r="BD58" s="5">
        <f t="shared" si="10"/>
        <v>0</v>
      </c>
      <c r="BE58" s="5">
        <f t="shared" si="11"/>
        <v>0</v>
      </c>
      <c r="BF58" s="5">
        <f t="shared" si="12"/>
        <v>0</v>
      </c>
      <c r="BG58" s="5">
        <f t="shared" si="13"/>
        <v>0</v>
      </c>
      <c r="BH58" s="5">
        <f t="shared" si="14"/>
        <v>0</v>
      </c>
      <c r="BI58" s="5">
        <f t="shared" si="15"/>
        <v>0</v>
      </c>
      <c r="BJ58" s="5">
        <f t="shared" si="16"/>
        <v>0</v>
      </c>
      <c r="BK58" s="5">
        <f t="shared" si="17"/>
        <v>0</v>
      </c>
      <c r="BL58" s="5">
        <f t="shared" si="18"/>
        <v>0</v>
      </c>
      <c r="BM58" s="5">
        <f t="shared" si="19"/>
        <v>0</v>
      </c>
      <c r="BN58" s="5">
        <f t="shared" si="20"/>
        <v>0</v>
      </c>
      <c r="BO58" s="5">
        <f t="shared" si="21"/>
        <v>0</v>
      </c>
      <c r="BP58" s="5">
        <f t="shared" si="22"/>
        <v>0</v>
      </c>
      <c r="BQ58" s="5">
        <f t="shared" si="23"/>
        <v>0</v>
      </c>
      <c r="BR58" s="5">
        <f t="shared" si="24"/>
        <v>0</v>
      </c>
      <c r="BS58" s="5">
        <f t="shared" si="25"/>
        <v>0</v>
      </c>
      <c r="BT58" s="5">
        <f t="shared" si="26"/>
        <v>0</v>
      </c>
      <c r="BU58" s="5">
        <f t="shared" si="27"/>
        <v>1</v>
      </c>
      <c r="BV58" s="5">
        <f t="shared" ref="BV58:BW58" si="446">IF(OR(ISNUMBER(SEARCH("grit",$D58)),ISNUMBER(SEARCH("grit",$T58)),ISNUMBER(SEARCH("grit",$R58)),ISNUMBER(SEARCH("grit",$S58)),
ISNUMBER(SEARCH("determination",$D58)),ISNUMBER(SEARCH("determination",$T58)),ISNUMBER(SEARCH("determination",$R58)),ISNUMBER(SEARCH("determination",$S58)),
ISNUMBER(SEARCH("tenacity",$D58)),ISNUMBER(SEARCH("tenacity",$T58)),ISNUMBER(SEARCH("tenacity",$R58)),ISNUMBER(SEARCH("tenacity",$S58)),
ISNUMBER(SEARCH("endurance",$D58)),ISNUMBER(SEARCH("endurance",$T58)),ISNUMBER(SEARCH("endurance",$R58)),ISNUMBER(SEARCH("endurance",$S58)),
ISNUMBER(SEARCH("fortitude",$D58)),ISNUMBER(SEARCH("fortitude",$T58)),ISNUMBER(SEARCH("fortitude",$R58)),ISNUMBER(SEARCH("fortitude",$S58)),
ISNUMBER(SEARCH("resolve",$D58)),ISNUMBER(SEARCH("resolve",$T58)),ISNUMBER(SEARCH("resolve",$R58)),ISNUMBER(SEARCH("resolve",$S58)),
ISNUMBER(SEARCH("stamina",$D58)),ISNUMBER(SEARCH("stamina",$T58)),ISNUMBER(SEARCH("stamina",$R58)),ISNUMBER(SEARCH("stamina",$S58)),
ISNUMBER(SEARCH("guts",$D58)),ISNUMBER(SEARCH("guts",$T58)),ISNUMBER(SEARCH("guts",$R58)),ISNUMBER(SEARCH("guts",$S58)),
ISNUMBER(SEARCH("spunk",$D58)),ISNUMBER(SEARCH("spunk",$T58)),ISNUMBER(SEARCH("spunk",$R58)),ISNUMBER(SEARCH("spunk",$S58))), 1, 0)</f>
        <v>0</v>
      </c>
      <c r="BW58" s="5">
        <f t="shared" si="446"/>
        <v>0</v>
      </c>
      <c r="BX58" s="5">
        <f t="shared" si="29"/>
        <v>0</v>
      </c>
      <c r="BY58" s="5">
        <f t="shared" si="30"/>
        <v>0</v>
      </c>
      <c r="BZ58" s="5">
        <f t="shared" si="31"/>
        <v>0</v>
      </c>
      <c r="CA58" s="5">
        <f t="shared" si="32"/>
        <v>0</v>
      </c>
      <c r="CB58" s="5">
        <f t="shared" si="33"/>
        <v>0</v>
      </c>
      <c r="CC58" s="5">
        <f t="shared" si="34"/>
        <v>0</v>
      </c>
      <c r="CD58" s="5">
        <f t="shared" si="35"/>
        <v>0</v>
      </c>
      <c r="CE58" s="5">
        <f t="shared" si="36"/>
        <v>0</v>
      </c>
      <c r="CF58" s="5">
        <f t="shared" si="37"/>
        <v>0</v>
      </c>
      <c r="CG58" s="5">
        <f t="shared" si="38"/>
        <v>0</v>
      </c>
      <c r="CH58" s="5">
        <f t="shared" si="39"/>
        <v>0</v>
      </c>
      <c r="CI58" s="5">
        <f t="shared" si="40"/>
        <v>0</v>
      </c>
      <c r="CJ58" s="5">
        <f t="shared" si="41"/>
        <v>0</v>
      </c>
      <c r="CK58" s="5">
        <f t="shared" si="42"/>
        <v>0</v>
      </c>
      <c r="CL58" s="5">
        <f t="shared" si="43"/>
        <v>0</v>
      </c>
      <c r="CM58" s="5">
        <f t="shared" si="44"/>
        <v>0</v>
      </c>
      <c r="CN58" s="5">
        <f t="shared" si="45"/>
        <v>0</v>
      </c>
      <c r="CO58" s="5">
        <f t="shared" si="46"/>
        <v>0</v>
      </c>
      <c r="CP58" s="6">
        <f t="shared" si="47"/>
        <v>0</v>
      </c>
      <c r="CQ58" s="6">
        <f t="shared" si="48"/>
        <v>0</v>
      </c>
      <c r="CR58" s="6">
        <f t="shared" si="49"/>
        <v>0</v>
      </c>
      <c r="CS58" s="6">
        <f t="shared" si="50"/>
        <v>0</v>
      </c>
      <c r="CT58" s="6">
        <f t="shared" si="51"/>
        <v>0</v>
      </c>
      <c r="CU58" s="6">
        <f t="shared" si="52"/>
        <v>0</v>
      </c>
      <c r="CV58" s="6">
        <f t="shared" si="53"/>
        <v>0</v>
      </c>
      <c r="CW58" s="6">
        <f t="shared" si="54"/>
        <v>1</v>
      </c>
      <c r="CX58" s="6">
        <f t="shared" si="55"/>
        <v>0</v>
      </c>
      <c r="CY58" s="6">
        <f t="shared" si="56"/>
        <v>0</v>
      </c>
      <c r="CZ58" s="6">
        <f t="shared" si="57"/>
        <v>0</v>
      </c>
      <c r="DA58" s="6">
        <f t="shared" si="58"/>
        <v>0</v>
      </c>
      <c r="DB58" s="6">
        <f t="shared" si="59"/>
        <v>0</v>
      </c>
      <c r="DC58" s="6">
        <f t="shared" si="60"/>
        <v>0</v>
      </c>
      <c r="DD58" s="6">
        <f t="shared" si="61"/>
        <v>0</v>
      </c>
      <c r="DE58" s="6">
        <f t="shared" si="62"/>
        <v>0</v>
      </c>
      <c r="DF58" s="6">
        <f t="shared" si="63"/>
        <v>0</v>
      </c>
      <c r="DG58" s="6">
        <f t="shared" si="64"/>
        <v>0</v>
      </c>
      <c r="DH58" s="6">
        <f t="shared" si="434"/>
        <v>0</v>
      </c>
      <c r="DI58" s="6">
        <f t="shared" si="66"/>
        <v>0</v>
      </c>
      <c r="DJ58" s="6">
        <f t="shared" si="435"/>
        <v>0</v>
      </c>
      <c r="DK58" s="7">
        <f t="shared" si="68"/>
        <v>0</v>
      </c>
      <c r="DL58" s="7">
        <f t="shared" si="411"/>
        <v>0</v>
      </c>
      <c r="DM58" s="7">
        <f t="shared" si="70"/>
        <v>0</v>
      </c>
      <c r="DN58" s="7">
        <f t="shared" si="71"/>
        <v>0</v>
      </c>
      <c r="DO58" s="7">
        <f t="shared" si="72"/>
        <v>0</v>
      </c>
      <c r="DP58" s="8">
        <f t="shared" si="73"/>
        <v>0</v>
      </c>
      <c r="DQ58" s="8">
        <f t="shared" si="74"/>
        <v>1</v>
      </c>
      <c r="DR58" s="7">
        <f t="shared" si="75"/>
        <v>0</v>
      </c>
      <c r="DS58" s="7">
        <f t="shared" si="76"/>
        <v>0</v>
      </c>
      <c r="DT58" s="7">
        <f t="shared" si="77"/>
        <v>0</v>
      </c>
      <c r="DU58" s="9">
        <f t="shared" si="78"/>
        <v>0</v>
      </c>
      <c r="DV58" s="9">
        <f t="shared" si="79"/>
        <v>0</v>
      </c>
      <c r="DW58" s="9">
        <f t="shared" si="80"/>
        <v>0</v>
      </c>
      <c r="DX58" s="9">
        <f t="shared" si="81"/>
        <v>0</v>
      </c>
      <c r="DY58" s="9">
        <f t="shared" si="82"/>
        <v>0</v>
      </c>
      <c r="DZ58" s="9">
        <f t="shared" si="83"/>
        <v>0</v>
      </c>
      <c r="EA58" s="9">
        <f t="shared" si="84"/>
        <v>0</v>
      </c>
      <c r="EB58" s="9">
        <f t="shared" si="85"/>
        <v>0</v>
      </c>
      <c r="EC58" s="9">
        <f t="shared" si="86"/>
        <v>0</v>
      </c>
      <c r="ED58" s="9">
        <f t="shared" si="87"/>
        <v>0</v>
      </c>
      <c r="EE58" s="9">
        <f t="shared" si="88"/>
        <v>0</v>
      </c>
      <c r="EF58" s="9">
        <f t="shared" si="89"/>
        <v>0</v>
      </c>
      <c r="EG58" s="9">
        <f t="shared" si="90"/>
        <v>0</v>
      </c>
      <c r="EH58" s="9">
        <f t="shared" si="91"/>
        <v>0</v>
      </c>
      <c r="EI58" s="9">
        <f t="shared" si="92"/>
        <v>0</v>
      </c>
      <c r="EJ58" s="10">
        <f t="shared" si="93"/>
        <v>0</v>
      </c>
      <c r="EK58" s="10">
        <f t="shared" si="94"/>
        <v>0</v>
      </c>
      <c r="EL58" s="10">
        <f t="shared" ref="EL58:EM58" si="447">IF(OR(ISNUMBER(SEARCH("ai software toolkit", $D58)), ISNUMBER(SEARCH("ai software toolkit", $T58)), ISNUMBER(SEARCH("ai software toolkit", $R58)), ISNUMBER(SEARCH("ai software toolkit", $S58))), 1, 0)</f>
        <v>0</v>
      </c>
      <c r="EM58" s="10">
        <f t="shared" si="447"/>
        <v>0</v>
      </c>
      <c r="EN58" s="10">
        <f t="shared" si="96"/>
        <v>0</v>
      </c>
      <c r="EO58" s="10">
        <f t="shared" si="97"/>
        <v>0</v>
      </c>
      <c r="EP58" s="10">
        <f t="shared" si="98"/>
        <v>0</v>
      </c>
      <c r="EQ58" s="10">
        <f t="shared" si="99"/>
        <v>0</v>
      </c>
      <c r="ER58" s="10">
        <f t="shared" si="100"/>
        <v>0</v>
      </c>
      <c r="ES58" s="10">
        <f t="shared" si="101"/>
        <v>0</v>
      </c>
      <c r="ET58" s="10">
        <f t="shared" si="102"/>
        <v>0</v>
      </c>
      <c r="EU58" s="10">
        <f t="shared" si="103"/>
        <v>0</v>
      </c>
      <c r="EV58" s="10">
        <f t="shared" si="104"/>
        <v>0</v>
      </c>
      <c r="EW58" s="10">
        <f t="shared" si="105"/>
        <v>0</v>
      </c>
      <c r="EX58" s="10">
        <f t="shared" si="106"/>
        <v>0</v>
      </c>
      <c r="EY58" s="10">
        <f t="shared" si="107"/>
        <v>0</v>
      </c>
      <c r="EZ58" s="10">
        <f t="shared" si="108"/>
        <v>0</v>
      </c>
      <c r="FA58" s="10">
        <f t="shared" si="109"/>
        <v>0</v>
      </c>
      <c r="FB58" s="10">
        <f t="shared" si="110"/>
        <v>0</v>
      </c>
      <c r="FC58" s="10">
        <f t="shared" si="111"/>
        <v>0</v>
      </c>
      <c r="FD58" s="10">
        <f t="shared" si="112"/>
        <v>0</v>
      </c>
      <c r="FE58" s="10">
        <f t="shared" si="113"/>
        <v>1</v>
      </c>
      <c r="FF58" s="10">
        <f t="shared" si="114"/>
        <v>0</v>
      </c>
      <c r="FG58" s="10">
        <f t="shared" si="115"/>
        <v>0</v>
      </c>
      <c r="FH58" s="10">
        <f t="shared" si="116"/>
        <v>0</v>
      </c>
      <c r="FI58" s="10">
        <f t="shared" si="117"/>
        <v>0</v>
      </c>
      <c r="FJ58" s="10">
        <f t="shared" si="118"/>
        <v>0</v>
      </c>
      <c r="FK58" s="10">
        <f t="shared" si="119"/>
        <v>0</v>
      </c>
      <c r="FL58" s="10">
        <f t="shared" si="120"/>
        <v>0</v>
      </c>
      <c r="FM58" s="10">
        <f t="shared" si="121"/>
        <v>0</v>
      </c>
      <c r="FN58" s="10">
        <f t="shared" si="122"/>
        <v>0</v>
      </c>
      <c r="FO58" s="10">
        <f t="shared" si="123"/>
        <v>0</v>
      </c>
      <c r="FP58" s="10">
        <f t="shared" si="124"/>
        <v>0</v>
      </c>
      <c r="FQ58" s="10">
        <f t="shared" si="125"/>
        <v>1</v>
      </c>
      <c r="FR58" s="11">
        <f t="shared" si="437"/>
        <v>0</v>
      </c>
      <c r="FS58" s="11">
        <f t="shared" si="127"/>
        <v>0</v>
      </c>
      <c r="FT58" s="11">
        <f t="shared" si="128"/>
        <v>0</v>
      </c>
      <c r="FU58" s="11">
        <f t="shared" si="129"/>
        <v>0</v>
      </c>
      <c r="FV58" s="11">
        <f t="shared" si="130"/>
        <v>0</v>
      </c>
      <c r="FW58" s="11">
        <f t="shared" si="131"/>
        <v>0</v>
      </c>
      <c r="FX58" s="11">
        <f t="shared" si="132"/>
        <v>0</v>
      </c>
      <c r="FY58" s="11">
        <f t="shared" si="133"/>
        <v>0</v>
      </c>
      <c r="FZ58" s="11">
        <f t="shared" si="134"/>
        <v>0</v>
      </c>
      <c r="GA58" s="11">
        <f t="shared" si="135"/>
        <v>0</v>
      </c>
      <c r="GB58" s="11">
        <f t="shared" si="136"/>
        <v>0</v>
      </c>
      <c r="GC58" s="11">
        <f t="shared" si="137"/>
        <v>0</v>
      </c>
      <c r="GD58" s="11">
        <f t="shared" si="138"/>
        <v>0</v>
      </c>
      <c r="GE58" s="11">
        <f t="shared" si="139"/>
        <v>0</v>
      </c>
      <c r="GF58" s="11">
        <f t="shared" si="140"/>
        <v>0</v>
      </c>
      <c r="GG58" s="11">
        <f t="shared" si="141"/>
        <v>0</v>
      </c>
      <c r="GH58" s="11">
        <f t="shared" si="142"/>
        <v>0</v>
      </c>
      <c r="GI58" s="11">
        <f t="shared" si="143"/>
        <v>0</v>
      </c>
      <c r="GJ58" s="11">
        <f t="shared" si="144"/>
        <v>0</v>
      </c>
      <c r="GK58" s="11">
        <f t="shared" si="145"/>
        <v>0</v>
      </c>
      <c r="GL58" s="11">
        <f t="shared" si="146"/>
        <v>0</v>
      </c>
      <c r="GM58" s="11">
        <f t="shared" si="147"/>
        <v>0</v>
      </c>
      <c r="GN58" s="11">
        <f t="shared" si="148"/>
        <v>0</v>
      </c>
      <c r="GO58" s="11">
        <f t="shared" si="149"/>
        <v>0</v>
      </c>
      <c r="GP58" s="11">
        <f t="shared" si="150"/>
        <v>0</v>
      </c>
      <c r="GQ58" s="11">
        <f t="shared" si="151"/>
        <v>0</v>
      </c>
      <c r="GR58" s="11">
        <f t="shared" si="152"/>
        <v>1</v>
      </c>
      <c r="GS58" s="11">
        <f t="shared" si="153"/>
        <v>0</v>
      </c>
      <c r="GT58" s="11">
        <f t="shared" si="154"/>
        <v>0</v>
      </c>
      <c r="GU58" s="12">
        <f t="shared" si="155"/>
        <v>0</v>
      </c>
      <c r="GV58" s="12">
        <f t="shared" si="156"/>
        <v>0</v>
      </c>
      <c r="GW58" s="12">
        <f t="shared" si="157"/>
        <v>0</v>
      </c>
      <c r="GX58" s="12">
        <f t="shared" si="158"/>
        <v>0</v>
      </c>
      <c r="GY58" s="12">
        <f t="shared" si="159"/>
        <v>0</v>
      </c>
      <c r="GZ58" s="12">
        <f t="shared" si="160"/>
        <v>0</v>
      </c>
      <c r="HA58" s="12">
        <f t="shared" si="161"/>
        <v>0</v>
      </c>
      <c r="HB58" s="12">
        <f t="shared" si="162"/>
        <v>0</v>
      </c>
      <c r="HC58" s="12">
        <f t="shared" si="163"/>
        <v>0</v>
      </c>
      <c r="HD58" s="12">
        <f t="shared" si="164"/>
        <v>0</v>
      </c>
      <c r="HE58" s="12">
        <f t="shared" si="165"/>
        <v>0</v>
      </c>
      <c r="HF58" s="12">
        <f t="shared" si="166"/>
        <v>0</v>
      </c>
      <c r="HG58" s="12">
        <f t="shared" si="167"/>
        <v>0</v>
      </c>
      <c r="HH58" s="12">
        <f t="shared" si="168"/>
        <v>0</v>
      </c>
      <c r="HI58" s="12">
        <f t="shared" si="169"/>
        <v>0</v>
      </c>
      <c r="HJ58" s="12">
        <f t="shared" si="170"/>
        <v>0</v>
      </c>
      <c r="HK58" s="12">
        <f t="shared" si="171"/>
        <v>0</v>
      </c>
      <c r="HL58" s="12">
        <f t="shared" si="172"/>
        <v>0</v>
      </c>
      <c r="HM58" s="12">
        <f t="shared" si="173"/>
        <v>0</v>
      </c>
      <c r="HN58" s="12">
        <f t="shared" si="174"/>
        <v>0</v>
      </c>
      <c r="HO58" s="12">
        <f t="shared" si="175"/>
        <v>0</v>
      </c>
      <c r="HP58" s="12">
        <f t="shared" si="176"/>
        <v>0</v>
      </c>
      <c r="HQ58" s="12">
        <f t="shared" si="177"/>
        <v>0</v>
      </c>
      <c r="HR58" s="12">
        <f t="shared" si="178"/>
        <v>0</v>
      </c>
      <c r="HS58" s="12">
        <f t="shared" si="179"/>
        <v>0</v>
      </c>
      <c r="HT58" s="12">
        <f t="shared" si="180"/>
        <v>0</v>
      </c>
      <c r="HU58" s="12">
        <f t="shared" si="181"/>
        <v>0</v>
      </c>
      <c r="HV58" s="12">
        <f t="shared" si="182"/>
        <v>0</v>
      </c>
      <c r="HW58" s="12">
        <f t="shared" si="183"/>
        <v>0</v>
      </c>
      <c r="HX58" s="12">
        <f t="shared" si="184"/>
        <v>0</v>
      </c>
      <c r="HY58" s="12">
        <f t="shared" si="185"/>
        <v>0</v>
      </c>
      <c r="HZ58" s="12">
        <f t="shared" si="186"/>
        <v>0</v>
      </c>
      <c r="IA58" s="12">
        <f t="shared" si="187"/>
        <v>0</v>
      </c>
      <c r="IB58" s="12">
        <f t="shared" si="188"/>
        <v>0</v>
      </c>
      <c r="IC58" s="12">
        <f t="shared" si="189"/>
        <v>0</v>
      </c>
      <c r="ID58" s="12">
        <f t="shared" si="190"/>
        <v>0</v>
      </c>
      <c r="IE58" s="12">
        <f t="shared" si="191"/>
        <v>0</v>
      </c>
      <c r="IF58" s="12">
        <f t="shared" si="192"/>
        <v>0</v>
      </c>
      <c r="IG58" s="12">
        <f t="shared" si="193"/>
        <v>0</v>
      </c>
      <c r="IH58" s="12">
        <f t="shared" si="194"/>
        <v>0</v>
      </c>
      <c r="II58" s="12">
        <f t="shared" si="195"/>
        <v>0</v>
      </c>
      <c r="IJ58" s="12">
        <f t="shared" si="196"/>
        <v>0</v>
      </c>
      <c r="IK58" s="12">
        <f t="shared" si="197"/>
        <v>0</v>
      </c>
      <c r="IL58" s="12">
        <f t="shared" si="198"/>
        <v>0</v>
      </c>
      <c r="IM58" s="12">
        <f t="shared" si="199"/>
        <v>0</v>
      </c>
      <c r="IN58" s="12">
        <f t="shared" si="200"/>
        <v>0</v>
      </c>
      <c r="IO58" s="12">
        <f t="shared" si="201"/>
        <v>0</v>
      </c>
      <c r="IP58" s="12">
        <f t="shared" si="202"/>
        <v>0</v>
      </c>
      <c r="IQ58" s="12">
        <f t="shared" si="203"/>
        <v>0</v>
      </c>
      <c r="IR58" s="12">
        <f t="shared" si="204"/>
        <v>0</v>
      </c>
      <c r="IS58" s="12">
        <f t="shared" si="205"/>
        <v>0</v>
      </c>
      <c r="IT58" s="12">
        <f t="shared" si="206"/>
        <v>0</v>
      </c>
      <c r="IU58" s="12">
        <f t="shared" si="207"/>
        <v>0</v>
      </c>
      <c r="IV58" s="12">
        <f t="shared" si="208"/>
        <v>0</v>
      </c>
      <c r="IW58" s="12">
        <f t="shared" si="209"/>
        <v>0</v>
      </c>
      <c r="IX58" s="12">
        <f t="shared" si="210"/>
        <v>0</v>
      </c>
      <c r="IY58" s="12">
        <f t="shared" si="211"/>
        <v>0</v>
      </c>
      <c r="IZ58" s="12">
        <f t="shared" si="212"/>
        <v>0</v>
      </c>
      <c r="JA58" s="13">
        <f t="shared" si="213"/>
        <v>0</v>
      </c>
      <c r="JB58" s="13">
        <f t="shared" si="214"/>
        <v>0</v>
      </c>
      <c r="JC58" s="13">
        <f t="shared" si="215"/>
        <v>0</v>
      </c>
      <c r="JD58" s="13">
        <f t="shared" si="216"/>
        <v>0</v>
      </c>
      <c r="JE58" s="13">
        <f t="shared" si="217"/>
        <v>0</v>
      </c>
      <c r="JF58" s="13">
        <f t="shared" si="218"/>
        <v>0</v>
      </c>
      <c r="JG58" s="13">
        <f t="shared" si="219"/>
        <v>0</v>
      </c>
      <c r="JH58" s="13">
        <f t="shared" si="220"/>
        <v>0</v>
      </c>
      <c r="JI58" s="13">
        <f t="shared" si="221"/>
        <v>0</v>
      </c>
      <c r="JJ58" s="13">
        <f t="shared" si="222"/>
        <v>0</v>
      </c>
      <c r="JK58" s="13">
        <f t="shared" si="223"/>
        <v>0</v>
      </c>
      <c r="JL58" s="13">
        <f t="shared" si="224"/>
        <v>0</v>
      </c>
      <c r="JM58" s="13">
        <f t="shared" si="225"/>
        <v>0</v>
      </c>
      <c r="JN58" s="13">
        <f t="shared" si="226"/>
        <v>0</v>
      </c>
      <c r="JO58" s="13">
        <f t="shared" si="227"/>
        <v>0</v>
      </c>
      <c r="JP58" s="13">
        <f t="shared" si="228"/>
        <v>0</v>
      </c>
      <c r="JQ58" s="13">
        <f t="shared" si="229"/>
        <v>0</v>
      </c>
      <c r="JR58" s="13">
        <f t="shared" si="230"/>
        <v>0</v>
      </c>
      <c r="JS58" s="13">
        <f t="shared" si="231"/>
        <v>0</v>
      </c>
      <c r="JT58" s="13">
        <f t="shared" si="232"/>
        <v>0</v>
      </c>
      <c r="JU58" s="13">
        <f t="shared" si="233"/>
        <v>0</v>
      </c>
      <c r="JV58" s="12">
        <f t="shared" si="234"/>
        <v>0</v>
      </c>
      <c r="JW58" s="12">
        <f t="shared" si="235"/>
        <v>0</v>
      </c>
      <c r="JX58" s="12">
        <f t="shared" si="236"/>
        <v>0</v>
      </c>
      <c r="JY58" s="12">
        <f t="shared" si="237"/>
        <v>0</v>
      </c>
      <c r="JZ58" s="12">
        <f t="shared" si="238"/>
        <v>0</v>
      </c>
      <c r="KA58" s="12">
        <f t="shared" si="239"/>
        <v>0</v>
      </c>
      <c r="KB58" s="12">
        <f t="shared" si="240"/>
        <v>0</v>
      </c>
      <c r="KC58" s="12">
        <f t="shared" si="241"/>
        <v>0</v>
      </c>
      <c r="KD58" s="12">
        <f t="shared" si="242"/>
        <v>0</v>
      </c>
      <c r="KE58" s="12">
        <f t="shared" si="243"/>
        <v>0</v>
      </c>
      <c r="KF58" s="12">
        <f t="shared" si="244"/>
        <v>0</v>
      </c>
      <c r="KG58" s="12">
        <f t="shared" si="245"/>
        <v>0</v>
      </c>
      <c r="KH58" s="12">
        <f t="shared" si="246"/>
        <v>0</v>
      </c>
      <c r="KI58" s="12">
        <f t="shared" si="247"/>
        <v>0</v>
      </c>
      <c r="KJ58" s="12">
        <f t="shared" si="248"/>
        <v>0</v>
      </c>
      <c r="KK58" s="12">
        <f t="shared" si="249"/>
        <v>0</v>
      </c>
      <c r="KL58" s="12">
        <f t="shared" si="250"/>
        <v>0</v>
      </c>
      <c r="KM58" s="12">
        <f t="shared" si="251"/>
        <v>0</v>
      </c>
      <c r="KN58" s="12">
        <f t="shared" si="252"/>
        <v>0</v>
      </c>
      <c r="KO58" s="12">
        <f t="shared" si="253"/>
        <v>0</v>
      </c>
      <c r="KP58" s="12">
        <f t="shared" si="254"/>
        <v>0</v>
      </c>
      <c r="KQ58" s="12">
        <f t="shared" si="255"/>
        <v>0</v>
      </c>
      <c r="KR58" s="12">
        <f t="shared" si="256"/>
        <v>0</v>
      </c>
      <c r="KS58" s="12">
        <f t="shared" si="257"/>
        <v>0</v>
      </c>
      <c r="KT58" s="12">
        <f t="shared" si="258"/>
        <v>0</v>
      </c>
      <c r="KU58" s="12">
        <f t="shared" si="259"/>
        <v>0</v>
      </c>
      <c r="KV58" s="12">
        <f t="shared" si="260"/>
        <v>0</v>
      </c>
      <c r="KW58" s="12">
        <f t="shared" si="261"/>
        <v>0</v>
      </c>
      <c r="KX58" s="12">
        <f t="shared" si="262"/>
        <v>0</v>
      </c>
      <c r="KY58" s="12">
        <f t="shared" si="263"/>
        <v>0</v>
      </c>
      <c r="KZ58" s="12">
        <f t="shared" si="264"/>
        <v>0</v>
      </c>
      <c r="LA58" s="12">
        <f t="shared" si="265"/>
        <v>0</v>
      </c>
      <c r="LB58" s="12">
        <f t="shared" si="266"/>
        <v>0</v>
      </c>
      <c r="LC58" s="12">
        <f t="shared" si="267"/>
        <v>0</v>
      </c>
      <c r="LD58" s="12">
        <f t="shared" si="268"/>
        <v>0</v>
      </c>
      <c r="LE58" s="12">
        <f t="shared" si="269"/>
        <v>0</v>
      </c>
      <c r="LF58" s="12">
        <f t="shared" si="270"/>
        <v>0</v>
      </c>
      <c r="LG58" s="12">
        <f t="shared" si="271"/>
        <v>0</v>
      </c>
      <c r="LH58" s="12">
        <f t="shared" si="272"/>
        <v>0</v>
      </c>
      <c r="LI58" s="12">
        <f t="shared" si="273"/>
        <v>0</v>
      </c>
      <c r="LJ58" s="12">
        <f t="shared" si="274"/>
        <v>0</v>
      </c>
      <c r="LK58" s="12">
        <f t="shared" si="275"/>
        <v>0</v>
      </c>
      <c r="LL58" s="12">
        <f t="shared" si="276"/>
        <v>0</v>
      </c>
      <c r="LM58" s="12">
        <f t="shared" si="277"/>
        <v>0</v>
      </c>
      <c r="LN58" s="12">
        <f t="shared" si="278"/>
        <v>0</v>
      </c>
      <c r="LO58" s="12">
        <f t="shared" si="279"/>
        <v>0</v>
      </c>
      <c r="LP58" s="12">
        <f t="shared" si="280"/>
        <v>0</v>
      </c>
      <c r="LQ58" s="12">
        <f t="shared" si="281"/>
        <v>0</v>
      </c>
      <c r="LR58" s="12">
        <f t="shared" si="282"/>
        <v>0</v>
      </c>
      <c r="LS58" s="12">
        <f t="shared" si="283"/>
        <v>0</v>
      </c>
      <c r="LT58" s="13">
        <f t="shared" si="284"/>
        <v>0</v>
      </c>
      <c r="LU58" s="13">
        <f t="shared" si="285"/>
        <v>0</v>
      </c>
      <c r="LV58" s="13">
        <f t="shared" si="286"/>
        <v>0</v>
      </c>
      <c r="LW58" s="13">
        <f t="shared" si="287"/>
        <v>0</v>
      </c>
      <c r="LX58" s="13">
        <f t="shared" si="288"/>
        <v>0</v>
      </c>
      <c r="LY58" s="13">
        <f t="shared" si="289"/>
        <v>0</v>
      </c>
      <c r="LZ58" s="13">
        <f t="shared" si="290"/>
        <v>0</v>
      </c>
      <c r="MA58" s="13">
        <f t="shared" si="291"/>
        <v>0</v>
      </c>
      <c r="MB58" s="13">
        <f t="shared" si="292"/>
        <v>0</v>
      </c>
      <c r="MC58" s="13">
        <f t="shared" si="293"/>
        <v>0</v>
      </c>
      <c r="MD58" s="13">
        <f t="shared" si="294"/>
        <v>0</v>
      </c>
      <c r="ME58" s="13">
        <f t="shared" si="295"/>
        <v>0</v>
      </c>
      <c r="MF58" s="13">
        <f t="shared" si="296"/>
        <v>0</v>
      </c>
      <c r="MG58" s="13">
        <f t="shared" si="297"/>
        <v>0</v>
      </c>
      <c r="MH58" s="13">
        <f t="shared" si="298"/>
        <v>0</v>
      </c>
      <c r="MI58" s="13">
        <f t="shared" si="299"/>
        <v>0</v>
      </c>
      <c r="MJ58" s="13">
        <f t="shared" si="300"/>
        <v>0</v>
      </c>
      <c r="MK58" s="13">
        <f t="shared" si="301"/>
        <v>0</v>
      </c>
      <c r="ML58" s="14">
        <f t="shared" si="302"/>
        <v>0</v>
      </c>
      <c r="MM58" s="14">
        <f t="shared" si="303"/>
        <v>0</v>
      </c>
      <c r="MN58" s="14">
        <f t="shared" si="304"/>
        <v>0</v>
      </c>
      <c r="MO58" s="14">
        <f t="shared" si="305"/>
        <v>0</v>
      </c>
      <c r="MP58" s="14">
        <f t="shared" si="306"/>
        <v>0</v>
      </c>
      <c r="MQ58" s="14">
        <f t="shared" si="307"/>
        <v>0</v>
      </c>
      <c r="MR58" s="14">
        <f t="shared" si="308"/>
        <v>0</v>
      </c>
      <c r="MS58" s="14">
        <f t="shared" si="309"/>
        <v>0</v>
      </c>
      <c r="MT58" s="14">
        <f t="shared" si="310"/>
        <v>0</v>
      </c>
      <c r="MU58" s="14">
        <f t="shared" si="311"/>
        <v>0</v>
      </c>
      <c r="MV58" s="14">
        <f t="shared" si="312"/>
        <v>0</v>
      </c>
      <c r="MW58" s="14">
        <f t="shared" si="313"/>
        <v>0</v>
      </c>
      <c r="MX58" s="14">
        <f t="shared" si="314"/>
        <v>0</v>
      </c>
      <c r="MY58" s="14">
        <f t="shared" si="315"/>
        <v>0</v>
      </c>
      <c r="MZ58" s="14">
        <f t="shared" si="316"/>
        <v>0</v>
      </c>
      <c r="NA58" s="14">
        <f t="shared" si="317"/>
        <v>0</v>
      </c>
      <c r="NB58" s="14">
        <f t="shared" si="318"/>
        <v>0</v>
      </c>
    </row>
    <row r="59" ht="15.75" customHeight="1">
      <c r="A59" s="2">
        <v>284.0</v>
      </c>
      <c r="B59" s="2" t="s">
        <v>1394</v>
      </c>
      <c r="C59" s="2" t="s">
        <v>1395</v>
      </c>
      <c r="D59" s="2" t="s">
        <v>1396</v>
      </c>
      <c r="E59" s="2">
        <v>2019.0</v>
      </c>
      <c r="F59" s="2" t="s">
        <v>1397</v>
      </c>
      <c r="G59" s="2" t="s">
        <v>656</v>
      </c>
      <c r="H59" s="2" t="s">
        <v>432</v>
      </c>
      <c r="J59" s="2" t="s">
        <v>940</v>
      </c>
      <c r="K59" s="2" t="s">
        <v>1398</v>
      </c>
      <c r="M59" s="2">
        <v>24.0</v>
      </c>
      <c r="N59" s="2" t="s">
        <v>1399</v>
      </c>
      <c r="O59" s="2" t="s">
        <v>1400</v>
      </c>
      <c r="P59" s="2" t="s">
        <v>1401</v>
      </c>
      <c r="Q59" s="2" t="s">
        <v>1402</v>
      </c>
      <c r="R59" s="2" t="s">
        <v>1403</v>
      </c>
      <c r="S59" s="2" t="s">
        <v>1404</v>
      </c>
      <c r="Y59" s="2" t="s">
        <v>1405</v>
      </c>
      <c r="AB59" s="2" t="s">
        <v>1406</v>
      </c>
      <c r="AG59" s="2" t="s">
        <v>1407</v>
      </c>
      <c r="AK59" s="2" t="s">
        <v>1408</v>
      </c>
      <c r="AL59" s="2" t="s">
        <v>384</v>
      </c>
      <c r="AM59" s="2" t="s">
        <v>385</v>
      </c>
      <c r="AN59" s="2" t="s">
        <v>386</v>
      </c>
      <c r="AO59" s="2" t="s">
        <v>1409</v>
      </c>
      <c r="AP59" s="2" t="s">
        <v>386</v>
      </c>
      <c r="AQ59" s="2">
        <v>1144.0</v>
      </c>
      <c r="AR59" s="2" t="s">
        <v>1410</v>
      </c>
      <c r="AS59" s="2" t="b">
        <v>0</v>
      </c>
      <c r="AT59" s="3">
        <v>0.0</v>
      </c>
      <c r="AU59" s="4"/>
      <c r="AV59" s="4"/>
      <c r="AW59" s="5">
        <f t="shared" si="432"/>
        <v>0</v>
      </c>
      <c r="AX59" s="5">
        <f t="shared" si="4"/>
        <v>0</v>
      </c>
      <c r="AY59" s="5">
        <f t="shared" si="5"/>
        <v>0</v>
      </c>
      <c r="AZ59" s="5">
        <f t="shared" si="6"/>
        <v>0</v>
      </c>
      <c r="BA59" s="5">
        <f t="shared" si="7"/>
        <v>0</v>
      </c>
      <c r="BB59" s="5">
        <f t="shared" si="8"/>
        <v>0</v>
      </c>
      <c r="BC59" s="5">
        <f t="shared" si="9"/>
        <v>0</v>
      </c>
      <c r="BD59" s="5">
        <f t="shared" si="10"/>
        <v>0</v>
      </c>
      <c r="BE59" s="5">
        <f t="shared" si="11"/>
        <v>0</v>
      </c>
      <c r="BF59" s="5">
        <f t="shared" si="12"/>
        <v>0</v>
      </c>
      <c r="BG59" s="5">
        <f t="shared" si="13"/>
        <v>0</v>
      </c>
      <c r="BH59" s="5">
        <f t="shared" si="14"/>
        <v>0</v>
      </c>
      <c r="BI59" s="5">
        <f t="shared" si="15"/>
        <v>0</v>
      </c>
      <c r="BJ59" s="5">
        <f t="shared" si="16"/>
        <v>0</v>
      </c>
      <c r="BK59" s="5">
        <f t="shared" si="17"/>
        <v>0</v>
      </c>
      <c r="BL59" s="5">
        <f t="shared" si="18"/>
        <v>0</v>
      </c>
      <c r="BM59" s="5">
        <f t="shared" si="19"/>
        <v>0</v>
      </c>
      <c r="BN59" s="5">
        <f t="shared" si="20"/>
        <v>0</v>
      </c>
      <c r="BO59" s="5">
        <f t="shared" si="21"/>
        <v>0</v>
      </c>
      <c r="BP59" s="5">
        <f t="shared" si="22"/>
        <v>0</v>
      </c>
      <c r="BQ59" s="5">
        <f t="shared" si="23"/>
        <v>0</v>
      </c>
      <c r="BR59" s="5">
        <f t="shared" si="24"/>
        <v>0</v>
      </c>
      <c r="BS59" s="5">
        <f t="shared" si="25"/>
        <v>0</v>
      </c>
      <c r="BT59" s="5">
        <f t="shared" si="26"/>
        <v>0</v>
      </c>
      <c r="BU59" s="5">
        <f t="shared" si="27"/>
        <v>0</v>
      </c>
      <c r="BV59" s="5">
        <f t="shared" ref="BV59:BW59" si="448">IF(OR(ISNUMBER(SEARCH("grit",$D59)),ISNUMBER(SEARCH("grit",$T59)),ISNUMBER(SEARCH("grit",$R59)),ISNUMBER(SEARCH("grit",$S59)),
ISNUMBER(SEARCH("determination",$D59)),ISNUMBER(SEARCH("determination",$T59)),ISNUMBER(SEARCH("determination",$R59)),ISNUMBER(SEARCH("determination",$S59)),
ISNUMBER(SEARCH("tenacity",$D59)),ISNUMBER(SEARCH("tenacity",$T59)),ISNUMBER(SEARCH("tenacity",$R59)),ISNUMBER(SEARCH("tenacity",$S59)),
ISNUMBER(SEARCH("endurance",$D59)),ISNUMBER(SEARCH("endurance",$T59)),ISNUMBER(SEARCH("endurance",$R59)),ISNUMBER(SEARCH("endurance",$S59)),
ISNUMBER(SEARCH("fortitude",$D59)),ISNUMBER(SEARCH("fortitude",$T59)),ISNUMBER(SEARCH("fortitude",$R59)),ISNUMBER(SEARCH("fortitude",$S59)),
ISNUMBER(SEARCH("resolve",$D59)),ISNUMBER(SEARCH("resolve",$T59)),ISNUMBER(SEARCH("resolve",$R59)),ISNUMBER(SEARCH("resolve",$S59)),
ISNUMBER(SEARCH("stamina",$D59)),ISNUMBER(SEARCH("stamina",$T59)),ISNUMBER(SEARCH("stamina",$R59)),ISNUMBER(SEARCH("stamina",$S59)),
ISNUMBER(SEARCH("guts",$D59)),ISNUMBER(SEARCH("guts",$T59)),ISNUMBER(SEARCH("guts",$R59)),ISNUMBER(SEARCH("guts",$S59)),
ISNUMBER(SEARCH("spunk",$D59)),ISNUMBER(SEARCH("spunk",$T59)),ISNUMBER(SEARCH("spunk",$R59)),ISNUMBER(SEARCH("spunk",$S59))), 1, 0)</f>
        <v>0</v>
      </c>
      <c r="BW59" s="5">
        <f t="shared" si="448"/>
        <v>0</v>
      </c>
      <c r="BX59" s="5">
        <f t="shared" si="29"/>
        <v>0</v>
      </c>
      <c r="BY59" s="5">
        <f t="shared" si="30"/>
        <v>0</v>
      </c>
      <c r="BZ59" s="5">
        <f t="shared" si="31"/>
        <v>0</v>
      </c>
      <c r="CA59" s="5">
        <f t="shared" si="32"/>
        <v>0</v>
      </c>
      <c r="CB59" s="5">
        <f t="shared" si="33"/>
        <v>0</v>
      </c>
      <c r="CC59" s="5">
        <f t="shared" si="34"/>
        <v>0</v>
      </c>
      <c r="CD59" s="5">
        <f t="shared" si="35"/>
        <v>0</v>
      </c>
      <c r="CE59" s="5">
        <f t="shared" si="36"/>
        <v>0</v>
      </c>
      <c r="CF59" s="5">
        <f t="shared" si="37"/>
        <v>0</v>
      </c>
      <c r="CG59" s="5">
        <f t="shared" si="38"/>
        <v>1</v>
      </c>
      <c r="CH59" s="5">
        <f t="shared" si="39"/>
        <v>0</v>
      </c>
      <c r="CI59" s="5">
        <f t="shared" si="40"/>
        <v>0</v>
      </c>
      <c r="CJ59" s="5">
        <f t="shared" si="41"/>
        <v>0</v>
      </c>
      <c r="CK59" s="5">
        <f t="shared" si="42"/>
        <v>0</v>
      </c>
      <c r="CL59" s="5">
        <f t="shared" si="43"/>
        <v>0</v>
      </c>
      <c r="CM59" s="5">
        <f t="shared" si="44"/>
        <v>0</v>
      </c>
      <c r="CN59" s="5">
        <f t="shared" si="45"/>
        <v>0</v>
      </c>
      <c r="CO59" s="5">
        <f t="shared" si="46"/>
        <v>0</v>
      </c>
      <c r="CP59" s="6">
        <f t="shared" si="47"/>
        <v>0</v>
      </c>
      <c r="CQ59" s="6">
        <f t="shared" si="48"/>
        <v>0</v>
      </c>
      <c r="CR59" s="6">
        <f t="shared" si="49"/>
        <v>0</v>
      </c>
      <c r="CS59" s="6">
        <f t="shared" si="50"/>
        <v>0</v>
      </c>
      <c r="CT59" s="6">
        <f t="shared" si="51"/>
        <v>1</v>
      </c>
      <c r="CU59" s="6">
        <f t="shared" si="52"/>
        <v>0</v>
      </c>
      <c r="CV59" s="6">
        <f t="shared" si="53"/>
        <v>0</v>
      </c>
      <c r="CW59" s="6">
        <f t="shared" si="54"/>
        <v>0</v>
      </c>
      <c r="CX59" s="6">
        <f t="shared" si="55"/>
        <v>0</v>
      </c>
      <c r="CY59" s="6">
        <f t="shared" si="56"/>
        <v>0</v>
      </c>
      <c r="CZ59" s="6">
        <f t="shared" si="57"/>
        <v>0</v>
      </c>
      <c r="DA59" s="6">
        <f t="shared" si="58"/>
        <v>0</v>
      </c>
      <c r="DB59" s="6">
        <f t="shared" si="59"/>
        <v>0</v>
      </c>
      <c r="DC59" s="6">
        <f t="shared" si="60"/>
        <v>0</v>
      </c>
      <c r="DD59" s="6">
        <f t="shared" si="61"/>
        <v>0</v>
      </c>
      <c r="DE59" s="6">
        <f t="shared" si="62"/>
        <v>0</v>
      </c>
      <c r="DF59" s="6">
        <f t="shared" si="63"/>
        <v>0</v>
      </c>
      <c r="DG59" s="6">
        <f t="shared" si="64"/>
        <v>0</v>
      </c>
      <c r="DH59" s="6">
        <f t="shared" si="434"/>
        <v>0</v>
      </c>
      <c r="DI59" s="6">
        <f t="shared" si="66"/>
        <v>0</v>
      </c>
      <c r="DJ59" s="6">
        <f t="shared" si="435"/>
        <v>0</v>
      </c>
      <c r="DK59" s="7">
        <f t="shared" si="68"/>
        <v>0</v>
      </c>
      <c r="DL59" s="7">
        <f t="shared" si="411"/>
        <v>0</v>
      </c>
      <c r="DM59" s="7">
        <f t="shared" si="70"/>
        <v>0</v>
      </c>
      <c r="DN59" s="7">
        <f t="shared" si="71"/>
        <v>0</v>
      </c>
      <c r="DO59" s="7">
        <f t="shared" si="72"/>
        <v>1</v>
      </c>
      <c r="DP59" s="8">
        <f t="shared" si="73"/>
        <v>0</v>
      </c>
      <c r="DQ59" s="8">
        <f t="shared" si="74"/>
        <v>0</v>
      </c>
      <c r="DR59" s="7">
        <f t="shared" si="75"/>
        <v>0</v>
      </c>
      <c r="DS59" s="7">
        <f t="shared" si="76"/>
        <v>0</v>
      </c>
      <c r="DT59" s="7">
        <f t="shared" si="77"/>
        <v>0</v>
      </c>
      <c r="DU59" s="9">
        <f t="shared" si="78"/>
        <v>0</v>
      </c>
      <c r="DV59" s="9">
        <f t="shared" si="79"/>
        <v>0</v>
      </c>
      <c r="DW59" s="9">
        <f t="shared" si="80"/>
        <v>0</v>
      </c>
      <c r="DX59" s="9">
        <f t="shared" si="81"/>
        <v>0</v>
      </c>
      <c r="DY59" s="9">
        <f t="shared" si="82"/>
        <v>0</v>
      </c>
      <c r="DZ59" s="9">
        <f t="shared" si="83"/>
        <v>0</v>
      </c>
      <c r="EA59" s="9">
        <f t="shared" si="84"/>
        <v>0</v>
      </c>
      <c r="EB59" s="9">
        <f t="shared" si="85"/>
        <v>0</v>
      </c>
      <c r="EC59" s="9">
        <f t="shared" si="86"/>
        <v>0</v>
      </c>
      <c r="ED59" s="9">
        <f t="shared" si="87"/>
        <v>0</v>
      </c>
      <c r="EE59" s="9">
        <f t="shared" si="88"/>
        <v>0</v>
      </c>
      <c r="EF59" s="9">
        <f t="shared" si="89"/>
        <v>0</v>
      </c>
      <c r="EG59" s="9">
        <f t="shared" si="90"/>
        <v>0</v>
      </c>
      <c r="EH59" s="9">
        <f t="shared" si="91"/>
        <v>0</v>
      </c>
      <c r="EI59" s="9">
        <f t="shared" si="92"/>
        <v>0</v>
      </c>
      <c r="EJ59" s="10">
        <f t="shared" si="93"/>
        <v>0</v>
      </c>
      <c r="EK59" s="10">
        <f t="shared" si="94"/>
        <v>0</v>
      </c>
      <c r="EL59" s="10">
        <f t="shared" ref="EL59:EM59" si="449">IF(OR(ISNUMBER(SEARCH("ai software toolkit", $D59)), ISNUMBER(SEARCH("ai software toolkit", $T59)), ISNUMBER(SEARCH("ai software toolkit", $R59)), ISNUMBER(SEARCH("ai software toolkit", $S59))), 1, 0)</f>
        <v>0</v>
      </c>
      <c r="EM59" s="10">
        <f t="shared" si="449"/>
        <v>0</v>
      </c>
      <c r="EN59" s="10">
        <f t="shared" si="96"/>
        <v>0</v>
      </c>
      <c r="EO59" s="10">
        <f t="shared" si="97"/>
        <v>0</v>
      </c>
      <c r="EP59" s="10">
        <f t="shared" si="98"/>
        <v>0</v>
      </c>
      <c r="EQ59" s="10">
        <f t="shared" si="99"/>
        <v>0</v>
      </c>
      <c r="ER59" s="10">
        <f t="shared" si="100"/>
        <v>0</v>
      </c>
      <c r="ES59" s="10">
        <f t="shared" si="101"/>
        <v>0</v>
      </c>
      <c r="ET59" s="10">
        <f t="shared" si="102"/>
        <v>0</v>
      </c>
      <c r="EU59" s="10">
        <f t="shared" si="103"/>
        <v>0</v>
      </c>
      <c r="EV59" s="10">
        <f t="shared" si="104"/>
        <v>0</v>
      </c>
      <c r="EW59" s="10">
        <f t="shared" si="105"/>
        <v>0</v>
      </c>
      <c r="EX59" s="10">
        <f t="shared" si="106"/>
        <v>0</v>
      </c>
      <c r="EY59" s="10">
        <f t="shared" si="107"/>
        <v>0</v>
      </c>
      <c r="EZ59" s="10">
        <f t="shared" si="108"/>
        <v>0</v>
      </c>
      <c r="FA59" s="10">
        <f t="shared" si="109"/>
        <v>0</v>
      </c>
      <c r="FB59" s="10">
        <f t="shared" si="110"/>
        <v>0</v>
      </c>
      <c r="FC59" s="10">
        <f t="shared" si="111"/>
        <v>0</v>
      </c>
      <c r="FD59" s="10">
        <f t="shared" si="112"/>
        <v>0</v>
      </c>
      <c r="FE59" s="10">
        <f t="shared" si="113"/>
        <v>0</v>
      </c>
      <c r="FF59" s="10">
        <f t="shared" si="114"/>
        <v>0</v>
      </c>
      <c r="FG59" s="10">
        <f t="shared" si="115"/>
        <v>0</v>
      </c>
      <c r="FH59" s="10">
        <f t="shared" si="116"/>
        <v>0</v>
      </c>
      <c r="FI59" s="10">
        <f t="shared" si="117"/>
        <v>0</v>
      </c>
      <c r="FJ59" s="10">
        <f t="shared" si="118"/>
        <v>0</v>
      </c>
      <c r="FK59" s="10">
        <f t="shared" si="119"/>
        <v>0</v>
      </c>
      <c r="FL59" s="10">
        <f t="shared" si="120"/>
        <v>0</v>
      </c>
      <c r="FM59" s="10">
        <f t="shared" si="121"/>
        <v>0</v>
      </c>
      <c r="FN59" s="10">
        <f t="shared" si="122"/>
        <v>0</v>
      </c>
      <c r="FO59" s="10">
        <f t="shared" si="123"/>
        <v>0</v>
      </c>
      <c r="FP59" s="10">
        <f t="shared" si="124"/>
        <v>0</v>
      </c>
      <c r="FQ59" s="10">
        <f t="shared" si="125"/>
        <v>0</v>
      </c>
      <c r="FR59" s="11">
        <f t="shared" si="437"/>
        <v>0</v>
      </c>
      <c r="FS59" s="11">
        <f t="shared" si="127"/>
        <v>0</v>
      </c>
      <c r="FT59" s="11">
        <f t="shared" si="128"/>
        <v>0</v>
      </c>
      <c r="FU59" s="11">
        <f t="shared" si="129"/>
        <v>0</v>
      </c>
      <c r="FV59" s="11">
        <f t="shared" si="130"/>
        <v>0</v>
      </c>
      <c r="FW59" s="11">
        <f t="shared" si="131"/>
        <v>0</v>
      </c>
      <c r="FX59" s="11">
        <f t="shared" si="132"/>
        <v>0</v>
      </c>
      <c r="FY59" s="11">
        <f t="shared" si="133"/>
        <v>0</v>
      </c>
      <c r="FZ59" s="11">
        <f t="shared" si="134"/>
        <v>0</v>
      </c>
      <c r="GA59" s="11">
        <f t="shared" si="135"/>
        <v>0</v>
      </c>
      <c r="GB59" s="11">
        <f t="shared" si="136"/>
        <v>0</v>
      </c>
      <c r="GC59" s="11">
        <f t="shared" si="137"/>
        <v>0</v>
      </c>
      <c r="GD59" s="11">
        <f t="shared" si="138"/>
        <v>0</v>
      </c>
      <c r="GE59" s="11">
        <f t="shared" si="139"/>
        <v>0</v>
      </c>
      <c r="GF59" s="11">
        <f t="shared" si="140"/>
        <v>0</v>
      </c>
      <c r="GG59" s="11">
        <f t="shared" si="141"/>
        <v>0</v>
      </c>
      <c r="GH59" s="11">
        <f t="shared" si="142"/>
        <v>0</v>
      </c>
      <c r="GI59" s="11">
        <f t="shared" si="143"/>
        <v>0</v>
      </c>
      <c r="GJ59" s="11">
        <f t="shared" si="144"/>
        <v>0</v>
      </c>
      <c r="GK59" s="11">
        <f t="shared" si="145"/>
        <v>0</v>
      </c>
      <c r="GL59" s="11">
        <f t="shared" si="146"/>
        <v>0</v>
      </c>
      <c r="GM59" s="11">
        <f t="shared" si="147"/>
        <v>0</v>
      </c>
      <c r="GN59" s="11">
        <f t="shared" si="148"/>
        <v>0</v>
      </c>
      <c r="GO59" s="11">
        <f t="shared" si="149"/>
        <v>0</v>
      </c>
      <c r="GP59" s="11">
        <f t="shared" si="150"/>
        <v>0</v>
      </c>
      <c r="GQ59" s="11">
        <f t="shared" si="151"/>
        <v>0</v>
      </c>
      <c r="GR59" s="11">
        <f t="shared" si="152"/>
        <v>0</v>
      </c>
      <c r="GS59" s="11">
        <f t="shared" si="153"/>
        <v>0</v>
      </c>
      <c r="GT59" s="11">
        <f t="shared" si="154"/>
        <v>0</v>
      </c>
      <c r="GU59" s="12">
        <f t="shared" si="155"/>
        <v>0</v>
      </c>
      <c r="GV59" s="12">
        <f t="shared" si="156"/>
        <v>0</v>
      </c>
      <c r="GW59" s="12">
        <f t="shared" si="157"/>
        <v>0</v>
      </c>
      <c r="GX59" s="12">
        <f t="shared" si="158"/>
        <v>0</v>
      </c>
      <c r="GY59" s="12">
        <f t="shared" si="159"/>
        <v>0</v>
      </c>
      <c r="GZ59" s="12">
        <f t="shared" si="160"/>
        <v>0</v>
      </c>
      <c r="HA59" s="12">
        <f t="shared" si="161"/>
        <v>0</v>
      </c>
      <c r="HB59" s="12">
        <f t="shared" si="162"/>
        <v>0</v>
      </c>
      <c r="HC59" s="12">
        <f t="shared" si="163"/>
        <v>0</v>
      </c>
      <c r="HD59" s="12">
        <f t="shared" si="164"/>
        <v>0</v>
      </c>
      <c r="HE59" s="12">
        <f t="shared" si="165"/>
        <v>0</v>
      </c>
      <c r="HF59" s="12">
        <f t="shared" si="166"/>
        <v>0</v>
      </c>
      <c r="HG59" s="12">
        <f t="shared" si="167"/>
        <v>0</v>
      </c>
      <c r="HH59" s="12">
        <f t="shared" si="168"/>
        <v>0</v>
      </c>
      <c r="HI59" s="12">
        <f t="shared" si="169"/>
        <v>0</v>
      </c>
      <c r="HJ59" s="12">
        <f t="shared" si="170"/>
        <v>0</v>
      </c>
      <c r="HK59" s="12">
        <f t="shared" si="171"/>
        <v>0</v>
      </c>
      <c r="HL59" s="12">
        <f t="shared" si="172"/>
        <v>0</v>
      </c>
      <c r="HM59" s="12">
        <f t="shared" si="173"/>
        <v>0</v>
      </c>
      <c r="HN59" s="12">
        <f t="shared" si="174"/>
        <v>0</v>
      </c>
      <c r="HO59" s="12">
        <f t="shared" si="175"/>
        <v>0</v>
      </c>
      <c r="HP59" s="12">
        <f t="shared" si="176"/>
        <v>0</v>
      </c>
      <c r="HQ59" s="12">
        <f t="shared" si="177"/>
        <v>0</v>
      </c>
      <c r="HR59" s="12">
        <f t="shared" si="178"/>
        <v>0</v>
      </c>
      <c r="HS59" s="12">
        <f t="shared" si="179"/>
        <v>0</v>
      </c>
      <c r="HT59" s="12">
        <f t="shared" si="180"/>
        <v>0</v>
      </c>
      <c r="HU59" s="12">
        <f t="shared" si="181"/>
        <v>0</v>
      </c>
      <c r="HV59" s="12">
        <f t="shared" si="182"/>
        <v>0</v>
      </c>
      <c r="HW59" s="12">
        <f t="shared" si="183"/>
        <v>0</v>
      </c>
      <c r="HX59" s="12">
        <f t="shared" si="184"/>
        <v>0</v>
      </c>
      <c r="HY59" s="12">
        <f t="shared" si="185"/>
        <v>0</v>
      </c>
      <c r="HZ59" s="12">
        <f t="shared" si="186"/>
        <v>0</v>
      </c>
      <c r="IA59" s="12">
        <f t="shared" si="187"/>
        <v>0</v>
      </c>
      <c r="IB59" s="12">
        <f t="shared" si="188"/>
        <v>0</v>
      </c>
      <c r="IC59" s="12">
        <f t="shared" si="189"/>
        <v>0</v>
      </c>
      <c r="ID59" s="12">
        <f t="shared" si="190"/>
        <v>0</v>
      </c>
      <c r="IE59" s="12">
        <f t="shared" si="191"/>
        <v>0</v>
      </c>
      <c r="IF59" s="12">
        <f t="shared" si="192"/>
        <v>0</v>
      </c>
      <c r="IG59" s="12">
        <f t="shared" si="193"/>
        <v>0</v>
      </c>
      <c r="IH59" s="12">
        <f t="shared" si="194"/>
        <v>0</v>
      </c>
      <c r="II59" s="12">
        <f t="shared" si="195"/>
        <v>0</v>
      </c>
      <c r="IJ59" s="12">
        <f t="shared" si="196"/>
        <v>0</v>
      </c>
      <c r="IK59" s="12">
        <f t="shared" si="197"/>
        <v>0</v>
      </c>
      <c r="IL59" s="12">
        <f t="shared" si="198"/>
        <v>0</v>
      </c>
      <c r="IM59" s="12">
        <f t="shared" si="199"/>
        <v>0</v>
      </c>
      <c r="IN59" s="12">
        <f t="shared" si="200"/>
        <v>0</v>
      </c>
      <c r="IO59" s="12">
        <f t="shared" si="201"/>
        <v>0</v>
      </c>
      <c r="IP59" s="12">
        <f t="shared" si="202"/>
        <v>0</v>
      </c>
      <c r="IQ59" s="12">
        <f t="shared" si="203"/>
        <v>0</v>
      </c>
      <c r="IR59" s="12">
        <f t="shared" si="204"/>
        <v>0</v>
      </c>
      <c r="IS59" s="12">
        <f t="shared" si="205"/>
        <v>0</v>
      </c>
      <c r="IT59" s="12">
        <f t="shared" si="206"/>
        <v>0</v>
      </c>
      <c r="IU59" s="12">
        <f t="shared" si="207"/>
        <v>0</v>
      </c>
      <c r="IV59" s="12">
        <f t="shared" si="208"/>
        <v>0</v>
      </c>
      <c r="IW59" s="12">
        <f t="shared" si="209"/>
        <v>0</v>
      </c>
      <c r="IX59" s="12">
        <f t="shared" si="210"/>
        <v>0</v>
      </c>
      <c r="IY59" s="12">
        <f t="shared" si="211"/>
        <v>0</v>
      </c>
      <c r="IZ59" s="12">
        <f t="shared" si="212"/>
        <v>0</v>
      </c>
      <c r="JA59" s="13">
        <f t="shared" si="213"/>
        <v>0</v>
      </c>
      <c r="JB59" s="13">
        <f t="shared" si="214"/>
        <v>0</v>
      </c>
      <c r="JC59" s="13">
        <f t="shared" si="215"/>
        <v>0</v>
      </c>
      <c r="JD59" s="13">
        <f t="shared" si="216"/>
        <v>0</v>
      </c>
      <c r="JE59" s="13">
        <f t="shared" si="217"/>
        <v>0</v>
      </c>
      <c r="JF59" s="13">
        <f t="shared" si="218"/>
        <v>0</v>
      </c>
      <c r="JG59" s="13">
        <f t="shared" si="219"/>
        <v>0</v>
      </c>
      <c r="JH59" s="13">
        <f t="shared" si="220"/>
        <v>0</v>
      </c>
      <c r="JI59" s="13">
        <f t="shared" si="221"/>
        <v>0</v>
      </c>
      <c r="JJ59" s="13">
        <f t="shared" si="222"/>
        <v>0</v>
      </c>
      <c r="JK59" s="13">
        <f t="shared" si="223"/>
        <v>0</v>
      </c>
      <c r="JL59" s="13">
        <f t="shared" si="224"/>
        <v>0</v>
      </c>
      <c r="JM59" s="13">
        <f t="shared" si="225"/>
        <v>0</v>
      </c>
      <c r="JN59" s="13">
        <f t="shared" si="226"/>
        <v>0</v>
      </c>
      <c r="JO59" s="13">
        <f t="shared" si="227"/>
        <v>0</v>
      </c>
      <c r="JP59" s="13">
        <f t="shared" si="228"/>
        <v>0</v>
      </c>
      <c r="JQ59" s="13">
        <f t="shared" si="229"/>
        <v>0</v>
      </c>
      <c r="JR59" s="13">
        <f t="shared" si="230"/>
        <v>0</v>
      </c>
      <c r="JS59" s="13">
        <f t="shared" si="231"/>
        <v>0</v>
      </c>
      <c r="JT59" s="13">
        <f t="shared" si="232"/>
        <v>0</v>
      </c>
      <c r="JU59" s="13">
        <f t="shared" si="233"/>
        <v>0</v>
      </c>
      <c r="JV59" s="12">
        <f t="shared" si="234"/>
        <v>0</v>
      </c>
      <c r="JW59" s="12">
        <f t="shared" si="235"/>
        <v>0</v>
      </c>
      <c r="JX59" s="12">
        <f t="shared" si="236"/>
        <v>0</v>
      </c>
      <c r="JY59" s="12">
        <f t="shared" si="237"/>
        <v>0</v>
      </c>
      <c r="JZ59" s="12">
        <f t="shared" si="238"/>
        <v>0</v>
      </c>
      <c r="KA59" s="12">
        <f t="shared" si="239"/>
        <v>0</v>
      </c>
      <c r="KB59" s="12">
        <f t="shared" si="240"/>
        <v>0</v>
      </c>
      <c r="KC59" s="12">
        <f t="shared" si="241"/>
        <v>0</v>
      </c>
      <c r="KD59" s="12">
        <f t="shared" si="242"/>
        <v>0</v>
      </c>
      <c r="KE59" s="12">
        <f t="shared" si="243"/>
        <v>0</v>
      </c>
      <c r="KF59" s="12">
        <f t="shared" si="244"/>
        <v>0</v>
      </c>
      <c r="KG59" s="12">
        <f t="shared" si="245"/>
        <v>0</v>
      </c>
      <c r="KH59" s="12">
        <f t="shared" si="246"/>
        <v>0</v>
      </c>
      <c r="KI59" s="12">
        <f t="shared" si="247"/>
        <v>0</v>
      </c>
      <c r="KJ59" s="12">
        <f t="shared" si="248"/>
        <v>0</v>
      </c>
      <c r="KK59" s="12">
        <f t="shared" si="249"/>
        <v>0</v>
      </c>
      <c r="KL59" s="12">
        <f t="shared" si="250"/>
        <v>0</v>
      </c>
      <c r="KM59" s="12">
        <f t="shared" si="251"/>
        <v>0</v>
      </c>
      <c r="KN59" s="12">
        <f t="shared" si="252"/>
        <v>0</v>
      </c>
      <c r="KO59" s="12">
        <f t="shared" si="253"/>
        <v>0</v>
      </c>
      <c r="KP59" s="12">
        <f t="shared" si="254"/>
        <v>0</v>
      </c>
      <c r="KQ59" s="12">
        <f t="shared" si="255"/>
        <v>0</v>
      </c>
      <c r="KR59" s="12">
        <f t="shared" si="256"/>
        <v>0</v>
      </c>
      <c r="KS59" s="12">
        <f t="shared" si="257"/>
        <v>0</v>
      </c>
      <c r="KT59" s="12">
        <f t="shared" si="258"/>
        <v>0</v>
      </c>
      <c r="KU59" s="12">
        <f t="shared" si="259"/>
        <v>0</v>
      </c>
      <c r="KV59" s="12">
        <f t="shared" si="260"/>
        <v>0</v>
      </c>
      <c r="KW59" s="12">
        <f t="shared" si="261"/>
        <v>0</v>
      </c>
      <c r="KX59" s="12">
        <f t="shared" si="262"/>
        <v>0</v>
      </c>
      <c r="KY59" s="12">
        <f t="shared" si="263"/>
        <v>0</v>
      </c>
      <c r="KZ59" s="12">
        <f t="shared" si="264"/>
        <v>0</v>
      </c>
      <c r="LA59" s="12">
        <f t="shared" si="265"/>
        <v>0</v>
      </c>
      <c r="LB59" s="12">
        <f t="shared" si="266"/>
        <v>0</v>
      </c>
      <c r="LC59" s="12">
        <f t="shared" si="267"/>
        <v>0</v>
      </c>
      <c r="LD59" s="12">
        <f t="shared" si="268"/>
        <v>0</v>
      </c>
      <c r="LE59" s="12">
        <f t="shared" si="269"/>
        <v>0</v>
      </c>
      <c r="LF59" s="12">
        <f t="shared" si="270"/>
        <v>0</v>
      </c>
      <c r="LG59" s="12">
        <f t="shared" si="271"/>
        <v>0</v>
      </c>
      <c r="LH59" s="12">
        <f t="shared" si="272"/>
        <v>0</v>
      </c>
      <c r="LI59" s="12">
        <f t="shared" si="273"/>
        <v>0</v>
      </c>
      <c r="LJ59" s="12">
        <f t="shared" si="274"/>
        <v>0</v>
      </c>
      <c r="LK59" s="12">
        <f t="shared" si="275"/>
        <v>0</v>
      </c>
      <c r="LL59" s="12">
        <f t="shared" si="276"/>
        <v>0</v>
      </c>
      <c r="LM59" s="12">
        <f t="shared" si="277"/>
        <v>0</v>
      </c>
      <c r="LN59" s="12">
        <f t="shared" si="278"/>
        <v>0</v>
      </c>
      <c r="LO59" s="12">
        <f t="shared" si="279"/>
        <v>0</v>
      </c>
      <c r="LP59" s="12">
        <f t="shared" si="280"/>
        <v>0</v>
      </c>
      <c r="LQ59" s="12">
        <f t="shared" si="281"/>
        <v>0</v>
      </c>
      <c r="LR59" s="12">
        <f t="shared" si="282"/>
        <v>0</v>
      </c>
      <c r="LS59" s="12">
        <f t="shared" si="283"/>
        <v>0</v>
      </c>
      <c r="LT59" s="13">
        <f t="shared" si="284"/>
        <v>0</v>
      </c>
      <c r="LU59" s="13">
        <f t="shared" si="285"/>
        <v>0</v>
      </c>
      <c r="LV59" s="13">
        <f t="shared" si="286"/>
        <v>0</v>
      </c>
      <c r="LW59" s="13">
        <f t="shared" si="287"/>
        <v>0</v>
      </c>
      <c r="LX59" s="13">
        <f t="shared" si="288"/>
        <v>0</v>
      </c>
      <c r="LY59" s="13">
        <f t="shared" si="289"/>
        <v>0</v>
      </c>
      <c r="LZ59" s="13">
        <f t="shared" si="290"/>
        <v>0</v>
      </c>
      <c r="MA59" s="13">
        <f t="shared" si="291"/>
        <v>0</v>
      </c>
      <c r="MB59" s="13">
        <f t="shared" si="292"/>
        <v>0</v>
      </c>
      <c r="MC59" s="13">
        <f t="shared" si="293"/>
        <v>0</v>
      </c>
      <c r="MD59" s="13">
        <f t="shared" si="294"/>
        <v>0</v>
      </c>
      <c r="ME59" s="13">
        <f t="shared" si="295"/>
        <v>0</v>
      </c>
      <c r="MF59" s="13">
        <f t="shared" si="296"/>
        <v>0</v>
      </c>
      <c r="MG59" s="13">
        <f t="shared" si="297"/>
        <v>0</v>
      </c>
      <c r="MH59" s="13">
        <f t="shared" si="298"/>
        <v>0</v>
      </c>
      <c r="MI59" s="13">
        <f t="shared" si="299"/>
        <v>0</v>
      </c>
      <c r="MJ59" s="13">
        <f t="shared" si="300"/>
        <v>0</v>
      </c>
      <c r="MK59" s="13">
        <f t="shared" si="301"/>
        <v>0</v>
      </c>
      <c r="ML59" s="14">
        <f t="shared" si="302"/>
        <v>0</v>
      </c>
      <c r="MM59" s="14">
        <f t="shared" si="303"/>
        <v>0</v>
      </c>
      <c r="MN59" s="14">
        <f t="shared" si="304"/>
        <v>0</v>
      </c>
      <c r="MO59" s="14">
        <f t="shared" si="305"/>
        <v>1</v>
      </c>
      <c r="MP59" s="14">
        <f t="shared" si="306"/>
        <v>0</v>
      </c>
      <c r="MQ59" s="14">
        <f t="shared" si="307"/>
        <v>0</v>
      </c>
      <c r="MR59" s="14">
        <f t="shared" si="308"/>
        <v>0</v>
      </c>
      <c r="MS59" s="14">
        <f t="shared" si="309"/>
        <v>0</v>
      </c>
      <c r="MT59" s="14">
        <f t="shared" si="310"/>
        <v>0</v>
      </c>
      <c r="MU59" s="14">
        <f t="shared" si="311"/>
        <v>0</v>
      </c>
      <c r="MV59" s="14">
        <f t="shared" si="312"/>
        <v>0</v>
      </c>
      <c r="MW59" s="14">
        <f t="shared" si="313"/>
        <v>0</v>
      </c>
      <c r="MX59" s="14">
        <f t="shared" si="314"/>
        <v>0</v>
      </c>
      <c r="MY59" s="14">
        <f t="shared" si="315"/>
        <v>0</v>
      </c>
      <c r="MZ59" s="14">
        <f t="shared" si="316"/>
        <v>0</v>
      </c>
      <c r="NA59" s="14">
        <f t="shared" si="317"/>
        <v>0</v>
      </c>
      <c r="NB59" s="14">
        <f t="shared" si="318"/>
        <v>0</v>
      </c>
    </row>
    <row r="60" ht="15.75" customHeight="1">
      <c r="A60" s="2">
        <v>261.0</v>
      </c>
      <c r="B60" s="2" t="s">
        <v>1411</v>
      </c>
      <c r="C60" s="2" t="s">
        <v>1412</v>
      </c>
      <c r="D60" s="2" t="s">
        <v>1413</v>
      </c>
      <c r="E60" s="2">
        <v>2015.0</v>
      </c>
      <c r="F60" s="2" t="s">
        <v>1414</v>
      </c>
      <c r="G60" s="2" t="s">
        <v>1160</v>
      </c>
      <c r="H60" s="2" t="s">
        <v>392</v>
      </c>
      <c r="J60" s="2" t="s">
        <v>1029</v>
      </c>
      <c r="K60" s="2" t="s">
        <v>1415</v>
      </c>
      <c r="M60" s="2">
        <v>24.0</v>
      </c>
      <c r="N60" s="2" t="s">
        <v>1416</v>
      </c>
      <c r="O60" s="2" t="s">
        <v>1417</v>
      </c>
      <c r="P60" s="2" t="s">
        <v>1418</v>
      </c>
      <c r="Q60" s="2" t="s">
        <v>1419</v>
      </c>
      <c r="R60" s="2" t="s">
        <v>1420</v>
      </c>
      <c r="S60" s="2" t="s">
        <v>1421</v>
      </c>
      <c r="T60" s="2" t="s">
        <v>1422</v>
      </c>
      <c r="Y60" s="2" t="s">
        <v>1423</v>
      </c>
      <c r="AB60" s="2" t="s">
        <v>462</v>
      </c>
      <c r="AG60" s="2" t="s">
        <v>1424</v>
      </c>
      <c r="AK60" s="2" t="s">
        <v>1425</v>
      </c>
      <c r="AL60" s="2" t="s">
        <v>384</v>
      </c>
      <c r="AM60" s="2" t="s">
        <v>385</v>
      </c>
      <c r="AN60" s="2" t="s">
        <v>386</v>
      </c>
      <c r="AO60" s="2" t="s">
        <v>1426</v>
      </c>
      <c r="AP60" s="2" t="s">
        <v>386</v>
      </c>
      <c r="AQ60" s="2">
        <v>1563.0</v>
      </c>
      <c r="AR60" s="2" t="s">
        <v>1427</v>
      </c>
      <c r="AS60" s="2" t="b">
        <v>0</v>
      </c>
      <c r="AT60" s="3">
        <v>0.0</v>
      </c>
      <c r="AU60" s="4"/>
      <c r="AV60" s="4">
        <v>1.0</v>
      </c>
      <c r="AW60" s="5">
        <f t="shared" si="432"/>
        <v>0</v>
      </c>
      <c r="AX60" s="5">
        <f t="shared" si="4"/>
        <v>0</v>
      </c>
      <c r="AY60" s="5">
        <f t="shared" si="5"/>
        <v>0</v>
      </c>
      <c r="AZ60" s="5">
        <f t="shared" si="6"/>
        <v>0</v>
      </c>
      <c r="BA60" s="5">
        <f t="shared" si="7"/>
        <v>0</v>
      </c>
      <c r="BB60" s="5">
        <f t="shared" si="8"/>
        <v>1</v>
      </c>
      <c r="BC60" s="5">
        <f t="shared" si="9"/>
        <v>0</v>
      </c>
      <c r="BD60" s="5">
        <f t="shared" si="10"/>
        <v>0</v>
      </c>
      <c r="BE60" s="5">
        <f t="shared" si="11"/>
        <v>0</v>
      </c>
      <c r="BF60" s="5">
        <f t="shared" si="12"/>
        <v>0</v>
      </c>
      <c r="BG60" s="5">
        <f t="shared" si="13"/>
        <v>0</v>
      </c>
      <c r="BH60" s="5">
        <f t="shared" si="14"/>
        <v>0</v>
      </c>
      <c r="BI60" s="5">
        <f t="shared" si="15"/>
        <v>0</v>
      </c>
      <c r="BJ60" s="5">
        <f t="shared" si="16"/>
        <v>0</v>
      </c>
      <c r="BK60" s="5">
        <f t="shared" si="17"/>
        <v>0</v>
      </c>
      <c r="BL60" s="5">
        <f t="shared" si="18"/>
        <v>0</v>
      </c>
      <c r="BM60" s="5">
        <f t="shared" si="19"/>
        <v>0</v>
      </c>
      <c r="BN60" s="5">
        <f t="shared" si="20"/>
        <v>0</v>
      </c>
      <c r="BO60" s="5">
        <f t="shared" si="21"/>
        <v>0</v>
      </c>
      <c r="BP60" s="5">
        <f t="shared" si="22"/>
        <v>0</v>
      </c>
      <c r="BQ60" s="5">
        <f t="shared" si="23"/>
        <v>0</v>
      </c>
      <c r="BR60" s="5">
        <f t="shared" si="24"/>
        <v>0</v>
      </c>
      <c r="BS60" s="5">
        <f t="shared" si="25"/>
        <v>0</v>
      </c>
      <c r="BT60" s="5">
        <f t="shared" si="26"/>
        <v>0</v>
      </c>
      <c r="BU60" s="5">
        <f t="shared" si="27"/>
        <v>0</v>
      </c>
      <c r="BV60" s="5">
        <f t="shared" ref="BV60:BW60" si="450">IF(OR(ISNUMBER(SEARCH("grit",$D60)),ISNUMBER(SEARCH("grit",$T60)),ISNUMBER(SEARCH("grit",$R60)),ISNUMBER(SEARCH("grit",$S60)),
ISNUMBER(SEARCH("determination",$D60)),ISNUMBER(SEARCH("determination",$T60)),ISNUMBER(SEARCH("determination",$R60)),ISNUMBER(SEARCH("determination",$S60)),
ISNUMBER(SEARCH("tenacity",$D60)),ISNUMBER(SEARCH("tenacity",$T60)),ISNUMBER(SEARCH("tenacity",$R60)),ISNUMBER(SEARCH("tenacity",$S60)),
ISNUMBER(SEARCH("endurance",$D60)),ISNUMBER(SEARCH("endurance",$T60)),ISNUMBER(SEARCH("endurance",$R60)),ISNUMBER(SEARCH("endurance",$S60)),
ISNUMBER(SEARCH("fortitude",$D60)),ISNUMBER(SEARCH("fortitude",$T60)),ISNUMBER(SEARCH("fortitude",$R60)),ISNUMBER(SEARCH("fortitude",$S60)),
ISNUMBER(SEARCH("resolve",$D60)),ISNUMBER(SEARCH("resolve",$T60)),ISNUMBER(SEARCH("resolve",$R60)),ISNUMBER(SEARCH("resolve",$S60)),
ISNUMBER(SEARCH("stamina",$D60)),ISNUMBER(SEARCH("stamina",$T60)),ISNUMBER(SEARCH("stamina",$R60)),ISNUMBER(SEARCH("stamina",$S60)),
ISNUMBER(SEARCH("guts",$D60)),ISNUMBER(SEARCH("guts",$T60)),ISNUMBER(SEARCH("guts",$R60)),ISNUMBER(SEARCH("guts",$S60)),
ISNUMBER(SEARCH("spunk",$D60)),ISNUMBER(SEARCH("spunk",$T60)),ISNUMBER(SEARCH("spunk",$R60)),ISNUMBER(SEARCH("spunk",$S60))), 1, 0)</f>
        <v>0</v>
      </c>
      <c r="BW60" s="5">
        <f t="shared" si="450"/>
        <v>0</v>
      </c>
      <c r="BX60" s="5">
        <f t="shared" si="29"/>
        <v>0</v>
      </c>
      <c r="BY60" s="5">
        <f t="shared" si="30"/>
        <v>0</v>
      </c>
      <c r="BZ60" s="5">
        <f t="shared" si="31"/>
        <v>0</v>
      </c>
      <c r="CA60" s="5">
        <f t="shared" si="32"/>
        <v>0</v>
      </c>
      <c r="CB60" s="5">
        <f t="shared" si="33"/>
        <v>0</v>
      </c>
      <c r="CC60" s="5">
        <f t="shared" si="34"/>
        <v>0</v>
      </c>
      <c r="CD60" s="5">
        <f t="shared" si="35"/>
        <v>0</v>
      </c>
      <c r="CE60" s="5">
        <f t="shared" si="36"/>
        <v>1</v>
      </c>
      <c r="CF60" s="5">
        <f t="shared" si="37"/>
        <v>0</v>
      </c>
      <c r="CG60" s="5">
        <f t="shared" si="38"/>
        <v>0</v>
      </c>
      <c r="CH60" s="5">
        <f t="shared" si="39"/>
        <v>0</v>
      </c>
      <c r="CI60" s="5">
        <f t="shared" si="40"/>
        <v>0</v>
      </c>
      <c r="CJ60" s="5">
        <f t="shared" si="41"/>
        <v>0</v>
      </c>
      <c r="CK60" s="5">
        <f t="shared" si="42"/>
        <v>0</v>
      </c>
      <c r="CL60" s="5">
        <f t="shared" si="43"/>
        <v>0</v>
      </c>
      <c r="CM60" s="5">
        <f t="shared" si="44"/>
        <v>0</v>
      </c>
      <c r="CN60" s="5">
        <f t="shared" si="45"/>
        <v>0</v>
      </c>
      <c r="CO60" s="5">
        <f t="shared" si="46"/>
        <v>0</v>
      </c>
      <c r="CP60" s="6">
        <f t="shared" si="47"/>
        <v>0</v>
      </c>
      <c r="CQ60" s="6">
        <f t="shared" si="48"/>
        <v>0</v>
      </c>
      <c r="CR60" s="6">
        <f t="shared" si="49"/>
        <v>0</v>
      </c>
      <c r="CS60" s="6">
        <f t="shared" si="50"/>
        <v>0</v>
      </c>
      <c r="CT60" s="6">
        <f t="shared" si="51"/>
        <v>0</v>
      </c>
      <c r="CU60" s="6">
        <f t="shared" si="52"/>
        <v>0</v>
      </c>
      <c r="CV60" s="6">
        <f t="shared" si="53"/>
        <v>0</v>
      </c>
      <c r="CW60" s="6">
        <f t="shared" si="54"/>
        <v>0</v>
      </c>
      <c r="CX60" s="6">
        <f t="shared" si="55"/>
        <v>0</v>
      </c>
      <c r="CY60" s="6">
        <f t="shared" si="56"/>
        <v>0</v>
      </c>
      <c r="CZ60" s="6">
        <f t="shared" si="57"/>
        <v>0</v>
      </c>
      <c r="DA60" s="6">
        <f t="shared" si="58"/>
        <v>1</v>
      </c>
      <c r="DB60" s="6">
        <f t="shared" si="59"/>
        <v>0</v>
      </c>
      <c r="DC60" s="6">
        <f t="shared" si="60"/>
        <v>0</v>
      </c>
      <c r="DD60" s="6">
        <f t="shared" si="61"/>
        <v>0</v>
      </c>
      <c r="DE60" s="6">
        <f t="shared" si="62"/>
        <v>0</v>
      </c>
      <c r="DF60" s="6">
        <f t="shared" si="63"/>
        <v>0</v>
      </c>
      <c r="DG60" s="6">
        <f t="shared" si="64"/>
        <v>0</v>
      </c>
      <c r="DH60" s="6">
        <f t="shared" si="434"/>
        <v>0</v>
      </c>
      <c r="DI60" s="6">
        <f t="shared" si="66"/>
        <v>0</v>
      </c>
      <c r="DJ60" s="6">
        <f t="shared" si="435"/>
        <v>0</v>
      </c>
      <c r="DK60" s="7">
        <f t="shared" si="68"/>
        <v>0</v>
      </c>
      <c r="DL60" s="7">
        <f t="shared" si="411"/>
        <v>0</v>
      </c>
      <c r="DM60" s="7">
        <f t="shared" si="70"/>
        <v>0</v>
      </c>
      <c r="DN60" s="7">
        <f t="shared" si="71"/>
        <v>0</v>
      </c>
      <c r="DO60" s="7">
        <f t="shared" si="72"/>
        <v>1</v>
      </c>
      <c r="DP60" s="8">
        <f t="shared" si="73"/>
        <v>0</v>
      </c>
      <c r="DQ60" s="8">
        <f t="shared" si="74"/>
        <v>1</v>
      </c>
      <c r="DR60" s="7">
        <f t="shared" si="75"/>
        <v>0</v>
      </c>
      <c r="DS60" s="7">
        <f t="shared" si="76"/>
        <v>0</v>
      </c>
      <c r="DT60" s="7">
        <f t="shared" si="77"/>
        <v>0</v>
      </c>
      <c r="DU60" s="9">
        <f t="shared" si="78"/>
        <v>0</v>
      </c>
      <c r="DV60" s="9">
        <f t="shared" si="79"/>
        <v>0</v>
      </c>
      <c r="DW60" s="9">
        <f t="shared" si="80"/>
        <v>0</v>
      </c>
      <c r="DX60" s="9">
        <f t="shared" si="81"/>
        <v>0</v>
      </c>
      <c r="DY60" s="9">
        <f t="shared" si="82"/>
        <v>0</v>
      </c>
      <c r="DZ60" s="9">
        <f t="shared" si="83"/>
        <v>0</v>
      </c>
      <c r="EA60" s="9">
        <f t="shared" si="84"/>
        <v>0</v>
      </c>
      <c r="EB60" s="9">
        <f t="shared" si="85"/>
        <v>0</v>
      </c>
      <c r="EC60" s="9">
        <f t="shared" si="86"/>
        <v>0</v>
      </c>
      <c r="ED60" s="9">
        <f t="shared" si="87"/>
        <v>0</v>
      </c>
      <c r="EE60" s="9">
        <f t="shared" si="88"/>
        <v>0</v>
      </c>
      <c r="EF60" s="9">
        <f t="shared" si="89"/>
        <v>0</v>
      </c>
      <c r="EG60" s="9">
        <f t="shared" si="90"/>
        <v>0</v>
      </c>
      <c r="EH60" s="9">
        <f t="shared" si="91"/>
        <v>0</v>
      </c>
      <c r="EI60" s="9">
        <f t="shared" si="92"/>
        <v>0</v>
      </c>
      <c r="EJ60" s="10">
        <f t="shared" si="93"/>
        <v>0</v>
      </c>
      <c r="EK60" s="10">
        <f t="shared" si="94"/>
        <v>0</v>
      </c>
      <c r="EL60" s="10">
        <f t="shared" ref="EL60:EM60" si="451">IF(OR(ISNUMBER(SEARCH("ai software toolkit", $D60)), ISNUMBER(SEARCH("ai software toolkit", $T60)), ISNUMBER(SEARCH("ai software toolkit", $R60)), ISNUMBER(SEARCH("ai software toolkit", $S60))), 1, 0)</f>
        <v>0</v>
      </c>
      <c r="EM60" s="10">
        <f t="shared" si="451"/>
        <v>0</v>
      </c>
      <c r="EN60" s="10">
        <f t="shared" si="96"/>
        <v>0</v>
      </c>
      <c r="EO60" s="10">
        <f t="shared" si="97"/>
        <v>0</v>
      </c>
      <c r="EP60" s="10">
        <f t="shared" si="98"/>
        <v>0</v>
      </c>
      <c r="EQ60" s="10">
        <f t="shared" si="99"/>
        <v>0</v>
      </c>
      <c r="ER60" s="10">
        <f t="shared" si="100"/>
        <v>0</v>
      </c>
      <c r="ES60" s="10">
        <f t="shared" si="101"/>
        <v>0</v>
      </c>
      <c r="ET60" s="10">
        <f t="shared" si="102"/>
        <v>0</v>
      </c>
      <c r="EU60" s="10">
        <f t="shared" si="103"/>
        <v>0</v>
      </c>
      <c r="EV60" s="10">
        <f t="shared" si="104"/>
        <v>0</v>
      </c>
      <c r="EW60" s="10">
        <f t="shared" si="105"/>
        <v>0</v>
      </c>
      <c r="EX60" s="10">
        <f t="shared" si="106"/>
        <v>0</v>
      </c>
      <c r="EY60" s="10">
        <f t="shared" si="107"/>
        <v>0</v>
      </c>
      <c r="EZ60" s="10">
        <f t="shared" si="108"/>
        <v>0</v>
      </c>
      <c r="FA60" s="10">
        <f t="shared" si="109"/>
        <v>0</v>
      </c>
      <c r="FB60" s="10">
        <f t="shared" si="110"/>
        <v>0</v>
      </c>
      <c r="FC60" s="10">
        <f t="shared" si="111"/>
        <v>0</v>
      </c>
      <c r="FD60" s="10">
        <f t="shared" si="112"/>
        <v>0</v>
      </c>
      <c r="FE60" s="10">
        <f t="shared" si="113"/>
        <v>0</v>
      </c>
      <c r="FF60" s="10">
        <f t="shared" si="114"/>
        <v>0</v>
      </c>
      <c r="FG60" s="10">
        <f t="shared" si="115"/>
        <v>0</v>
      </c>
      <c r="FH60" s="10">
        <f t="shared" si="116"/>
        <v>0</v>
      </c>
      <c r="FI60" s="10">
        <f t="shared" si="117"/>
        <v>0</v>
      </c>
      <c r="FJ60" s="10">
        <f t="shared" si="118"/>
        <v>0</v>
      </c>
      <c r="FK60" s="10">
        <f t="shared" si="119"/>
        <v>0</v>
      </c>
      <c r="FL60" s="10">
        <f t="shared" si="120"/>
        <v>0</v>
      </c>
      <c r="FM60" s="10">
        <f t="shared" si="121"/>
        <v>0</v>
      </c>
      <c r="FN60" s="10">
        <f t="shared" si="122"/>
        <v>0</v>
      </c>
      <c r="FO60" s="10">
        <f t="shared" si="123"/>
        <v>0</v>
      </c>
      <c r="FP60" s="10">
        <f t="shared" si="124"/>
        <v>0</v>
      </c>
      <c r="FQ60" s="10">
        <f t="shared" si="125"/>
        <v>0</v>
      </c>
      <c r="FR60" s="11">
        <f t="shared" si="437"/>
        <v>0</v>
      </c>
      <c r="FS60" s="11">
        <f t="shared" si="127"/>
        <v>0</v>
      </c>
      <c r="FT60" s="11">
        <f t="shared" si="128"/>
        <v>0</v>
      </c>
      <c r="FU60" s="11">
        <f t="shared" si="129"/>
        <v>0</v>
      </c>
      <c r="FV60" s="11">
        <f t="shared" si="130"/>
        <v>0</v>
      </c>
      <c r="FW60" s="11">
        <f t="shared" si="131"/>
        <v>0</v>
      </c>
      <c r="FX60" s="11">
        <f t="shared" si="132"/>
        <v>0</v>
      </c>
      <c r="FY60" s="11">
        <f t="shared" si="133"/>
        <v>0</v>
      </c>
      <c r="FZ60" s="11">
        <f t="shared" si="134"/>
        <v>0</v>
      </c>
      <c r="GA60" s="11">
        <f t="shared" si="135"/>
        <v>0</v>
      </c>
      <c r="GB60" s="11">
        <f t="shared" si="136"/>
        <v>0</v>
      </c>
      <c r="GC60" s="11">
        <f t="shared" si="137"/>
        <v>0</v>
      </c>
      <c r="GD60" s="11">
        <f t="shared" si="138"/>
        <v>0</v>
      </c>
      <c r="GE60" s="11">
        <f t="shared" si="139"/>
        <v>0</v>
      </c>
      <c r="GF60" s="11">
        <f t="shared" si="140"/>
        <v>0</v>
      </c>
      <c r="GG60" s="11">
        <f t="shared" si="141"/>
        <v>0</v>
      </c>
      <c r="GH60" s="11">
        <f t="shared" si="142"/>
        <v>0</v>
      </c>
      <c r="GI60" s="11">
        <f t="shared" si="143"/>
        <v>0</v>
      </c>
      <c r="GJ60" s="11">
        <f t="shared" si="144"/>
        <v>0</v>
      </c>
      <c r="GK60" s="11">
        <f t="shared" si="145"/>
        <v>0</v>
      </c>
      <c r="GL60" s="11">
        <f t="shared" si="146"/>
        <v>0</v>
      </c>
      <c r="GM60" s="11">
        <f t="shared" si="147"/>
        <v>0</v>
      </c>
      <c r="GN60" s="11">
        <f t="shared" si="148"/>
        <v>0</v>
      </c>
      <c r="GO60" s="11">
        <f t="shared" si="149"/>
        <v>0</v>
      </c>
      <c r="GP60" s="11">
        <f t="shared" si="150"/>
        <v>0</v>
      </c>
      <c r="GQ60" s="11">
        <f t="shared" si="151"/>
        <v>0</v>
      </c>
      <c r="GR60" s="11">
        <f t="shared" si="152"/>
        <v>0</v>
      </c>
      <c r="GS60" s="11">
        <f t="shared" si="153"/>
        <v>0</v>
      </c>
      <c r="GT60" s="11">
        <f t="shared" si="154"/>
        <v>0</v>
      </c>
      <c r="GU60" s="12">
        <f t="shared" si="155"/>
        <v>0</v>
      </c>
      <c r="GV60" s="12">
        <f t="shared" si="156"/>
        <v>0</v>
      </c>
      <c r="GW60" s="12">
        <f t="shared" si="157"/>
        <v>0</v>
      </c>
      <c r="GX60" s="12">
        <f t="shared" si="158"/>
        <v>0</v>
      </c>
      <c r="GY60" s="12">
        <f t="shared" si="159"/>
        <v>0</v>
      </c>
      <c r="GZ60" s="12">
        <f t="shared" si="160"/>
        <v>0</v>
      </c>
      <c r="HA60" s="12">
        <f t="shared" si="161"/>
        <v>0</v>
      </c>
      <c r="HB60" s="12">
        <f t="shared" si="162"/>
        <v>0</v>
      </c>
      <c r="HC60" s="12">
        <f t="shared" si="163"/>
        <v>0</v>
      </c>
      <c r="HD60" s="12">
        <f t="shared" si="164"/>
        <v>0</v>
      </c>
      <c r="HE60" s="12">
        <f t="shared" si="165"/>
        <v>0</v>
      </c>
      <c r="HF60" s="12">
        <f t="shared" si="166"/>
        <v>0</v>
      </c>
      <c r="HG60" s="12">
        <f t="shared" si="167"/>
        <v>0</v>
      </c>
      <c r="HH60" s="12">
        <f t="shared" si="168"/>
        <v>0</v>
      </c>
      <c r="HI60" s="12">
        <f t="shared" si="169"/>
        <v>0</v>
      </c>
      <c r="HJ60" s="12">
        <f t="shared" si="170"/>
        <v>0</v>
      </c>
      <c r="HK60" s="12">
        <f t="shared" si="171"/>
        <v>0</v>
      </c>
      <c r="HL60" s="12">
        <f t="shared" si="172"/>
        <v>0</v>
      </c>
      <c r="HM60" s="12">
        <f t="shared" si="173"/>
        <v>0</v>
      </c>
      <c r="HN60" s="12">
        <f t="shared" si="174"/>
        <v>0</v>
      </c>
      <c r="HO60" s="12">
        <f t="shared" si="175"/>
        <v>0</v>
      </c>
      <c r="HP60" s="12">
        <f t="shared" si="176"/>
        <v>0</v>
      </c>
      <c r="HQ60" s="12">
        <f t="shared" si="177"/>
        <v>0</v>
      </c>
      <c r="HR60" s="12">
        <f t="shared" si="178"/>
        <v>0</v>
      </c>
      <c r="HS60" s="12">
        <f t="shared" si="179"/>
        <v>0</v>
      </c>
      <c r="HT60" s="12">
        <f t="shared" si="180"/>
        <v>0</v>
      </c>
      <c r="HU60" s="12">
        <f t="shared" si="181"/>
        <v>0</v>
      </c>
      <c r="HV60" s="12">
        <f t="shared" si="182"/>
        <v>0</v>
      </c>
      <c r="HW60" s="12">
        <f t="shared" si="183"/>
        <v>0</v>
      </c>
      <c r="HX60" s="12">
        <f t="shared" si="184"/>
        <v>0</v>
      </c>
      <c r="HY60" s="12">
        <f t="shared" si="185"/>
        <v>0</v>
      </c>
      <c r="HZ60" s="12">
        <f t="shared" si="186"/>
        <v>0</v>
      </c>
      <c r="IA60" s="12">
        <f t="shared" si="187"/>
        <v>0</v>
      </c>
      <c r="IB60" s="12">
        <f t="shared" si="188"/>
        <v>0</v>
      </c>
      <c r="IC60" s="12">
        <f t="shared" si="189"/>
        <v>0</v>
      </c>
      <c r="ID60" s="12">
        <f t="shared" si="190"/>
        <v>0</v>
      </c>
      <c r="IE60" s="12">
        <f t="shared" si="191"/>
        <v>0</v>
      </c>
      <c r="IF60" s="12">
        <f t="shared" si="192"/>
        <v>0</v>
      </c>
      <c r="IG60" s="12">
        <f t="shared" si="193"/>
        <v>0</v>
      </c>
      <c r="IH60" s="12">
        <f t="shared" si="194"/>
        <v>0</v>
      </c>
      <c r="II60" s="12">
        <f t="shared" si="195"/>
        <v>0</v>
      </c>
      <c r="IJ60" s="12">
        <f t="shared" si="196"/>
        <v>0</v>
      </c>
      <c r="IK60" s="12">
        <f t="shared" si="197"/>
        <v>0</v>
      </c>
      <c r="IL60" s="12">
        <f t="shared" si="198"/>
        <v>0</v>
      </c>
      <c r="IM60" s="12">
        <f t="shared" si="199"/>
        <v>0</v>
      </c>
      <c r="IN60" s="12">
        <f t="shared" si="200"/>
        <v>0</v>
      </c>
      <c r="IO60" s="12">
        <f t="shared" si="201"/>
        <v>0</v>
      </c>
      <c r="IP60" s="12">
        <f t="shared" si="202"/>
        <v>0</v>
      </c>
      <c r="IQ60" s="12">
        <f t="shared" si="203"/>
        <v>0</v>
      </c>
      <c r="IR60" s="12">
        <f t="shared" si="204"/>
        <v>0</v>
      </c>
      <c r="IS60" s="12">
        <f t="shared" si="205"/>
        <v>0</v>
      </c>
      <c r="IT60" s="12">
        <f t="shared" si="206"/>
        <v>0</v>
      </c>
      <c r="IU60" s="12">
        <f t="shared" si="207"/>
        <v>0</v>
      </c>
      <c r="IV60" s="12">
        <f t="shared" si="208"/>
        <v>0</v>
      </c>
      <c r="IW60" s="12">
        <f t="shared" si="209"/>
        <v>0</v>
      </c>
      <c r="IX60" s="12">
        <f t="shared" si="210"/>
        <v>0</v>
      </c>
      <c r="IY60" s="12">
        <f t="shared" si="211"/>
        <v>0</v>
      </c>
      <c r="IZ60" s="12">
        <f t="shared" si="212"/>
        <v>0</v>
      </c>
      <c r="JA60" s="13">
        <f t="shared" si="213"/>
        <v>0</v>
      </c>
      <c r="JB60" s="13">
        <f t="shared" si="214"/>
        <v>0</v>
      </c>
      <c r="JC60" s="13">
        <f t="shared" si="215"/>
        <v>0</v>
      </c>
      <c r="JD60" s="13">
        <f t="shared" si="216"/>
        <v>0</v>
      </c>
      <c r="JE60" s="13">
        <f t="shared" si="217"/>
        <v>0</v>
      </c>
      <c r="JF60" s="13">
        <f t="shared" si="218"/>
        <v>0</v>
      </c>
      <c r="JG60" s="13">
        <f t="shared" si="219"/>
        <v>0</v>
      </c>
      <c r="JH60" s="13">
        <f t="shared" si="220"/>
        <v>0</v>
      </c>
      <c r="JI60" s="13">
        <f t="shared" si="221"/>
        <v>0</v>
      </c>
      <c r="JJ60" s="13">
        <f t="shared" si="222"/>
        <v>0</v>
      </c>
      <c r="JK60" s="13">
        <f t="shared" si="223"/>
        <v>0</v>
      </c>
      <c r="JL60" s="13">
        <f t="shared" si="224"/>
        <v>0</v>
      </c>
      <c r="JM60" s="13">
        <f t="shared" si="225"/>
        <v>0</v>
      </c>
      <c r="JN60" s="13">
        <f t="shared" si="226"/>
        <v>0</v>
      </c>
      <c r="JO60" s="13">
        <f t="shared" si="227"/>
        <v>0</v>
      </c>
      <c r="JP60" s="13">
        <f t="shared" si="228"/>
        <v>0</v>
      </c>
      <c r="JQ60" s="13">
        <f t="shared" si="229"/>
        <v>0</v>
      </c>
      <c r="JR60" s="13">
        <f t="shared" si="230"/>
        <v>0</v>
      </c>
      <c r="JS60" s="13">
        <f t="shared" si="231"/>
        <v>0</v>
      </c>
      <c r="JT60" s="13">
        <f t="shared" si="232"/>
        <v>0</v>
      </c>
      <c r="JU60" s="13">
        <f t="shared" si="233"/>
        <v>0</v>
      </c>
      <c r="JV60" s="12">
        <f t="shared" si="234"/>
        <v>0</v>
      </c>
      <c r="JW60" s="12">
        <f t="shared" si="235"/>
        <v>0</v>
      </c>
      <c r="JX60" s="12">
        <f t="shared" si="236"/>
        <v>0</v>
      </c>
      <c r="JY60" s="12">
        <f t="shared" si="237"/>
        <v>0</v>
      </c>
      <c r="JZ60" s="12">
        <f t="shared" si="238"/>
        <v>0</v>
      </c>
      <c r="KA60" s="12">
        <f t="shared" si="239"/>
        <v>0</v>
      </c>
      <c r="KB60" s="12">
        <f t="shared" si="240"/>
        <v>0</v>
      </c>
      <c r="KC60" s="12">
        <f t="shared" si="241"/>
        <v>0</v>
      </c>
      <c r="KD60" s="12">
        <f t="shared" si="242"/>
        <v>0</v>
      </c>
      <c r="KE60" s="12">
        <f t="shared" si="243"/>
        <v>0</v>
      </c>
      <c r="KF60" s="12">
        <f t="shared" si="244"/>
        <v>0</v>
      </c>
      <c r="KG60" s="12">
        <f t="shared" si="245"/>
        <v>0</v>
      </c>
      <c r="KH60" s="12">
        <f t="shared" si="246"/>
        <v>0</v>
      </c>
      <c r="KI60" s="12">
        <f t="shared" si="247"/>
        <v>0</v>
      </c>
      <c r="KJ60" s="12">
        <f t="shared" si="248"/>
        <v>0</v>
      </c>
      <c r="KK60" s="12">
        <f t="shared" si="249"/>
        <v>0</v>
      </c>
      <c r="KL60" s="12">
        <f t="shared" si="250"/>
        <v>0</v>
      </c>
      <c r="KM60" s="12">
        <f t="shared" si="251"/>
        <v>0</v>
      </c>
      <c r="KN60" s="12">
        <f t="shared" si="252"/>
        <v>0</v>
      </c>
      <c r="KO60" s="12">
        <f t="shared" si="253"/>
        <v>0</v>
      </c>
      <c r="KP60" s="12">
        <f t="shared" si="254"/>
        <v>0</v>
      </c>
      <c r="KQ60" s="12">
        <f t="shared" si="255"/>
        <v>0</v>
      </c>
      <c r="KR60" s="12">
        <f t="shared" si="256"/>
        <v>0</v>
      </c>
      <c r="KS60" s="12">
        <f t="shared" si="257"/>
        <v>0</v>
      </c>
      <c r="KT60" s="12">
        <f t="shared" si="258"/>
        <v>0</v>
      </c>
      <c r="KU60" s="12">
        <f t="shared" si="259"/>
        <v>0</v>
      </c>
      <c r="KV60" s="12">
        <f t="shared" si="260"/>
        <v>0</v>
      </c>
      <c r="KW60" s="12">
        <f t="shared" si="261"/>
        <v>0</v>
      </c>
      <c r="KX60" s="12">
        <f t="shared" si="262"/>
        <v>0</v>
      </c>
      <c r="KY60" s="12">
        <f t="shared" si="263"/>
        <v>0</v>
      </c>
      <c r="KZ60" s="12">
        <f t="shared" si="264"/>
        <v>0</v>
      </c>
      <c r="LA60" s="12">
        <f t="shared" si="265"/>
        <v>0</v>
      </c>
      <c r="LB60" s="12">
        <f t="shared" si="266"/>
        <v>0</v>
      </c>
      <c r="LC60" s="12">
        <f t="shared" si="267"/>
        <v>0</v>
      </c>
      <c r="LD60" s="12">
        <f t="shared" si="268"/>
        <v>0</v>
      </c>
      <c r="LE60" s="12">
        <f t="shared" si="269"/>
        <v>0</v>
      </c>
      <c r="LF60" s="12">
        <f t="shared" si="270"/>
        <v>0</v>
      </c>
      <c r="LG60" s="12">
        <f t="shared" si="271"/>
        <v>0</v>
      </c>
      <c r="LH60" s="12">
        <f t="shared" si="272"/>
        <v>0</v>
      </c>
      <c r="LI60" s="12">
        <f t="shared" si="273"/>
        <v>0</v>
      </c>
      <c r="LJ60" s="12">
        <f t="shared" si="274"/>
        <v>0</v>
      </c>
      <c r="LK60" s="12">
        <f t="shared" si="275"/>
        <v>0</v>
      </c>
      <c r="LL60" s="12">
        <f t="shared" si="276"/>
        <v>0</v>
      </c>
      <c r="LM60" s="12">
        <f t="shared" si="277"/>
        <v>0</v>
      </c>
      <c r="LN60" s="12">
        <f t="shared" si="278"/>
        <v>0</v>
      </c>
      <c r="LO60" s="12">
        <f t="shared" si="279"/>
        <v>0</v>
      </c>
      <c r="LP60" s="12">
        <f t="shared" si="280"/>
        <v>0</v>
      </c>
      <c r="LQ60" s="12">
        <f t="shared" si="281"/>
        <v>0</v>
      </c>
      <c r="LR60" s="12">
        <f t="shared" si="282"/>
        <v>0</v>
      </c>
      <c r="LS60" s="12">
        <f t="shared" si="283"/>
        <v>0</v>
      </c>
      <c r="LT60" s="13">
        <f t="shared" si="284"/>
        <v>0</v>
      </c>
      <c r="LU60" s="13">
        <f t="shared" si="285"/>
        <v>0</v>
      </c>
      <c r="LV60" s="13">
        <f t="shared" si="286"/>
        <v>0</v>
      </c>
      <c r="LW60" s="13">
        <f t="shared" si="287"/>
        <v>1</v>
      </c>
      <c r="LX60" s="13">
        <f t="shared" si="288"/>
        <v>0</v>
      </c>
      <c r="LY60" s="13">
        <f t="shared" si="289"/>
        <v>0</v>
      </c>
      <c r="LZ60" s="13">
        <f t="shared" si="290"/>
        <v>0</v>
      </c>
      <c r="MA60" s="13">
        <f t="shared" si="291"/>
        <v>0</v>
      </c>
      <c r="MB60" s="13">
        <f t="shared" si="292"/>
        <v>0</v>
      </c>
      <c r="MC60" s="13">
        <f t="shared" si="293"/>
        <v>0</v>
      </c>
      <c r="MD60" s="13">
        <f t="shared" si="294"/>
        <v>0</v>
      </c>
      <c r="ME60" s="13">
        <f t="shared" si="295"/>
        <v>0</v>
      </c>
      <c r="MF60" s="13">
        <f t="shared" si="296"/>
        <v>0</v>
      </c>
      <c r="MG60" s="13">
        <f t="shared" si="297"/>
        <v>0</v>
      </c>
      <c r="MH60" s="13">
        <f t="shared" si="298"/>
        <v>0</v>
      </c>
      <c r="MI60" s="13">
        <f t="shared" si="299"/>
        <v>0</v>
      </c>
      <c r="MJ60" s="13">
        <f t="shared" si="300"/>
        <v>0</v>
      </c>
      <c r="MK60" s="13">
        <f t="shared" si="301"/>
        <v>0</v>
      </c>
      <c r="ML60" s="14">
        <f t="shared" si="302"/>
        <v>0</v>
      </c>
      <c r="MM60" s="14">
        <f t="shared" si="303"/>
        <v>0</v>
      </c>
      <c r="MN60" s="14">
        <f t="shared" si="304"/>
        <v>0</v>
      </c>
      <c r="MO60" s="14">
        <f t="shared" si="305"/>
        <v>0</v>
      </c>
      <c r="MP60" s="14">
        <f t="shared" si="306"/>
        <v>0</v>
      </c>
      <c r="MQ60" s="14">
        <f t="shared" si="307"/>
        <v>0</v>
      </c>
      <c r="MR60" s="14">
        <f t="shared" si="308"/>
        <v>0</v>
      </c>
      <c r="MS60" s="14">
        <f t="shared" si="309"/>
        <v>0</v>
      </c>
      <c r="MT60" s="14">
        <f t="shared" si="310"/>
        <v>0</v>
      </c>
      <c r="MU60" s="14">
        <f t="shared" si="311"/>
        <v>0</v>
      </c>
      <c r="MV60" s="14">
        <f t="shared" si="312"/>
        <v>0</v>
      </c>
      <c r="MW60" s="14">
        <f t="shared" si="313"/>
        <v>0</v>
      </c>
      <c r="MX60" s="14">
        <f t="shared" si="314"/>
        <v>0</v>
      </c>
      <c r="MY60" s="14">
        <f t="shared" si="315"/>
        <v>0</v>
      </c>
      <c r="MZ60" s="14">
        <f t="shared" si="316"/>
        <v>0</v>
      </c>
      <c r="NA60" s="14">
        <f t="shared" si="317"/>
        <v>0</v>
      </c>
      <c r="NB60" s="14">
        <f t="shared" si="318"/>
        <v>0</v>
      </c>
    </row>
    <row r="61" ht="15.75" customHeight="1">
      <c r="A61" s="2">
        <v>333.0</v>
      </c>
      <c r="B61" s="2" t="s">
        <v>1428</v>
      </c>
      <c r="C61" s="2" t="s">
        <v>1429</v>
      </c>
      <c r="D61" s="2" t="s">
        <v>1430</v>
      </c>
      <c r="E61" s="2">
        <v>2018.0</v>
      </c>
      <c r="F61" s="2" t="s">
        <v>1293</v>
      </c>
      <c r="G61" s="2" t="s">
        <v>432</v>
      </c>
      <c r="H61" s="2" t="s">
        <v>510</v>
      </c>
      <c r="I61" s="2" t="s">
        <v>1431</v>
      </c>
      <c r="J61" s="2" t="s">
        <v>392</v>
      </c>
      <c r="K61" s="2" t="s">
        <v>677</v>
      </c>
      <c r="M61" s="2">
        <v>23.0</v>
      </c>
      <c r="N61" s="2" t="s">
        <v>1432</v>
      </c>
      <c r="O61" s="2" t="s">
        <v>1433</v>
      </c>
      <c r="P61" s="2" t="s">
        <v>1434</v>
      </c>
      <c r="Q61" s="2" t="s">
        <v>1435</v>
      </c>
      <c r="R61" s="2" t="s">
        <v>1436</v>
      </c>
      <c r="S61" s="2" t="s">
        <v>1437</v>
      </c>
      <c r="Y61" s="2" t="s">
        <v>1438</v>
      </c>
      <c r="AB61" s="2" t="s">
        <v>687</v>
      </c>
      <c r="AG61" s="2" t="s">
        <v>1304</v>
      </c>
      <c r="AK61" s="2" t="s">
        <v>1305</v>
      </c>
      <c r="AL61" s="2" t="s">
        <v>384</v>
      </c>
      <c r="AM61" s="2" t="s">
        <v>1306</v>
      </c>
      <c r="AN61" s="2" t="s">
        <v>386</v>
      </c>
      <c r="AO61" s="2" t="s">
        <v>1439</v>
      </c>
      <c r="AP61" s="2" t="s">
        <v>386</v>
      </c>
      <c r="AQ61" s="2">
        <v>1298.0</v>
      </c>
      <c r="AR61" s="2" t="s">
        <v>1440</v>
      </c>
      <c r="AS61" s="2" t="b">
        <v>0</v>
      </c>
      <c r="AT61" s="3">
        <v>0.0</v>
      </c>
      <c r="AU61" s="4"/>
      <c r="AV61" s="4"/>
      <c r="AW61" s="5">
        <f t="shared" si="432"/>
        <v>0</v>
      </c>
      <c r="AX61" s="5">
        <f t="shared" si="4"/>
        <v>0</v>
      </c>
      <c r="AY61" s="5">
        <f t="shared" si="5"/>
        <v>0</v>
      </c>
      <c r="AZ61" s="5">
        <f t="shared" si="6"/>
        <v>0</v>
      </c>
      <c r="BA61" s="5">
        <f t="shared" si="7"/>
        <v>0</v>
      </c>
      <c r="BB61" s="5">
        <f t="shared" si="8"/>
        <v>0</v>
      </c>
      <c r="BC61" s="5">
        <f t="shared" si="9"/>
        <v>0</v>
      </c>
      <c r="BD61" s="5">
        <f t="shared" si="10"/>
        <v>0</v>
      </c>
      <c r="BE61" s="5">
        <f t="shared" si="11"/>
        <v>0</v>
      </c>
      <c r="BF61" s="5">
        <f t="shared" si="12"/>
        <v>0</v>
      </c>
      <c r="BG61" s="5">
        <f t="shared" si="13"/>
        <v>0</v>
      </c>
      <c r="BH61" s="5">
        <f t="shared" si="14"/>
        <v>0</v>
      </c>
      <c r="BI61" s="5">
        <f t="shared" si="15"/>
        <v>0</v>
      </c>
      <c r="BJ61" s="5">
        <f t="shared" si="16"/>
        <v>0</v>
      </c>
      <c r="BK61" s="5">
        <f t="shared" si="17"/>
        <v>0</v>
      </c>
      <c r="BL61" s="5">
        <f t="shared" si="18"/>
        <v>0</v>
      </c>
      <c r="BM61" s="5">
        <f t="shared" si="19"/>
        <v>0</v>
      </c>
      <c r="BN61" s="5">
        <f t="shared" si="20"/>
        <v>0</v>
      </c>
      <c r="BO61" s="5">
        <f t="shared" si="21"/>
        <v>0</v>
      </c>
      <c r="BP61" s="5">
        <f t="shared" si="22"/>
        <v>0</v>
      </c>
      <c r="BQ61" s="5">
        <f t="shared" si="23"/>
        <v>0</v>
      </c>
      <c r="BR61" s="5">
        <f t="shared" si="24"/>
        <v>0</v>
      </c>
      <c r="BS61" s="5">
        <f t="shared" si="25"/>
        <v>0</v>
      </c>
      <c r="BT61" s="5">
        <f t="shared" si="26"/>
        <v>0</v>
      </c>
      <c r="BU61" s="5">
        <f t="shared" si="27"/>
        <v>0</v>
      </c>
      <c r="BV61" s="5">
        <f t="shared" ref="BV61:BW61" si="452">IF(OR(ISNUMBER(SEARCH("grit",$D61)),ISNUMBER(SEARCH("grit",$T61)),ISNUMBER(SEARCH("grit",$R61)),ISNUMBER(SEARCH("grit",$S61)),
ISNUMBER(SEARCH("determination",$D61)),ISNUMBER(SEARCH("determination",$T61)),ISNUMBER(SEARCH("determination",$R61)),ISNUMBER(SEARCH("determination",$S61)),
ISNUMBER(SEARCH("tenacity",$D61)),ISNUMBER(SEARCH("tenacity",$T61)),ISNUMBER(SEARCH("tenacity",$R61)),ISNUMBER(SEARCH("tenacity",$S61)),
ISNUMBER(SEARCH("endurance",$D61)),ISNUMBER(SEARCH("endurance",$T61)),ISNUMBER(SEARCH("endurance",$R61)),ISNUMBER(SEARCH("endurance",$S61)),
ISNUMBER(SEARCH("fortitude",$D61)),ISNUMBER(SEARCH("fortitude",$T61)),ISNUMBER(SEARCH("fortitude",$R61)),ISNUMBER(SEARCH("fortitude",$S61)),
ISNUMBER(SEARCH("resolve",$D61)),ISNUMBER(SEARCH("resolve",$T61)),ISNUMBER(SEARCH("resolve",$R61)),ISNUMBER(SEARCH("resolve",$S61)),
ISNUMBER(SEARCH("stamina",$D61)),ISNUMBER(SEARCH("stamina",$T61)),ISNUMBER(SEARCH("stamina",$R61)),ISNUMBER(SEARCH("stamina",$S61)),
ISNUMBER(SEARCH("guts",$D61)),ISNUMBER(SEARCH("guts",$T61)),ISNUMBER(SEARCH("guts",$R61)),ISNUMBER(SEARCH("guts",$S61)),
ISNUMBER(SEARCH("spunk",$D61)),ISNUMBER(SEARCH("spunk",$T61)),ISNUMBER(SEARCH("spunk",$R61)),ISNUMBER(SEARCH("spunk",$S61))), 1, 0)</f>
        <v>0</v>
      </c>
      <c r="BW61" s="5">
        <f t="shared" si="452"/>
        <v>0</v>
      </c>
      <c r="BX61" s="5">
        <f t="shared" si="29"/>
        <v>1</v>
      </c>
      <c r="BY61" s="5">
        <f t="shared" si="30"/>
        <v>0</v>
      </c>
      <c r="BZ61" s="5">
        <f t="shared" si="31"/>
        <v>0</v>
      </c>
      <c r="CA61" s="5">
        <f t="shared" si="32"/>
        <v>0</v>
      </c>
      <c r="CB61" s="5">
        <f t="shared" si="33"/>
        <v>0</v>
      </c>
      <c r="CC61" s="5">
        <f t="shared" si="34"/>
        <v>0</v>
      </c>
      <c r="CD61" s="5">
        <f t="shared" si="35"/>
        <v>0</v>
      </c>
      <c r="CE61" s="5">
        <f t="shared" si="36"/>
        <v>0</v>
      </c>
      <c r="CF61" s="5">
        <f t="shared" si="37"/>
        <v>0</v>
      </c>
      <c r="CG61" s="5">
        <f t="shared" si="38"/>
        <v>0</v>
      </c>
      <c r="CH61" s="5">
        <f t="shared" si="39"/>
        <v>0</v>
      </c>
      <c r="CI61" s="5">
        <f t="shared" si="40"/>
        <v>0</v>
      </c>
      <c r="CJ61" s="5">
        <f t="shared" si="41"/>
        <v>0</v>
      </c>
      <c r="CK61" s="5">
        <f t="shared" si="42"/>
        <v>0</v>
      </c>
      <c r="CL61" s="5">
        <f t="shared" si="43"/>
        <v>0</v>
      </c>
      <c r="CM61" s="5">
        <f t="shared" si="44"/>
        <v>0</v>
      </c>
      <c r="CN61" s="5">
        <f t="shared" si="45"/>
        <v>0</v>
      </c>
      <c r="CO61" s="5">
        <f t="shared" si="46"/>
        <v>0</v>
      </c>
      <c r="CP61" s="6">
        <f t="shared" si="47"/>
        <v>0</v>
      </c>
      <c r="CQ61" s="6">
        <f t="shared" si="48"/>
        <v>0</v>
      </c>
      <c r="CR61" s="6">
        <f t="shared" si="49"/>
        <v>0</v>
      </c>
      <c r="CS61" s="6">
        <f t="shared" si="50"/>
        <v>0</v>
      </c>
      <c r="CT61" s="6">
        <f t="shared" si="51"/>
        <v>0</v>
      </c>
      <c r="CU61" s="6">
        <f t="shared" si="52"/>
        <v>0</v>
      </c>
      <c r="CV61" s="6">
        <f t="shared" si="53"/>
        <v>0</v>
      </c>
      <c r="CW61" s="6">
        <f t="shared" si="54"/>
        <v>0</v>
      </c>
      <c r="CX61" s="6">
        <f t="shared" si="55"/>
        <v>0</v>
      </c>
      <c r="CY61" s="6">
        <f t="shared" si="56"/>
        <v>0</v>
      </c>
      <c r="CZ61" s="6">
        <f t="shared" si="57"/>
        <v>0</v>
      </c>
      <c r="DA61" s="6">
        <f t="shared" si="58"/>
        <v>0</v>
      </c>
      <c r="DB61" s="6">
        <f t="shared" si="59"/>
        <v>0</v>
      </c>
      <c r="DC61" s="6">
        <f t="shared" si="60"/>
        <v>0</v>
      </c>
      <c r="DD61" s="6">
        <f t="shared" si="61"/>
        <v>0</v>
      </c>
      <c r="DE61" s="6">
        <f t="shared" si="62"/>
        <v>0</v>
      </c>
      <c r="DF61" s="6">
        <f t="shared" si="63"/>
        <v>0</v>
      </c>
      <c r="DG61" s="6">
        <f t="shared" si="64"/>
        <v>0</v>
      </c>
      <c r="DH61" s="6">
        <f t="shared" si="434"/>
        <v>0</v>
      </c>
      <c r="DI61" s="6">
        <f t="shared" si="66"/>
        <v>0</v>
      </c>
      <c r="DJ61" s="6">
        <f t="shared" si="435"/>
        <v>0</v>
      </c>
      <c r="DK61" s="7">
        <f t="shared" si="68"/>
        <v>0</v>
      </c>
      <c r="DL61" s="7">
        <f t="shared" si="411"/>
        <v>0</v>
      </c>
      <c r="DM61" s="7">
        <f t="shared" si="70"/>
        <v>0</v>
      </c>
      <c r="DN61" s="7">
        <f t="shared" si="71"/>
        <v>0</v>
      </c>
      <c r="DO61" s="7">
        <f t="shared" si="72"/>
        <v>0</v>
      </c>
      <c r="DP61" s="8">
        <f t="shared" si="73"/>
        <v>0</v>
      </c>
      <c r="DQ61" s="8">
        <f t="shared" si="74"/>
        <v>1</v>
      </c>
      <c r="DR61" s="7">
        <f t="shared" si="75"/>
        <v>0</v>
      </c>
      <c r="DS61" s="7">
        <f t="shared" si="76"/>
        <v>0</v>
      </c>
      <c r="DT61" s="7">
        <f t="shared" si="77"/>
        <v>0</v>
      </c>
      <c r="DU61" s="9">
        <f t="shared" si="78"/>
        <v>0</v>
      </c>
      <c r="DV61" s="9">
        <f t="shared" si="79"/>
        <v>0</v>
      </c>
      <c r="DW61" s="9">
        <f t="shared" si="80"/>
        <v>0</v>
      </c>
      <c r="DX61" s="9">
        <f t="shared" si="81"/>
        <v>0</v>
      </c>
      <c r="DY61" s="9">
        <f t="shared" si="82"/>
        <v>0</v>
      </c>
      <c r="DZ61" s="9">
        <f t="shared" si="83"/>
        <v>0</v>
      </c>
      <c r="EA61" s="9">
        <f t="shared" si="84"/>
        <v>0</v>
      </c>
      <c r="EB61" s="9">
        <f t="shared" si="85"/>
        <v>0</v>
      </c>
      <c r="EC61" s="9">
        <f t="shared" si="86"/>
        <v>0</v>
      </c>
      <c r="ED61" s="9">
        <f t="shared" si="87"/>
        <v>0</v>
      </c>
      <c r="EE61" s="9">
        <f t="shared" si="88"/>
        <v>0</v>
      </c>
      <c r="EF61" s="9">
        <f t="shared" si="89"/>
        <v>0</v>
      </c>
      <c r="EG61" s="9">
        <f t="shared" si="90"/>
        <v>0</v>
      </c>
      <c r="EH61" s="9">
        <f t="shared" si="91"/>
        <v>0</v>
      </c>
      <c r="EI61" s="9">
        <f t="shared" si="92"/>
        <v>0</v>
      </c>
      <c r="EJ61" s="10">
        <f t="shared" si="93"/>
        <v>0</v>
      </c>
      <c r="EK61" s="10">
        <f t="shared" si="94"/>
        <v>0</v>
      </c>
      <c r="EL61" s="10">
        <f t="shared" ref="EL61:EM61" si="453">IF(OR(ISNUMBER(SEARCH("ai software toolkit", $D61)), ISNUMBER(SEARCH("ai software toolkit", $T61)), ISNUMBER(SEARCH("ai software toolkit", $R61)), ISNUMBER(SEARCH("ai software toolkit", $S61))), 1, 0)</f>
        <v>0</v>
      </c>
      <c r="EM61" s="10">
        <f t="shared" si="453"/>
        <v>0</v>
      </c>
      <c r="EN61" s="10">
        <f t="shared" si="96"/>
        <v>0</v>
      </c>
      <c r="EO61" s="10">
        <f t="shared" si="97"/>
        <v>1</v>
      </c>
      <c r="EP61" s="10">
        <f t="shared" si="98"/>
        <v>0</v>
      </c>
      <c r="EQ61" s="10">
        <f t="shared" si="99"/>
        <v>0</v>
      </c>
      <c r="ER61" s="10">
        <f t="shared" si="100"/>
        <v>0</v>
      </c>
      <c r="ES61" s="10">
        <f t="shared" si="101"/>
        <v>0</v>
      </c>
      <c r="ET61" s="10">
        <f t="shared" si="102"/>
        <v>0</v>
      </c>
      <c r="EU61" s="10">
        <f t="shared" si="103"/>
        <v>0</v>
      </c>
      <c r="EV61" s="10">
        <f t="shared" si="104"/>
        <v>0</v>
      </c>
      <c r="EW61" s="10">
        <f t="shared" si="105"/>
        <v>0</v>
      </c>
      <c r="EX61" s="10">
        <f t="shared" si="106"/>
        <v>0</v>
      </c>
      <c r="EY61" s="10">
        <f t="shared" si="107"/>
        <v>0</v>
      </c>
      <c r="EZ61" s="10">
        <f t="shared" si="108"/>
        <v>0</v>
      </c>
      <c r="FA61" s="10">
        <f t="shared" si="109"/>
        <v>0</v>
      </c>
      <c r="FB61" s="10">
        <f t="shared" si="110"/>
        <v>0</v>
      </c>
      <c r="FC61" s="10">
        <f t="shared" si="111"/>
        <v>0</v>
      </c>
      <c r="FD61" s="10">
        <f t="shared" si="112"/>
        <v>0</v>
      </c>
      <c r="FE61" s="10">
        <f t="shared" si="113"/>
        <v>0</v>
      </c>
      <c r="FF61" s="10">
        <f t="shared" si="114"/>
        <v>0</v>
      </c>
      <c r="FG61" s="10">
        <f t="shared" si="115"/>
        <v>0</v>
      </c>
      <c r="FH61" s="10">
        <f t="shared" si="116"/>
        <v>0</v>
      </c>
      <c r="FI61" s="10">
        <f t="shared" si="117"/>
        <v>0</v>
      </c>
      <c r="FJ61" s="10">
        <f t="shared" si="118"/>
        <v>0</v>
      </c>
      <c r="FK61" s="10">
        <f t="shared" si="119"/>
        <v>0</v>
      </c>
      <c r="FL61" s="10">
        <f t="shared" si="120"/>
        <v>0</v>
      </c>
      <c r="FM61" s="10">
        <f t="shared" si="121"/>
        <v>0</v>
      </c>
      <c r="FN61" s="10">
        <f t="shared" si="122"/>
        <v>0</v>
      </c>
      <c r="FO61" s="10">
        <f t="shared" si="123"/>
        <v>0</v>
      </c>
      <c r="FP61" s="10">
        <f t="shared" si="124"/>
        <v>0</v>
      </c>
      <c r="FQ61" s="10">
        <f t="shared" si="125"/>
        <v>0</v>
      </c>
      <c r="FR61" s="11">
        <f t="shared" si="437"/>
        <v>0</v>
      </c>
      <c r="FS61" s="11">
        <f t="shared" si="127"/>
        <v>0</v>
      </c>
      <c r="FT61" s="11">
        <f t="shared" si="128"/>
        <v>0</v>
      </c>
      <c r="FU61" s="11">
        <f t="shared" si="129"/>
        <v>0</v>
      </c>
      <c r="FV61" s="11">
        <f t="shared" si="130"/>
        <v>0</v>
      </c>
      <c r="FW61" s="11">
        <f t="shared" si="131"/>
        <v>0</v>
      </c>
      <c r="FX61" s="11">
        <f t="shared" si="132"/>
        <v>0</v>
      </c>
      <c r="FY61" s="11">
        <f t="shared" si="133"/>
        <v>0</v>
      </c>
      <c r="FZ61" s="11">
        <f t="shared" si="134"/>
        <v>0</v>
      </c>
      <c r="GA61" s="11">
        <f t="shared" si="135"/>
        <v>0</v>
      </c>
      <c r="GB61" s="11">
        <f t="shared" si="136"/>
        <v>0</v>
      </c>
      <c r="GC61" s="11">
        <f t="shared" si="137"/>
        <v>0</v>
      </c>
      <c r="GD61" s="11">
        <f t="shared" si="138"/>
        <v>0</v>
      </c>
      <c r="GE61" s="11">
        <f t="shared" si="139"/>
        <v>0</v>
      </c>
      <c r="GF61" s="11">
        <f t="shared" si="140"/>
        <v>0</v>
      </c>
      <c r="GG61" s="11">
        <f t="shared" si="141"/>
        <v>0</v>
      </c>
      <c r="GH61" s="11">
        <f t="shared" si="142"/>
        <v>0</v>
      </c>
      <c r="GI61" s="11">
        <f t="shared" si="143"/>
        <v>0</v>
      </c>
      <c r="GJ61" s="11">
        <f t="shared" si="144"/>
        <v>0</v>
      </c>
      <c r="GK61" s="11">
        <f t="shared" si="145"/>
        <v>0</v>
      </c>
      <c r="GL61" s="11">
        <f t="shared" si="146"/>
        <v>0</v>
      </c>
      <c r="GM61" s="11">
        <f t="shared" si="147"/>
        <v>0</v>
      </c>
      <c r="GN61" s="11">
        <f t="shared" si="148"/>
        <v>0</v>
      </c>
      <c r="GO61" s="11">
        <f t="shared" si="149"/>
        <v>0</v>
      </c>
      <c r="GP61" s="11">
        <f t="shared" si="150"/>
        <v>0</v>
      </c>
      <c r="GQ61" s="11">
        <f t="shared" si="151"/>
        <v>0</v>
      </c>
      <c r="GR61" s="11">
        <f t="shared" si="152"/>
        <v>0</v>
      </c>
      <c r="GS61" s="11">
        <f t="shared" si="153"/>
        <v>0</v>
      </c>
      <c r="GT61" s="11">
        <f t="shared" si="154"/>
        <v>0</v>
      </c>
      <c r="GU61" s="12">
        <f t="shared" si="155"/>
        <v>0</v>
      </c>
      <c r="GV61" s="12">
        <f t="shared" si="156"/>
        <v>0</v>
      </c>
      <c r="GW61" s="12">
        <f t="shared" si="157"/>
        <v>0</v>
      </c>
      <c r="GX61" s="12">
        <f t="shared" si="158"/>
        <v>0</v>
      </c>
      <c r="GY61" s="12">
        <f t="shared" si="159"/>
        <v>0</v>
      </c>
      <c r="GZ61" s="12">
        <f t="shared" si="160"/>
        <v>0</v>
      </c>
      <c r="HA61" s="12">
        <f t="shared" si="161"/>
        <v>0</v>
      </c>
      <c r="HB61" s="12">
        <f t="shared" si="162"/>
        <v>0</v>
      </c>
      <c r="HC61" s="12">
        <f t="shared" si="163"/>
        <v>0</v>
      </c>
      <c r="HD61" s="12">
        <f t="shared" si="164"/>
        <v>0</v>
      </c>
      <c r="HE61" s="12">
        <f t="shared" si="165"/>
        <v>0</v>
      </c>
      <c r="HF61" s="12">
        <f t="shared" si="166"/>
        <v>0</v>
      </c>
      <c r="HG61" s="12">
        <f t="shared" si="167"/>
        <v>0</v>
      </c>
      <c r="HH61" s="12">
        <f t="shared" si="168"/>
        <v>0</v>
      </c>
      <c r="HI61" s="12">
        <f t="shared" si="169"/>
        <v>0</v>
      </c>
      <c r="HJ61" s="12">
        <f t="shared" si="170"/>
        <v>0</v>
      </c>
      <c r="HK61" s="12">
        <f t="shared" si="171"/>
        <v>0</v>
      </c>
      <c r="HL61" s="12">
        <f t="shared" si="172"/>
        <v>0</v>
      </c>
      <c r="HM61" s="12">
        <f t="shared" si="173"/>
        <v>0</v>
      </c>
      <c r="HN61" s="12">
        <f t="shared" si="174"/>
        <v>0</v>
      </c>
      <c r="HO61" s="12">
        <f t="shared" si="175"/>
        <v>0</v>
      </c>
      <c r="HP61" s="12">
        <f t="shared" si="176"/>
        <v>0</v>
      </c>
      <c r="HQ61" s="12">
        <f t="shared" si="177"/>
        <v>0</v>
      </c>
      <c r="HR61" s="12">
        <f t="shared" si="178"/>
        <v>0</v>
      </c>
      <c r="HS61" s="12">
        <f t="shared" si="179"/>
        <v>0</v>
      </c>
      <c r="HT61" s="12">
        <f t="shared" si="180"/>
        <v>0</v>
      </c>
      <c r="HU61" s="12">
        <f t="shared" si="181"/>
        <v>0</v>
      </c>
      <c r="HV61" s="12">
        <f t="shared" si="182"/>
        <v>0</v>
      </c>
      <c r="HW61" s="12">
        <f t="shared" si="183"/>
        <v>0</v>
      </c>
      <c r="HX61" s="12">
        <f t="shared" si="184"/>
        <v>0</v>
      </c>
      <c r="HY61" s="12">
        <f t="shared" si="185"/>
        <v>0</v>
      </c>
      <c r="HZ61" s="12">
        <f t="shared" si="186"/>
        <v>0</v>
      </c>
      <c r="IA61" s="12">
        <f t="shared" si="187"/>
        <v>0</v>
      </c>
      <c r="IB61" s="12">
        <f t="shared" si="188"/>
        <v>0</v>
      </c>
      <c r="IC61" s="12">
        <f t="shared" si="189"/>
        <v>0</v>
      </c>
      <c r="ID61" s="12">
        <f t="shared" si="190"/>
        <v>0</v>
      </c>
      <c r="IE61" s="12">
        <f t="shared" si="191"/>
        <v>0</v>
      </c>
      <c r="IF61" s="12">
        <f t="shared" si="192"/>
        <v>0</v>
      </c>
      <c r="IG61" s="12">
        <f t="shared" si="193"/>
        <v>0</v>
      </c>
      <c r="IH61" s="12">
        <f t="shared" si="194"/>
        <v>0</v>
      </c>
      <c r="II61" s="12">
        <f t="shared" si="195"/>
        <v>0</v>
      </c>
      <c r="IJ61" s="12">
        <f t="shared" si="196"/>
        <v>0</v>
      </c>
      <c r="IK61" s="12">
        <f t="shared" si="197"/>
        <v>0</v>
      </c>
      <c r="IL61" s="12">
        <f t="shared" si="198"/>
        <v>0</v>
      </c>
      <c r="IM61" s="12">
        <f t="shared" si="199"/>
        <v>0</v>
      </c>
      <c r="IN61" s="12">
        <f t="shared" si="200"/>
        <v>0</v>
      </c>
      <c r="IO61" s="12">
        <f t="shared" si="201"/>
        <v>0</v>
      </c>
      <c r="IP61" s="12">
        <f t="shared" si="202"/>
        <v>0</v>
      </c>
      <c r="IQ61" s="12">
        <f t="shared" si="203"/>
        <v>0</v>
      </c>
      <c r="IR61" s="12">
        <f t="shared" si="204"/>
        <v>0</v>
      </c>
      <c r="IS61" s="12">
        <f t="shared" si="205"/>
        <v>0</v>
      </c>
      <c r="IT61" s="12">
        <f t="shared" si="206"/>
        <v>0</v>
      </c>
      <c r="IU61" s="12">
        <f t="shared" si="207"/>
        <v>0</v>
      </c>
      <c r="IV61" s="12">
        <f t="shared" si="208"/>
        <v>0</v>
      </c>
      <c r="IW61" s="12">
        <f t="shared" si="209"/>
        <v>0</v>
      </c>
      <c r="IX61" s="12">
        <f t="shared" si="210"/>
        <v>0</v>
      </c>
      <c r="IY61" s="12">
        <f t="shared" si="211"/>
        <v>0</v>
      </c>
      <c r="IZ61" s="12">
        <f t="shared" si="212"/>
        <v>1</v>
      </c>
      <c r="JA61" s="13">
        <f t="shared" si="213"/>
        <v>0</v>
      </c>
      <c r="JB61" s="13">
        <f t="shared" si="214"/>
        <v>0</v>
      </c>
      <c r="JC61" s="13">
        <f t="shared" si="215"/>
        <v>0</v>
      </c>
      <c r="JD61" s="13">
        <f t="shared" si="216"/>
        <v>0</v>
      </c>
      <c r="JE61" s="13">
        <f t="shared" si="217"/>
        <v>0</v>
      </c>
      <c r="JF61" s="13">
        <f t="shared" si="218"/>
        <v>0</v>
      </c>
      <c r="JG61" s="13">
        <f t="shared" si="219"/>
        <v>0</v>
      </c>
      <c r="JH61" s="13">
        <f t="shared" si="220"/>
        <v>0</v>
      </c>
      <c r="JI61" s="13">
        <f t="shared" si="221"/>
        <v>0</v>
      </c>
      <c r="JJ61" s="13">
        <f t="shared" si="222"/>
        <v>0</v>
      </c>
      <c r="JK61" s="13">
        <f t="shared" si="223"/>
        <v>0</v>
      </c>
      <c r="JL61" s="13">
        <f t="shared" si="224"/>
        <v>0</v>
      </c>
      <c r="JM61" s="13">
        <f t="shared" si="225"/>
        <v>0</v>
      </c>
      <c r="JN61" s="13">
        <f t="shared" si="226"/>
        <v>0</v>
      </c>
      <c r="JO61" s="13">
        <f t="shared" si="227"/>
        <v>0</v>
      </c>
      <c r="JP61" s="13">
        <f t="shared" si="228"/>
        <v>0</v>
      </c>
      <c r="JQ61" s="13">
        <f t="shared" si="229"/>
        <v>0</v>
      </c>
      <c r="JR61" s="13">
        <f t="shared" si="230"/>
        <v>0</v>
      </c>
      <c r="JS61" s="13">
        <f t="shared" si="231"/>
        <v>0</v>
      </c>
      <c r="JT61" s="13">
        <f t="shared" si="232"/>
        <v>0</v>
      </c>
      <c r="JU61" s="13">
        <f t="shared" si="233"/>
        <v>0</v>
      </c>
      <c r="JV61" s="12">
        <f t="shared" si="234"/>
        <v>0</v>
      </c>
      <c r="JW61" s="12">
        <f t="shared" si="235"/>
        <v>0</v>
      </c>
      <c r="JX61" s="12">
        <f t="shared" si="236"/>
        <v>0</v>
      </c>
      <c r="JY61" s="12">
        <f t="shared" si="237"/>
        <v>0</v>
      </c>
      <c r="JZ61" s="12">
        <f t="shared" si="238"/>
        <v>0</v>
      </c>
      <c r="KA61" s="12">
        <f t="shared" si="239"/>
        <v>0</v>
      </c>
      <c r="KB61" s="12">
        <f t="shared" si="240"/>
        <v>0</v>
      </c>
      <c r="KC61" s="12">
        <f t="shared" si="241"/>
        <v>0</v>
      </c>
      <c r="KD61" s="12">
        <f t="shared" si="242"/>
        <v>0</v>
      </c>
      <c r="KE61" s="12">
        <f t="shared" si="243"/>
        <v>0</v>
      </c>
      <c r="KF61" s="12">
        <f t="shared" si="244"/>
        <v>0</v>
      </c>
      <c r="KG61" s="12">
        <f t="shared" si="245"/>
        <v>0</v>
      </c>
      <c r="KH61" s="12">
        <f t="shared" si="246"/>
        <v>0</v>
      </c>
      <c r="KI61" s="12">
        <f t="shared" si="247"/>
        <v>0</v>
      </c>
      <c r="KJ61" s="12">
        <f t="shared" si="248"/>
        <v>0</v>
      </c>
      <c r="KK61" s="12">
        <f t="shared" si="249"/>
        <v>0</v>
      </c>
      <c r="KL61" s="12">
        <f t="shared" si="250"/>
        <v>0</v>
      </c>
      <c r="KM61" s="12">
        <f t="shared" si="251"/>
        <v>0</v>
      </c>
      <c r="KN61" s="12">
        <f t="shared" si="252"/>
        <v>0</v>
      </c>
      <c r="KO61" s="12">
        <f t="shared" si="253"/>
        <v>0</v>
      </c>
      <c r="KP61" s="12">
        <f t="shared" si="254"/>
        <v>0</v>
      </c>
      <c r="KQ61" s="12">
        <f t="shared" si="255"/>
        <v>0</v>
      </c>
      <c r="KR61" s="12">
        <f t="shared" si="256"/>
        <v>0</v>
      </c>
      <c r="KS61" s="12">
        <f t="shared" si="257"/>
        <v>0</v>
      </c>
      <c r="KT61" s="12">
        <f t="shared" si="258"/>
        <v>0</v>
      </c>
      <c r="KU61" s="12">
        <f t="shared" si="259"/>
        <v>0</v>
      </c>
      <c r="KV61" s="12">
        <f t="shared" si="260"/>
        <v>0</v>
      </c>
      <c r="KW61" s="12">
        <f t="shared" si="261"/>
        <v>0</v>
      </c>
      <c r="KX61" s="12">
        <f t="shared" si="262"/>
        <v>0</v>
      </c>
      <c r="KY61" s="12">
        <f t="shared" si="263"/>
        <v>0</v>
      </c>
      <c r="KZ61" s="12">
        <f t="shared" si="264"/>
        <v>0</v>
      </c>
      <c r="LA61" s="12">
        <f t="shared" si="265"/>
        <v>0</v>
      </c>
      <c r="LB61" s="12">
        <f t="shared" si="266"/>
        <v>0</v>
      </c>
      <c r="LC61" s="12">
        <f t="shared" si="267"/>
        <v>0</v>
      </c>
      <c r="LD61" s="12">
        <f t="shared" si="268"/>
        <v>0</v>
      </c>
      <c r="LE61" s="12">
        <f t="shared" si="269"/>
        <v>0</v>
      </c>
      <c r="LF61" s="12">
        <f t="shared" si="270"/>
        <v>0</v>
      </c>
      <c r="LG61" s="12">
        <f t="shared" si="271"/>
        <v>0</v>
      </c>
      <c r="LH61" s="12">
        <f t="shared" si="272"/>
        <v>0</v>
      </c>
      <c r="LI61" s="12">
        <f t="shared" si="273"/>
        <v>0</v>
      </c>
      <c r="LJ61" s="12">
        <f t="shared" si="274"/>
        <v>0</v>
      </c>
      <c r="LK61" s="12">
        <f t="shared" si="275"/>
        <v>0</v>
      </c>
      <c r="LL61" s="12">
        <f t="shared" si="276"/>
        <v>0</v>
      </c>
      <c r="LM61" s="12">
        <f t="shared" si="277"/>
        <v>0</v>
      </c>
      <c r="LN61" s="12">
        <f t="shared" si="278"/>
        <v>0</v>
      </c>
      <c r="LO61" s="12">
        <f t="shared" si="279"/>
        <v>0</v>
      </c>
      <c r="LP61" s="12">
        <f t="shared" si="280"/>
        <v>0</v>
      </c>
      <c r="LQ61" s="12">
        <f t="shared" si="281"/>
        <v>0</v>
      </c>
      <c r="LR61" s="12">
        <f t="shared" si="282"/>
        <v>0</v>
      </c>
      <c r="LS61" s="12">
        <f t="shared" si="283"/>
        <v>0</v>
      </c>
      <c r="LT61" s="13">
        <f t="shared" si="284"/>
        <v>0</v>
      </c>
      <c r="LU61" s="13">
        <f t="shared" si="285"/>
        <v>0</v>
      </c>
      <c r="LV61" s="13">
        <f t="shared" si="286"/>
        <v>0</v>
      </c>
      <c r="LW61" s="13">
        <f t="shared" si="287"/>
        <v>0</v>
      </c>
      <c r="LX61" s="13">
        <f t="shared" si="288"/>
        <v>0</v>
      </c>
      <c r="LY61" s="13">
        <f t="shared" si="289"/>
        <v>0</v>
      </c>
      <c r="LZ61" s="13">
        <f t="shared" si="290"/>
        <v>0</v>
      </c>
      <c r="MA61" s="13">
        <f t="shared" si="291"/>
        <v>0</v>
      </c>
      <c r="MB61" s="13">
        <f t="shared" si="292"/>
        <v>0</v>
      </c>
      <c r="MC61" s="13">
        <f t="shared" si="293"/>
        <v>0</v>
      </c>
      <c r="MD61" s="13">
        <f t="shared" si="294"/>
        <v>0</v>
      </c>
      <c r="ME61" s="13">
        <f t="shared" si="295"/>
        <v>0</v>
      </c>
      <c r="MF61" s="13">
        <f t="shared" si="296"/>
        <v>0</v>
      </c>
      <c r="MG61" s="13">
        <f t="shared" si="297"/>
        <v>0</v>
      </c>
      <c r="MH61" s="13">
        <f t="shared" si="298"/>
        <v>0</v>
      </c>
      <c r="MI61" s="13">
        <f t="shared" si="299"/>
        <v>0</v>
      </c>
      <c r="MJ61" s="13">
        <f t="shared" si="300"/>
        <v>0</v>
      </c>
      <c r="MK61" s="13">
        <f t="shared" si="301"/>
        <v>0</v>
      </c>
      <c r="ML61" s="14">
        <f t="shared" si="302"/>
        <v>0</v>
      </c>
      <c r="MM61" s="14">
        <f t="shared" si="303"/>
        <v>1</v>
      </c>
      <c r="MN61" s="14">
        <f t="shared" si="304"/>
        <v>0</v>
      </c>
      <c r="MO61" s="14">
        <f t="shared" si="305"/>
        <v>1</v>
      </c>
      <c r="MP61" s="14">
        <f t="shared" si="306"/>
        <v>0</v>
      </c>
      <c r="MQ61" s="14">
        <f t="shared" si="307"/>
        <v>0</v>
      </c>
      <c r="MR61" s="14">
        <f t="shared" si="308"/>
        <v>0</v>
      </c>
      <c r="MS61" s="14">
        <f t="shared" si="309"/>
        <v>0</v>
      </c>
      <c r="MT61" s="14">
        <f t="shared" si="310"/>
        <v>0</v>
      </c>
      <c r="MU61" s="14">
        <f t="shared" si="311"/>
        <v>0</v>
      </c>
      <c r="MV61" s="14">
        <f t="shared" si="312"/>
        <v>0</v>
      </c>
      <c r="MW61" s="14">
        <f t="shared" si="313"/>
        <v>0</v>
      </c>
      <c r="MX61" s="14">
        <f t="shared" si="314"/>
        <v>0</v>
      </c>
      <c r="MY61" s="14">
        <f t="shared" si="315"/>
        <v>1</v>
      </c>
      <c r="MZ61" s="14">
        <f t="shared" si="316"/>
        <v>0</v>
      </c>
      <c r="NA61" s="14">
        <f t="shared" si="317"/>
        <v>0</v>
      </c>
      <c r="NB61" s="14">
        <f t="shared" si="318"/>
        <v>0</v>
      </c>
    </row>
    <row r="62" ht="15.75" customHeight="1">
      <c r="A62" s="2">
        <v>331.0</v>
      </c>
      <c r="B62" s="2" t="s">
        <v>1441</v>
      </c>
      <c r="C62" s="2" t="s">
        <v>1442</v>
      </c>
      <c r="D62" s="2" t="s">
        <v>1443</v>
      </c>
      <c r="E62" s="2">
        <v>2017.0</v>
      </c>
      <c r="F62" s="2" t="s">
        <v>1444</v>
      </c>
      <c r="G62" s="2" t="s">
        <v>510</v>
      </c>
      <c r="H62" s="2" t="s">
        <v>452</v>
      </c>
      <c r="I62" s="2" t="s">
        <v>1445</v>
      </c>
      <c r="M62" s="2">
        <v>22.0</v>
      </c>
      <c r="N62" s="2" t="s">
        <v>1446</v>
      </c>
      <c r="O62" s="2" t="s">
        <v>1447</v>
      </c>
      <c r="P62" s="2" t="s">
        <v>1448</v>
      </c>
      <c r="Q62" s="2" t="s">
        <v>1449</v>
      </c>
      <c r="R62" s="2" t="s">
        <v>1450</v>
      </c>
      <c r="S62" s="2" t="s">
        <v>1451</v>
      </c>
      <c r="Y62" s="2" t="s">
        <v>1452</v>
      </c>
      <c r="AB62" s="2" t="s">
        <v>481</v>
      </c>
      <c r="AG62" s="2" t="s">
        <v>1453</v>
      </c>
      <c r="AK62" s="2" t="s">
        <v>1454</v>
      </c>
      <c r="AL62" s="2" t="s">
        <v>384</v>
      </c>
      <c r="AM62" s="2" t="s">
        <v>484</v>
      </c>
      <c r="AN62" s="2" t="s">
        <v>386</v>
      </c>
      <c r="AO62" s="2" t="s">
        <v>1455</v>
      </c>
      <c r="AP62" s="2" t="s">
        <v>386</v>
      </c>
      <c r="AQ62" s="2">
        <v>1412.0</v>
      </c>
      <c r="AR62" s="2" t="s">
        <v>1443</v>
      </c>
      <c r="AS62" s="2" t="b">
        <v>0</v>
      </c>
      <c r="AT62" s="3">
        <v>0.0</v>
      </c>
      <c r="AU62" s="4"/>
      <c r="AV62" s="4"/>
      <c r="AW62" s="5">
        <f t="shared" si="432"/>
        <v>0</v>
      </c>
      <c r="AX62" s="5">
        <f t="shared" si="4"/>
        <v>0</v>
      </c>
      <c r="AY62" s="5">
        <f t="shared" si="5"/>
        <v>0</v>
      </c>
      <c r="AZ62" s="5">
        <f t="shared" si="6"/>
        <v>0</v>
      </c>
      <c r="BA62" s="5">
        <f t="shared" si="7"/>
        <v>0</v>
      </c>
      <c r="BB62" s="5">
        <f t="shared" si="8"/>
        <v>1</v>
      </c>
      <c r="BC62" s="5">
        <f t="shared" si="9"/>
        <v>0</v>
      </c>
      <c r="BD62" s="5">
        <f t="shared" si="10"/>
        <v>0</v>
      </c>
      <c r="BE62" s="5">
        <f t="shared" si="11"/>
        <v>0</v>
      </c>
      <c r="BF62" s="5">
        <f t="shared" si="12"/>
        <v>0</v>
      </c>
      <c r="BG62" s="5">
        <f t="shared" si="13"/>
        <v>0</v>
      </c>
      <c r="BH62" s="5">
        <f t="shared" si="14"/>
        <v>0</v>
      </c>
      <c r="BI62" s="5">
        <f t="shared" si="15"/>
        <v>0</v>
      </c>
      <c r="BJ62" s="5">
        <f t="shared" si="16"/>
        <v>0</v>
      </c>
      <c r="BK62" s="5">
        <f t="shared" si="17"/>
        <v>0</v>
      </c>
      <c r="BL62" s="5">
        <f t="shared" si="18"/>
        <v>0</v>
      </c>
      <c r="BM62" s="5">
        <f t="shared" si="19"/>
        <v>0</v>
      </c>
      <c r="BN62" s="5">
        <f t="shared" si="20"/>
        <v>0</v>
      </c>
      <c r="BO62" s="5">
        <f t="shared" si="21"/>
        <v>0</v>
      </c>
      <c r="BP62" s="5">
        <f t="shared" si="22"/>
        <v>0</v>
      </c>
      <c r="BQ62" s="5">
        <f t="shared" si="23"/>
        <v>0</v>
      </c>
      <c r="BR62" s="5">
        <f t="shared" si="24"/>
        <v>0</v>
      </c>
      <c r="BS62" s="5">
        <f t="shared" si="25"/>
        <v>0</v>
      </c>
      <c r="BT62" s="5">
        <f t="shared" si="26"/>
        <v>0</v>
      </c>
      <c r="BU62" s="5">
        <f t="shared" si="27"/>
        <v>0</v>
      </c>
      <c r="BV62" s="5">
        <f t="shared" ref="BV62:BW62" si="454">IF(OR(ISNUMBER(SEARCH("grit",$D62)),ISNUMBER(SEARCH("grit",$T62)),ISNUMBER(SEARCH("grit",$R62)),ISNUMBER(SEARCH("grit",$S62)),
ISNUMBER(SEARCH("determination",$D62)),ISNUMBER(SEARCH("determination",$T62)),ISNUMBER(SEARCH("determination",$R62)),ISNUMBER(SEARCH("determination",$S62)),
ISNUMBER(SEARCH("tenacity",$D62)),ISNUMBER(SEARCH("tenacity",$T62)),ISNUMBER(SEARCH("tenacity",$R62)),ISNUMBER(SEARCH("tenacity",$S62)),
ISNUMBER(SEARCH("endurance",$D62)),ISNUMBER(SEARCH("endurance",$T62)),ISNUMBER(SEARCH("endurance",$R62)),ISNUMBER(SEARCH("endurance",$S62)),
ISNUMBER(SEARCH("fortitude",$D62)),ISNUMBER(SEARCH("fortitude",$T62)),ISNUMBER(SEARCH("fortitude",$R62)),ISNUMBER(SEARCH("fortitude",$S62)),
ISNUMBER(SEARCH("resolve",$D62)),ISNUMBER(SEARCH("resolve",$T62)),ISNUMBER(SEARCH("resolve",$R62)),ISNUMBER(SEARCH("resolve",$S62)),
ISNUMBER(SEARCH("stamina",$D62)),ISNUMBER(SEARCH("stamina",$T62)),ISNUMBER(SEARCH("stamina",$R62)),ISNUMBER(SEARCH("stamina",$S62)),
ISNUMBER(SEARCH("guts",$D62)),ISNUMBER(SEARCH("guts",$T62)),ISNUMBER(SEARCH("guts",$R62)),ISNUMBER(SEARCH("guts",$S62)),
ISNUMBER(SEARCH("spunk",$D62)),ISNUMBER(SEARCH("spunk",$T62)),ISNUMBER(SEARCH("spunk",$R62)),ISNUMBER(SEARCH("spunk",$S62))), 1, 0)</f>
        <v>0</v>
      </c>
      <c r="BW62" s="5">
        <f t="shared" si="454"/>
        <v>0</v>
      </c>
      <c r="BX62" s="5">
        <f t="shared" si="29"/>
        <v>0</v>
      </c>
      <c r="BY62" s="5">
        <f t="shared" si="30"/>
        <v>0</v>
      </c>
      <c r="BZ62" s="5">
        <f t="shared" si="31"/>
        <v>0</v>
      </c>
      <c r="CA62" s="5">
        <f t="shared" si="32"/>
        <v>0</v>
      </c>
      <c r="CB62" s="5">
        <f t="shared" si="33"/>
        <v>0</v>
      </c>
      <c r="CC62" s="5">
        <f t="shared" si="34"/>
        <v>0</v>
      </c>
      <c r="CD62" s="5">
        <f t="shared" si="35"/>
        <v>0</v>
      </c>
      <c r="CE62" s="5">
        <f t="shared" si="36"/>
        <v>0</v>
      </c>
      <c r="CF62" s="5">
        <f t="shared" si="37"/>
        <v>0</v>
      </c>
      <c r="CG62" s="5">
        <f t="shared" si="38"/>
        <v>0</v>
      </c>
      <c r="CH62" s="5">
        <f t="shared" si="39"/>
        <v>0</v>
      </c>
      <c r="CI62" s="5">
        <f t="shared" si="40"/>
        <v>0</v>
      </c>
      <c r="CJ62" s="5">
        <f t="shared" si="41"/>
        <v>0</v>
      </c>
      <c r="CK62" s="5">
        <f t="shared" si="42"/>
        <v>0</v>
      </c>
      <c r="CL62" s="5">
        <f t="shared" si="43"/>
        <v>0</v>
      </c>
      <c r="CM62" s="5">
        <f t="shared" si="44"/>
        <v>0</v>
      </c>
      <c r="CN62" s="5">
        <f t="shared" si="45"/>
        <v>0</v>
      </c>
      <c r="CO62" s="5">
        <f t="shared" si="46"/>
        <v>0</v>
      </c>
      <c r="CP62" s="6">
        <f t="shared" si="47"/>
        <v>0</v>
      </c>
      <c r="CQ62" s="6">
        <f t="shared" si="48"/>
        <v>0</v>
      </c>
      <c r="CR62" s="6">
        <f t="shared" si="49"/>
        <v>0</v>
      </c>
      <c r="CS62" s="6">
        <f t="shared" si="50"/>
        <v>0</v>
      </c>
      <c r="CT62" s="6">
        <f t="shared" si="51"/>
        <v>0</v>
      </c>
      <c r="CU62" s="6">
        <f t="shared" si="52"/>
        <v>0</v>
      </c>
      <c r="CV62" s="6">
        <f t="shared" si="53"/>
        <v>0</v>
      </c>
      <c r="CW62" s="6">
        <f t="shared" si="54"/>
        <v>0</v>
      </c>
      <c r="CX62" s="6">
        <f t="shared" si="55"/>
        <v>0</v>
      </c>
      <c r="CY62" s="6">
        <f t="shared" si="56"/>
        <v>0</v>
      </c>
      <c r="CZ62" s="6">
        <f t="shared" si="57"/>
        <v>0</v>
      </c>
      <c r="DA62" s="6">
        <f t="shared" si="58"/>
        <v>1</v>
      </c>
      <c r="DB62" s="6">
        <f t="shared" si="59"/>
        <v>0</v>
      </c>
      <c r="DC62" s="6">
        <f t="shared" si="60"/>
        <v>0</v>
      </c>
      <c r="DD62" s="6">
        <f t="shared" si="61"/>
        <v>0</v>
      </c>
      <c r="DE62" s="6">
        <f t="shared" si="62"/>
        <v>0</v>
      </c>
      <c r="DF62" s="6">
        <f t="shared" si="63"/>
        <v>0</v>
      </c>
      <c r="DG62" s="6">
        <f t="shared" si="64"/>
        <v>0</v>
      </c>
      <c r="DH62" s="6">
        <f t="shared" si="434"/>
        <v>0</v>
      </c>
      <c r="DI62" s="6">
        <f t="shared" si="66"/>
        <v>0</v>
      </c>
      <c r="DJ62" s="6">
        <f t="shared" si="435"/>
        <v>0</v>
      </c>
      <c r="DK62" s="7">
        <f t="shared" si="68"/>
        <v>0</v>
      </c>
      <c r="DL62" s="7">
        <f t="shared" si="411"/>
        <v>0</v>
      </c>
      <c r="DM62" s="7">
        <f t="shared" si="70"/>
        <v>0</v>
      </c>
      <c r="DN62" s="7">
        <f t="shared" si="71"/>
        <v>0</v>
      </c>
      <c r="DO62" s="7">
        <f t="shared" si="72"/>
        <v>0</v>
      </c>
      <c r="DP62" s="8">
        <f t="shared" si="73"/>
        <v>0</v>
      </c>
      <c r="DQ62" s="8">
        <f t="shared" si="74"/>
        <v>1</v>
      </c>
      <c r="DR62" s="7">
        <f t="shared" si="75"/>
        <v>0</v>
      </c>
      <c r="DS62" s="7">
        <f t="shared" si="76"/>
        <v>0</v>
      </c>
      <c r="DT62" s="7">
        <f t="shared" si="77"/>
        <v>0</v>
      </c>
      <c r="DU62" s="9">
        <f t="shared" si="78"/>
        <v>0</v>
      </c>
      <c r="DV62" s="9">
        <f t="shared" si="79"/>
        <v>0</v>
      </c>
      <c r="DW62" s="9">
        <f t="shared" si="80"/>
        <v>0</v>
      </c>
      <c r="DX62" s="9">
        <f t="shared" si="81"/>
        <v>0</v>
      </c>
      <c r="DY62" s="9">
        <f t="shared" si="82"/>
        <v>0</v>
      </c>
      <c r="DZ62" s="9">
        <f t="shared" si="83"/>
        <v>0</v>
      </c>
      <c r="EA62" s="9">
        <f t="shared" si="84"/>
        <v>0</v>
      </c>
      <c r="EB62" s="9">
        <f t="shared" si="85"/>
        <v>0</v>
      </c>
      <c r="EC62" s="9">
        <f t="shared" si="86"/>
        <v>0</v>
      </c>
      <c r="ED62" s="9">
        <f t="shared" si="87"/>
        <v>0</v>
      </c>
      <c r="EE62" s="9">
        <f t="shared" si="88"/>
        <v>0</v>
      </c>
      <c r="EF62" s="9">
        <f t="shared" si="89"/>
        <v>0</v>
      </c>
      <c r="EG62" s="9">
        <f t="shared" si="90"/>
        <v>0</v>
      </c>
      <c r="EH62" s="9">
        <f t="shared" si="91"/>
        <v>0</v>
      </c>
      <c r="EI62" s="9">
        <f t="shared" si="92"/>
        <v>0</v>
      </c>
      <c r="EJ62" s="10">
        <f t="shared" si="93"/>
        <v>0</v>
      </c>
      <c r="EK62" s="10">
        <f t="shared" si="94"/>
        <v>0</v>
      </c>
      <c r="EL62" s="10">
        <f t="shared" ref="EL62:EM62" si="455">IF(OR(ISNUMBER(SEARCH("ai software toolkit", $D62)), ISNUMBER(SEARCH("ai software toolkit", $T62)), ISNUMBER(SEARCH("ai software toolkit", $R62)), ISNUMBER(SEARCH("ai software toolkit", $S62))), 1, 0)</f>
        <v>0</v>
      </c>
      <c r="EM62" s="10">
        <f t="shared" si="455"/>
        <v>0</v>
      </c>
      <c r="EN62" s="10">
        <f t="shared" si="96"/>
        <v>0</v>
      </c>
      <c r="EO62" s="10">
        <f t="shared" si="97"/>
        <v>1</v>
      </c>
      <c r="EP62" s="10">
        <f t="shared" si="98"/>
        <v>0</v>
      </c>
      <c r="EQ62" s="10">
        <f t="shared" si="99"/>
        <v>0</v>
      </c>
      <c r="ER62" s="10">
        <f t="shared" si="100"/>
        <v>0</v>
      </c>
      <c r="ES62" s="10">
        <f t="shared" si="101"/>
        <v>0</v>
      </c>
      <c r="ET62" s="10">
        <f t="shared" si="102"/>
        <v>0</v>
      </c>
      <c r="EU62" s="10">
        <f t="shared" si="103"/>
        <v>0</v>
      </c>
      <c r="EV62" s="10">
        <f t="shared" si="104"/>
        <v>0</v>
      </c>
      <c r="EW62" s="10">
        <f t="shared" si="105"/>
        <v>0</v>
      </c>
      <c r="EX62" s="10">
        <f t="shared" si="106"/>
        <v>0</v>
      </c>
      <c r="EY62" s="10">
        <f t="shared" si="107"/>
        <v>0</v>
      </c>
      <c r="EZ62" s="10">
        <f t="shared" si="108"/>
        <v>0</v>
      </c>
      <c r="FA62" s="10">
        <f t="shared" si="109"/>
        <v>0</v>
      </c>
      <c r="FB62" s="10">
        <f t="shared" si="110"/>
        <v>0</v>
      </c>
      <c r="FC62" s="10">
        <f t="shared" si="111"/>
        <v>0</v>
      </c>
      <c r="FD62" s="10">
        <f t="shared" si="112"/>
        <v>0</v>
      </c>
      <c r="FE62" s="10">
        <f t="shared" si="113"/>
        <v>0</v>
      </c>
      <c r="FF62" s="10">
        <f t="shared" si="114"/>
        <v>0</v>
      </c>
      <c r="FG62" s="10">
        <f t="shared" si="115"/>
        <v>0</v>
      </c>
      <c r="FH62" s="10">
        <f t="shared" si="116"/>
        <v>0</v>
      </c>
      <c r="FI62" s="10">
        <f t="shared" si="117"/>
        <v>0</v>
      </c>
      <c r="FJ62" s="10">
        <f t="shared" si="118"/>
        <v>0</v>
      </c>
      <c r="FK62" s="10">
        <f t="shared" si="119"/>
        <v>0</v>
      </c>
      <c r="FL62" s="10">
        <f t="shared" si="120"/>
        <v>0</v>
      </c>
      <c r="FM62" s="10">
        <f t="shared" si="121"/>
        <v>0</v>
      </c>
      <c r="FN62" s="10">
        <f t="shared" si="122"/>
        <v>0</v>
      </c>
      <c r="FO62" s="10">
        <f t="shared" si="123"/>
        <v>0</v>
      </c>
      <c r="FP62" s="10">
        <f t="shared" si="124"/>
        <v>0</v>
      </c>
      <c r="FQ62" s="10">
        <f t="shared" si="125"/>
        <v>0</v>
      </c>
      <c r="FR62" s="11">
        <f t="shared" si="437"/>
        <v>0</v>
      </c>
      <c r="FS62" s="11">
        <f t="shared" si="127"/>
        <v>0</v>
      </c>
      <c r="FT62" s="11">
        <f t="shared" si="128"/>
        <v>0</v>
      </c>
      <c r="FU62" s="11">
        <f t="shared" si="129"/>
        <v>0</v>
      </c>
      <c r="FV62" s="11">
        <f t="shared" si="130"/>
        <v>0</v>
      </c>
      <c r="FW62" s="11">
        <f t="shared" si="131"/>
        <v>0</v>
      </c>
      <c r="FX62" s="11">
        <f t="shared" si="132"/>
        <v>0</v>
      </c>
      <c r="FY62" s="11">
        <f t="shared" si="133"/>
        <v>0</v>
      </c>
      <c r="FZ62" s="11">
        <f t="shared" si="134"/>
        <v>0</v>
      </c>
      <c r="GA62" s="11">
        <f t="shared" si="135"/>
        <v>0</v>
      </c>
      <c r="GB62" s="11">
        <f t="shared" si="136"/>
        <v>0</v>
      </c>
      <c r="GC62" s="11">
        <f t="shared" si="137"/>
        <v>0</v>
      </c>
      <c r="GD62" s="11">
        <f t="shared" si="138"/>
        <v>0</v>
      </c>
      <c r="GE62" s="11">
        <f t="shared" si="139"/>
        <v>0</v>
      </c>
      <c r="GF62" s="11">
        <f t="shared" si="140"/>
        <v>0</v>
      </c>
      <c r="GG62" s="11">
        <f t="shared" si="141"/>
        <v>0</v>
      </c>
      <c r="GH62" s="11">
        <f t="shared" si="142"/>
        <v>0</v>
      </c>
      <c r="GI62" s="11">
        <f t="shared" si="143"/>
        <v>0</v>
      </c>
      <c r="GJ62" s="11">
        <f t="shared" si="144"/>
        <v>0</v>
      </c>
      <c r="GK62" s="11">
        <f t="shared" si="145"/>
        <v>0</v>
      </c>
      <c r="GL62" s="11">
        <f t="shared" si="146"/>
        <v>0</v>
      </c>
      <c r="GM62" s="11">
        <f t="shared" si="147"/>
        <v>0</v>
      </c>
      <c r="GN62" s="11">
        <f t="shared" si="148"/>
        <v>0</v>
      </c>
      <c r="GO62" s="11">
        <f t="shared" si="149"/>
        <v>0</v>
      </c>
      <c r="GP62" s="11">
        <f t="shared" si="150"/>
        <v>0</v>
      </c>
      <c r="GQ62" s="11">
        <f t="shared" si="151"/>
        <v>0</v>
      </c>
      <c r="GR62" s="11">
        <f t="shared" si="152"/>
        <v>0</v>
      </c>
      <c r="GS62" s="11">
        <f t="shared" si="153"/>
        <v>0</v>
      </c>
      <c r="GT62" s="11">
        <f t="shared" si="154"/>
        <v>0</v>
      </c>
      <c r="GU62" s="12">
        <f t="shared" si="155"/>
        <v>0</v>
      </c>
      <c r="GV62" s="12">
        <f t="shared" si="156"/>
        <v>0</v>
      </c>
      <c r="GW62" s="12">
        <f t="shared" si="157"/>
        <v>0</v>
      </c>
      <c r="GX62" s="12">
        <f t="shared" si="158"/>
        <v>0</v>
      </c>
      <c r="GY62" s="12">
        <f t="shared" si="159"/>
        <v>0</v>
      </c>
      <c r="GZ62" s="12">
        <f t="shared" si="160"/>
        <v>0</v>
      </c>
      <c r="HA62" s="12">
        <f t="shared" si="161"/>
        <v>0</v>
      </c>
      <c r="HB62" s="12">
        <f t="shared" si="162"/>
        <v>0</v>
      </c>
      <c r="HC62" s="12">
        <f t="shared" si="163"/>
        <v>0</v>
      </c>
      <c r="HD62" s="12">
        <f t="shared" si="164"/>
        <v>0</v>
      </c>
      <c r="HE62" s="12">
        <f t="shared" si="165"/>
        <v>0</v>
      </c>
      <c r="HF62" s="12">
        <f t="shared" si="166"/>
        <v>0</v>
      </c>
      <c r="HG62" s="12">
        <f t="shared" si="167"/>
        <v>0</v>
      </c>
      <c r="HH62" s="12">
        <f t="shared" si="168"/>
        <v>0</v>
      </c>
      <c r="HI62" s="12">
        <f t="shared" si="169"/>
        <v>0</v>
      </c>
      <c r="HJ62" s="12">
        <f t="shared" si="170"/>
        <v>0</v>
      </c>
      <c r="HK62" s="12">
        <f t="shared" si="171"/>
        <v>0</v>
      </c>
      <c r="HL62" s="12">
        <f t="shared" si="172"/>
        <v>0</v>
      </c>
      <c r="HM62" s="12">
        <f t="shared" si="173"/>
        <v>0</v>
      </c>
      <c r="HN62" s="12">
        <f t="shared" si="174"/>
        <v>0</v>
      </c>
      <c r="HO62" s="12">
        <f t="shared" si="175"/>
        <v>0</v>
      </c>
      <c r="HP62" s="12">
        <f t="shared" si="176"/>
        <v>0</v>
      </c>
      <c r="HQ62" s="12">
        <f t="shared" si="177"/>
        <v>0</v>
      </c>
      <c r="HR62" s="12">
        <f t="shared" si="178"/>
        <v>0</v>
      </c>
      <c r="HS62" s="12">
        <f t="shared" si="179"/>
        <v>0</v>
      </c>
      <c r="HT62" s="12">
        <f t="shared" si="180"/>
        <v>0</v>
      </c>
      <c r="HU62" s="12">
        <f t="shared" si="181"/>
        <v>0</v>
      </c>
      <c r="HV62" s="12">
        <f t="shared" si="182"/>
        <v>0</v>
      </c>
      <c r="HW62" s="12">
        <f t="shared" si="183"/>
        <v>0</v>
      </c>
      <c r="HX62" s="12">
        <f t="shared" si="184"/>
        <v>0</v>
      </c>
      <c r="HY62" s="12">
        <f t="shared" si="185"/>
        <v>0</v>
      </c>
      <c r="HZ62" s="12">
        <f t="shared" si="186"/>
        <v>0</v>
      </c>
      <c r="IA62" s="12">
        <f t="shared" si="187"/>
        <v>0</v>
      </c>
      <c r="IB62" s="12">
        <f t="shared" si="188"/>
        <v>0</v>
      </c>
      <c r="IC62" s="12">
        <f t="shared" si="189"/>
        <v>0</v>
      </c>
      <c r="ID62" s="12">
        <f t="shared" si="190"/>
        <v>0</v>
      </c>
      <c r="IE62" s="12">
        <f t="shared" si="191"/>
        <v>0</v>
      </c>
      <c r="IF62" s="12">
        <f t="shared" si="192"/>
        <v>0</v>
      </c>
      <c r="IG62" s="12">
        <f t="shared" si="193"/>
        <v>0</v>
      </c>
      <c r="IH62" s="12">
        <f t="shared" si="194"/>
        <v>0</v>
      </c>
      <c r="II62" s="12">
        <f t="shared" si="195"/>
        <v>0</v>
      </c>
      <c r="IJ62" s="12">
        <f t="shared" si="196"/>
        <v>0</v>
      </c>
      <c r="IK62" s="12">
        <f t="shared" si="197"/>
        <v>0</v>
      </c>
      <c r="IL62" s="12">
        <f t="shared" si="198"/>
        <v>0</v>
      </c>
      <c r="IM62" s="12">
        <f t="shared" si="199"/>
        <v>0</v>
      </c>
      <c r="IN62" s="12">
        <f t="shared" si="200"/>
        <v>0</v>
      </c>
      <c r="IO62" s="12">
        <f t="shared" si="201"/>
        <v>0</v>
      </c>
      <c r="IP62" s="12">
        <f t="shared" si="202"/>
        <v>0</v>
      </c>
      <c r="IQ62" s="12">
        <f t="shared" si="203"/>
        <v>0</v>
      </c>
      <c r="IR62" s="12">
        <f t="shared" si="204"/>
        <v>0</v>
      </c>
      <c r="IS62" s="12">
        <f t="shared" si="205"/>
        <v>0</v>
      </c>
      <c r="IT62" s="12">
        <f t="shared" si="206"/>
        <v>0</v>
      </c>
      <c r="IU62" s="12">
        <f t="shared" si="207"/>
        <v>0</v>
      </c>
      <c r="IV62" s="12">
        <f t="shared" si="208"/>
        <v>0</v>
      </c>
      <c r="IW62" s="12">
        <f t="shared" si="209"/>
        <v>0</v>
      </c>
      <c r="IX62" s="12">
        <f t="shared" si="210"/>
        <v>0</v>
      </c>
      <c r="IY62" s="12">
        <f t="shared" si="211"/>
        <v>0</v>
      </c>
      <c r="IZ62" s="12">
        <f t="shared" si="212"/>
        <v>0</v>
      </c>
      <c r="JA62" s="13">
        <f t="shared" si="213"/>
        <v>0</v>
      </c>
      <c r="JB62" s="13">
        <f t="shared" si="214"/>
        <v>0</v>
      </c>
      <c r="JC62" s="13">
        <f t="shared" si="215"/>
        <v>0</v>
      </c>
      <c r="JD62" s="13">
        <f t="shared" si="216"/>
        <v>0</v>
      </c>
      <c r="JE62" s="13">
        <f t="shared" si="217"/>
        <v>0</v>
      </c>
      <c r="JF62" s="13">
        <f t="shared" si="218"/>
        <v>0</v>
      </c>
      <c r="JG62" s="13">
        <f t="shared" si="219"/>
        <v>0</v>
      </c>
      <c r="JH62" s="13">
        <f t="shared" si="220"/>
        <v>0</v>
      </c>
      <c r="JI62" s="13">
        <f t="shared" si="221"/>
        <v>0</v>
      </c>
      <c r="JJ62" s="13">
        <f t="shared" si="222"/>
        <v>0</v>
      </c>
      <c r="JK62" s="13">
        <f t="shared" si="223"/>
        <v>0</v>
      </c>
      <c r="JL62" s="13">
        <f t="shared" si="224"/>
        <v>0</v>
      </c>
      <c r="JM62" s="13">
        <f t="shared" si="225"/>
        <v>0</v>
      </c>
      <c r="JN62" s="13">
        <f t="shared" si="226"/>
        <v>0</v>
      </c>
      <c r="JO62" s="13">
        <f t="shared" si="227"/>
        <v>0</v>
      </c>
      <c r="JP62" s="13">
        <f t="shared" si="228"/>
        <v>0</v>
      </c>
      <c r="JQ62" s="13">
        <f t="shared" si="229"/>
        <v>0</v>
      </c>
      <c r="JR62" s="13">
        <f t="shared" si="230"/>
        <v>0</v>
      </c>
      <c r="JS62" s="13">
        <f t="shared" si="231"/>
        <v>0</v>
      </c>
      <c r="JT62" s="13">
        <f t="shared" si="232"/>
        <v>0</v>
      </c>
      <c r="JU62" s="13">
        <f t="shared" si="233"/>
        <v>0</v>
      </c>
      <c r="JV62" s="12">
        <f t="shared" si="234"/>
        <v>0</v>
      </c>
      <c r="JW62" s="12">
        <f t="shared" si="235"/>
        <v>0</v>
      </c>
      <c r="JX62" s="12">
        <f t="shared" si="236"/>
        <v>0</v>
      </c>
      <c r="JY62" s="12">
        <f t="shared" si="237"/>
        <v>0</v>
      </c>
      <c r="JZ62" s="12">
        <f t="shared" si="238"/>
        <v>0</v>
      </c>
      <c r="KA62" s="12">
        <f t="shared" si="239"/>
        <v>0</v>
      </c>
      <c r="KB62" s="12">
        <f t="shared" si="240"/>
        <v>0</v>
      </c>
      <c r="KC62" s="12">
        <f t="shared" si="241"/>
        <v>0</v>
      </c>
      <c r="KD62" s="12">
        <f t="shared" si="242"/>
        <v>0</v>
      </c>
      <c r="KE62" s="12">
        <f t="shared" si="243"/>
        <v>0</v>
      </c>
      <c r="KF62" s="12">
        <f t="shared" si="244"/>
        <v>0</v>
      </c>
      <c r="KG62" s="12">
        <f t="shared" si="245"/>
        <v>0</v>
      </c>
      <c r="KH62" s="12">
        <f t="shared" si="246"/>
        <v>0</v>
      </c>
      <c r="KI62" s="12">
        <f t="shared" si="247"/>
        <v>0</v>
      </c>
      <c r="KJ62" s="12">
        <f t="shared" si="248"/>
        <v>0</v>
      </c>
      <c r="KK62" s="12">
        <f t="shared" si="249"/>
        <v>0</v>
      </c>
      <c r="KL62" s="12">
        <f t="shared" si="250"/>
        <v>0</v>
      </c>
      <c r="KM62" s="12">
        <f t="shared" si="251"/>
        <v>0</v>
      </c>
      <c r="KN62" s="12">
        <f t="shared" si="252"/>
        <v>0</v>
      </c>
      <c r="KO62" s="12">
        <f t="shared" si="253"/>
        <v>0</v>
      </c>
      <c r="KP62" s="12">
        <f t="shared" si="254"/>
        <v>0</v>
      </c>
      <c r="KQ62" s="12">
        <f t="shared" si="255"/>
        <v>0</v>
      </c>
      <c r="KR62" s="12">
        <f t="shared" si="256"/>
        <v>0</v>
      </c>
      <c r="KS62" s="12">
        <f t="shared" si="257"/>
        <v>0</v>
      </c>
      <c r="KT62" s="12">
        <f t="shared" si="258"/>
        <v>0</v>
      </c>
      <c r="KU62" s="12">
        <f t="shared" si="259"/>
        <v>0</v>
      </c>
      <c r="KV62" s="12">
        <f t="shared" si="260"/>
        <v>0</v>
      </c>
      <c r="KW62" s="12">
        <f t="shared" si="261"/>
        <v>0</v>
      </c>
      <c r="KX62" s="12">
        <f t="shared" si="262"/>
        <v>0</v>
      </c>
      <c r="KY62" s="12">
        <f t="shared" si="263"/>
        <v>0</v>
      </c>
      <c r="KZ62" s="12">
        <f t="shared" si="264"/>
        <v>0</v>
      </c>
      <c r="LA62" s="12">
        <f t="shared" si="265"/>
        <v>0</v>
      </c>
      <c r="LB62" s="12">
        <f t="shared" si="266"/>
        <v>0</v>
      </c>
      <c r="LC62" s="12">
        <f t="shared" si="267"/>
        <v>0</v>
      </c>
      <c r="LD62" s="12">
        <f t="shared" si="268"/>
        <v>0</v>
      </c>
      <c r="LE62" s="12">
        <f t="shared" si="269"/>
        <v>0</v>
      </c>
      <c r="LF62" s="12">
        <f t="shared" si="270"/>
        <v>0</v>
      </c>
      <c r="LG62" s="12">
        <f t="shared" si="271"/>
        <v>0</v>
      </c>
      <c r="LH62" s="12">
        <f t="shared" si="272"/>
        <v>0</v>
      </c>
      <c r="LI62" s="12">
        <f t="shared" si="273"/>
        <v>0</v>
      </c>
      <c r="LJ62" s="12">
        <f t="shared" si="274"/>
        <v>0</v>
      </c>
      <c r="LK62" s="12">
        <f t="shared" si="275"/>
        <v>0</v>
      </c>
      <c r="LL62" s="12">
        <f t="shared" si="276"/>
        <v>0</v>
      </c>
      <c r="LM62" s="12">
        <f t="shared" si="277"/>
        <v>0</v>
      </c>
      <c r="LN62" s="12">
        <f t="shared" si="278"/>
        <v>0</v>
      </c>
      <c r="LO62" s="12">
        <f t="shared" si="279"/>
        <v>0</v>
      </c>
      <c r="LP62" s="12">
        <f t="shared" si="280"/>
        <v>0</v>
      </c>
      <c r="LQ62" s="12">
        <f t="shared" si="281"/>
        <v>0</v>
      </c>
      <c r="LR62" s="12">
        <f t="shared" si="282"/>
        <v>0</v>
      </c>
      <c r="LS62" s="12">
        <f t="shared" si="283"/>
        <v>0</v>
      </c>
      <c r="LT62" s="13">
        <f t="shared" si="284"/>
        <v>0</v>
      </c>
      <c r="LU62" s="13">
        <f t="shared" si="285"/>
        <v>0</v>
      </c>
      <c r="LV62" s="13">
        <f t="shared" si="286"/>
        <v>0</v>
      </c>
      <c r="LW62" s="13">
        <f t="shared" si="287"/>
        <v>0</v>
      </c>
      <c r="LX62" s="13">
        <f t="shared" si="288"/>
        <v>0</v>
      </c>
      <c r="LY62" s="13">
        <f t="shared" si="289"/>
        <v>0</v>
      </c>
      <c r="LZ62" s="13">
        <f t="shared" si="290"/>
        <v>0</v>
      </c>
      <c r="MA62" s="13">
        <f t="shared" si="291"/>
        <v>0</v>
      </c>
      <c r="MB62" s="13">
        <f t="shared" si="292"/>
        <v>0</v>
      </c>
      <c r="MC62" s="13">
        <f t="shared" si="293"/>
        <v>0</v>
      </c>
      <c r="MD62" s="13">
        <f t="shared" si="294"/>
        <v>0</v>
      </c>
      <c r="ME62" s="13">
        <f t="shared" si="295"/>
        <v>0</v>
      </c>
      <c r="MF62" s="13">
        <f t="shared" si="296"/>
        <v>0</v>
      </c>
      <c r="MG62" s="13">
        <f t="shared" si="297"/>
        <v>0</v>
      </c>
      <c r="MH62" s="13">
        <f t="shared" si="298"/>
        <v>0</v>
      </c>
      <c r="MI62" s="13">
        <f t="shared" si="299"/>
        <v>0</v>
      </c>
      <c r="MJ62" s="13">
        <f t="shared" si="300"/>
        <v>0</v>
      </c>
      <c r="MK62" s="13">
        <f t="shared" si="301"/>
        <v>0</v>
      </c>
      <c r="ML62" s="14">
        <f t="shared" si="302"/>
        <v>0</v>
      </c>
      <c r="MM62" s="14">
        <f t="shared" si="303"/>
        <v>0</v>
      </c>
      <c r="MN62" s="14">
        <f t="shared" si="304"/>
        <v>0</v>
      </c>
      <c r="MO62" s="14">
        <f t="shared" si="305"/>
        <v>0</v>
      </c>
      <c r="MP62" s="14">
        <f t="shared" si="306"/>
        <v>0</v>
      </c>
      <c r="MQ62" s="14">
        <f t="shared" si="307"/>
        <v>0</v>
      </c>
      <c r="MR62" s="14">
        <f t="shared" si="308"/>
        <v>0</v>
      </c>
      <c r="MS62" s="14">
        <f t="shared" si="309"/>
        <v>0</v>
      </c>
      <c r="MT62" s="14">
        <f t="shared" si="310"/>
        <v>0</v>
      </c>
      <c r="MU62" s="14">
        <f t="shared" si="311"/>
        <v>0</v>
      </c>
      <c r="MV62" s="14">
        <f t="shared" si="312"/>
        <v>0</v>
      </c>
      <c r="MW62" s="14">
        <f t="shared" si="313"/>
        <v>0</v>
      </c>
      <c r="MX62" s="14">
        <f t="shared" si="314"/>
        <v>0</v>
      </c>
      <c r="MY62" s="14">
        <f t="shared" si="315"/>
        <v>1</v>
      </c>
      <c r="MZ62" s="14">
        <f t="shared" si="316"/>
        <v>0</v>
      </c>
      <c r="NA62" s="14">
        <f t="shared" si="317"/>
        <v>0</v>
      </c>
      <c r="NB62" s="14">
        <f t="shared" si="318"/>
        <v>0</v>
      </c>
    </row>
    <row r="63" ht="15.75" customHeight="1">
      <c r="A63" s="2">
        <v>254.0</v>
      </c>
      <c r="B63" s="2" t="s">
        <v>1456</v>
      </c>
      <c r="C63" s="2" t="s">
        <v>1457</v>
      </c>
      <c r="D63" s="2" t="s">
        <v>1458</v>
      </c>
      <c r="E63" s="2">
        <v>2019.0</v>
      </c>
      <c r="F63" s="2" t="s">
        <v>1459</v>
      </c>
      <c r="G63" s="2" t="s">
        <v>472</v>
      </c>
      <c r="H63" s="2" t="s">
        <v>1365</v>
      </c>
      <c r="I63" s="2" t="s">
        <v>1460</v>
      </c>
      <c r="M63" s="2">
        <v>21.0</v>
      </c>
      <c r="N63" s="2" t="s">
        <v>1461</v>
      </c>
      <c r="O63" s="2" t="s">
        <v>1462</v>
      </c>
      <c r="P63" s="2" t="s">
        <v>1463</v>
      </c>
      <c r="Q63" s="2" t="s">
        <v>1464</v>
      </c>
      <c r="R63" s="2" t="s">
        <v>1465</v>
      </c>
      <c r="S63" s="2" t="s">
        <v>1466</v>
      </c>
      <c r="T63" s="2" t="s">
        <v>1467</v>
      </c>
      <c r="Y63" s="2" t="s">
        <v>1468</v>
      </c>
      <c r="AB63" s="2" t="s">
        <v>1303</v>
      </c>
      <c r="AG63" s="2" t="s">
        <v>1469</v>
      </c>
      <c r="AK63" s="2" t="s">
        <v>1470</v>
      </c>
      <c r="AL63" s="2" t="s">
        <v>384</v>
      </c>
      <c r="AM63" s="2" t="s">
        <v>484</v>
      </c>
      <c r="AN63" s="2" t="s">
        <v>386</v>
      </c>
      <c r="AO63" s="2" t="s">
        <v>1471</v>
      </c>
      <c r="AP63" s="2" t="s">
        <v>386</v>
      </c>
      <c r="AQ63" s="2">
        <v>1043.0</v>
      </c>
      <c r="AR63" s="2" t="s">
        <v>1472</v>
      </c>
      <c r="AS63" s="2" t="b">
        <v>0</v>
      </c>
      <c r="AT63" s="3">
        <v>0.0</v>
      </c>
      <c r="AU63" s="4"/>
      <c r="AV63" s="4"/>
      <c r="AW63" s="5">
        <f t="shared" si="432"/>
        <v>0</v>
      </c>
      <c r="AX63" s="5">
        <f t="shared" si="4"/>
        <v>0</v>
      </c>
      <c r="AY63" s="5">
        <f t="shared" si="5"/>
        <v>0</v>
      </c>
      <c r="AZ63" s="5">
        <f t="shared" si="6"/>
        <v>0</v>
      </c>
      <c r="BA63" s="5">
        <f t="shared" si="7"/>
        <v>0</v>
      </c>
      <c r="BB63" s="5">
        <f t="shared" si="8"/>
        <v>0</v>
      </c>
      <c r="BC63" s="5">
        <f t="shared" si="9"/>
        <v>0</v>
      </c>
      <c r="BD63" s="5">
        <f t="shared" si="10"/>
        <v>0</v>
      </c>
      <c r="BE63" s="5">
        <f t="shared" si="11"/>
        <v>0</v>
      </c>
      <c r="BF63" s="5">
        <f t="shared" si="12"/>
        <v>0</v>
      </c>
      <c r="BG63" s="5">
        <f t="shared" si="13"/>
        <v>0</v>
      </c>
      <c r="BH63" s="5">
        <f t="shared" si="14"/>
        <v>0</v>
      </c>
      <c r="BI63" s="5">
        <f t="shared" si="15"/>
        <v>0</v>
      </c>
      <c r="BJ63" s="5">
        <f t="shared" si="16"/>
        <v>0</v>
      </c>
      <c r="BK63" s="5">
        <f t="shared" si="17"/>
        <v>0</v>
      </c>
      <c r="BL63" s="5">
        <f t="shared" si="18"/>
        <v>0</v>
      </c>
      <c r="BM63" s="5">
        <f t="shared" si="19"/>
        <v>0</v>
      </c>
      <c r="BN63" s="5">
        <f t="shared" si="20"/>
        <v>0</v>
      </c>
      <c r="BO63" s="5">
        <f t="shared" si="21"/>
        <v>0</v>
      </c>
      <c r="BP63" s="5">
        <f t="shared" si="22"/>
        <v>0</v>
      </c>
      <c r="BQ63" s="5">
        <f t="shared" si="23"/>
        <v>0</v>
      </c>
      <c r="BR63" s="5">
        <f t="shared" si="24"/>
        <v>0</v>
      </c>
      <c r="BS63" s="5">
        <f t="shared" si="25"/>
        <v>1</v>
      </c>
      <c r="BT63" s="5">
        <f t="shared" si="26"/>
        <v>0</v>
      </c>
      <c r="BU63" s="5">
        <f t="shared" si="27"/>
        <v>0</v>
      </c>
      <c r="BV63" s="5">
        <f t="shared" ref="BV63:BW63" si="456">IF(OR(ISNUMBER(SEARCH("grit",$D63)),ISNUMBER(SEARCH("grit",$T63)),ISNUMBER(SEARCH("grit",$R63)),ISNUMBER(SEARCH("grit",$S63)),
ISNUMBER(SEARCH("determination",$D63)),ISNUMBER(SEARCH("determination",$T63)),ISNUMBER(SEARCH("determination",$R63)),ISNUMBER(SEARCH("determination",$S63)),
ISNUMBER(SEARCH("tenacity",$D63)),ISNUMBER(SEARCH("tenacity",$T63)),ISNUMBER(SEARCH("tenacity",$R63)),ISNUMBER(SEARCH("tenacity",$S63)),
ISNUMBER(SEARCH("endurance",$D63)),ISNUMBER(SEARCH("endurance",$T63)),ISNUMBER(SEARCH("endurance",$R63)),ISNUMBER(SEARCH("endurance",$S63)),
ISNUMBER(SEARCH("fortitude",$D63)),ISNUMBER(SEARCH("fortitude",$T63)),ISNUMBER(SEARCH("fortitude",$R63)),ISNUMBER(SEARCH("fortitude",$S63)),
ISNUMBER(SEARCH("resolve",$D63)),ISNUMBER(SEARCH("resolve",$T63)),ISNUMBER(SEARCH("resolve",$R63)),ISNUMBER(SEARCH("resolve",$S63)),
ISNUMBER(SEARCH("stamina",$D63)),ISNUMBER(SEARCH("stamina",$T63)),ISNUMBER(SEARCH("stamina",$R63)),ISNUMBER(SEARCH("stamina",$S63)),
ISNUMBER(SEARCH("guts",$D63)),ISNUMBER(SEARCH("guts",$T63)),ISNUMBER(SEARCH("guts",$R63)),ISNUMBER(SEARCH("guts",$S63)),
ISNUMBER(SEARCH("spunk",$D63)),ISNUMBER(SEARCH("spunk",$T63)),ISNUMBER(SEARCH("spunk",$R63)),ISNUMBER(SEARCH("spunk",$S63))), 1, 0)</f>
        <v>0</v>
      </c>
      <c r="BW63" s="5">
        <f t="shared" si="456"/>
        <v>0</v>
      </c>
      <c r="BX63" s="5">
        <f t="shared" si="29"/>
        <v>0</v>
      </c>
      <c r="BY63" s="5">
        <f t="shared" si="30"/>
        <v>0</v>
      </c>
      <c r="BZ63" s="5">
        <f t="shared" si="31"/>
        <v>0</v>
      </c>
      <c r="CA63" s="5">
        <f t="shared" si="32"/>
        <v>0</v>
      </c>
      <c r="CB63" s="5">
        <f t="shared" si="33"/>
        <v>0</v>
      </c>
      <c r="CC63" s="5">
        <f t="shared" si="34"/>
        <v>0</v>
      </c>
      <c r="CD63" s="5">
        <f t="shared" si="35"/>
        <v>0</v>
      </c>
      <c r="CE63" s="5">
        <f t="shared" si="36"/>
        <v>0</v>
      </c>
      <c r="CF63" s="5">
        <f t="shared" si="37"/>
        <v>0</v>
      </c>
      <c r="CG63" s="5">
        <f t="shared" si="38"/>
        <v>0</v>
      </c>
      <c r="CH63" s="5">
        <f t="shared" si="39"/>
        <v>0</v>
      </c>
      <c r="CI63" s="5">
        <f t="shared" si="40"/>
        <v>0</v>
      </c>
      <c r="CJ63" s="5">
        <f t="shared" si="41"/>
        <v>1</v>
      </c>
      <c r="CK63" s="5">
        <f t="shared" si="42"/>
        <v>0</v>
      </c>
      <c r="CL63" s="5">
        <f t="shared" si="43"/>
        <v>0</v>
      </c>
      <c r="CM63" s="5">
        <f t="shared" si="44"/>
        <v>0</v>
      </c>
      <c r="CN63" s="5">
        <f t="shared" si="45"/>
        <v>0</v>
      </c>
      <c r="CO63" s="5">
        <f t="shared" si="46"/>
        <v>0</v>
      </c>
      <c r="CP63" s="6">
        <f t="shared" si="47"/>
        <v>0</v>
      </c>
      <c r="CQ63" s="6">
        <f t="shared" si="48"/>
        <v>0</v>
      </c>
      <c r="CR63" s="6">
        <f t="shared" si="49"/>
        <v>0</v>
      </c>
      <c r="CS63" s="6">
        <f t="shared" si="50"/>
        <v>0</v>
      </c>
      <c r="CT63" s="6">
        <f t="shared" si="51"/>
        <v>0</v>
      </c>
      <c r="CU63" s="6">
        <f t="shared" si="52"/>
        <v>0</v>
      </c>
      <c r="CV63" s="6">
        <f t="shared" si="53"/>
        <v>0</v>
      </c>
      <c r="CW63" s="6">
        <f t="shared" si="54"/>
        <v>0</v>
      </c>
      <c r="CX63" s="6">
        <f t="shared" si="55"/>
        <v>0</v>
      </c>
      <c r="CY63" s="6">
        <f t="shared" si="56"/>
        <v>0</v>
      </c>
      <c r="CZ63" s="6">
        <f t="shared" si="57"/>
        <v>0</v>
      </c>
      <c r="DA63" s="6">
        <f t="shared" si="58"/>
        <v>0</v>
      </c>
      <c r="DB63" s="6">
        <f t="shared" si="59"/>
        <v>0</v>
      </c>
      <c r="DC63" s="6">
        <f t="shared" si="60"/>
        <v>0</v>
      </c>
      <c r="DD63" s="6">
        <f t="shared" si="61"/>
        <v>0</v>
      </c>
      <c r="DE63" s="6">
        <f t="shared" si="62"/>
        <v>0</v>
      </c>
      <c r="DF63" s="6">
        <f t="shared" si="63"/>
        <v>0</v>
      </c>
      <c r="DG63" s="6">
        <f t="shared" si="64"/>
        <v>0</v>
      </c>
      <c r="DH63" s="6">
        <f t="shared" si="434"/>
        <v>0</v>
      </c>
      <c r="DI63" s="6">
        <f t="shared" si="66"/>
        <v>0</v>
      </c>
      <c r="DJ63" s="6">
        <f t="shared" si="435"/>
        <v>0</v>
      </c>
      <c r="DK63" s="7">
        <f t="shared" si="68"/>
        <v>0</v>
      </c>
      <c r="DL63" s="7">
        <f t="shared" si="411"/>
        <v>0</v>
      </c>
      <c r="DM63" s="7">
        <f t="shared" si="70"/>
        <v>0</v>
      </c>
      <c r="DN63" s="7">
        <f t="shared" si="71"/>
        <v>0</v>
      </c>
      <c r="DO63" s="7">
        <f t="shared" si="72"/>
        <v>1</v>
      </c>
      <c r="DP63" s="8">
        <f t="shared" si="73"/>
        <v>0</v>
      </c>
      <c r="DQ63" s="8">
        <f t="shared" si="74"/>
        <v>0</v>
      </c>
      <c r="DR63" s="7">
        <f t="shared" si="75"/>
        <v>0</v>
      </c>
      <c r="DS63" s="7">
        <f t="shared" si="76"/>
        <v>0</v>
      </c>
      <c r="DT63" s="7">
        <f t="shared" si="77"/>
        <v>0</v>
      </c>
      <c r="DU63" s="9">
        <f t="shared" si="78"/>
        <v>0</v>
      </c>
      <c r="DV63" s="9">
        <f t="shared" si="79"/>
        <v>0</v>
      </c>
      <c r="DW63" s="9">
        <f t="shared" si="80"/>
        <v>0</v>
      </c>
      <c r="DX63" s="9">
        <f t="shared" si="81"/>
        <v>0</v>
      </c>
      <c r="DY63" s="9">
        <f t="shared" si="82"/>
        <v>0</v>
      </c>
      <c r="DZ63" s="9">
        <f t="shared" si="83"/>
        <v>0</v>
      </c>
      <c r="EA63" s="9">
        <f t="shared" si="84"/>
        <v>0</v>
      </c>
      <c r="EB63" s="9">
        <f t="shared" si="85"/>
        <v>0</v>
      </c>
      <c r="EC63" s="9">
        <f t="shared" si="86"/>
        <v>0</v>
      </c>
      <c r="ED63" s="9">
        <f t="shared" si="87"/>
        <v>0</v>
      </c>
      <c r="EE63" s="9">
        <f t="shared" si="88"/>
        <v>0</v>
      </c>
      <c r="EF63" s="9">
        <f t="shared" si="89"/>
        <v>0</v>
      </c>
      <c r="EG63" s="9">
        <f t="shared" si="90"/>
        <v>0</v>
      </c>
      <c r="EH63" s="9">
        <f t="shared" si="91"/>
        <v>0</v>
      </c>
      <c r="EI63" s="9">
        <f t="shared" si="92"/>
        <v>0</v>
      </c>
      <c r="EJ63" s="10">
        <f t="shared" si="93"/>
        <v>0</v>
      </c>
      <c r="EK63" s="10">
        <f t="shared" si="94"/>
        <v>0</v>
      </c>
      <c r="EL63" s="10">
        <f t="shared" ref="EL63:EM63" si="457">IF(OR(ISNUMBER(SEARCH("ai software toolkit", $D63)), ISNUMBER(SEARCH("ai software toolkit", $T63)), ISNUMBER(SEARCH("ai software toolkit", $R63)), ISNUMBER(SEARCH("ai software toolkit", $S63))), 1, 0)</f>
        <v>0</v>
      </c>
      <c r="EM63" s="10">
        <f t="shared" si="457"/>
        <v>0</v>
      </c>
      <c r="EN63" s="10">
        <f t="shared" si="96"/>
        <v>0</v>
      </c>
      <c r="EO63" s="10">
        <f t="shared" si="97"/>
        <v>0</v>
      </c>
      <c r="EP63" s="10">
        <f t="shared" si="98"/>
        <v>0</v>
      </c>
      <c r="EQ63" s="10">
        <f t="shared" si="99"/>
        <v>0</v>
      </c>
      <c r="ER63" s="10">
        <f t="shared" si="100"/>
        <v>0</v>
      </c>
      <c r="ES63" s="10">
        <f t="shared" si="101"/>
        <v>0</v>
      </c>
      <c r="ET63" s="10">
        <f t="shared" si="102"/>
        <v>0</v>
      </c>
      <c r="EU63" s="10">
        <f t="shared" si="103"/>
        <v>0</v>
      </c>
      <c r="EV63" s="10">
        <f t="shared" si="104"/>
        <v>0</v>
      </c>
      <c r="EW63" s="10">
        <f t="shared" si="105"/>
        <v>0</v>
      </c>
      <c r="EX63" s="10">
        <f t="shared" si="106"/>
        <v>0</v>
      </c>
      <c r="EY63" s="10">
        <f t="shared" si="107"/>
        <v>0</v>
      </c>
      <c r="EZ63" s="10">
        <f t="shared" si="108"/>
        <v>0</v>
      </c>
      <c r="FA63" s="10">
        <f t="shared" si="109"/>
        <v>0</v>
      </c>
      <c r="FB63" s="10">
        <f t="shared" si="110"/>
        <v>0</v>
      </c>
      <c r="FC63" s="10">
        <f t="shared" si="111"/>
        <v>0</v>
      </c>
      <c r="FD63" s="10">
        <f t="shared" si="112"/>
        <v>0</v>
      </c>
      <c r="FE63" s="10">
        <f t="shared" si="113"/>
        <v>0</v>
      </c>
      <c r="FF63" s="10">
        <f t="shared" si="114"/>
        <v>0</v>
      </c>
      <c r="FG63" s="10">
        <f t="shared" si="115"/>
        <v>0</v>
      </c>
      <c r="FH63" s="10">
        <f t="shared" si="116"/>
        <v>0</v>
      </c>
      <c r="FI63" s="10">
        <f t="shared" si="117"/>
        <v>0</v>
      </c>
      <c r="FJ63" s="10">
        <f t="shared" si="118"/>
        <v>0</v>
      </c>
      <c r="FK63" s="10">
        <f t="shared" si="119"/>
        <v>0</v>
      </c>
      <c r="FL63" s="10">
        <f t="shared" si="120"/>
        <v>0</v>
      </c>
      <c r="FM63" s="10">
        <f t="shared" si="121"/>
        <v>0</v>
      </c>
      <c r="FN63" s="10">
        <f t="shared" si="122"/>
        <v>0</v>
      </c>
      <c r="FO63" s="10">
        <f t="shared" si="123"/>
        <v>0</v>
      </c>
      <c r="FP63" s="10">
        <f t="shared" si="124"/>
        <v>0</v>
      </c>
      <c r="FQ63" s="10">
        <f t="shared" si="125"/>
        <v>0</v>
      </c>
      <c r="FR63" s="11">
        <f t="shared" si="437"/>
        <v>0</v>
      </c>
      <c r="FS63" s="11">
        <f t="shared" si="127"/>
        <v>0</v>
      </c>
      <c r="FT63" s="11">
        <f t="shared" si="128"/>
        <v>0</v>
      </c>
      <c r="FU63" s="11">
        <f t="shared" si="129"/>
        <v>0</v>
      </c>
      <c r="FV63" s="11">
        <f t="shared" si="130"/>
        <v>0</v>
      </c>
      <c r="FW63" s="11">
        <f t="shared" si="131"/>
        <v>0</v>
      </c>
      <c r="FX63" s="11">
        <f t="shared" si="132"/>
        <v>0</v>
      </c>
      <c r="FY63" s="11">
        <f t="shared" si="133"/>
        <v>0</v>
      </c>
      <c r="FZ63" s="11">
        <f t="shared" si="134"/>
        <v>0</v>
      </c>
      <c r="GA63" s="11">
        <f t="shared" si="135"/>
        <v>0</v>
      </c>
      <c r="GB63" s="11">
        <f t="shared" si="136"/>
        <v>0</v>
      </c>
      <c r="GC63" s="11">
        <f t="shared" si="137"/>
        <v>0</v>
      </c>
      <c r="GD63" s="11">
        <f t="shared" si="138"/>
        <v>0</v>
      </c>
      <c r="GE63" s="11">
        <f t="shared" si="139"/>
        <v>0</v>
      </c>
      <c r="GF63" s="11">
        <f t="shared" si="140"/>
        <v>0</v>
      </c>
      <c r="GG63" s="11">
        <f t="shared" si="141"/>
        <v>0</v>
      </c>
      <c r="GH63" s="11">
        <f t="shared" si="142"/>
        <v>0</v>
      </c>
      <c r="GI63" s="11">
        <f t="shared" si="143"/>
        <v>0</v>
      </c>
      <c r="GJ63" s="11">
        <f t="shared" si="144"/>
        <v>0</v>
      </c>
      <c r="GK63" s="11">
        <f t="shared" si="145"/>
        <v>0</v>
      </c>
      <c r="GL63" s="11">
        <f t="shared" si="146"/>
        <v>0</v>
      </c>
      <c r="GM63" s="11">
        <f t="shared" si="147"/>
        <v>0</v>
      </c>
      <c r="GN63" s="11">
        <f t="shared" si="148"/>
        <v>0</v>
      </c>
      <c r="GO63" s="11">
        <f t="shared" si="149"/>
        <v>0</v>
      </c>
      <c r="GP63" s="11">
        <f t="shared" si="150"/>
        <v>0</v>
      </c>
      <c r="GQ63" s="11">
        <f t="shared" si="151"/>
        <v>0</v>
      </c>
      <c r="GR63" s="11">
        <f t="shared" si="152"/>
        <v>0</v>
      </c>
      <c r="GS63" s="11">
        <f t="shared" si="153"/>
        <v>0</v>
      </c>
      <c r="GT63" s="11">
        <f t="shared" si="154"/>
        <v>0</v>
      </c>
      <c r="GU63" s="12">
        <f t="shared" si="155"/>
        <v>0</v>
      </c>
      <c r="GV63" s="12">
        <f t="shared" si="156"/>
        <v>0</v>
      </c>
      <c r="GW63" s="12">
        <f t="shared" si="157"/>
        <v>0</v>
      </c>
      <c r="GX63" s="12">
        <f t="shared" si="158"/>
        <v>0</v>
      </c>
      <c r="GY63" s="12">
        <f t="shared" si="159"/>
        <v>0</v>
      </c>
      <c r="GZ63" s="12">
        <f t="shared" si="160"/>
        <v>0</v>
      </c>
      <c r="HA63" s="12">
        <f t="shared" si="161"/>
        <v>0</v>
      </c>
      <c r="HB63" s="12">
        <f t="shared" si="162"/>
        <v>0</v>
      </c>
      <c r="HC63" s="12">
        <f t="shared" si="163"/>
        <v>0</v>
      </c>
      <c r="HD63" s="12">
        <f t="shared" si="164"/>
        <v>0</v>
      </c>
      <c r="HE63" s="12">
        <f t="shared" si="165"/>
        <v>0</v>
      </c>
      <c r="HF63" s="12">
        <f t="shared" si="166"/>
        <v>0</v>
      </c>
      <c r="HG63" s="12">
        <f t="shared" si="167"/>
        <v>0</v>
      </c>
      <c r="HH63" s="12">
        <f t="shared" si="168"/>
        <v>0</v>
      </c>
      <c r="HI63" s="12">
        <f t="shared" si="169"/>
        <v>0</v>
      </c>
      <c r="HJ63" s="12">
        <f t="shared" si="170"/>
        <v>0</v>
      </c>
      <c r="HK63" s="12">
        <f t="shared" si="171"/>
        <v>0</v>
      </c>
      <c r="HL63" s="12">
        <f t="shared" si="172"/>
        <v>0</v>
      </c>
      <c r="HM63" s="12">
        <f t="shared" si="173"/>
        <v>0</v>
      </c>
      <c r="HN63" s="12">
        <f t="shared" si="174"/>
        <v>0</v>
      </c>
      <c r="HO63" s="12">
        <f t="shared" si="175"/>
        <v>0</v>
      </c>
      <c r="HP63" s="12">
        <f t="shared" si="176"/>
        <v>0</v>
      </c>
      <c r="HQ63" s="12">
        <f t="shared" si="177"/>
        <v>0</v>
      </c>
      <c r="HR63" s="12">
        <f t="shared" si="178"/>
        <v>0</v>
      </c>
      <c r="HS63" s="12">
        <f t="shared" si="179"/>
        <v>0</v>
      </c>
      <c r="HT63" s="12">
        <f t="shared" si="180"/>
        <v>0</v>
      </c>
      <c r="HU63" s="12">
        <f t="shared" si="181"/>
        <v>0</v>
      </c>
      <c r="HV63" s="12">
        <f t="shared" si="182"/>
        <v>1</v>
      </c>
      <c r="HW63" s="12">
        <f t="shared" si="183"/>
        <v>0</v>
      </c>
      <c r="HX63" s="12">
        <f t="shared" si="184"/>
        <v>0</v>
      </c>
      <c r="HY63" s="12">
        <f t="shared" si="185"/>
        <v>0</v>
      </c>
      <c r="HZ63" s="12">
        <f t="shared" si="186"/>
        <v>0</v>
      </c>
      <c r="IA63" s="12">
        <f t="shared" si="187"/>
        <v>0</v>
      </c>
      <c r="IB63" s="12">
        <f t="shared" si="188"/>
        <v>0</v>
      </c>
      <c r="IC63" s="12">
        <f t="shared" si="189"/>
        <v>0</v>
      </c>
      <c r="ID63" s="12">
        <f t="shared" si="190"/>
        <v>0</v>
      </c>
      <c r="IE63" s="12">
        <f t="shared" si="191"/>
        <v>0</v>
      </c>
      <c r="IF63" s="12">
        <f t="shared" si="192"/>
        <v>0</v>
      </c>
      <c r="IG63" s="12">
        <f t="shared" si="193"/>
        <v>0</v>
      </c>
      <c r="IH63" s="12">
        <f t="shared" si="194"/>
        <v>0</v>
      </c>
      <c r="II63" s="12">
        <f t="shared" si="195"/>
        <v>0</v>
      </c>
      <c r="IJ63" s="12">
        <f t="shared" si="196"/>
        <v>0</v>
      </c>
      <c r="IK63" s="12">
        <f t="shared" si="197"/>
        <v>0</v>
      </c>
      <c r="IL63" s="12">
        <f t="shared" si="198"/>
        <v>0</v>
      </c>
      <c r="IM63" s="12">
        <f t="shared" si="199"/>
        <v>0</v>
      </c>
      <c r="IN63" s="12">
        <f t="shared" si="200"/>
        <v>0</v>
      </c>
      <c r="IO63" s="12">
        <f t="shared" si="201"/>
        <v>0</v>
      </c>
      <c r="IP63" s="12">
        <f t="shared" si="202"/>
        <v>0</v>
      </c>
      <c r="IQ63" s="12">
        <f t="shared" si="203"/>
        <v>0</v>
      </c>
      <c r="IR63" s="12">
        <f t="shared" si="204"/>
        <v>0</v>
      </c>
      <c r="IS63" s="12">
        <f t="shared" si="205"/>
        <v>0</v>
      </c>
      <c r="IT63" s="12">
        <f t="shared" si="206"/>
        <v>0</v>
      </c>
      <c r="IU63" s="12">
        <f t="shared" si="207"/>
        <v>0</v>
      </c>
      <c r="IV63" s="12">
        <f t="shared" si="208"/>
        <v>0</v>
      </c>
      <c r="IW63" s="12">
        <f t="shared" si="209"/>
        <v>0</v>
      </c>
      <c r="IX63" s="12">
        <f t="shared" si="210"/>
        <v>0</v>
      </c>
      <c r="IY63" s="12">
        <f t="shared" si="211"/>
        <v>0</v>
      </c>
      <c r="IZ63" s="12">
        <f t="shared" si="212"/>
        <v>1</v>
      </c>
      <c r="JA63" s="13">
        <f t="shared" si="213"/>
        <v>0</v>
      </c>
      <c r="JB63" s="13">
        <f t="shared" si="214"/>
        <v>0</v>
      </c>
      <c r="JC63" s="13">
        <f t="shared" si="215"/>
        <v>0</v>
      </c>
      <c r="JD63" s="13">
        <f t="shared" si="216"/>
        <v>0</v>
      </c>
      <c r="JE63" s="13">
        <f t="shared" si="217"/>
        <v>0</v>
      </c>
      <c r="JF63" s="13">
        <f t="shared" si="218"/>
        <v>0</v>
      </c>
      <c r="JG63" s="13">
        <f t="shared" si="219"/>
        <v>0</v>
      </c>
      <c r="JH63" s="13">
        <f t="shared" si="220"/>
        <v>0</v>
      </c>
      <c r="JI63" s="13">
        <f t="shared" si="221"/>
        <v>0</v>
      </c>
      <c r="JJ63" s="13">
        <f t="shared" si="222"/>
        <v>0</v>
      </c>
      <c r="JK63" s="13">
        <f t="shared" si="223"/>
        <v>0</v>
      </c>
      <c r="JL63" s="13">
        <f t="shared" si="224"/>
        <v>0</v>
      </c>
      <c r="JM63" s="13">
        <f t="shared" si="225"/>
        <v>0</v>
      </c>
      <c r="JN63" s="13">
        <f t="shared" si="226"/>
        <v>0</v>
      </c>
      <c r="JO63" s="13">
        <f t="shared" si="227"/>
        <v>0</v>
      </c>
      <c r="JP63" s="13">
        <f t="shared" si="228"/>
        <v>0</v>
      </c>
      <c r="JQ63" s="13">
        <f t="shared" si="229"/>
        <v>0</v>
      </c>
      <c r="JR63" s="13">
        <f t="shared" si="230"/>
        <v>0</v>
      </c>
      <c r="JS63" s="13">
        <f t="shared" si="231"/>
        <v>0</v>
      </c>
      <c r="JT63" s="13">
        <f t="shared" si="232"/>
        <v>0</v>
      </c>
      <c r="JU63" s="13">
        <f t="shared" si="233"/>
        <v>0</v>
      </c>
      <c r="JV63" s="12">
        <f t="shared" si="234"/>
        <v>0</v>
      </c>
      <c r="JW63" s="12">
        <f t="shared" si="235"/>
        <v>0</v>
      </c>
      <c r="JX63" s="12">
        <f t="shared" si="236"/>
        <v>0</v>
      </c>
      <c r="JY63" s="12">
        <f t="shared" si="237"/>
        <v>0</v>
      </c>
      <c r="JZ63" s="12">
        <f t="shared" si="238"/>
        <v>0</v>
      </c>
      <c r="KA63" s="12">
        <f t="shared" si="239"/>
        <v>0</v>
      </c>
      <c r="KB63" s="12">
        <f t="shared" si="240"/>
        <v>0</v>
      </c>
      <c r="KC63" s="12">
        <f t="shared" si="241"/>
        <v>0</v>
      </c>
      <c r="KD63" s="12">
        <f t="shared" si="242"/>
        <v>0</v>
      </c>
      <c r="KE63" s="12">
        <f t="shared" si="243"/>
        <v>0</v>
      </c>
      <c r="KF63" s="12">
        <f t="shared" si="244"/>
        <v>0</v>
      </c>
      <c r="KG63" s="12">
        <f t="shared" si="245"/>
        <v>0</v>
      </c>
      <c r="KH63" s="12">
        <f t="shared" si="246"/>
        <v>0</v>
      </c>
      <c r="KI63" s="12">
        <f t="shared" si="247"/>
        <v>0</v>
      </c>
      <c r="KJ63" s="12">
        <f t="shared" si="248"/>
        <v>0</v>
      </c>
      <c r="KK63" s="12">
        <f t="shared" si="249"/>
        <v>0</v>
      </c>
      <c r="KL63" s="12">
        <f t="shared" si="250"/>
        <v>0</v>
      </c>
      <c r="KM63" s="12">
        <f t="shared" si="251"/>
        <v>0</v>
      </c>
      <c r="KN63" s="12">
        <f t="shared" si="252"/>
        <v>0</v>
      </c>
      <c r="KO63" s="12">
        <f t="shared" si="253"/>
        <v>0</v>
      </c>
      <c r="KP63" s="12">
        <f t="shared" si="254"/>
        <v>0</v>
      </c>
      <c r="KQ63" s="12">
        <f t="shared" si="255"/>
        <v>0</v>
      </c>
      <c r="KR63" s="12">
        <f t="shared" si="256"/>
        <v>0</v>
      </c>
      <c r="KS63" s="12">
        <f t="shared" si="257"/>
        <v>0</v>
      </c>
      <c r="KT63" s="12">
        <f t="shared" si="258"/>
        <v>0</v>
      </c>
      <c r="KU63" s="12">
        <f t="shared" si="259"/>
        <v>0</v>
      </c>
      <c r="KV63" s="12">
        <f t="shared" si="260"/>
        <v>0</v>
      </c>
      <c r="KW63" s="12">
        <f t="shared" si="261"/>
        <v>0</v>
      </c>
      <c r="KX63" s="12">
        <f t="shared" si="262"/>
        <v>0</v>
      </c>
      <c r="KY63" s="12">
        <f t="shared" si="263"/>
        <v>0</v>
      </c>
      <c r="KZ63" s="12">
        <f t="shared" si="264"/>
        <v>0</v>
      </c>
      <c r="LA63" s="12">
        <f t="shared" si="265"/>
        <v>0</v>
      </c>
      <c r="LB63" s="12">
        <f t="shared" si="266"/>
        <v>0</v>
      </c>
      <c r="LC63" s="12">
        <f t="shared" si="267"/>
        <v>0</v>
      </c>
      <c r="LD63" s="12">
        <f t="shared" si="268"/>
        <v>0</v>
      </c>
      <c r="LE63" s="12">
        <f t="shared" si="269"/>
        <v>0</v>
      </c>
      <c r="LF63" s="12">
        <f t="shared" si="270"/>
        <v>0</v>
      </c>
      <c r="LG63" s="12">
        <f t="shared" si="271"/>
        <v>0</v>
      </c>
      <c r="LH63" s="12">
        <f t="shared" si="272"/>
        <v>0</v>
      </c>
      <c r="LI63" s="12">
        <f t="shared" si="273"/>
        <v>0</v>
      </c>
      <c r="LJ63" s="12">
        <f t="shared" si="274"/>
        <v>0</v>
      </c>
      <c r="LK63" s="12">
        <f t="shared" si="275"/>
        <v>0</v>
      </c>
      <c r="LL63" s="12">
        <f t="shared" si="276"/>
        <v>0</v>
      </c>
      <c r="LM63" s="12">
        <f t="shared" si="277"/>
        <v>0</v>
      </c>
      <c r="LN63" s="12">
        <f t="shared" si="278"/>
        <v>0</v>
      </c>
      <c r="LO63" s="12">
        <f t="shared" si="279"/>
        <v>0</v>
      </c>
      <c r="LP63" s="12">
        <f t="shared" si="280"/>
        <v>0</v>
      </c>
      <c r="LQ63" s="12">
        <f t="shared" si="281"/>
        <v>0</v>
      </c>
      <c r="LR63" s="12">
        <f t="shared" si="282"/>
        <v>0</v>
      </c>
      <c r="LS63" s="12">
        <f t="shared" si="283"/>
        <v>0</v>
      </c>
      <c r="LT63" s="13">
        <f t="shared" si="284"/>
        <v>0</v>
      </c>
      <c r="LU63" s="13">
        <f t="shared" si="285"/>
        <v>0</v>
      </c>
      <c r="LV63" s="13">
        <f t="shared" si="286"/>
        <v>0</v>
      </c>
      <c r="LW63" s="13">
        <f t="shared" si="287"/>
        <v>0</v>
      </c>
      <c r="LX63" s="13">
        <f t="shared" si="288"/>
        <v>0</v>
      </c>
      <c r="LY63" s="13">
        <f t="shared" si="289"/>
        <v>0</v>
      </c>
      <c r="LZ63" s="13">
        <f t="shared" si="290"/>
        <v>0</v>
      </c>
      <c r="MA63" s="13">
        <f t="shared" si="291"/>
        <v>0</v>
      </c>
      <c r="MB63" s="13">
        <f t="shared" si="292"/>
        <v>0</v>
      </c>
      <c r="MC63" s="13">
        <f t="shared" si="293"/>
        <v>0</v>
      </c>
      <c r="MD63" s="13">
        <f t="shared" si="294"/>
        <v>0</v>
      </c>
      <c r="ME63" s="13">
        <f t="shared" si="295"/>
        <v>0</v>
      </c>
      <c r="MF63" s="13">
        <f t="shared" si="296"/>
        <v>0</v>
      </c>
      <c r="MG63" s="13">
        <f t="shared" si="297"/>
        <v>0</v>
      </c>
      <c r="MH63" s="13">
        <f t="shared" si="298"/>
        <v>0</v>
      </c>
      <c r="MI63" s="13">
        <f t="shared" si="299"/>
        <v>0</v>
      </c>
      <c r="MJ63" s="13">
        <f t="shared" si="300"/>
        <v>0</v>
      </c>
      <c r="MK63" s="13">
        <f t="shared" si="301"/>
        <v>0</v>
      </c>
      <c r="ML63" s="14">
        <f t="shared" si="302"/>
        <v>0</v>
      </c>
      <c r="MM63" s="14">
        <f t="shared" si="303"/>
        <v>0</v>
      </c>
      <c r="MN63" s="14">
        <f t="shared" si="304"/>
        <v>0</v>
      </c>
      <c r="MO63" s="14">
        <f t="shared" si="305"/>
        <v>0</v>
      </c>
      <c r="MP63" s="14">
        <f t="shared" si="306"/>
        <v>0</v>
      </c>
      <c r="MQ63" s="14">
        <f t="shared" si="307"/>
        <v>0</v>
      </c>
      <c r="MR63" s="14">
        <f t="shared" si="308"/>
        <v>0</v>
      </c>
      <c r="MS63" s="14">
        <f t="shared" si="309"/>
        <v>0</v>
      </c>
      <c r="MT63" s="14">
        <f t="shared" si="310"/>
        <v>0</v>
      </c>
      <c r="MU63" s="14">
        <f t="shared" si="311"/>
        <v>0</v>
      </c>
      <c r="MV63" s="14">
        <f t="shared" si="312"/>
        <v>0</v>
      </c>
      <c r="MW63" s="14">
        <f t="shared" si="313"/>
        <v>0</v>
      </c>
      <c r="MX63" s="14">
        <f t="shared" si="314"/>
        <v>0</v>
      </c>
      <c r="MY63" s="14">
        <f t="shared" si="315"/>
        <v>0</v>
      </c>
      <c r="MZ63" s="14">
        <f t="shared" si="316"/>
        <v>0</v>
      </c>
      <c r="NA63" s="14">
        <f t="shared" si="317"/>
        <v>0</v>
      </c>
      <c r="NB63" s="14">
        <f t="shared" si="318"/>
        <v>0</v>
      </c>
    </row>
    <row r="64" ht="15.75" customHeight="1">
      <c r="A64" s="2">
        <v>314.0</v>
      </c>
      <c r="B64" s="2" t="s">
        <v>1473</v>
      </c>
      <c r="C64" s="2" t="s">
        <v>1474</v>
      </c>
      <c r="D64" s="2" t="s">
        <v>1475</v>
      </c>
      <c r="E64" s="2">
        <v>2019.0</v>
      </c>
      <c r="F64" s="2" t="s">
        <v>1476</v>
      </c>
      <c r="G64" s="2" t="s">
        <v>925</v>
      </c>
      <c r="H64" s="2" t="s">
        <v>432</v>
      </c>
      <c r="J64" s="2" t="s">
        <v>1477</v>
      </c>
      <c r="K64" s="2" t="s">
        <v>1478</v>
      </c>
      <c r="M64" s="2">
        <v>21.0</v>
      </c>
      <c r="N64" s="2" t="s">
        <v>1479</v>
      </c>
      <c r="O64" s="2" t="s">
        <v>1480</v>
      </c>
      <c r="P64" s="2" t="s">
        <v>1481</v>
      </c>
      <c r="Q64" s="2" t="s">
        <v>1482</v>
      </c>
      <c r="R64" s="2" t="s">
        <v>1483</v>
      </c>
      <c r="S64" s="2" t="s">
        <v>1484</v>
      </c>
      <c r="Y64" s="2" t="s">
        <v>1485</v>
      </c>
      <c r="AB64" s="2" t="s">
        <v>1486</v>
      </c>
      <c r="AG64" s="2" t="s">
        <v>1487</v>
      </c>
      <c r="AK64" s="2" t="s">
        <v>1488</v>
      </c>
      <c r="AL64" s="2" t="s">
        <v>384</v>
      </c>
      <c r="AM64" s="2" t="s">
        <v>579</v>
      </c>
      <c r="AN64" s="2" t="s">
        <v>386</v>
      </c>
      <c r="AO64" s="2" t="s">
        <v>1489</v>
      </c>
      <c r="AP64" s="2" t="s">
        <v>386</v>
      </c>
      <c r="AQ64" s="2">
        <v>1244.0</v>
      </c>
      <c r="AR64" s="2" t="s">
        <v>1490</v>
      </c>
      <c r="AS64" s="2" t="b">
        <v>1</v>
      </c>
      <c r="AT64" s="3">
        <v>0.0</v>
      </c>
      <c r="AU64" s="4">
        <v>1.0</v>
      </c>
      <c r="AV64" s="4"/>
      <c r="AW64" s="5">
        <f t="shared" si="432"/>
        <v>0</v>
      </c>
      <c r="AX64" s="5">
        <f t="shared" si="4"/>
        <v>0</v>
      </c>
      <c r="AY64" s="5">
        <f t="shared" si="5"/>
        <v>0</v>
      </c>
      <c r="AZ64" s="5">
        <f t="shared" si="6"/>
        <v>0</v>
      </c>
      <c r="BA64" s="5">
        <f t="shared" si="7"/>
        <v>0</v>
      </c>
      <c r="BB64" s="5">
        <f t="shared" si="8"/>
        <v>0</v>
      </c>
      <c r="BC64" s="5">
        <f t="shared" si="9"/>
        <v>0</v>
      </c>
      <c r="BD64" s="5">
        <f t="shared" si="10"/>
        <v>0</v>
      </c>
      <c r="BE64" s="5">
        <f t="shared" si="11"/>
        <v>0</v>
      </c>
      <c r="BF64" s="5">
        <f t="shared" si="12"/>
        <v>0</v>
      </c>
      <c r="BG64" s="5">
        <f t="shared" si="13"/>
        <v>0</v>
      </c>
      <c r="BH64" s="5">
        <f t="shared" si="14"/>
        <v>0</v>
      </c>
      <c r="BI64" s="5">
        <f t="shared" si="15"/>
        <v>0</v>
      </c>
      <c r="BJ64" s="5">
        <f t="shared" si="16"/>
        <v>0</v>
      </c>
      <c r="BK64" s="5">
        <f t="shared" si="17"/>
        <v>0</v>
      </c>
      <c r="BL64" s="5">
        <f t="shared" si="18"/>
        <v>0</v>
      </c>
      <c r="BM64" s="5">
        <f t="shared" si="19"/>
        <v>0</v>
      </c>
      <c r="BN64" s="5">
        <f t="shared" si="20"/>
        <v>0</v>
      </c>
      <c r="BO64" s="5">
        <f t="shared" si="21"/>
        <v>0</v>
      </c>
      <c r="BP64" s="5">
        <f t="shared" si="22"/>
        <v>0</v>
      </c>
      <c r="BQ64" s="5">
        <f t="shared" si="23"/>
        <v>0</v>
      </c>
      <c r="BR64" s="5">
        <f t="shared" si="24"/>
        <v>0</v>
      </c>
      <c r="BS64" s="5">
        <f t="shared" si="25"/>
        <v>1</v>
      </c>
      <c r="BT64" s="5">
        <f t="shared" si="26"/>
        <v>0</v>
      </c>
      <c r="BU64" s="5">
        <f t="shared" si="27"/>
        <v>0</v>
      </c>
      <c r="BV64" s="5">
        <f t="shared" ref="BV64:BW64" si="458">IF(OR(ISNUMBER(SEARCH("grit",$D64)),ISNUMBER(SEARCH("grit",$T64)),ISNUMBER(SEARCH("grit",$R64)),ISNUMBER(SEARCH("grit",$S64)),
ISNUMBER(SEARCH("determination",$D64)),ISNUMBER(SEARCH("determination",$T64)),ISNUMBER(SEARCH("determination",$R64)),ISNUMBER(SEARCH("determination",$S64)),
ISNUMBER(SEARCH("tenacity",$D64)),ISNUMBER(SEARCH("tenacity",$T64)),ISNUMBER(SEARCH("tenacity",$R64)),ISNUMBER(SEARCH("tenacity",$S64)),
ISNUMBER(SEARCH("endurance",$D64)),ISNUMBER(SEARCH("endurance",$T64)),ISNUMBER(SEARCH("endurance",$R64)),ISNUMBER(SEARCH("endurance",$S64)),
ISNUMBER(SEARCH("fortitude",$D64)),ISNUMBER(SEARCH("fortitude",$T64)),ISNUMBER(SEARCH("fortitude",$R64)),ISNUMBER(SEARCH("fortitude",$S64)),
ISNUMBER(SEARCH("resolve",$D64)),ISNUMBER(SEARCH("resolve",$T64)),ISNUMBER(SEARCH("resolve",$R64)),ISNUMBER(SEARCH("resolve",$S64)),
ISNUMBER(SEARCH("stamina",$D64)),ISNUMBER(SEARCH("stamina",$T64)),ISNUMBER(SEARCH("stamina",$R64)),ISNUMBER(SEARCH("stamina",$S64)),
ISNUMBER(SEARCH("guts",$D64)),ISNUMBER(SEARCH("guts",$T64)),ISNUMBER(SEARCH("guts",$R64)),ISNUMBER(SEARCH("guts",$S64)),
ISNUMBER(SEARCH("spunk",$D64)),ISNUMBER(SEARCH("spunk",$T64)),ISNUMBER(SEARCH("spunk",$R64)),ISNUMBER(SEARCH("spunk",$S64))), 1, 0)</f>
        <v>0</v>
      </c>
      <c r="BW64" s="5">
        <f t="shared" si="458"/>
        <v>0</v>
      </c>
      <c r="BX64" s="5">
        <f t="shared" si="29"/>
        <v>0</v>
      </c>
      <c r="BY64" s="5">
        <f t="shared" si="30"/>
        <v>0</v>
      </c>
      <c r="BZ64" s="5">
        <f t="shared" si="31"/>
        <v>0</v>
      </c>
      <c r="CA64" s="5">
        <f t="shared" si="32"/>
        <v>0</v>
      </c>
      <c r="CB64" s="5">
        <f t="shared" si="33"/>
        <v>0</v>
      </c>
      <c r="CC64" s="5">
        <f t="shared" si="34"/>
        <v>0</v>
      </c>
      <c r="CD64" s="5">
        <f t="shared" si="35"/>
        <v>0</v>
      </c>
      <c r="CE64" s="5">
        <f t="shared" si="36"/>
        <v>0</v>
      </c>
      <c r="CF64" s="5">
        <f t="shared" si="37"/>
        <v>0</v>
      </c>
      <c r="CG64" s="5">
        <f t="shared" si="38"/>
        <v>0</v>
      </c>
      <c r="CH64" s="5">
        <f t="shared" si="39"/>
        <v>0</v>
      </c>
      <c r="CI64" s="5">
        <f t="shared" si="40"/>
        <v>0</v>
      </c>
      <c r="CJ64" s="5">
        <f t="shared" si="41"/>
        <v>1</v>
      </c>
      <c r="CK64" s="5">
        <f t="shared" si="42"/>
        <v>0</v>
      </c>
      <c r="CL64" s="5">
        <f t="shared" si="43"/>
        <v>0</v>
      </c>
      <c r="CM64" s="5">
        <f t="shared" si="44"/>
        <v>0</v>
      </c>
      <c r="CN64" s="5">
        <f t="shared" si="45"/>
        <v>0</v>
      </c>
      <c r="CO64" s="5">
        <f t="shared" si="46"/>
        <v>0</v>
      </c>
      <c r="CP64" s="6">
        <f t="shared" si="47"/>
        <v>0</v>
      </c>
      <c r="CQ64" s="6">
        <f t="shared" si="48"/>
        <v>0</v>
      </c>
      <c r="CR64" s="6">
        <f t="shared" si="49"/>
        <v>0</v>
      </c>
      <c r="CS64" s="6">
        <f t="shared" si="50"/>
        <v>0</v>
      </c>
      <c r="CT64" s="6">
        <f t="shared" si="51"/>
        <v>0</v>
      </c>
      <c r="CU64" s="6">
        <f t="shared" si="52"/>
        <v>0</v>
      </c>
      <c r="CV64" s="6">
        <f t="shared" si="53"/>
        <v>0</v>
      </c>
      <c r="CW64" s="6">
        <f t="shared" si="54"/>
        <v>0</v>
      </c>
      <c r="CX64" s="6">
        <f t="shared" si="55"/>
        <v>0</v>
      </c>
      <c r="CY64" s="6">
        <f t="shared" si="56"/>
        <v>0</v>
      </c>
      <c r="CZ64" s="6">
        <f t="shared" si="57"/>
        <v>0</v>
      </c>
      <c r="DA64" s="6">
        <f t="shared" si="58"/>
        <v>0</v>
      </c>
      <c r="DB64" s="6">
        <f t="shared" si="59"/>
        <v>0</v>
      </c>
      <c r="DC64" s="6">
        <f t="shared" si="60"/>
        <v>0</v>
      </c>
      <c r="DD64" s="6">
        <f t="shared" si="61"/>
        <v>0</v>
      </c>
      <c r="DE64" s="6">
        <f t="shared" si="62"/>
        <v>0</v>
      </c>
      <c r="DF64" s="6">
        <f t="shared" si="63"/>
        <v>0</v>
      </c>
      <c r="DG64" s="6">
        <f t="shared" si="64"/>
        <v>1</v>
      </c>
      <c r="DH64" s="6">
        <f t="shared" si="434"/>
        <v>0</v>
      </c>
      <c r="DI64" s="6">
        <f t="shared" si="66"/>
        <v>0</v>
      </c>
      <c r="DJ64" s="6">
        <f t="shared" si="435"/>
        <v>0</v>
      </c>
      <c r="DK64" s="7">
        <f t="shared" si="68"/>
        <v>0</v>
      </c>
      <c r="DL64" s="7">
        <f t="shared" si="411"/>
        <v>0</v>
      </c>
      <c r="DM64" s="7">
        <f t="shared" si="70"/>
        <v>0</v>
      </c>
      <c r="DN64" s="7">
        <f t="shared" si="71"/>
        <v>0</v>
      </c>
      <c r="DO64" s="7">
        <f t="shared" si="72"/>
        <v>0</v>
      </c>
      <c r="DP64" s="8">
        <f t="shared" si="73"/>
        <v>0</v>
      </c>
      <c r="DQ64" s="8">
        <f t="shared" si="74"/>
        <v>1</v>
      </c>
      <c r="DR64" s="7">
        <f t="shared" si="75"/>
        <v>0</v>
      </c>
      <c r="DS64" s="7">
        <f t="shared" si="76"/>
        <v>0</v>
      </c>
      <c r="DT64" s="7">
        <f t="shared" si="77"/>
        <v>0</v>
      </c>
      <c r="DU64" s="9">
        <f t="shared" si="78"/>
        <v>0</v>
      </c>
      <c r="DV64" s="9">
        <f t="shared" si="79"/>
        <v>0</v>
      </c>
      <c r="DW64" s="9">
        <f t="shared" si="80"/>
        <v>0</v>
      </c>
      <c r="DX64" s="9">
        <f t="shared" si="81"/>
        <v>0</v>
      </c>
      <c r="DY64" s="9">
        <f t="shared" si="82"/>
        <v>0</v>
      </c>
      <c r="DZ64" s="9">
        <f t="shared" si="83"/>
        <v>0</v>
      </c>
      <c r="EA64" s="9">
        <f t="shared" si="84"/>
        <v>0</v>
      </c>
      <c r="EB64" s="9">
        <f t="shared" si="85"/>
        <v>0</v>
      </c>
      <c r="EC64" s="9">
        <f t="shared" si="86"/>
        <v>0</v>
      </c>
      <c r="ED64" s="9">
        <f t="shared" si="87"/>
        <v>0</v>
      </c>
      <c r="EE64" s="9">
        <f t="shared" si="88"/>
        <v>0</v>
      </c>
      <c r="EF64" s="9">
        <f t="shared" si="89"/>
        <v>0</v>
      </c>
      <c r="EG64" s="9">
        <f t="shared" si="90"/>
        <v>0</v>
      </c>
      <c r="EH64" s="9">
        <f t="shared" si="91"/>
        <v>0</v>
      </c>
      <c r="EI64" s="9">
        <f t="shared" si="92"/>
        <v>0</v>
      </c>
      <c r="EJ64" s="10">
        <f t="shared" si="93"/>
        <v>0</v>
      </c>
      <c r="EK64" s="10">
        <f t="shared" si="94"/>
        <v>0</v>
      </c>
      <c r="EL64" s="10">
        <f t="shared" ref="EL64:EM64" si="459">IF(OR(ISNUMBER(SEARCH("ai software toolkit", $D64)), ISNUMBER(SEARCH("ai software toolkit", $T64)), ISNUMBER(SEARCH("ai software toolkit", $R64)), ISNUMBER(SEARCH("ai software toolkit", $S64))), 1, 0)</f>
        <v>0</v>
      </c>
      <c r="EM64" s="10">
        <f t="shared" si="459"/>
        <v>0</v>
      </c>
      <c r="EN64" s="10">
        <f t="shared" si="96"/>
        <v>0</v>
      </c>
      <c r="EO64" s="10">
        <f t="shared" si="97"/>
        <v>0</v>
      </c>
      <c r="EP64" s="10">
        <f t="shared" si="98"/>
        <v>0</v>
      </c>
      <c r="EQ64" s="10">
        <f t="shared" si="99"/>
        <v>0</v>
      </c>
      <c r="ER64" s="10">
        <f t="shared" si="100"/>
        <v>0</v>
      </c>
      <c r="ES64" s="10">
        <f t="shared" si="101"/>
        <v>0</v>
      </c>
      <c r="ET64" s="10">
        <f t="shared" si="102"/>
        <v>0</v>
      </c>
      <c r="EU64" s="10">
        <f t="shared" si="103"/>
        <v>0</v>
      </c>
      <c r="EV64" s="10">
        <f t="shared" si="104"/>
        <v>0</v>
      </c>
      <c r="EW64" s="10">
        <f t="shared" si="105"/>
        <v>0</v>
      </c>
      <c r="EX64" s="10">
        <f t="shared" si="106"/>
        <v>0</v>
      </c>
      <c r="EY64" s="10">
        <f t="shared" si="107"/>
        <v>0</v>
      </c>
      <c r="EZ64" s="10">
        <f t="shared" si="108"/>
        <v>0</v>
      </c>
      <c r="FA64" s="10">
        <f t="shared" si="109"/>
        <v>0</v>
      </c>
      <c r="FB64" s="10">
        <f t="shared" si="110"/>
        <v>0</v>
      </c>
      <c r="FC64" s="10">
        <f t="shared" si="111"/>
        <v>0</v>
      </c>
      <c r="FD64" s="10">
        <f t="shared" si="112"/>
        <v>0</v>
      </c>
      <c r="FE64" s="10">
        <f t="shared" si="113"/>
        <v>0</v>
      </c>
      <c r="FF64" s="10">
        <f t="shared" si="114"/>
        <v>0</v>
      </c>
      <c r="FG64" s="10">
        <f t="shared" si="115"/>
        <v>0</v>
      </c>
      <c r="FH64" s="10">
        <f t="shared" si="116"/>
        <v>0</v>
      </c>
      <c r="FI64" s="10">
        <f t="shared" si="117"/>
        <v>0</v>
      </c>
      <c r="FJ64" s="10">
        <f t="shared" si="118"/>
        <v>0</v>
      </c>
      <c r="FK64" s="10">
        <f t="shared" si="119"/>
        <v>0</v>
      </c>
      <c r="FL64" s="10">
        <f t="shared" si="120"/>
        <v>0</v>
      </c>
      <c r="FM64" s="10">
        <f t="shared" si="121"/>
        <v>0</v>
      </c>
      <c r="FN64" s="10">
        <f t="shared" si="122"/>
        <v>0</v>
      </c>
      <c r="FO64" s="10">
        <f t="shared" si="123"/>
        <v>0</v>
      </c>
      <c r="FP64" s="10">
        <f t="shared" si="124"/>
        <v>0</v>
      </c>
      <c r="FQ64" s="10">
        <f t="shared" si="125"/>
        <v>0</v>
      </c>
      <c r="FR64" s="11">
        <f t="shared" si="437"/>
        <v>0</v>
      </c>
      <c r="FS64" s="11">
        <f t="shared" si="127"/>
        <v>0</v>
      </c>
      <c r="FT64" s="11">
        <f t="shared" si="128"/>
        <v>0</v>
      </c>
      <c r="FU64" s="11">
        <f t="shared" si="129"/>
        <v>0</v>
      </c>
      <c r="FV64" s="11">
        <f t="shared" si="130"/>
        <v>0</v>
      </c>
      <c r="FW64" s="11">
        <f t="shared" si="131"/>
        <v>0</v>
      </c>
      <c r="FX64" s="11">
        <f t="shared" si="132"/>
        <v>0</v>
      </c>
      <c r="FY64" s="11">
        <f t="shared" si="133"/>
        <v>0</v>
      </c>
      <c r="FZ64" s="11">
        <f t="shared" si="134"/>
        <v>0</v>
      </c>
      <c r="GA64" s="11">
        <f t="shared" si="135"/>
        <v>0</v>
      </c>
      <c r="GB64" s="11">
        <f t="shared" si="136"/>
        <v>0</v>
      </c>
      <c r="GC64" s="11">
        <f t="shared" si="137"/>
        <v>0</v>
      </c>
      <c r="GD64" s="11">
        <f t="shared" si="138"/>
        <v>0</v>
      </c>
      <c r="GE64" s="11">
        <f t="shared" si="139"/>
        <v>0</v>
      </c>
      <c r="GF64" s="11">
        <f t="shared" si="140"/>
        <v>0</v>
      </c>
      <c r="GG64" s="11">
        <f t="shared" si="141"/>
        <v>0</v>
      </c>
      <c r="GH64" s="11">
        <f t="shared" si="142"/>
        <v>0</v>
      </c>
      <c r="GI64" s="11">
        <f t="shared" si="143"/>
        <v>0</v>
      </c>
      <c r="GJ64" s="11">
        <f t="shared" si="144"/>
        <v>0</v>
      </c>
      <c r="GK64" s="11">
        <f t="shared" si="145"/>
        <v>0</v>
      </c>
      <c r="GL64" s="11">
        <f t="shared" si="146"/>
        <v>0</v>
      </c>
      <c r="GM64" s="11">
        <f t="shared" si="147"/>
        <v>0</v>
      </c>
      <c r="GN64" s="11">
        <f t="shared" si="148"/>
        <v>0</v>
      </c>
      <c r="GO64" s="11">
        <f t="shared" si="149"/>
        <v>0</v>
      </c>
      <c r="GP64" s="11">
        <f t="shared" si="150"/>
        <v>0</v>
      </c>
      <c r="GQ64" s="11">
        <f t="shared" si="151"/>
        <v>0</v>
      </c>
      <c r="GR64" s="11">
        <f t="shared" si="152"/>
        <v>0</v>
      </c>
      <c r="GS64" s="11">
        <f t="shared" si="153"/>
        <v>0</v>
      </c>
      <c r="GT64" s="11">
        <f t="shared" si="154"/>
        <v>0</v>
      </c>
      <c r="GU64" s="12">
        <f t="shared" si="155"/>
        <v>0</v>
      </c>
      <c r="GV64" s="12">
        <f t="shared" si="156"/>
        <v>0</v>
      </c>
      <c r="GW64" s="12">
        <f t="shared" si="157"/>
        <v>0</v>
      </c>
      <c r="GX64" s="12">
        <f t="shared" si="158"/>
        <v>0</v>
      </c>
      <c r="GY64" s="12">
        <f t="shared" si="159"/>
        <v>0</v>
      </c>
      <c r="GZ64" s="12">
        <f t="shared" si="160"/>
        <v>0</v>
      </c>
      <c r="HA64" s="12">
        <f t="shared" si="161"/>
        <v>0</v>
      </c>
      <c r="HB64" s="12">
        <f t="shared" si="162"/>
        <v>0</v>
      </c>
      <c r="HC64" s="12">
        <f t="shared" si="163"/>
        <v>0</v>
      </c>
      <c r="HD64" s="12">
        <f t="shared" si="164"/>
        <v>0</v>
      </c>
      <c r="HE64" s="12">
        <f t="shared" si="165"/>
        <v>0</v>
      </c>
      <c r="HF64" s="12">
        <f t="shared" si="166"/>
        <v>0</v>
      </c>
      <c r="HG64" s="12">
        <f t="shared" si="167"/>
        <v>0</v>
      </c>
      <c r="HH64" s="12">
        <f t="shared" si="168"/>
        <v>0</v>
      </c>
      <c r="HI64" s="12">
        <f t="shared" si="169"/>
        <v>0</v>
      </c>
      <c r="HJ64" s="12">
        <f t="shared" si="170"/>
        <v>0</v>
      </c>
      <c r="HK64" s="12">
        <f t="shared" si="171"/>
        <v>0</v>
      </c>
      <c r="HL64" s="12">
        <f t="shared" si="172"/>
        <v>0</v>
      </c>
      <c r="HM64" s="12">
        <f t="shared" si="173"/>
        <v>0</v>
      </c>
      <c r="HN64" s="12">
        <f t="shared" si="174"/>
        <v>0</v>
      </c>
      <c r="HO64" s="12">
        <f t="shared" si="175"/>
        <v>0</v>
      </c>
      <c r="HP64" s="12">
        <f t="shared" si="176"/>
        <v>0</v>
      </c>
      <c r="HQ64" s="12">
        <f t="shared" si="177"/>
        <v>0</v>
      </c>
      <c r="HR64" s="12">
        <f t="shared" si="178"/>
        <v>0</v>
      </c>
      <c r="HS64" s="12">
        <f t="shared" si="179"/>
        <v>0</v>
      </c>
      <c r="HT64" s="12">
        <f t="shared" si="180"/>
        <v>0</v>
      </c>
      <c r="HU64" s="12">
        <f t="shared" si="181"/>
        <v>0</v>
      </c>
      <c r="HV64" s="12">
        <f t="shared" si="182"/>
        <v>1</v>
      </c>
      <c r="HW64" s="12">
        <f t="shared" si="183"/>
        <v>0</v>
      </c>
      <c r="HX64" s="12">
        <f t="shared" si="184"/>
        <v>0</v>
      </c>
      <c r="HY64" s="12">
        <f t="shared" si="185"/>
        <v>0</v>
      </c>
      <c r="HZ64" s="12">
        <f t="shared" si="186"/>
        <v>0</v>
      </c>
      <c r="IA64" s="12">
        <f t="shared" si="187"/>
        <v>0</v>
      </c>
      <c r="IB64" s="12">
        <f t="shared" si="188"/>
        <v>0</v>
      </c>
      <c r="IC64" s="12">
        <f t="shared" si="189"/>
        <v>0</v>
      </c>
      <c r="ID64" s="12">
        <f t="shared" si="190"/>
        <v>0</v>
      </c>
      <c r="IE64" s="12">
        <f t="shared" si="191"/>
        <v>0</v>
      </c>
      <c r="IF64" s="12">
        <f t="shared" si="192"/>
        <v>0</v>
      </c>
      <c r="IG64" s="12">
        <f t="shared" si="193"/>
        <v>0</v>
      </c>
      <c r="IH64" s="12">
        <f t="shared" si="194"/>
        <v>0</v>
      </c>
      <c r="II64" s="12">
        <f t="shared" si="195"/>
        <v>0</v>
      </c>
      <c r="IJ64" s="12">
        <f t="shared" si="196"/>
        <v>0</v>
      </c>
      <c r="IK64" s="12">
        <f t="shared" si="197"/>
        <v>0</v>
      </c>
      <c r="IL64" s="12">
        <f t="shared" si="198"/>
        <v>0</v>
      </c>
      <c r="IM64" s="12">
        <f t="shared" si="199"/>
        <v>0</v>
      </c>
      <c r="IN64" s="12">
        <f t="shared" si="200"/>
        <v>0</v>
      </c>
      <c r="IO64" s="12">
        <f t="shared" si="201"/>
        <v>0</v>
      </c>
      <c r="IP64" s="12">
        <f t="shared" si="202"/>
        <v>0</v>
      </c>
      <c r="IQ64" s="12">
        <f t="shared" si="203"/>
        <v>0</v>
      </c>
      <c r="IR64" s="12">
        <f t="shared" si="204"/>
        <v>0</v>
      </c>
      <c r="IS64" s="12">
        <f t="shared" si="205"/>
        <v>0</v>
      </c>
      <c r="IT64" s="12">
        <f t="shared" si="206"/>
        <v>0</v>
      </c>
      <c r="IU64" s="12">
        <f t="shared" si="207"/>
        <v>0</v>
      </c>
      <c r="IV64" s="12">
        <f t="shared" si="208"/>
        <v>0</v>
      </c>
      <c r="IW64" s="12">
        <f t="shared" si="209"/>
        <v>0</v>
      </c>
      <c r="IX64" s="12">
        <f t="shared" si="210"/>
        <v>0</v>
      </c>
      <c r="IY64" s="12">
        <f t="shared" si="211"/>
        <v>0</v>
      </c>
      <c r="IZ64" s="12">
        <f t="shared" si="212"/>
        <v>0</v>
      </c>
      <c r="JA64" s="13">
        <f t="shared" si="213"/>
        <v>0</v>
      </c>
      <c r="JB64" s="13">
        <f t="shared" si="214"/>
        <v>0</v>
      </c>
      <c r="JC64" s="13">
        <f t="shared" si="215"/>
        <v>0</v>
      </c>
      <c r="JD64" s="13">
        <f t="shared" si="216"/>
        <v>0</v>
      </c>
      <c r="JE64" s="13">
        <f t="shared" si="217"/>
        <v>0</v>
      </c>
      <c r="JF64" s="13">
        <f t="shared" si="218"/>
        <v>0</v>
      </c>
      <c r="JG64" s="13">
        <f t="shared" si="219"/>
        <v>0</v>
      </c>
      <c r="JH64" s="13">
        <f t="shared" si="220"/>
        <v>0</v>
      </c>
      <c r="JI64" s="13">
        <f t="shared" si="221"/>
        <v>0</v>
      </c>
      <c r="JJ64" s="13">
        <f t="shared" si="222"/>
        <v>0</v>
      </c>
      <c r="JK64" s="13">
        <f t="shared" si="223"/>
        <v>0</v>
      </c>
      <c r="JL64" s="13">
        <f t="shared" si="224"/>
        <v>0</v>
      </c>
      <c r="JM64" s="13">
        <f t="shared" si="225"/>
        <v>0</v>
      </c>
      <c r="JN64" s="13">
        <f t="shared" si="226"/>
        <v>0</v>
      </c>
      <c r="JO64" s="13">
        <f t="shared" si="227"/>
        <v>0</v>
      </c>
      <c r="JP64" s="13">
        <f t="shared" si="228"/>
        <v>0</v>
      </c>
      <c r="JQ64" s="13">
        <f t="shared" si="229"/>
        <v>0</v>
      </c>
      <c r="JR64" s="13">
        <f t="shared" si="230"/>
        <v>0</v>
      </c>
      <c r="JS64" s="13">
        <f t="shared" si="231"/>
        <v>0</v>
      </c>
      <c r="JT64" s="13">
        <f t="shared" si="232"/>
        <v>0</v>
      </c>
      <c r="JU64" s="13">
        <f t="shared" si="233"/>
        <v>0</v>
      </c>
      <c r="JV64" s="12">
        <f t="shared" si="234"/>
        <v>0</v>
      </c>
      <c r="JW64" s="12">
        <f t="shared" si="235"/>
        <v>0</v>
      </c>
      <c r="JX64" s="12">
        <f t="shared" si="236"/>
        <v>0</v>
      </c>
      <c r="JY64" s="12">
        <f t="shared" si="237"/>
        <v>0</v>
      </c>
      <c r="JZ64" s="12">
        <f t="shared" si="238"/>
        <v>0</v>
      </c>
      <c r="KA64" s="12">
        <f t="shared" si="239"/>
        <v>0</v>
      </c>
      <c r="KB64" s="12">
        <f t="shared" si="240"/>
        <v>0</v>
      </c>
      <c r="KC64" s="12">
        <f t="shared" si="241"/>
        <v>0</v>
      </c>
      <c r="KD64" s="12">
        <f t="shared" si="242"/>
        <v>0</v>
      </c>
      <c r="KE64" s="12">
        <f t="shared" si="243"/>
        <v>0</v>
      </c>
      <c r="KF64" s="12">
        <f t="shared" si="244"/>
        <v>0</v>
      </c>
      <c r="KG64" s="12">
        <f t="shared" si="245"/>
        <v>0</v>
      </c>
      <c r="KH64" s="12">
        <f t="shared" si="246"/>
        <v>0</v>
      </c>
      <c r="KI64" s="12">
        <f t="shared" si="247"/>
        <v>0</v>
      </c>
      <c r="KJ64" s="12">
        <f t="shared" si="248"/>
        <v>0</v>
      </c>
      <c r="KK64" s="12">
        <f t="shared" si="249"/>
        <v>0</v>
      </c>
      <c r="KL64" s="12">
        <f t="shared" si="250"/>
        <v>0</v>
      </c>
      <c r="KM64" s="12">
        <f t="shared" si="251"/>
        <v>0</v>
      </c>
      <c r="KN64" s="12">
        <f t="shared" si="252"/>
        <v>0</v>
      </c>
      <c r="KO64" s="12">
        <f t="shared" si="253"/>
        <v>0</v>
      </c>
      <c r="KP64" s="12">
        <f t="shared" si="254"/>
        <v>0</v>
      </c>
      <c r="KQ64" s="12">
        <f t="shared" si="255"/>
        <v>0</v>
      </c>
      <c r="KR64" s="12">
        <f t="shared" si="256"/>
        <v>0</v>
      </c>
      <c r="KS64" s="12">
        <f t="shared" si="257"/>
        <v>0</v>
      </c>
      <c r="KT64" s="12">
        <f t="shared" si="258"/>
        <v>0</v>
      </c>
      <c r="KU64" s="12">
        <f t="shared" si="259"/>
        <v>0</v>
      </c>
      <c r="KV64" s="12">
        <f t="shared" si="260"/>
        <v>0</v>
      </c>
      <c r="KW64" s="12">
        <f t="shared" si="261"/>
        <v>0</v>
      </c>
      <c r="KX64" s="12">
        <f t="shared" si="262"/>
        <v>0</v>
      </c>
      <c r="KY64" s="12">
        <f t="shared" si="263"/>
        <v>0</v>
      </c>
      <c r="KZ64" s="12">
        <f t="shared" si="264"/>
        <v>0</v>
      </c>
      <c r="LA64" s="12">
        <f t="shared" si="265"/>
        <v>0</v>
      </c>
      <c r="LB64" s="12">
        <f t="shared" si="266"/>
        <v>0</v>
      </c>
      <c r="LC64" s="12">
        <f t="shared" si="267"/>
        <v>0</v>
      </c>
      <c r="LD64" s="12">
        <f t="shared" si="268"/>
        <v>0</v>
      </c>
      <c r="LE64" s="12">
        <f t="shared" si="269"/>
        <v>0</v>
      </c>
      <c r="LF64" s="12">
        <f t="shared" si="270"/>
        <v>0</v>
      </c>
      <c r="LG64" s="12">
        <f t="shared" si="271"/>
        <v>0</v>
      </c>
      <c r="LH64" s="12">
        <f t="shared" si="272"/>
        <v>0</v>
      </c>
      <c r="LI64" s="12">
        <f t="shared" si="273"/>
        <v>0</v>
      </c>
      <c r="LJ64" s="12">
        <f t="shared" si="274"/>
        <v>0</v>
      </c>
      <c r="LK64" s="12">
        <f t="shared" si="275"/>
        <v>0</v>
      </c>
      <c r="LL64" s="12">
        <f t="shared" si="276"/>
        <v>0</v>
      </c>
      <c r="LM64" s="12">
        <f t="shared" si="277"/>
        <v>0</v>
      </c>
      <c r="LN64" s="12">
        <f t="shared" si="278"/>
        <v>0</v>
      </c>
      <c r="LO64" s="12">
        <f t="shared" si="279"/>
        <v>0</v>
      </c>
      <c r="LP64" s="12">
        <f t="shared" si="280"/>
        <v>0</v>
      </c>
      <c r="LQ64" s="12">
        <f t="shared" si="281"/>
        <v>0</v>
      </c>
      <c r="LR64" s="12">
        <f t="shared" si="282"/>
        <v>0</v>
      </c>
      <c r="LS64" s="12">
        <f t="shared" si="283"/>
        <v>0</v>
      </c>
      <c r="LT64" s="13">
        <f t="shared" si="284"/>
        <v>0</v>
      </c>
      <c r="LU64" s="13">
        <f t="shared" si="285"/>
        <v>0</v>
      </c>
      <c r="LV64" s="13">
        <f t="shared" si="286"/>
        <v>0</v>
      </c>
      <c r="LW64" s="13">
        <f t="shared" si="287"/>
        <v>0</v>
      </c>
      <c r="LX64" s="13">
        <f t="shared" si="288"/>
        <v>0</v>
      </c>
      <c r="LY64" s="13">
        <f t="shared" si="289"/>
        <v>0</v>
      </c>
      <c r="LZ64" s="13">
        <f t="shared" si="290"/>
        <v>0</v>
      </c>
      <c r="MA64" s="13">
        <f t="shared" si="291"/>
        <v>0</v>
      </c>
      <c r="MB64" s="13">
        <f t="shared" si="292"/>
        <v>0</v>
      </c>
      <c r="MC64" s="13">
        <f t="shared" si="293"/>
        <v>0</v>
      </c>
      <c r="MD64" s="13">
        <f t="shared" si="294"/>
        <v>0</v>
      </c>
      <c r="ME64" s="13">
        <f t="shared" si="295"/>
        <v>0</v>
      </c>
      <c r="MF64" s="13">
        <f t="shared" si="296"/>
        <v>0</v>
      </c>
      <c r="MG64" s="13">
        <f t="shared" si="297"/>
        <v>0</v>
      </c>
      <c r="MH64" s="13">
        <f t="shared" si="298"/>
        <v>0</v>
      </c>
      <c r="MI64" s="13">
        <f t="shared" si="299"/>
        <v>0</v>
      </c>
      <c r="MJ64" s="13">
        <f t="shared" si="300"/>
        <v>0</v>
      </c>
      <c r="MK64" s="13">
        <f t="shared" si="301"/>
        <v>0</v>
      </c>
      <c r="ML64" s="14">
        <f t="shared" si="302"/>
        <v>0</v>
      </c>
      <c r="MM64" s="14">
        <f t="shared" si="303"/>
        <v>0</v>
      </c>
      <c r="MN64" s="14">
        <f t="shared" si="304"/>
        <v>0</v>
      </c>
      <c r="MO64" s="14">
        <f t="shared" si="305"/>
        <v>0</v>
      </c>
      <c r="MP64" s="14">
        <f t="shared" si="306"/>
        <v>0</v>
      </c>
      <c r="MQ64" s="14">
        <f t="shared" si="307"/>
        <v>0</v>
      </c>
      <c r="MR64" s="14">
        <f t="shared" si="308"/>
        <v>0</v>
      </c>
      <c r="MS64" s="14">
        <f t="shared" si="309"/>
        <v>0</v>
      </c>
      <c r="MT64" s="14">
        <f t="shared" si="310"/>
        <v>0</v>
      </c>
      <c r="MU64" s="14">
        <f t="shared" si="311"/>
        <v>0</v>
      </c>
      <c r="MV64" s="14">
        <f t="shared" si="312"/>
        <v>0</v>
      </c>
      <c r="MW64" s="14">
        <f t="shared" si="313"/>
        <v>0</v>
      </c>
      <c r="MX64" s="14">
        <f t="shared" si="314"/>
        <v>0</v>
      </c>
      <c r="MY64" s="14">
        <f t="shared" si="315"/>
        <v>0</v>
      </c>
      <c r="MZ64" s="14">
        <f t="shared" si="316"/>
        <v>0</v>
      </c>
      <c r="NA64" s="14">
        <f t="shared" si="317"/>
        <v>0</v>
      </c>
      <c r="NB64" s="14">
        <f t="shared" si="318"/>
        <v>0</v>
      </c>
    </row>
    <row r="65" ht="15.75" customHeight="1">
      <c r="A65" s="2">
        <v>262.0</v>
      </c>
      <c r="B65" s="2" t="s">
        <v>1491</v>
      </c>
      <c r="C65" s="2" t="s">
        <v>1492</v>
      </c>
      <c r="D65" s="2" t="s">
        <v>1493</v>
      </c>
      <c r="E65" s="2">
        <v>2015.0</v>
      </c>
      <c r="F65" s="2" t="s">
        <v>1494</v>
      </c>
      <c r="G65" s="2" t="s">
        <v>1495</v>
      </c>
      <c r="H65" s="2" t="s">
        <v>528</v>
      </c>
      <c r="J65" s="2" t="s">
        <v>1496</v>
      </c>
      <c r="K65" s="2" t="s">
        <v>1497</v>
      </c>
      <c r="M65" s="2">
        <v>20.0</v>
      </c>
      <c r="N65" s="2" t="s">
        <v>1498</v>
      </c>
      <c r="O65" s="2" t="s">
        <v>1499</v>
      </c>
      <c r="P65" s="2" t="s">
        <v>1500</v>
      </c>
      <c r="Q65" s="2" t="s">
        <v>1501</v>
      </c>
      <c r="R65" s="2" t="s">
        <v>1502</v>
      </c>
      <c r="S65" s="2" t="s">
        <v>1503</v>
      </c>
      <c r="T65" s="2" t="s">
        <v>1504</v>
      </c>
      <c r="Y65" s="2" t="s">
        <v>1505</v>
      </c>
      <c r="AB65" s="2" t="s">
        <v>989</v>
      </c>
      <c r="AG65" s="2" t="s">
        <v>1506</v>
      </c>
      <c r="AI65" s="2" t="s">
        <v>1507</v>
      </c>
      <c r="AK65" s="2" t="s">
        <v>1508</v>
      </c>
      <c r="AL65" s="2" t="s">
        <v>384</v>
      </c>
      <c r="AN65" s="2" t="s">
        <v>386</v>
      </c>
      <c r="AO65" s="2" t="s">
        <v>1509</v>
      </c>
      <c r="AP65" s="2" t="s">
        <v>386</v>
      </c>
      <c r="AQ65" s="2">
        <v>1527.0</v>
      </c>
      <c r="AR65" s="2" t="s">
        <v>1510</v>
      </c>
      <c r="AS65" s="2" t="b">
        <v>0</v>
      </c>
      <c r="AT65" s="3">
        <v>0.0</v>
      </c>
      <c r="AU65" s="4"/>
      <c r="AV65" s="4"/>
      <c r="AW65" s="5">
        <f t="shared" si="432"/>
        <v>0</v>
      </c>
      <c r="AX65" s="5">
        <f t="shared" si="4"/>
        <v>0</v>
      </c>
      <c r="AY65" s="5">
        <f t="shared" si="5"/>
        <v>0</v>
      </c>
      <c r="AZ65" s="5">
        <f t="shared" si="6"/>
        <v>0</v>
      </c>
      <c r="BA65" s="5">
        <f t="shared" si="7"/>
        <v>0</v>
      </c>
      <c r="BB65" s="5">
        <f t="shared" si="8"/>
        <v>0</v>
      </c>
      <c r="BC65" s="5">
        <f t="shared" si="9"/>
        <v>0</v>
      </c>
      <c r="BD65" s="5">
        <f t="shared" si="10"/>
        <v>0</v>
      </c>
      <c r="BE65" s="5">
        <f t="shared" si="11"/>
        <v>0</v>
      </c>
      <c r="BF65" s="5">
        <f t="shared" si="12"/>
        <v>0</v>
      </c>
      <c r="BG65" s="5">
        <f t="shared" si="13"/>
        <v>0</v>
      </c>
      <c r="BH65" s="5">
        <f t="shared" si="14"/>
        <v>0</v>
      </c>
      <c r="BI65" s="5">
        <f t="shared" si="15"/>
        <v>0</v>
      </c>
      <c r="BJ65" s="5">
        <f t="shared" si="16"/>
        <v>0</v>
      </c>
      <c r="BK65" s="5">
        <f t="shared" si="17"/>
        <v>1</v>
      </c>
      <c r="BL65" s="5">
        <f t="shared" si="18"/>
        <v>0</v>
      </c>
      <c r="BM65" s="5">
        <f t="shared" si="19"/>
        <v>0</v>
      </c>
      <c r="BN65" s="5">
        <f t="shared" si="20"/>
        <v>0</v>
      </c>
      <c r="BO65" s="5">
        <f t="shared" si="21"/>
        <v>0</v>
      </c>
      <c r="BP65" s="5">
        <f t="shared" si="22"/>
        <v>0</v>
      </c>
      <c r="BQ65" s="5">
        <f t="shared" si="23"/>
        <v>0</v>
      </c>
      <c r="BR65" s="5">
        <f t="shared" si="24"/>
        <v>0</v>
      </c>
      <c r="BS65" s="5">
        <f t="shared" si="25"/>
        <v>0</v>
      </c>
      <c r="BT65" s="5">
        <f t="shared" si="26"/>
        <v>0</v>
      </c>
      <c r="BU65" s="5">
        <f t="shared" si="27"/>
        <v>0</v>
      </c>
      <c r="BV65" s="5">
        <f t="shared" ref="BV65:BW65" si="460">IF(OR(ISNUMBER(SEARCH("grit",$D65)),ISNUMBER(SEARCH("grit",$T65)),ISNUMBER(SEARCH("grit",$R65)),ISNUMBER(SEARCH("grit",$S65)),
ISNUMBER(SEARCH("determination",$D65)),ISNUMBER(SEARCH("determination",$T65)),ISNUMBER(SEARCH("determination",$R65)),ISNUMBER(SEARCH("determination",$S65)),
ISNUMBER(SEARCH("tenacity",$D65)),ISNUMBER(SEARCH("tenacity",$T65)),ISNUMBER(SEARCH("tenacity",$R65)),ISNUMBER(SEARCH("tenacity",$S65)),
ISNUMBER(SEARCH("endurance",$D65)),ISNUMBER(SEARCH("endurance",$T65)),ISNUMBER(SEARCH("endurance",$R65)),ISNUMBER(SEARCH("endurance",$S65)),
ISNUMBER(SEARCH("fortitude",$D65)),ISNUMBER(SEARCH("fortitude",$T65)),ISNUMBER(SEARCH("fortitude",$R65)),ISNUMBER(SEARCH("fortitude",$S65)),
ISNUMBER(SEARCH("resolve",$D65)),ISNUMBER(SEARCH("resolve",$T65)),ISNUMBER(SEARCH("resolve",$R65)),ISNUMBER(SEARCH("resolve",$S65)),
ISNUMBER(SEARCH("stamina",$D65)),ISNUMBER(SEARCH("stamina",$T65)),ISNUMBER(SEARCH("stamina",$R65)),ISNUMBER(SEARCH("stamina",$S65)),
ISNUMBER(SEARCH("guts",$D65)),ISNUMBER(SEARCH("guts",$T65)),ISNUMBER(SEARCH("guts",$R65)),ISNUMBER(SEARCH("guts",$S65)),
ISNUMBER(SEARCH("spunk",$D65)),ISNUMBER(SEARCH("spunk",$T65)),ISNUMBER(SEARCH("spunk",$R65)),ISNUMBER(SEARCH("spunk",$S65))), 1, 0)</f>
        <v>0</v>
      </c>
      <c r="BW65" s="5">
        <f t="shared" si="460"/>
        <v>0</v>
      </c>
      <c r="BX65" s="5">
        <f t="shared" si="29"/>
        <v>0</v>
      </c>
      <c r="BY65" s="5">
        <f t="shared" si="30"/>
        <v>0</v>
      </c>
      <c r="BZ65" s="5">
        <f t="shared" si="31"/>
        <v>0</v>
      </c>
      <c r="CA65" s="5">
        <f t="shared" si="32"/>
        <v>0</v>
      </c>
      <c r="CB65" s="5">
        <f t="shared" si="33"/>
        <v>0</v>
      </c>
      <c r="CC65" s="5">
        <f t="shared" si="34"/>
        <v>0</v>
      </c>
      <c r="CD65" s="5">
        <f t="shared" si="35"/>
        <v>0</v>
      </c>
      <c r="CE65" s="5">
        <f t="shared" si="36"/>
        <v>0</v>
      </c>
      <c r="CF65" s="5">
        <f t="shared" si="37"/>
        <v>0</v>
      </c>
      <c r="CG65" s="5">
        <f t="shared" si="38"/>
        <v>0</v>
      </c>
      <c r="CH65" s="5">
        <f t="shared" si="39"/>
        <v>0</v>
      </c>
      <c r="CI65" s="5">
        <f t="shared" si="40"/>
        <v>0</v>
      </c>
      <c r="CJ65" s="5">
        <f t="shared" si="41"/>
        <v>0</v>
      </c>
      <c r="CK65" s="5">
        <f t="shared" si="42"/>
        <v>0</v>
      </c>
      <c r="CL65" s="5">
        <f t="shared" si="43"/>
        <v>0</v>
      </c>
      <c r="CM65" s="5">
        <f t="shared" si="44"/>
        <v>0</v>
      </c>
      <c r="CN65" s="5">
        <f t="shared" si="45"/>
        <v>0</v>
      </c>
      <c r="CO65" s="5">
        <f t="shared" si="46"/>
        <v>0</v>
      </c>
      <c r="CP65" s="6">
        <f t="shared" si="47"/>
        <v>0</v>
      </c>
      <c r="CQ65" s="6">
        <f t="shared" si="48"/>
        <v>0</v>
      </c>
      <c r="CR65" s="6">
        <f t="shared" si="49"/>
        <v>0</v>
      </c>
      <c r="CS65" s="6">
        <f t="shared" si="50"/>
        <v>0</v>
      </c>
      <c r="CT65" s="6">
        <f t="shared" si="51"/>
        <v>0</v>
      </c>
      <c r="CU65" s="6">
        <f t="shared" si="52"/>
        <v>0</v>
      </c>
      <c r="CV65" s="6">
        <f t="shared" si="53"/>
        <v>0</v>
      </c>
      <c r="CW65" s="6">
        <f t="shared" si="54"/>
        <v>0</v>
      </c>
      <c r="CX65" s="6">
        <f t="shared" si="55"/>
        <v>0</v>
      </c>
      <c r="CY65" s="6">
        <f t="shared" si="56"/>
        <v>0</v>
      </c>
      <c r="CZ65" s="6">
        <f t="shared" si="57"/>
        <v>0</v>
      </c>
      <c r="DA65" s="6">
        <f t="shared" si="58"/>
        <v>0</v>
      </c>
      <c r="DB65" s="6">
        <f t="shared" si="59"/>
        <v>0</v>
      </c>
      <c r="DC65" s="6">
        <f t="shared" si="60"/>
        <v>0</v>
      </c>
      <c r="DD65" s="6">
        <f t="shared" si="61"/>
        <v>0</v>
      </c>
      <c r="DE65" s="6">
        <f t="shared" si="62"/>
        <v>1</v>
      </c>
      <c r="DF65" s="6">
        <f t="shared" si="63"/>
        <v>0</v>
      </c>
      <c r="DG65" s="6">
        <f t="shared" si="64"/>
        <v>0</v>
      </c>
      <c r="DH65" s="6">
        <f t="shared" si="434"/>
        <v>0</v>
      </c>
      <c r="DI65" s="6">
        <f t="shared" si="66"/>
        <v>0</v>
      </c>
      <c r="DJ65" s="6">
        <f t="shared" si="435"/>
        <v>0</v>
      </c>
      <c r="DK65" s="7">
        <f t="shared" si="68"/>
        <v>0</v>
      </c>
      <c r="DL65" s="7">
        <f t="shared" si="411"/>
        <v>0</v>
      </c>
      <c r="DM65" s="7">
        <f t="shared" si="70"/>
        <v>0</v>
      </c>
      <c r="DN65" s="7">
        <f t="shared" si="71"/>
        <v>0</v>
      </c>
      <c r="DO65" s="7">
        <f t="shared" si="72"/>
        <v>1</v>
      </c>
      <c r="DP65" s="8">
        <f t="shared" si="73"/>
        <v>0</v>
      </c>
      <c r="DQ65" s="8">
        <f t="shared" si="74"/>
        <v>0</v>
      </c>
      <c r="DR65" s="7">
        <f t="shared" si="75"/>
        <v>1</v>
      </c>
      <c r="DS65" s="7">
        <f t="shared" si="76"/>
        <v>0</v>
      </c>
      <c r="DT65" s="7">
        <f t="shared" si="77"/>
        <v>0</v>
      </c>
      <c r="DU65" s="9">
        <f t="shared" si="78"/>
        <v>0</v>
      </c>
      <c r="DV65" s="9">
        <f t="shared" si="79"/>
        <v>0</v>
      </c>
      <c r="DW65" s="9">
        <f t="shared" si="80"/>
        <v>0</v>
      </c>
      <c r="DX65" s="9">
        <f t="shared" si="81"/>
        <v>0</v>
      </c>
      <c r="DY65" s="9">
        <f t="shared" si="82"/>
        <v>0</v>
      </c>
      <c r="DZ65" s="9">
        <f t="shared" si="83"/>
        <v>0</v>
      </c>
      <c r="EA65" s="9">
        <f t="shared" si="84"/>
        <v>0</v>
      </c>
      <c r="EB65" s="9">
        <f t="shared" si="85"/>
        <v>0</v>
      </c>
      <c r="EC65" s="9">
        <f t="shared" si="86"/>
        <v>0</v>
      </c>
      <c r="ED65" s="9">
        <f t="shared" si="87"/>
        <v>0</v>
      </c>
      <c r="EE65" s="9">
        <f t="shared" si="88"/>
        <v>0</v>
      </c>
      <c r="EF65" s="9">
        <f t="shared" si="89"/>
        <v>0</v>
      </c>
      <c r="EG65" s="9">
        <f t="shared" si="90"/>
        <v>0</v>
      </c>
      <c r="EH65" s="9">
        <f t="shared" si="91"/>
        <v>0</v>
      </c>
      <c r="EI65" s="9">
        <f t="shared" si="92"/>
        <v>0</v>
      </c>
      <c r="EJ65" s="10">
        <f t="shared" si="93"/>
        <v>0</v>
      </c>
      <c r="EK65" s="10">
        <f t="shared" si="94"/>
        <v>0</v>
      </c>
      <c r="EL65" s="10">
        <f t="shared" ref="EL65:EM65" si="461">IF(OR(ISNUMBER(SEARCH("ai software toolkit", $D65)), ISNUMBER(SEARCH("ai software toolkit", $T65)), ISNUMBER(SEARCH("ai software toolkit", $R65)), ISNUMBER(SEARCH("ai software toolkit", $S65))), 1, 0)</f>
        <v>0</v>
      </c>
      <c r="EM65" s="10">
        <f t="shared" si="461"/>
        <v>0</v>
      </c>
      <c r="EN65" s="10">
        <f t="shared" si="96"/>
        <v>0</v>
      </c>
      <c r="EO65" s="10">
        <f t="shared" si="97"/>
        <v>0</v>
      </c>
      <c r="EP65" s="10">
        <f t="shared" si="98"/>
        <v>0</v>
      </c>
      <c r="EQ65" s="10">
        <f t="shared" si="99"/>
        <v>0</v>
      </c>
      <c r="ER65" s="10">
        <f t="shared" si="100"/>
        <v>0</v>
      </c>
      <c r="ES65" s="10">
        <f t="shared" si="101"/>
        <v>0</v>
      </c>
      <c r="ET65" s="10">
        <f t="shared" si="102"/>
        <v>0</v>
      </c>
      <c r="EU65" s="10">
        <f t="shared" si="103"/>
        <v>0</v>
      </c>
      <c r="EV65" s="10">
        <f t="shared" si="104"/>
        <v>0</v>
      </c>
      <c r="EW65" s="10">
        <f t="shared" si="105"/>
        <v>0</v>
      </c>
      <c r="EX65" s="10">
        <f t="shared" si="106"/>
        <v>0</v>
      </c>
      <c r="EY65" s="10">
        <f t="shared" si="107"/>
        <v>0</v>
      </c>
      <c r="EZ65" s="10">
        <f t="shared" si="108"/>
        <v>0</v>
      </c>
      <c r="FA65" s="10">
        <f t="shared" si="109"/>
        <v>0</v>
      </c>
      <c r="FB65" s="10">
        <f t="shared" si="110"/>
        <v>0</v>
      </c>
      <c r="FC65" s="10">
        <f t="shared" si="111"/>
        <v>0</v>
      </c>
      <c r="FD65" s="10">
        <f t="shared" si="112"/>
        <v>0</v>
      </c>
      <c r="FE65" s="10">
        <f t="shared" si="113"/>
        <v>0</v>
      </c>
      <c r="FF65" s="10">
        <f t="shared" si="114"/>
        <v>0</v>
      </c>
      <c r="FG65" s="10">
        <f t="shared" si="115"/>
        <v>0</v>
      </c>
      <c r="FH65" s="10">
        <f t="shared" si="116"/>
        <v>0</v>
      </c>
      <c r="FI65" s="10">
        <f t="shared" si="117"/>
        <v>0</v>
      </c>
      <c r="FJ65" s="10">
        <f t="shared" si="118"/>
        <v>0</v>
      </c>
      <c r="FK65" s="10">
        <f t="shared" si="119"/>
        <v>0</v>
      </c>
      <c r="FL65" s="10">
        <f t="shared" si="120"/>
        <v>0</v>
      </c>
      <c r="FM65" s="10">
        <f t="shared" si="121"/>
        <v>0</v>
      </c>
      <c r="FN65" s="10">
        <f t="shared" si="122"/>
        <v>0</v>
      </c>
      <c r="FO65" s="10">
        <f t="shared" si="123"/>
        <v>0</v>
      </c>
      <c r="FP65" s="10">
        <f t="shared" si="124"/>
        <v>1</v>
      </c>
      <c r="FQ65" s="10">
        <f t="shared" si="125"/>
        <v>0</v>
      </c>
      <c r="FR65" s="11">
        <f t="shared" si="437"/>
        <v>0</v>
      </c>
      <c r="FS65" s="11">
        <f t="shared" si="127"/>
        <v>0</v>
      </c>
      <c r="FT65" s="11">
        <f t="shared" si="128"/>
        <v>0</v>
      </c>
      <c r="FU65" s="11">
        <f t="shared" si="129"/>
        <v>0</v>
      </c>
      <c r="FV65" s="11">
        <f t="shared" si="130"/>
        <v>0</v>
      </c>
      <c r="FW65" s="11">
        <f t="shared" si="131"/>
        <v>1</v>
      </c>
      <c r="FX65" s="11">
        <f t="shared" si="132"/>
        <v>0</v>
      </c>
      <c r="FY65" s="11">
        <f t="shared" si="133"/>
        <v>0</v>
      </c>
      <c r="FZ65" s="11">
        <f t="shared" si="134"/>
        <v>0</v>
      </c>
      <c r="GA65" s="11">
        <f t="shared" si="135"/>
        <v>0</v>
      </c>
      <c r="GB65" s="11">
        <f t="shared" si="136"/>
        <v>0</v>
      </c>
      <c r="GC65" s="11">
        <f t="shared" si="137"/>
        <v>0</v>
      </c>
      <c r="GD65" s="11">
        <f t="shared" si="138"/>
        <v>0</v>
      </c>
      <c r="GE65" s="11">
        <f t="shared" si="139"/>
        <v>0</v>
      </c>
      <c r="GF65" s="11">
        <f t="shared" si="140"/>
        <v>0</v>
      </c>
      <c r="GG65" s="11">
        <f t="shared" si="141"/>
        <v>0</v>
      </c>
      <c r="GH65" s="11">
        <f t="shared" si="142"/>
        <v>0</v>
      </c>
      <c r="GI65" s="11">
        <f t="shared" si="143"/>
        <v>0</v>
      </c>
      <c r="GJ65" s="11">
        <f t="shared" si="144"/>
        <v>0</v>
      </c>
      <c r="GK65" s="11">
        <f t="shared" si="145"/>
        <v>0</v>
      </c>
      <c r="GL65" s="11">
        <f t="shared" si="146"/>
        <v>0</v>
      </c>
      <c r="GM65" s="11">
        <f t="shared" si="147"/>
        <v>0</v>
      </c>
      <c r="GN65" s="11">
        <f t="shared" si="148"/>
        <v>0</v>
      </c>
      <c r="GO65" s="11">
        <f t="shared" si="149"/>
        <v>0</v>
      </c>
      <c r="GP65" s="11">
        <f t="shared" si="150"/>
        <v>0</v>
      </c>
      <c r="GQ65" s="11">
        <f t="shared" si="151"/>
        <v>1</v>
      </c>
      <c r="GR65" s="11">
        <f t="shared" si="152"/>
        <v>0</v>
      </c>
      <c r="GS65" s="11">
        <f t="shared" si="153"/>
        <v>0</v>
      </c>
      <c r="GT65" s="11">
        <f t="shared" si="154"/>
        <v>0</v>
      </c>
      <c r="GU65" s="12">
        <f t="shared" si="155"/>
        <v>0</v>
      </c>
      <c r="GV65" s="12">
        <f t="shared" si="156"/>
        <v>0</v>
      </c>
      <c r="GW65" s="12">
        <f t="shared" si="157"/>
        <v>0</v>
      </c>
      <c r="GX65" s="12">
        <f t="shared" si="158"/>
        <v>0</v>
      </c>
      <c r="GY65" s="12">
        <f t="shared" si="159"/>
        <v>0</v>
      </c>
      <c r="GZ65" s="12">
        <f t="shared" si="160"/>
        <v>0</v>
      </c>
      <c r="HA65" s="12">
        <f t="shared" si="161"/>
        <v>0</v>
      </c>
      <c r="HB65" s="12">
        <f t="shared" si="162"/>
        <v>0</v>
      </c>
      <c r="HC65" s="12">
        <f t="shared" si="163"/>
        <v>0</v>
      </c>
      <c r="HD65" s="12">
        <f t="shared" si="164"/>
        <v>0</v>
      </c>
      <c r="HE65" s="12">
        <f t="shared" si="165"/>
        <v>0</v>
      </c>
      <c r="HF65" s="12">
        <f t="shared" si="166"/>
        <v>0</v>
      </c>
      <c r="HG65" s="12">
        <f t="shared" si="167"/>
        <v>0</v>
      </c>
      <c r="HH65" s="12">
        <f t="shared" si="168"/>
        <v>0</v>
      </c>
      <c r="HI65" s="12">
        <f t="shared" si="169"/>
        <v>0</v>
      </c>
      <c r="HJ65" s="12">
        <f t="shared" si="170"/>
        <v>0</v>
      </c>
      <c r="HK65" s="12">
        <f t="shared" si="171"/>
        <v>0</v>
      </c>
      <c r="HL65" s="12">
        <f t="shared" si="172"/>
        <v>0</v>
      </c>
      <c r="HM65" s="12">
        <f t="shared" si="173"/>
        <v>0</v>
      </c>
      <c r="HN65" s="12">
        <f t="shared" si="174"/>
        <v>0</v>
      </c>
      <c r="HO65" s="12">
        <f t="shared" si="175"/>
        <v>0</v>
      </c>
      <c r="HP65" s="12">
        <f t="shared" si="176"/>
        <v>0</v>
      </c>
      <c r="HQ65" s="12">
        <f t="shared" si="177"/>
        <v>0</v>
      </c>
      <c r="HR65" s="12">
        <f t="shared" si="178"/>
        <v>0</v>
      </c>
      <c r="HS65" s="12">
        <f t="shared" si="179"/>
        <v>0</v>
      </c>
      <c r="HT65" s="12">
        <f t="shared" si="180"/>
        <v>0</v>
      </c>
      <c r="HU65" s="12">
        <f t="shared" si="181"/>
        <v>0</v>
      </c>
      <c r="HV65" s="12">
        <f t="shared" si="182"/>
        <v>0</v>
      </c>
      <c r="HW65" s="12">
        <f t="shared" si="183"/>
        <v>0</v>
      </c>
      <c r="HX65" s="12">
        <f t="shared" si="184"/>
        <v>0</v>
      </c>
      <c r="HY65" s="12">
        <f t="shared" si="185"/>
        <v>0</v>
      </c>
      <c r="HZ65" s="12">
        <f t="shared" si="186"/>
        <v>0</v>
      </c>
      <c r="IA65" s="12">
        <f t="shared" si="187"/>
        <v>0</v>
      </c>
      <c r="IB65" s="12">
        <f t="shared" si="188"/>
        <v>0</v>
      </c>
      <c r="IC65" s="12">
        <f t="shared" si="189"/>
        <v>0</v>
      </c>
      <c r="ID65" s="12">
        <f t="shared" si="190"/>
        <v>0</v>
      </c>
      <c r="IE65" s="12">
        <f t="shared" si="191"/>
        <v>0</v>
      </c>
      <c r="IF65" s="12">
        <f t="shared" si="192"/>
        <v>0</v>
      </c>
      <c r="IG65" s="12">
        <f t="shared" si="193"/>
        <v>0</v>
      </c>
      <c r="IH65" s="12">
        <f t="shared" si="194"/>
        <v>0</v>
      </c>
      <c r="II65" s="12">
        <f t="shared" si="195"/>
        <v>0</v>
      </c>
      <c r="IJ65" s="12">
        <f t="shared" si="196"/>
        <v>0</v>
      </c>
      <c r="IK65" s="12">
        <f t="shared" si="197"/>
        <v>0</v>
      </c>
      <c r="IL65" s="12">
        <f t="shared" si="198"/>
        <v>0</v>
      </c>
      <c r="IM65" s="12">
        <f t="shared" si="199"/>
        <v>0</v>
      </c>
      <c r="IN65" s="12">
        <f t="shared" si="200"/>
        <v>0</v>
      </c>
      <c r="IO65" s="12">
        <f t="shared" si="201"/>
        <v>0</v>
      </c>
      <c r="IP65" s="12">
        <f t="shared" si="202"/>
        <v>0</v>
      </c>
      <c r="IQ65" s="12">
        <f t="shared" si="203"/>
        <v>0</v>
      </c>
      <c r="IR65" s="12">
        <f t="shared" si="204"/>
        <v>0</v>
      </c>
      <c r="IS65" s="12">
        <f t="shared" si="205"/>
        <v>0</v>
      </c>
      <c r="IT65" s="12">
        <f t="shared" si="206"/>
        <v>0</v>
      </c>
      <c r="IU65" s="12">
        <f t="shared" si="207"/>
        <v>0</v>
      </c>
      <c r="IV65" s="12">
        <f t="shared" si="208"/>
        <v>0</v>
      </c>
      <c r="IW65" s="12">
        <f t="shared" si="209"/>
        <v>0</v>
      </c>
      <c r="IX65" s="12">
        <f t="shared" si="210"/>
        <v>0</v>
      </c>
      <c r="IY65" s="12">
        <f t="shared" si="211"/>
        <v>0</v>
      </c>
      <c r="IZ65" s="12">
        <f t="shared" si="212"/>
        <v>1</v>
      </c>
      <c r="JA65" s="13">
        <f t="shared" si="213"/>
        <v>0</v>
      </c>
      <c r="JB65" s="13">
        <f t="shared" si="214"/>
        <v>0</v>
      </c>
      <c r="JC65" s="13">
        <f t="shared" si="215"/>
        <v>0</v>
      </c>
      <c r="JD65" s="13">
        <f t="shared" si="216"/>
        <v>0</v>
      </c>
      <c r="JE65" s="13">
        <f t="shared" si="217"/>
        <v>0</v>
      </c>
      <c r="JF65" s="13">
        <f t="shared" si="218"/>
        <v>0</v>
      </c>
      <c r="JG65" s="13">
        <f t="shared" si="219"/>
        <v>0</v>
      </c>
      <c r="JH65" s="13">
        <f t="shared" si="220"/>
        <v>0</v>
      </c>
      <c r="JI65" s="13">
        <f t="shared" si="221"/>
        <v>0</v>
      </c>
      <c r="JJ65" s="13">
        <f t="shared" si="222"/>
        <v>0</v>
      </c>
      <c r="JK65" s="13">
        <f t="shared" si="223"/>
        <v>0</v>
      </c>
      <c r="JL65" s="13">
        <f t="shared" si="224"/>
        <v>0</v>
      </c>
      <c r="JM65" s="13">
        <f t="shared" si="225"/>
        <v>0</v>
      </c>
      <c r="JN65" s="13">
        <f t="shared" si="226"/>
        <v>0</v>
      </c>
      <c r="JO65" s="13">
        <f t="shared" si="227"/>
        <v>0</v>
      </c>
      <c r="JP65" s="13">
        <f t="shared" si="228"/>
        <v>0</v>
      </c>
      <c r="JQ65" s="13">
        <f t="shared" si="229"/>
        <v>0</v>
      </c>
      <c r="JR65" s="13">
        <f t="shared" si="230"/>
        <v>0</v>
      </c>
      <c r="JS65" s="13">
        <f t="shared" si="231"/>
        <v>0</v>
      </c>
      <c r="JT65" s="13">
        <f t="shared" si="232"/>
        <v>0</v>
      </c>
      <c r="JU65" s="13">
        <f t="shared" si="233"/>
        <v>0</v>
      </c>
      <c r="JV65" s="12">
        <f t="shared" si="234"/>
        <v>0</v>
      </c>
      <c r="JW65" s="12">
        <f t="shared" si="235"/>
        <v>0</v>
      </c>
      <c r="JX65" s="12">
        <f t="shared" si="236"/>
        <v>0</v>
      </c>
      <c r="JY65" s="12">
        <f t="shared" si="237"/>
        <v>0</v>
      </c>
      <c r="JZ65" s="12">
        <f t="shared" si="238"/>
        <v>0</v>
      </c>
      <c r="KA65" s="12">
        <f t="shared" si="239"/>
        <v>0</v>
      </c>
      <c r="KB65" s="12">
        <f t="shared" si="240"/>
        <v>0</v>
      </c>
      <c r="KC65" s="12">
        <f t="shared" si="241"/>
        <v>0</v>
      </c>
      <c r="KD65" s="12">
        <f t="shared" si="242"/>
        <v>0</v>
      </c>
      <c r="KE65" s="12">
        <f t="shared" si="243"/>
        <v>0</v>
      </c>
      <c r="KF65" s="12">
        <f t="shared" si="244"/>
        <v>0</v>
      </c>
      <c r="KG65" s="12">
        <f t="shared" si="245"/>
        <v>0</v>
      </c>
      <c r="KH65" s="12">
        <f t="shared" si="246"/>
        <v>0</v>
      </c>
      <c r="KI65" s="12">
        <f t="shared" si="247"/>
        <v>0</v>
      </c>
      <c r="KJ65" s="12">
        <f t="shared" si="248"/>
        <v>0</v>
      </c>
      <c r="KK65" s="12">
        <f t="shared" si="249"/>
        <v>0</v>
      </c>
      <c r="KL65" s="12">
        <f t="shared" si="250"/>
        <v>0</v>
      </c>
      <c r="KM65" s="12">
        <f t="shared" si="251"/>
        <v>0</v>
      </c>
      <c r="KN65" s="12">
        <f t="shared" si="252"/>
        <v>0</v>
      </c>
      <c r="KO65" s="12">
        <f t="shared" si="253"/>
        <v>0</v>
      </c>
      <c r="KP65" s="12">
        <f t="shared" si="254"/>
        <v>0</v>
      </c>
      <c r="KQ65" s="12">
        <f t="shared" si="255"/>
        <v>0</v>
      </c>
      <c r="KR65" s="12">
        <f t="shared" si="256"/>
        <v>0</v>
      </c>
      <c r="KS65" s="12">
        <f t="shared" si="257"/>
        <v>0</v>
      </c>
      <c r="KT65" s="12">
        <f t="shared" si="258"/>
        <v>0</v>
      </c>
      <c r="KU65" s="12">
        <f t="shared" si="259"/>
        <v>0</v>
      </c>
      <c r="KV65" s="12">
        <f t="shared" si="260"/>
        <v>0</v>
      </c>
      <c r="KW65" s="12">
        <f t="shared" si="261"/>
        <v>0</v>
      </c>
      <c r="KX65" s="12">
        <f t="shared" si="262"/>
        <v>0</v>
      </c>
      <c r="KY65" s="12">
        <f t="shared" si="263"/>
        <v>0</v>
      </c>
      <c r="KZ65" s="12">
        <f t="shared" si="264"/>
        <v>0</v>
      </c>
      <c r="LA65" s="12">
        <f t="shared" si="265"/>
        <v>0</v>
      </c>
      <c r="LB65" s="12">
        <f t="shared" si="266"/>
        <v>0</v>
      </c>
      <c r="LC65" s="12">
        <f t="shared" si="267"/>
        <v>0</v>
      </c>
      <c r="LD65" s="12">
        <f t="shared" si="268"/>
        <v>0</v>
      </c>
      <c r="LE65" s="12">
        <f t="shared" si="269"/>
        <v>0</v>
      </c>
      <c r="LF65" s="12">
        <f t="shared" si="270"/>
        <v>0</v>
      </c>
      <c r="LG65" s="12">
        <f t="shared" si="271"/>
        <v>0</v>
      </c>
      <c r="LH65" s="12">
        <f t="shared" si="272"/>
        <v>0</v>
      </c>
      <c r="LI65" s="12">
        <f t="shared" si="273"/>
        <v>0</v>
      </c>
      <c r="LJ65" s="12">
        <f t="shared" si="274"/>
        <v>0</v>
      </c>
      <c r="LK65" s="12">
        <f t="shared" si="275"/>
        <v>0</v>
      </c>
      <c r="LL65" s="12">
        <f t="shared" si="276"/>
        <v>0</v>
      </c>
      <c r="LM65" s="12">
        <f t="shared" si="277"/>
        <v>0</v>
      </c>
      <c r="LN65" s="12">
        <f t="shared" si="278"/>
        <v>0</v>
      </c>
      <c r="LO65" s="12">
        <f t="shared" si="279"/>
        <v>0</v>
      </c>
      <c r="LP65" s="12">
        <f t="shared" si="280"/>
        <v>0</v>
      </c>
      <c r="LQ65" s="12">
        <f t="shared" si="281"/>
        <v>0</v>
      </c>
      <c r="LR65" s="12">
        <f t="shared" si="282"/>
        <v>0</v>
      </c>
      <c r="LS65" s="12">
        <f t="shared" si="283"/>
        <v>0</v>
      </c>
      <c r="LT65" s="13">
        <f t="shared" si="284"/>
        <v>0</v>
      </c>
      <c r="LU65" s="13">
        <f t="shared" si="285"/>
        <v>0</v>
      </c>
      <c r="LV65" s="13">
        <f t="shared" si="286"/>
        <v>0</v>
      </c>
      <c r="LW65" s="13">
        <f t="shared" si="287"/>
        <v>0</v>
      </c>
      <c r="LX65" s="13">
        <f t="shared" si="288"/>
        <v>0</v>
      </c>
      <c r="LY65" s="13">
        <f t="shared" si="289"/>
        <v>0</v>
      </c>
      <c r="LZ65" s="13">
        <f t="shared" si="290"/>
        <v>0</v>
      </c>
      <c r="MA65" s="13">
        <f t="shared" si="291"/>
        <v>0</v>
      </c>
      <c r="MB65" s="13">
        <f t="shared" si="292"/>
        <v>0</v>
      </c>
      <c r="MC65" s="13">
        <f t="shared" si="293"/>
        <v>0</v>
      </c>
      <c r="MD65" s="13">
        <f t="shared" si="294"/>
        <v>0</v>
      </c>
      <c r="ME65" s="13">
        <f t="shared" si="295"/>
        <v>0</v>
      </c>
      <c r="MF65" s="13">
        <f t="shared" si="296"/>
        <v>0</v>
      </c>
      <c r="MG65" s="13">
        <f t="shared" si="297"/>
        <v>0</v>
      </c>
      <c r="MH65" s="13">
        <f t="shared" si="298"/>
        <v>0</v>
      </c>
      <c r="MI65" s="13">
        <f t="shared" si="299"/>
        <v>0</v>
      </c>
      <c r="MJ65" s="13">
        <f t="shared" si="300"/>
        <v>0</v>
      </c>
      <c r="MK65" s="13">
        <f t="shared" si="301"/>
        <v>0</v>
      </c>
      <c r="ML65" s="14">
        <f t="shared" si="302"/>
        <v>0</v>
      </c>
      <c r="MM65" s="14">
        <f t="shared" si="303"/>
        <v>0</v>
      </c>
      <c r="MN65" s="14">
        <f t="shared" si="304"/>
        <v>0</v>
      </c>
      <c r="MO65" s="14">
        <f t="shared" si="305"/>
        <v>0</v>
      </c>
      <c r="MP65" s="14">
        <f t="shared" si="306"/>
        <v>0</v>
      </c>
      <c r="MQ65" s="14">
        <f t="shared" si="307"/>
        <v>0</v>
      </c>
      <c r="MR65" s="14">
        <f t="shared" si="308"/>
        <v>0</v>
      </c>
      <c r="MS65" s="14">
        <f t="shared" si="309"/>
        <v>0</v>
      </c>
      <c r="MT65" s="14">
        <f t="shared" si="310"/>
        <v>0</v>
      </c>
      <c r="MU65" s="14">
        <f t="shared" si="311"/>
        <v>0</v>
      </c>
      <c r="MV65" s="14">
        <f t="shared" si="312"/>
        <v>0</v>
      </c>
      <c r="MW65" s="14">
        <f t="shared" si="313"/>
        <v>0</v>
      </c>
      <c r="MX65" s="14">
        <f t="shared" si="314"/>
        <v>0</v>
      </c>
      <c r="MY65" s="14">
        <f t="shared" si="315"/>
        <v>0</v>
      </c>
      <c r="MZ65" s="14">
        <f t="shared" si="316"/>
        <v>0</v>
      </c>
      <c r="NA65" s="14">
        <f t="shared" si="317"/>
        <v>0</v>
      </c>
      <c r="NB65" s="14">
        <f t="shared" si="318"/>
        <v>0</v>
      </c>
    </row>
    <row r="66" ht="15.75" customHeight="1">
      <c r="A66" s="2">
        <v>163.0</v>
      </c>
      <c r="B66" s="2" t="s">
        <v>1511</v>
      </c>
      <c r="C66" s="2" t="s">
        <v>1512</v>
      </c>
      <c r="D66" s="2" t="s">
        <v>1513</v>
      </c>
      <c r="E66" s="2">
        <v>2021.0</v>
      </c>
      <c r="F66" s="2" t="s">
        <v>1514</v>
      </c>
      <c r="G66" s="2" t="s">
        <v>1515</v>
      </c>
      <c r="I66" s="2" t="s">
        <v>1516</v>
      </c>
      <c r="M66" s="2">
        <v>20.0</v>
      </c>
      <c r="N66" s="2" t="s">
        <v>1517</v>
      </c>
      <c r="O66" s="2" t="s">
        <v>1518</v>
      </c>
      <c r="P66" s="2" t="s">
        <v>1519</v>
      </c>
      <c r="Q66" s="2" t="s">
        <v>1520</v>
      </c>
      <c r="R66" s="2" t="s">
        <v>1521</v>
      </c>
      <c r="S66" s="2" t="s">
        <v>1522</v>
      </c>
      <c r="T66" s="2" t="s">
        <v>1523</v>
      </c>
      <c r="Y66" s="2" t="s">
        <v>1524</v>
      </c>
      <c r="AB66" s="2" t="s">
        <v>1525</v>
      </c>
      <c r="AG66" s="2" t="s">
        <v>1526</v>
      </c>
      <c r="AI66" s="2" t="s">
        <v>1527</v>
      </c>
      <c r="AJ66" s="2">
        <v>3.3303223E7</v>
      </c>
      <c r="AK66" s="2" t="s">
        <v>1528</v>
      </c>
      <c r="AL66" s="2" t="s">
        <v>384</v>
      </c>
      <c r="AN66" s="2" t="s">
        <v>386</v>
      </c>
      <c r="AO66" s="2" t="s">
        <v>1529</v>
      </c>
      <c r="AP66" s="2" t="s">
        <v>386</v>
      </c>
      <c r="AQ66" s="2">
        <v>603.0</v>
      </c>
      <c r="AR66" s="2" t="s">
        <v>1530</v>
      </c>
      <c r="AS66" s="2" t="b">
        <v>0</v>
      </c>
      <c r="AT66" s="3">
        <v>0.0</v>
      </c>
      <c r="AU66" s="4"/>
      <c r="AV66" s="4"/>
      <c r="AW66" s="5">
        <f t="shared" si="432"/>
        <v>0</v>
      </c>
      <c r="AX66" s="5">
        <f t="shared" si="4"/>
        <v>0</v>
      </c>
      <c r="AY66" s="5">
        <f t="shared" si="5"/>
        <v>0</v>
      </c>
      <c r="AZ66" s="5">
        <f t="shared" si="6"/>
        <v>0</v>
      </c>
      <c r="BA66" s="5">
        <f t="shared" si="7"/>
        <v>0</v>
      </c>
      <c r="BB66" s="5">
        <f t="shared" si="8"/>
        <v>0</v>
      </c>
      <c r="BC66" s="5">
        <f t="shared" si="9"/>
        <v>0</v>
      </c>
      <c r="BD66" s="5">
        <f t="shared" si="10"/>
        <v>0</v>
      </c>
      <c r="BE66" s="5">
        <f t="shared" si="11"/>
        <v>0</v>
      </c>
      <c r="BF66" s="5">
        <f t="shared" si="12"/>
        <v>0</v>
      </c>
      <c r="BG66" s="5">
        <f t="shared" si="13"/>
        <v>0</v>
      </c>
      <c r="BH66" s="5">
        <f t="shared" si="14"/>
        <v>0</v>
      </c>
      <c r="BI66" s="5">
        <f t="shared" si="15"/>
        <v>0</v>
      </c>
      <c r="BJ66" s="5">
        <f t="shared" si="16"/>
        <v>0</v>
      </c>
      <c r="BK66" s="5">
        <f t="shared" si="17"/>
        <v>0</v>
      </c>
      <c r="BL66" s="5">
        <f t="shared" si="18"/>
        <v>0</v>
      </c>
      <c r="BM66" s="5">
        <f t="shared" si="19"/>
        <v>0</v>
      </c>
      <c r="BN66" s="5">
        <f t="shared" si="20"/>
        <v>0</v>
      </c>
      <c r="BO66" s="5">
        <f t="shared" si="21"/>
        <v>0</v>
      </c>
      <c r="BP66" s="5">
        <f t="shared" si="22"/>
        <v>0</v>
      </c>
      <c r="BQ66" s="5">
        <f t="shared" si="23"/>
        <v>0</v>
      </c>
      <c r="BR66" s="5">
        <f t="shared" si="24"/>
        <v>0</v>
      </c>
      <c r="BS66" s="5">
        <f t="shared" si="25"/>
        <v>0</v>
      </c>
      <c r="BT66" s="5">
        <f t="shared" si="26"/>
        <v>0</v>
      </c>
      <c r="BU66" s="5">
        <f t="shared" si="27"/>
        <v>1</v>
      </c>
      <c r="BV66" s="5">
        <f t="shared" ref="BV66:BW66" si="462">IF(OR(ISNUMBER(SEARCH("grit",$D66)),ISNUMBER(SEARCH("grit",$T66)),ISNUMBER(SEARCH("grit",$R66)),ISNUMBER(SEARCH("grit",$S66)),
ISNUMBER(SEARCH("determination",$D66)),ISNUMBER(SEARCH("determination",$T66)),ISNUMBER(SEARCH("determination",$R66)),ISNUMBER(SEARCH("determination",$S66)),
ISNUMBER(SEARCH("tenacity",$D66)),ISNUMBER(SEARCH("tenacity",$T66)),ISNUMBER(SEARCH("tenacity",$R66)),ISNUMBER(SEARCH("tenacity",$S66)),
ISNUMBER(SEARCH("endurance",$D66)),ISNUMBER(SEARCH("endurance",$T66)),ISNUMBER(SEARCH("endurance",$R66)),ISNUMBER(SEARCH("endurance",$S66)),
ISNUMBER(SEARCH("fortitude",$D66)),ISNUMBER(SEARCH("fortitude",$T66)),ISNUMBER(SEARCH("fortitude",$R66)),ISNUMBER(SEARCH("fortitude",$S66)),
ISNUMBER(SEARCH("resolve",$D66)),ISNUMBER(SEARCH("resolve",$T66)),ISNUMBER(SEARCH("resolve",$R66)),ISNUMBER(SEARCH("resolve",$S66)),
ISNUMBER(SEARCH("stamina",$D66)),ISNUMBER(SEARCH("stamina",$T66)),ISNUMBER(SEARCH("stamina",$R66)),ISNUMBER(SEARCH("stamina",$S66)),
ISNUMBER(SEARCH("guts",$D66)),ISNUMBER(SEARCH("guts",$T66)),ISNUMBER(SEARCH("guts",$R66)),ISNUMBER(SEARCH("guts",$S66)),
ISNUMBER(SEARCH("spunk",$D66)),ISNUMBER(SEARCH("spunk",$T66)),ISNUMBER(SEARCH("spunk",$R66)),ISNUMBER(SEARCH("spunk",$S66))), 1, 0)</f>
        <v>0</v>
      </c>
      <c r="BW66" s="5">
        <f t="shared" si="462"/>
        <v>0</v>
      </c>
      <c r="BX66" s="5">
        <f t="shared" si="29"/>
        <v>0</v>
      </c>
      <c r="BY66" s="5">
        <f t="shared" si="30"/>
        <v>0</v>
      </c>
      <c r="BZ66" s="5">
        <f t="shared" si="31"/>
        <v>0</v>
      </c>
      <c r="CA66" s="5">
        <f t="shared" si="32"/>
        <v>0</v>
      </c>
      <c r="CB66" s="5">
        <f t="shared" si="33"/>
        <v>0</v>
      </c>
      <c r="CC66" s="5">
        <f t="shared" si="34"/>
        <v>0</v>
      </c>
      <c r="CD66" s="5">
        <f t="shared" si="35"/>
        <v>0</v>
      </c>
      <c r="CE66" s="5">
        <f t="shared" si="36"/>
        <v>0</v>
      </c>
      <c r="CF66" s="5">
        <f t="shared" si="37"/>
        <v>0</v>
      </c>
      <c r="CG66" s="5">
        <f t="shared" si="38"/>
        <v>0</v>
      </c>
      <c r="CH66" s="5">
        <f t="shared" si="39"/>
        <v>0</v>
      </c>
      <c r="CI66" s="5">
        <f t="shared" si="40"/>
        <v>0</v>
      </c>
      <c r="CJ66" s="5">
        <f t="shared" si="41"/>
        <v>0</v>
      </c>
      <c r="CK66" s="5">
        <f t="shared" si="42"/>
        <v>1</v>
      </c>
      <c r="CL66" s="5">
        <f t="shared" si="43"/>
        <v>0</v>
      </c>
      <c r="CM66" s="5">
        <f t="shared" si="44"/>
        <v>0</v>
      </c>
      <c r="CN66" s="5">
        <f t="shared" si="45"/>
        <v>0</v>
      </c>
      <c r="CO66" s="5">
        <f t="shared" si="46"/>
        <v>0</v>
      </c>
      <c r="CP66" s="6">
        <f t="shared" si="47"/>
        <v>0</v>
      </c>
      <c r="CQ66" s="6">
        <f t="shared" si="48"/>
        <v>0</v>
      </c>
      <c r="CR66" s="6">
        <f t="shared" si="49"/>
        <v>0</v>
      </c>
      <c r="CS66" s="6">
        <f t="shared" si="50"/>
        <v>1</v>
      </c>
      <c r="CT66" s="6">
        <f t="shared" si="51"/>
        <v>0</v>
      </c>
      <c r="CU66" s="6">
        <f t="shared" si="52"/>
        <v>0</v>
      </c>
      <c r="CV66" s="6">
        <f t="shared" si="53"/>
        <v>0</v>
      </c>
      <c r="CW66" s="6">
        <f t="shared" si="54"/>
        <v>0</v>
      </c>
      <c r="CX66" s="6">
        <f t="shared" si="55"/>
        <v>0</v>
      </c>
      <c r="CY66" s="6">
        <f t="shared" si="56"/>
        <v>0</v>
      </c>
      <c r="CZ66" s="6">
        <f t="shared" si="57"/>
        <v>0</v>
      </c>
      <c r="DA66" s="6">
        <f t="shared" si="58"/>
        <v>0</v>
      </c>
      <c r="DB66" s="6">
        <f t="shared" si="59"/>
        <v>0</v>
      </c>
      <c r="DC66" s="6">
        <f t="shared" si="60"/>
        <v>0</v>
      </c>
      <c r="DD66" s="6">
        <f t="shared" si="61"/>
        <v>0</v>
      </c>
      <c r="DE66" s="6">
        <f t="shared" si="62"/>
        <v>0</v>
      </c>
      <c r="DF66" s="6">
        <f t="shared" si="63"/>
        <v>0</v>
      </c>
      <c r="DG66" s="6">
        <f t="shared" si="64"/>
        <v>0</v>
      </c>
      <c r="DH66" s="6">
        <f t="shared" si="434"/>
        <v>0</v>
      </c>
      <c r="DI66" s="6">
        <f t="shared" si="66"/>
        <v>0</v>
      </c>
      <c r="DJ66" s="6">
        <f t="shared" si="435"/>
        <v>0</v>
      </c>
      <c r="DK66" s="7">
        <f t="shared" si="68"/>
        <v>0</v>
      </c>
      <c r="DL66" s="7">
        <f t="shared" si="411"/>
        <v>0</v>
      </c>
      <c r="DM66" s="7">
        <f t="shared" si="70"/>
        <v>0</v>
      </c>
      <c r="DN66" s="7">
        <f t="shared" si="71"/>
        <v>0</v>
      </c>
      <c r="DO66" s="7">
        <f t="shared" si="72"/>
        <v>1</v>
      </c>
      <c r="DP66" s="8">
        <f t="shared" si="73"/>
        <v>0</v>
      </c>
      <c r="DQ66" s="8">
        <f t="shared" si="74"/>
        <v>0</v>
      </c>
      <c r="DR66" s="7">
        <f t="shared" si="75"/>
        <v>0</v>
      </c>
      <c r="DS66" s="7">
        <f t="shared" si="76"/>
        <v>0</v>
      </c>
      <c r="DT66" s="7">
        <f t="shared" si="77"/>
        <v>0</v>
      </c>
      <c r="DU66" s="9">
        <f t="shared" si="78"/>
        <v>0</v>
      </c>
      <c r="DV66" s="9">
        <f t="shared" si="79"/>
        <v>0</v>
      </c>
      <c r="DW66" s="9">
        <f t="shared" si="80"/>
        <v>0</v>
      </c>
      <c r="DX66" s="9">
        <f t="shared" si="81"/>
        <v>0</v>
      </c>
      <c r="DY66" s="9">
        <f t="shared" si="82"/>
        <v>0</v>
      </c>
      <c r="DZ66" s="9">
        <f t="shared" si="83"/>
        <v>0</v>
      </c>
      <c r="EA66" s="9">
        <f t="shared" si="84"/>
        <v>0</v>
      </c>
      <c r="EB66" s="9">
        <f t="shared" si="85"/>
        <v>0</v>
      </c>
      <c r="EC66" s="9">
        <f t="shared" si="86"/>
        <v>0</v>
      </c>
      <c r="ED66" s="9">
        <f t="shared" si="87"/>
        <v>0</v>
      </c>
      <c r="EE66" s="9">
        <f t="shared" si="88"/>
        <v>0</v>
      </c>
      <c r="EF66" s="9">
        <f t="shared" si="89"/>
        <v>0</v>
      </c>
      <c r="EG66" s="9">
        <f t="shared" si="90"/>
        <v>0</v>
      </c>
      <c r="EH66" s="9">
        <f t="shared" si="91"/>
        <v>0</v>
      </c>
      <c r="EI66" s="9">
        <f t="shared" si="92"/>
        <v>0</v>
      </c>
      <c r="EJ66" s="10">
        <f t="shared" si="93"/>
        <v>0</v>
      </c>
      <c r="EK66" s="10">
        <f t="shared" si="94"/>
        <v>0</v>
      </c>
      <c r="EL66" s="10">
        <f t="shared" ref="EL66:EM66" si="463">IF(OR(ISNUMBER(SEARCH("ai software toolkit", $D66)), ISNUMBER(SEARCH("ai software toolkit", $T66)), ISNUMBER(SEARCH("ai software toolkit", $R66)), ISNUMBER(SEARCH("ai software toolkit", $S66))), 1, 0)</f>
        <v>0</v>
      </c>
      <c r="EM66" s="10">
        <f t="shared" si="463"/>
        <v>0</v>
      </c>
      <c r="EN66" s="10">
        <f t="shared" si="96"/>
        <v>0</v>
      </c>
      <c r="EO66" s="10">
        <f t="shared" si="97"/>
        <v>0</v>
      </c>
      <c r="EP66" s="10">
        <f t="shared" si="98"/>
        <v>0</v>
      </c>
      <c r="EQ66" s="10">
        <f t="shared" si="99"/>
        <v>0</v>
      </c>
      <c r="ER66" s="10">
        <f t="shared" si="100"/>
        <v>0</v>
      </c>
      <c r="ES66" s="10">
        <f t="shared" si="101"/>
        <v>0</v>
      </c>
      <c r="ET66" s="10">
        <f t="shared" si="102"/>
        <v>0</v>
      </c>
      <c r="EU66" s="10">
        <f t="shared" si="103"/>
        <v>0</v>
      </c>
      <c r="EV66" s="10">
        <f t="shared" si="104"/>
        <v>0</v>
      </c>
      <c r="EW66" s="10">
        <f t="shared" si="105"/>
        <v>0</v>
      </c>
      <c r="EX66" s="10">
        <f t="shared" si="106"/>
        <v>0</v>
      </c>
      <c r="EY66" s="10">
        <f t="shared" si="107"/>
        <v>0</v>
      </c>
      <c r="EZ66" s="10">
        <f t="shared" si="108"/>
        <v>0</v>
      </c>
      <c r="FA66" s="10">
        <f t="shared" si="109"/>
        <v>0</v>
      </c>
      <c r="FB66" s="10">
        <f t="shared" si="110"/>
        <v>0</v>
      </c>
      <c r="FC66" s="10">
        <f t="shared" si="111"/>
        <v>0</v>
      </c>
      <c r="FD66" s="10">
        <f t="shared" si="112"/>
        <v>0</v>
      </c>
      <c r="FE66" s="10">
        <f t="shared" si="113"/>
        <v>0</v>
      </c>
      <c r="FF66" s="10">
        <f t="shared" si="114"/>
        <v>0</v>
      </c>
      <c r="FG66" s="10">
        <f t="shared" si="115"/>
        <v>0</v>
      </c>
      <c r="FH66" s="10">
        <f t="shared" si="116"/>
        <v>0</v>
      </c>
      <c r="FI66" s="10">
        <f t="shared" si="117"/>
        <v>0</v>
      </c>
      <c r="FJ66" s="10">
        <f t="shared" si="118"/>
        <v>0</v>
      </c>
      <c r="FK66" s="10">
        <f t="shared" si="119"/>
        <v>0</v>
      </c>
      <c r="FL66" s="10">
        <f t="shared" si="120"/>
        <v>0</v>
      </c>
      <c r="FM66" s="10">
        <f t="shared" si="121"/>
        <v>1</v>
      </c>
      <c r="FN66" s="10">
        <f t="shared" si="122"/>
        <v>1</v>
      </c>
      <c r="FO66" s="10">
        <f t="shared" si="123"/>
        <v>0</v>
      </c>
      <c r="FP66" s="10">
        <f t="shared" si="124"/>
        <v>0</v>
      </c>
      <c r="FQ66" s="10">
        <f t="shared" si="125"/>
        <v>0</v>
      </c>
      <c r="FR66" s="11">
        <f t="shared" si="437"/>
        <v>0</v>
      </c>
      <c r="FS66" s="11">
        <f t="shared" si="127"/>
        <v>0</v>
      </c>
      <c r="FT66" s="11">
        <f t="shared" si="128"/>
        <v>0</v>
      </c>
      <c r="FU66" s="11">
        <f t="shared" si="129"/>
        <v>0</v>
      </c>
      <c r="FV66" s="11">
        <f t="shared" si="130"/>
        <v>0</v>
      </c>
      <c r="FW66" s="11">
        <f t="shared" si="131"/>
        <v>0</v>
      </c>
      <c r="FX66" s="11">
        <f t="shared" si="132"/>
        <v>0</v>
      </c>
      <c r="FY66" s="11">
        <f t="shared" si="133"/>
        <v>0</v>
      </c>
      <c r="FZ66" s="11">
        <f t="shared" si="134"/>
        <v>0</v>
      </c>
      <c r="GA66" s="11">
        <f t="shared" si="135"/>
        <v>0</v>
      </c>
      <c r="GB66" s="11">
        <f t="shared" si="136"/>
        <v>0</v>
      </c>
      <c r="GC66" s="11">
        <f t="shared" si="137"/>
        <v>0</v>
      </c>
      <c r="GD66" s="11">
        <f t="shared" si="138"/>
        <v>0</v>
      </c>
      <c r="GE66" s="11">
        <f t="shared" si="139"/>
        <v>0</v>
      </c>
      <c r="GF66" s="11">
        <f t="shared" si="140"/>
        <v>0</v>
      </c>
      <c r="GG66" s="11">
        <f t="shared" si="141"/>
        <v>1</v>
      </c>
      <c r="GH66" s="11">
        <f t="shared" si="142"/>
        <v>0</v>
      </c>
      <c r="GI66" s="11">
        <f t="shared" si="143"/>
        <v>0</v>
      </c>
      <c r="GJ66" s="11">
        <f t="shared" si="144"/>
        <v>0</v>
      </c>
      <c r="GK66" s="11">
        <f t="shared" si="145"/>
        <v>0</v>
      </c>
      <c r="GL66" s="11">
        <f t="shared" si="146"/>
        <v>0</v>
      </c>
      <c r="GM66" s="11">
        <f t="shared" si="147"/>
        <v>0</v>
      </c>
      <c r="GN66" s="11">
        <f t="shared" si="148"/>
        <v>0</v>
      </c>
      <c r="GO66" s="11">
        <f t="shared" si="149"/>
        <v>1</v>
      </c>
      <c r="GP66" s="11">
        <f t="shared" si="150"/>
        <v>0</v>
      </c>
      <c r="GQ66" s="11">
        <f t="shared" si="151"/>
        <v>0</v>
      </c>
      <c r="GR66" s="11">
        <f t="shared" si="152"/>
        <v>0</v>
      </c>
      <c r="GS66" s="11">
        <f t="shared" si="153"/>
        <v>0</v>
      </c>
      <c r="GT66" s="11">
        <f t="shared" si="154"/>
        <v>0</v>
      </c>
      <c r="GU66" s="12">
        <f t="shared" si="155"/>
        <v>0</v>
      </c>
      <c r="GV66" s="12">
        <f t="shared" si="156"/>
        <v>0</v>
      </c>
      <c r="GW66" s="12">
        <f t="shared" si="157"/>
        <v>0</v>
      </c>
      <c r="GX66" s="12">
        <f t="shared" si="158"/>
        <v>0</v>
      </c>
      <c r="GY66" s="12">
        <f t="shared" si="159"/>
        <v>0</v>
      </c>
      <c r="GZ66" s="12">
        <f t="shared" si="160"/>
        <v>0</v>
      </c>
      <c r="HA66" s="12">
        <f t="shared" si="161"/>
        <v>0</v>
      </c>
      <c r="HB66" s="12">
        <f t="shared" si="162"/>
        <v>0</v>
      </c>
      <c r="HC66" s="12">
        <f t="shared" si="163"/>
        <v>0</v>
      </c>
      <c r="HD66" s="12">
        <f t="shared" si="164"/>
        <v>0</v>
      </c>
      <c r="HE66" s="12">
        <f t="shared" si="165"/>
        <v>0</v>
      </c>
      <c r="HF66" s="12">
        <f t="shared" si="166"/>
        <v>0</v>
      </c>
      <c r="HG66" s="12">
        <f t="shared" si="167"/>
        <v>0</v>
      </c>
      <c r="HH66" s="12">
        <f t="shared" si="168"/>
        <v>0</v>
      </c>
      <c r="HI66" s="12">
        <f t="shared" si="169"/>
        <v>0</v>
      </c>
      <c r="HJ66" s="12">
        <f t="shared" si="170"/>
        <v>0</v>
      </c>
      <c r="HK66" s="12">
        <f t="shared" si="171"/>
        <v>0</v>
      </c>
      <c r="HL66" s="12">
        <f t="shared" si="172"/>
        <v>0</v>
      </c>
      <c r="HM66" s="12">
        <f t="shared" si="173"/>
        <v>0</v>
      </c>
      <c r="HN66" s="12">
        <f t="shared" si="174"/>
        <v>0</v>
      </c>
      <c r="HO66" s="12">
        <f t="shared" si="175"/>
        <v>0</v>
      </c>
      <c r="HP66" s="12">
        <f t="shared" si="176"/>
        <v>0</v>
      </c>
      <c r="HQ66" s="12">
        <f t="shared" si="177"/>
        <v>0</v>
      </c>
      <c r="HR66" s="12">
        <f t="shared" si="178"/>
        <v>0</v>
      </c>
      <c r="HS66" s="12">
        <f t="shared" si="179"/>
        <v>0</v>
      </c>
      <c r="HT66" s="12">
        <f t="shared" si="180"/>
        <v>0</v>
      </c>
      <c r="HU66" s="12">
        <f t="shared" si="181"/>
        <v>0</v>
      </c>
      <c r="HV66" s="12">
        <f t="shared" si="182"/>
        <v>0</v>
      </c>
      <c r="HW66" s="12">
        <f t="shared" si="183"/>
        <v>0</v>
      </c>
      <c r="HX66" s="12">
        <f t="shared" si="184"/>
        <v>0</v>
      </c>
      <c r="HY66" s="12">
        <f t="shared" si="185"/>
        <v>0</v>
      </c>
      <c r="HZ66" s="12">
        <f t="shared" si="186"/>
        <v>0</v>
      </c>
      <c r="IA66" s="12">
        <f t="shared" si="187"/>
        <v>0</v>
      </c>
      <c r="IB66" s="12">
        <f t="shared" si="188"/>
        <v>0</v>
      </c>
      <c r="IC66" s="12">
        <f t="shared" si="189"/>
        <v>0</v>
      </c>
      <c r="ID66" s="12">
        <f t="shared" si="190"/>
        <v>0</v>
      </c>
      <c r="IE66" s="12">
        <f t="shared" si="191"/>
        <v>0</v>
      </c>
      <c r="IF66" s="12">
        <f t="shared" si="192"/>
        <v>0</v>
      </c>
      <c r="IG66" s="12">
        <f t="shared" si="193"/>
        <v>0</v>
      </c>
      <c r="IH66" s="12">
        <f t="shared" si="194"/>
        <v>0</v>
      </c>
      <c r="II66" s="12">
        <f t="shared" si="195"/>
        <v>0</v>
      </c>
      <c r="IJ66" s="12">
        <f t="shared" si="196"/>
        <v>0</v>
      </c>
      <c r="IK66" s="12">
        <f t="shared" si="197"/>
        <v>0</v>
      </c>
      <c r="IL66" s="12">
        <f t="shared" si="198"/>
        <v>0</v>
      </c>
      <c r="IM66" s="12">
        <f t="shared" si="199"/>
        <v>0</v>
      </c>
      <c r="IN66" s="12">
        <f t="shared" si="200"/>
        <v>0</v>
      </c>
      <c r="IO66" s="12">
        <f t="shared" si="201"/>
        <v>0</v>
      </c>
      <c r="IP66" s="12">
        <f t="shared" si="202"/>
        <v>0</v>
      </c>
      <c r="IQ66" s="12">
        <f t="shared" si="203"/>
        <v>0</v>
      </c>
      <c r="IR66" s="12">
        <f t="shared" si="204"/>
        <v>0</v>
      </c>
      <c r="IS66" s="12">
        <f t="shared" si="205"/>
        <v>0</v>
      </c>
      <c r="IT66" s="12">
        <f t="shared" si="206"/>
        <v>0</v>
      </c>
      <c r="IU66" s="12">
        <f t="shared" si="207"/>
        <v>0</v>
      </c>
      <c r="IV66" s="12">
        <f t="shared" si="208"/>
        <v>0</v>
      </c>
      <c r="IW66" s="12">
        <f t="shared" si="209"/>
        <v>0</v>
      </c>
      <c r="IX66" s="12">
        <f t="shared" si="210"/>
        <v>0</v>
      </c>
      <c r="IY66" s="12">
        <f t="shared" si="211"/>
        <v>0</v>
      </c>
      <c r="IZ66" s="12">
        <f t="shared" si="212"/>
        <v>0</v>
      </c>
      <c r="JA66" s="13">
        <f t="shared" si="213"/>
        <v>0</v>
      </c>
      <c r="JB66" s="13">
        <f t="shared" si="214"/>
        <v>0</v>
      </c>
      <c r="JC66" s="13">
        <f t="shared" si="215"/>
        <v>0</v>
      </c>
      <c r="JD66" s="13">
        <f t="shared" si="216"/>
        <v>0</v>
      </c>
      <c r="JE66" s="13">
        <f t="shared" si="217"/>
        <v>0</v>
      </c>
      <c r="JF66" s="13">
        <f t="shared" si="218"/>
        <v>0</v>
      </c>
      <c r="JG66" s="13">
        <f t="shared" si="219"/>
        <v>0</v>
      </c>
      <c r="JH66" s="13">
        <f t="shared" si="220"/>
        <v>0</v>
      </c>
      <c r="JI66" s="13">
        <f t="shared" si="221"/>
        <v>0</v>
      </c>
      <c r="JJ66" s="13">
        <f t="shared" si="222"/>
        <v>0</v>
      </c>
      <c r="JK66" s="13">
        <f t="shared" si="223"/>
        <v>0</v>
      </c>
      <c r="JL66" s="13">
        <f t="shared" si="224"/>
        <v>0</v>
      </c>
      <c r="JM66" s="13">
        <f t="shared" si="225"/>
        <v>0</v>
      </c>
      <c r="JN66" s="13">
        <f t="shared" si="226"/>
        <v>0</v>
      </c>
      <c r="JO66" s="13">
        <f t="shared" si="227"/>
        <v>0</v>
      </c>
      <c r="JP66" s="13">
        <f t="shared" si="228"/>
        <v>0</v>
      </c>
      <c r="JQ66" s="13">
        <f t="shared" si="229"/>
        <v>0</v>
      </c>
      <c r="JR66" s="13">
        <f t="shared" si="230"/>
        <v>0</v>
      </c>
      <c r="JS66" s="13">
        <f t="shared" si="231"/>
        <v>0</v>
      </c>
      <c r="JT66" s="13">
        <f t="shared" si="232"/>
        <v>0</v>
      </c>
      <c r="JU66" s="13">
        <f t="shared" si="233"/>
        <v>0</v>
      </c>
      <c r="JV66" s="12">
        <f t="shared" si="234"/>
        <v>0</v>
      </c>
      <c r="JW66" s="12">
        <f t="shared" si="235"/>
        <v>0</v>
      </c>
      <c r="JX66" s="12">
        <f t="shared" si="236"/>
        <v>0</v>
      </c>
      <c r="JY66" s="12">
        <f t="shared" si="237"/>
        <v>0</v>
      </c>
      <c r="JZ66" s="12">
        <f t="shared" si="238"/>
        <v>0</v>
      </c>
      <c r="KA66" s="12">
        <f t="shared" si="239"/>
        <v>0</v>
      </c>
      <c r="KB66" s="12">
        <f t="shared" si="240"/>
        <v>0</v>
      </c>
      <c r="KC66" s="12">
        <f t="shared" si="241"/>
        <v>0</v>
      </c>
      <c r="KD66" s="12">
        <f t="shared" si="242"/>
        <v>0</v>
      </c>
      <c r="KE66" s="12">
        <f t="shared" si="243"/>
        <v>0</v>
      </c>
      <c r="KF66" s="12">
        <f t="shared" si="244"/>
        <v>0</v>
      </c>
      <c r="KG66" s="12">
        <f t="shared" si="245"/>
        <v>0</v>
      </c>
      <c r="KH66" s="12">
        <f t="shared" si="246"/>
        <v>0</v>
      </c>
      <c r="KI66" s="12">
        <f t="shared" si="247"/>
        <v>0</v>
      </c>
      <c r="KJ66" s="12">
        <f t="shared" si="248"/>
        <v>0</v>
      </c>
      <c r="KK66" s="12">
        <f t="shared" si="249"/>
        <v>0</v>
      </c>
      <c r="KL66" s="12">
        <f t="shared" si="250"/>
        <v>0</v>
      </c>
      <c r="KM66" s="12">
        <f t="shared" si="251"/>
        <v>0</v>
      </c>
      <c r="KN66" s="12">
        <f t="shared" si="252"/>
        <v>0</v>
      </c>
      <c r="KO66" s="12">
        <f t="shared" si="253"/>
        <v>0</v>
      </c>
      <c r="KP66" s="12">
        <f t="shared" si="254"/>
        <v>0</v>
      </c>
      <c r="KQ66" s="12">
        <f t="shared" si="255"/>
        <v>0</v>
      </c>
      <c r="KR66" s="12">
        <f t="shared" si="256"/>
        <v>0</v>
      </c>
      <c r="KS66" s="12">
        <f t="shared" si="257"/>
        <v>0</v>
      </c>
      <c r="KT66" s="12">
        <f t="shared" si="258"/>
        <v>0</v>
      </c>
      <c r="KU66" s="12">
        <f t="shared" si="259"/>
        <v>0</v>
      </c>
      <c r="KV66" s="12">
        <f t="shared" si="260"/>
        <v>0</v>
      </c>
      <c r="KW66" s="12">
        <f t="shared" si="261"/>
        <v>0</v>
      </c>
      <c r="KX66" s="12">
        <f t="shared" si="262"/>
        <v>0</v>
      </c>
      <c r="KY66" s="12">
        <f t="shared" si="263"/>
        <v>0</v>
      </c>
      <c r="KZ66" s="12">
        <f t="shared" si="264"/>
        <v>0</v>
      </c>
      <c r="LA66" s="12">
        <f t="shared" si="265"/>
        <v>0</v>
      </c>
      <c r="LB66" s="12">
        <f t="shared" si="266"/>
        <v>0</v>
      </c>
      <c r="LC66" s="12">
        <f t="shared" si="267"/>
        <v>0</v>
      </c>
      <c r="LD66" s="12">
        <f t="shared" si="268"/>
        <v>0</v>
      </c>
      <c r="LE66" s="12">
        <f t="shared" si="269"/>
        <v>0</v>
      </c>
      <c r="LF66" s="12">
        <f t="shared" si="270"/>
        <v>0</v>
      </c>
      <c r="LG66" s="12">
        <f t="shared" si="271"/>
        <v>0</v>
      </c>
      <c r="LH66" s="12">
        <f t="shared" si="272"/>
        <v>0</v>
      </c>
      <c r="LI66" s="12">
        <f t="shared" si="273"/>
        <v>0</v>
      </c>
      <c r="LJ66" s="12">
        <f t="shared" si="274"/>
        <v>0</v>
      </c>
      <c r="LK66" s="12">
        <f t="shared" si="275"/>
        <v>0</v>
      </c>
      <c r="LL66" s="12">
        <f t="shared" si="276"/>
        <v>0</v>
      </c>
      <c r="LM66" s="12">
        <f t="shared" si="277"/>
        <v>0</v>
      </c>
      <c r="LN66" s="12">
        <f t="shared" si="278"/>
        <v>0</v>
      </c>
      <c r="LO66" s="12">
        <f t="shared" si="279"/>
        <v>0</v>
      </c>
      <c r="LP66" s="12">
        <f t="shared" si="280"/>
        <v>0</v>
      </c>
      <c r="LQ66" s="12">
        <f t="shared" si="281"/>
        <v>0</v>
      </c>
      <c r="LR66" s="12">
        <f t="shared" si="282"/>
        <v>0</v>
      </c>
      <c r="LS66" s="12">
        <f t="shared" si="283"/>
        <v>0</v>
      </c>
      <c r="LT66" s="13">
        <f t="shared" si="284"/>
        <v>0</v>
      </c>
      <c r="LU66" s="13">
        <f t="shared" si="285"/>
        <v>0</v>
      </c>
      <c r="LV66" s="13">
        <f t="shared" si="286"/>
        <v>0</v>
      </c>
      <c r="LW66" s="13">
        <f t="shared" si="287"/>
        <v>0</v>
      </c>
      <c r="LX66" s="13">
        <f t="shared" si="288"/>
        <v>0</v>
      </c>
      <c r="LY66" s="13">
        <f t="shared" si="289"/>
        <v>0</v>
      </c>
      <c r="LZ66" s="13">
        <f t="shared" si="290"/>
        <v>0</v>
      </c>
      <c r="MA66" s="13">
        <f t="shared" si="291"/>
        <v>0</v>
      </c>
      <c r="MB66" s="13">
        <f t="shared" si="292"/>
        <v>0</v>
      </c>
      <c r="MC66" s="13">
        <f t="shared" si="293"/>
        <v>0</v>
      </c>
      <c r="MD66" s="13">
        <f t="shared" si="294"/>
        <v>0</v>
      </c>
      <c r="ME66" s="13">
        <f t="shared" si="295"/>
        <v>1</v>
      </c>
      <c r="MF66" s="13">
        <f t="shared" si="296"/>
        <v>0</v>
      </c>
      <c r="MG66" s="13">
        <f t="shared" si="297"/>
        <v>0</v>
      </c>
      <c r="MH66" s="13">
        <f t="shared" si="298"/>
        <v>0</v>
      </c>
      <c r="MI66" s="13">
        <f t="shared" si="299"/>
        <v>0</v>
      </c>
      <c r="MJ66" s="13">
        <f t="shared" si="300"/>
        <v>0</v>
      </c>
      <c r="MK66" s="13">
        <f t="shared" si="301"/>
        <v>0</v>
      </c>
      <c r="ML66" s="14">
        <f t="shared" si="302"/>
        <v>0</v>
      </c>
      <c r="MM66" s="14">
        <f t="shared" si="303"/>
        <v>0</v>
      </c>
      <c r="MN66" s="14">
        <f t="shared" si="304"/>
        <v>0</v>
      </c>
      <c r="MO66" s="14">
        <f t="shared" si="305"/>
        <v>0</v>
      </c>
      <c r="MP66" s="14">
        <f t="shared" si="306"/>
        <v>0</v>
      </c>
      <c r="MQ66" s="14">
        <f t="shared" si="307"/>
        <v>0</v>
      </c>
      <c r="MR66" s="14">
        <f t="shared" si="308"/>
        <v>0</v>
      </c>
      <c r="MS66" s="14">
        <f t="shared" si="309"/>
        <v>0</v>
      </c>
      <c r="MT66" s="14">
        <f t="shared" si="310"/>
        <v>0</v>
      </c>
      <c r="MU66" s="14">
        <f t="shared" si="311"/>
        <v>0</v>
      </c>
      <c r="MV66" s="14">
        <f t="shared" si="312"/>
        <v>0</v>
      </c>
      <c r="MW66" s="14">
        <f t="shared" si="313"/>
        <v>0</v>
      </c>
      <c r="MX66" s="14">
        <f t="shared" si="314"/>
        <v>0</v>
      </c>
      <c r="MY66" s="14">
        <f t="shared" si="315"/>
        <v>0</v>
      </c>
      <c r="MZ66" s="14">
        <f t="shared" si="316"/>
        <v>0</v>
      </c>
      <c r="NA66" s="14">
        <f t="shared" si="317"/>
        <v>0</v>
      </c>
      <c r="NB66" s="14">
        <f t="shared" si="318"/>
        <v>0</v>
      </c>
    </row>
    <row r="67" ht="15.75" customHeight="1">
      <c r="A67" s="2">
        <v>344.0</v>
      </c>
      <c r="B67" s="2" t="s">
        <v>1531</v>
      </c>
      <c r="C67" s="2" t="s">
        <v>1532</v>
      </c>
      <c r="D67" s="2" t="s">
        <v>1533</v>
      </c>
      <c r="E67" s="2">
        <v>2018.0</v>
      </c>
      <c r="F67" s="2" t="s">
        <v>1534</v>
      </c>
      <c r="G67" s="2" t="s">
        <v>1535</v>
      </c>
      <c r="J67" s="2" t="s">
        <v>619</v>
      </c>
      <c r="K67" s="2" t="s">
        <v>1536</v>
      </c>
      <c r="M67" s="2">
        <v>19.0</v>
      </c>
      <c r="N67" s="2" t="s">
        <v>1537</v>
      </c>
      <c r="O67" s="2" t="s">
        <v>1538</v>
      </c>
      <c r="P67" s="2" t="s">
        <v>1539</v>
      </c>
      <c r="Q67" s="2" t="s">
        <v>1540</v>
      </c>
      <c r="R67" s="2" t="s">
        <v>1541</v>
      </c>
      <c r="S67" s="2" t="s">
        <v>1542</v>
      </c>
      <c r="T67" s="2" t="s">
        <v>1543</v>
      </c>
      <c r="Y67" s="2" t="s">
        <v>1544</v>
      </c>
      <c r="AB67" s="2" t="s">
        <v>1099</v>
      </c>
      <c r="AG67" s="2" t="s">
        <v>1545</v>
      </c>
      <c r="AK67" s="2" t="s">
        <v>1546</v>
      </c>
      <c r="AL67" s="2" t="s">
        <v>384</v>
      </c>
      <c r="AM67" s="2" t="s">
        <v>650</v>
      </c>
      <c r="AN67" s="2" t="s">
        <v>386</v>
      </c>
      <c r="AO67" s="2" t="s">
        <v>1547</v>
      </c>
      <c r="AP67" s="2" t="s">
        <v>386</v>
      </c>
      <c r="AQ67" s="2">
        <v>1338.0</v>
      </c>
      <c r="AR67" s="2" t="s">
        <v>1548</v>
      </c>
      <c r="AS67" s="2" t="b">
        <v>0</v>
      </c>
      <c r="AT67" s="3">
        <v>0.0</v>
      </c>
      <c r="AU67" s="4"/>
      <c r="AV67" s="4"/>
      <c r="AW67" s="5">
        <f t="shared" si="432"/>
        <v>0</v>
      </c>
      <c r="AX67" s="5">
        <f t="shared" si="4"/>
        <v>0</v>
      </c>
      <c r="AY67" s="5">
        <f t="shared" si="5"/>
        <v>0</v>
      </c>
      <c r="AZ67" s="5">
        <f t="shared" si="6"/>
        <v>0</v>
      </c>
      <c r="BA67" s="5">
        <f t="shared" si="7"/>
        <v>0</v>
      </c>
      <c r="BB67" s="5">
        <f t="shared" si="8"/>
        <v>0</v>
      </c>
      <c r="BC67" s="5">
        <f t="shared" si="9"/>
        <v>0</v>
      </c>
      <c r="BD67" s="5">
        <f t="shared" si="10"/>
        <v>0</v>
      </c>
      <c r="BE67" s="5">
        <f t="shared" si="11"/>
        <v>0</v>
      </c>
      <c r="BF67" s="5">
        <f t="shared" si="12"/>
        <v>0</v>
      </c>
      <c r="BG67" s="5">
        <f t="shared" si="13"/>
        <v>0</v>
      </c>
      <c r="BH67" s="5">
        <f t="shared" si="14"/>
        <v>0</v>
      </c>
      <c r="BI67" s="5">
        <f t="shared" si="15"/>
        <v>0</v>
      </c>
      <c r="BJ67" s="5">
        <f t="shared" si="16"/>
        <v>0</v>
      </c>
      <c r="BK67" s="5">
        <f t="shared" si="17"/>
        <v>0</v>
      </c>
      <c r="BL67" s="5">
        <f t="shared" si="18"/>
        <v>0</v>
      </c>
      <c r="BM67" s="5">
        <f t="shared" si="19"/>
        <v>0</v>
      </c>
      <c r="BN67" s="5">
        <f t="shared" si="20"/>
        <v>0</v>
      </c>
      <c r="BO67" s="5">
        <f t="shared" si="21"/>
        <v>0</v>
      </c>
      <c r="BP67" s="5">
        <f t="shared" si="22"/>
        <v>0</v>
      </c>
      <c r="BQ67" s="5">
        <f t="shared" si="23"/>
        <v>0</v>
      </c>
      <c r="BR67" s="5">
        <f t="shared" si="24"/>
        <v>0</v>
      </c>
      <c r="BS67" s="5">
        <f t="shared" si="25"/>
        <v>0</v>
      </c>
      <c r="BT67" s="5">
        <f t="shared" si="26"/>
        <v>0</v>
      </c>
      <c r="BU67" s="5">
        <f t="shared" si="27"/>
        <v>0</v>
      </c>
      <c r="BV67" s="5">
        <f t="shared" ref="BV67:BW67" si="464">IF(OR(ISNUMBER(SEARCH("grit",$D67)),ISNUMBER(SEARCH("grit",$T67)),ISNUMBER(SEARCH("grit",$R67)),ISNUMBER(SEARCH("grit",$S67)),
ISNUMBER(SEARCH("determination",$D67)),ISNUMBER(SEARCH("determination",$T67)),ISNUMBER(SEARCH("determination",$R67)),ISNUMBER(SEARCH("determination",$S67)),
ISNUMBER(SEARCH("tenacity",$D67)),ISNUMBER(SEARCH("tenacity",$T67)),ISNUMBER(SEARCH("tenacity",$R67)),ISNUMBER(SEARCH("tenacity",$S67)),
ISNUMBER(SEARCH("endurance",$D67)),ISNUMBER(SEARCH("endurance",$T67)),ISNUMBER(SEARCH("endurance",$R67)),ISNUMBER(SEARCH("endurance",$S67)),
ISNUMBER(SEARCH("fortitude",$D67)),ISNUMBER(SEARCH("fortitude",$T67)),ISNUMBER(SEARCH("fortitude",$R67)),ISNUMBER(SEARCH("fortitude",$S67)),
ISNUMBER(SEARCH("resolve",$D67)),ISNUMBER(SEARCH("resolve",$T67)),ISNUMBER(SEARCH("resolve",$R67)),ISNUMBER(SEARCH("resolve",$S67)),
ISNUMBER(SEARCH("stamina",$D67)),ISNUMBER(SEARCH("stamina",$T67)),ISNUMBER(SEARCH("stamina",$R67)),ISNUMBER(SEARCH("stamina",$S67)),
ISNUMBER(SEARCH("guts",$D67)),ISNUMBER(SEARCH("guts",$T67)),ISNUMBER(SEARCH("guts",$R67)),ISNUMBER(SEARCH("guts",$S67)),
ISNUMBER(SEARCH("spunk",$D67)),ISNUMBER(SEARCH("spunk",$T67)),ISNUMBER(SEARCH("spunk",$R67)),ISNUMBER(SEARCH("spunk",$S67))), 1, 0)</f>
        <v>0</v>
      </c>
      <c r="BW67" s="5">
        <f t="shared" si="464"/>
        <v>0</v>
      </c>
      <c r="BX67" s="5">
        <f t="shared" si="29"/>
        <v>0</v>
      </c>
      <c r="BY67" s="5">
        <f t="shared" si="30"/>
        <v>0</v>
      </c>
      <c r="BZ67" s="5">
        <f t="shared" si="31"/>
        <v>0</v>
      </c>
      <c r="CA67" s="5">
        <f t="shared" si="32"/>
        <v>0</v>
      </c>
      <c r="CB67" s="5">
        <f t="shared" si="33"/>
        <v>0</v>
      </c>
      <c r="CC67" s="5">
        <f t="shared" si="34"/>
        <v>0</v>
      </c>
      <c r="CD67" s="5">
        <f t="shared" si="35"/>
        <v>0</v>
      </c>
      <c r="CE67" s="5">
        <f t="shared" si="36"/>
        <v>0</v>
      </c>
      <c r="CF67" s="5">
        <f t="shared" si="37"/>
        <v>0</v>
      </c>
      <c r="CG67" s="5">
        <f t="shared" si="38"/>
        <v>0</v>
      </c>
      <c r="CH67" s="5">
        <f t="shared" si="39"/>
        <v>0</v>
      </c>
      <c r="CI67" s="5">
        <f t="shared" si="40"/>
        <v>0</v>
      </c>
      <c r="CJ67" s="5">
        <f t="shared" si="41"/>
        <v>0</v>
      </c>
      <c r="CK67" s="5">
        <f t="shared" si="42"/>
        <v>0</v>
      </c>
      <c r="CL67" s="5">
        <f t="shared" si="43"/>
        <v>0</v>
      </c>
      <c r="CM67" s="5">
        <f t="shared" si="44"/>
        <v>0</v>
      </c>
      <c r="CN67" s="5">
        <f t="shared" si="45"/>
        <v>0</v>
      </c>
      <c r="CO67" s="5">
        <f t="shared" si="46"/>
        <v>0</v>
      </c>
      <c r="CP67" s="6">
        <f t="shared" si="47"/>
        <v>0</v>
      </c>
      <c r="CQ67" s="6">
        <f t="shared" si="48"/>
        <v>0</v>
      </c>
      <c r="CR67" s="6">
        <f t="shared" si="49"/>
        <v>0</v>
      </c>
      <c r="CS67" s="6">
        <f t="shared" si="50"/>
        <v>0</v>
      </c>
      <c r="CT67" s="6">
        <f t="shared" si="51"/>
        <v>0</v>
      </c>
      <c r="CU67" s="6">
        <f t="shared" si="52"/>
        <v>0</v>
      </c>
      <c r="CV67" s="6">
        <f t="shared" si="53"/>
        <v>0</v>
      </c>
      <c r="CW67" s="6">
        <f t="shared" si="54"/>
        <v>0</v>
      </c>
      <c r="CX67" s="6">
        <f t="shared" si="55"/>
        <v>0</v>
      </c>
      <c r="CY67" s="6">
        <f t="shared" si="56"/>
        <v>0</v>
      </c>
      <c r="CZ67" s="6">
        <f t="shared" si="57"/>
        <v>0</v>
      </c>
      <c r="DA67" s="6">
        <f t="shared" si="58"/>
        <v>0</v>
      </c>
      <c r="DB67" s="6">
        <f t="shared" si="59"/>
        <v>0</v>
      </c>
      <c r="DC67" s="6">
        <f t="shared" si="60"/>
        <v>0</v>
      </c>
      <c r="DD67" s="6">
        <f t="shared" si="61"/>
        <v>0</v>
      </c>
      <c r="DE67" s="6">
        <f t="shared" si="62"/>
        <v>0</v>
      </c>
      <c r="DF67" s="6">
        <f t="shared" si="63"/>
        <v>0</v>
      </c>
      <c r="DG67" s="6">
        <f t="shared" si="64"/>
        <v>0</v>
      </c>
      <c r="DH67" s="6">
        <f t="shared" si="434"/>
        <v>0</v>
      </c>
      <c r="DI67" s="6">
        <f t="shared" si="66"/>
        <v>0</v>
      </c>
      <c r="DJ67" s="6">
        <f t="shared" si="435"/>
        <v>0</v>
      </c>
      <c r="DK67" s="7">
        <f t="shared" si="68"/>
        <v>0</v>
      </c>
      <c r="DL67" s="7">
        <f t="shared" si="411"/>
        <v>0</v>
      </c>
      <c r="DM67" s="7">
        <f t="shared" si="70"/>
        <v>0</v>
      </c>
      <c r="DN67" s="7">
        <f t="shared" si="71"/>
        <v>0</v>
      </c>
      <c r="DO67" s="7">
        <f t="shared" si="72"/>
        <v>1</v>
      </c>
      <c r="DP67" s="8">
        <f t="shared" si="73"/>
        <v>0</v>
      </c>
      <c r="DQ67" s="8">
        <f t="shared" si="74"/>
        <v>0</v>
      </c>
      <c r="DR67" s="7">
        <f t="shared" si="75"/>
        <v>0</v>
      </c>
      <c r="DS67" s="7">
        <f t="shared" si="76"/>
        <v>0</v>
      </c>
      <c r="DT67" s="7">
        <f t="shared" si="77"/>
        <v>0</v>
      </c>
      <c r="DU67" s="9">
        <f t="shared" si="78"/>
        <v>0</v>
      </c>
      <c r="DV67" s="9">
        <f t="shared" si="79"/>
        <v>0</v>
      </c>
      <c r="DW67" s="9">
        <f t="shared" si="80"/>
        <v>0</v>
      </c>
      <c r="DX67" s="9">
        <f t="shared" si="81"/>
        <v>0</v>
      </c>
      <c r="DY67" s="9">
        <f t="shared" si="82"/>
        <v>0</v>
      </c>
      <c r="DZ67" s="9">
        <f t="shared" si="83"/>
        <v>0</v>
      </c>
      <c r="EA67" s="9">
        <f t="shared" si="84"/>
        <v>0</v>
      </c>
      <c r="EB67" s="9">
        <f t="shared" si="85"/>
        <v>0</v>
      </c>
      <c r="EC67" s="9">
        <f t="shared" si="86"/>
        <v>0</v>
      </c>
      <c r="ED67" s="9">
        <f t="shared" si="87"/>
        <v>0</v>
      </c>
      <c r="EE67" s="9">
        <f t="shared" si="88"/>
        <v>0</v>
      </c>
      <c r="EF67" s="9">
        <f t="shared" si="89"/>
        <v>0</v>
      </c>
      <c r="EG67" s="9">
        <f t="shared" si="90"/>
        <v>0</v>
      </c>
      <c r="EH67" s="9">
        <f t="shared" si="91"/>
        <v>0</v>
      </c>
      <c r="EI67" s="9">
        <f t="shared" si="92"/>
        <v>0</v>
      </c>
      <c r="EJ67" s="10">
        <f t="shared" si="93"/>
        <v>0</v>
      </c>
      <c r="EK67" s="10">
        <f t="shared" si="94"/>
        <v>0</v>
      </c>
      <c r="EL67" s="10">
        <f t="shared" ref="EL67:EM67" si="465">IF(OR(ISNUMBER(SEARCH("ai software toolkit", $D67)), ISNUMBER(SEARCH("ai software toolkit", $T67)), ISNUMBER(SEARCH("ai software toolkit", $R67)), ISNUMBER(SEARCH("ai software toolkit", $S67))), 1, 0)</f>
        <v>0</v>
      </c>
      <c r="EM67" s="10">
        <f t="shared" si="465"/>
        <v>0</v>
      </c>
      <c r="EN67" s="10">
        <f t="shared" si="96"/>
        <v>0</v>
      </c>
      <c r="EO67" s="10">
        <f t="shared" si="97"/>
        <v>1</v>
      </c>
      <c r="EP67" s="10">
        <f t="shared" si="98"/>
        <v>0</v>
      </c>
      <c r="EQ67" s="10">
        <f t="shared" si="99"/>
        <v>0</v>
      </c>
      <c r="ER67" s="10">
        <f t="shared" si="100"/>
        <v>0</v>
      </c>
      <c r="ES67" s="10">
        <f t="shared" si="101"/>
        <v>0</v>
      </c>
      <c r="ET67" s="10">
        <f t="shared" si="102"/>
        <v>0</v>
      </c>
      <c r="EU67" s="10">
        <f t="shared" si="103"/>
        <v>0</v>
      </c>
      <c r="EV67" s="10">
        <f t="shared" si="104"/>
        <v>0</v>
      </c>
      <c r="EW67" s="10">
        <f t="shared" si="105"/>
        <v>0</v>
      </c>
      <c r="EX67" s="10">
        <f t="shared" si="106"/>
        <v>0</v>
      </c>
      <c r="EY67" s="10">
        <f t="shared" si="107"/>
        <v>0</v>
      </c>
      <c r="EZ67" s="10">
        <f t="shared" si="108"/>
        <v>0</v>
      </c>
      <c r="FA67" s="10">
        <f t="shared" si="109"/>
        <v>0</v>
      </c>
      <c r="FB67" s="10">
        <f t="shared" si="110"/>
        <v>0</v>
      </c>
      <c r="FC67" s="10">
        <f t="shared" si="111"/>
        <v>0</v>
      </c>
      <c r="FD67" s="10">
        <f t="shared" si="112"/>
        <v>0</v>
      </c>
      <c r="FE67" s="10">
        <f t="shared" si="113"/>
        <v>0</v>
      </c>
      <c r="FF67" s="10">
        <f t="shared" si="114"/>
        <v>0</v>
      </c>
      <c r="FG67" s="10">
        <f t="shared" si="115"/>
        <v>0</v>
      </c>
      <c r="FH67" s="10">
        <f t="shared" si="116"/>
        <v>0</v>
      </c>
      <c r="FI67" s="10">
        <f t="shared" si="117"/>
        <v>0</v>
      </c>
      <c r="FJ67" s="10">
        <f t="shared" si="118"/>
        <v>0</v>
      </c>
      <c r="FK67" s="10">
        <f t="shared" si="119"/>
        <v>0</v>
      </c>
      <c r="FL67" s="10">
        <f t="shared" si="120"/>
        <v>0</v>
      </c>
      <c r="FM67" s="10">
        <f t="shared" si="121"/>
        <v>0</v>
      </c>
      <c r="FN67" s="10">
        <f t="shared" si="122"/>
        <v>0</v>
      </c>
      <c r="FO67" s="10">
        <f t="shared" si="123"/>
        <v>0</v>
      </c>
      <c r="FP67" s="10">
        <f t="shared" si="124"/>
        <v>1</v>
      </c>
      <c r="FQ67" s="10">
        <f t="shared" si="125"/>
        <v>0</v>
      </c>
      <c r="FR67" s="11">
        <f>IF(
OR(
ISNUMBER(SEARCH("chatbot",$D67)),ISNUMBER(SEARCH("chatbot",$T67)),ISNUMBER(SEARCH("chatbot",$R66)),ISNUMBER(SEARCH("chatbot",$S67)),
ISNUMBER(SEARCH("virtual assistance",$D67)),ISNUMBER(SEARCH("virtual assistance",$T67)),ISNUMBER(SEARCH("virtual assistance",$R67)),ISNUMBER(SEARCH("virtual assistance",$S67))), 1, 0)</f>
        <v>0</v>
      </c>
      <c r="FS67" s="11">
        <f t="shared" si="127"/>
        <v>0</v>
      </c>
      <c r="FT67" s="11">
        <f t="shared" si="128"/>
        <v>0</v>
      </c>
      <c r="FU67" s="11">
        <f t="shared" si="129"/>
        <v>0</v>
      </c>
      <c r="FV67" s="11">
        <f t="shared" si="130"/>
        <v>0</v>
      </c>
      <c r="FW67" s="11">
        <f t="shared" si="131"/>
        <v>0</v>
      </c>
      <c r="FX67" s="11">
        <f t="shared" si="132"/>
        <v>0</v>
      </c>
      <c r="FY67" s="11">
        <f t="shared" si="133"/>
        <v>0</v>
      </c>
      <c r="FZ67" s="11">
        <f t="shared" si="134"/>
        <v>0</v>
      </c>
      <c r="GA67" s="11">
        <f t="shared" si="135"/>
        <v>0</v>
      </c>
      <c r="GB67" s="11">
        <f t="shared" si="136"/>
        <v>0</v>
      </c>
      <c r="GC67" s="11">
        <f t="shared" si="137"/>
        <v>0</v>
      </c>
      <c r="GD67" s="11">
        <f t="shared" si="138"/>
        <v>0</v>
      </c>
      <c r="GE67" s="11">
        <f t="shared" si="139"/>
        <v>0</v>
      </c>
      <c r="GF67" s="11">
        <f t="shared" si="140"/>
        <v>0</v>
      </c>
      <c r="GG67" s="11">
        <f t="shared" si="141"/>
        <v>0</v>
      </c>
      <c r="GH67" s="11">
        <f t="shared" si="142"/>
        <v>0</v>
      </c>
      <c r="GI67" s="11">
        <f t="shared" si="143"/>
        <v>0</v>
      </c>
      <c r="GJ67" s="11">
        <f t="shared" si="144"/>
        <v>0</v>
      </c>
      <c r="GK67" s="11">
        <f t="shared" si="145"/>
        <v>0</v>
      </c>
      <c r="GL67" s="11">
        <f t="shared" si="146"/>
        <v>0</v>
      </c>
      <c r="GM67" s="11">
        <f t="shared" si="147"/>
        <v>0</v>
      </c>
      <c r="GN67" s="11">
        <f t="shared" si="148"/>
        <v>0</v>
      </c>
      <c r="GO67" s="11">
        <f t="shared" si="149"/>
        <v>0</v>
      </c>
      <c r="GP67" s="11">
        <f t="shared" si="150"/>
        <v>0</v>
      </c>
      <c r="GQ67" s="11">
        <f t="shared" si="151"/>
        <v>1</v>
      </c>
      <c r="GR67" s="11">
        <f t="shared" si="152"/>
        <v>0</v>
      </c>
      <c r="GS67" s="11">
        <f t="shared" si="153"/>
        <v>0</v>
      </c>
      <c r="GT67" s="11">
        <f t="shared" si="154"/>
        <v>0</v>
      </c>
      <c r="GU67" s="12">
        <f t="shared" si="155"/>
        <v>0</v>
      </c>
      <c r="GV67" s="12">
        <f t="shared" si="156"/>
        <v>0</v>
      </c>
      <c r="GW67" s="12">
        <f t="shared" si="157"/>
        <v>0</v>
      </c>
      <c r="GX67" s="12">
        <f t="shared" si="158"/>
        <v>0</v>
      </c>
      <c r="GY67" s="12">
        <f t="shared" si="159"/>
        <v>0</v>
      </c>
      <c r="GZ67" s="12">
        <f t="shared" si="160"/>
        <v>0</v>
      </c>
      <c r="HA67" s="12">
        <f t="shared" si="161"/>
        <v>0</v>
      </c>
      <c r="HB67" s="12">
        <f t="shared" si="162"/>
        <v>0</v>
      </c>
      <c r="HC67" s="12">
        <f t="shared" si="163"/>
        <v>0</v>
      </c>
      <c r="HD67" s="12">
        <f t="shared" si="164"/>
        <v>0</v>
      </c>
      <c r="HE67" s="12">
        <f t="shared" si="165"/>
        <v>0</v>
      </c>
      <c r="HF67" s="12">
        <f t="shared" si="166"/>
        <v>0</v>
      </c>
      <c r="HG67" s="12">
        <f t="shared" si="167"/>
        <v>0</v>
      </c>
      <c r="HH67" s="12">
        <f t="shared" si="168"/>
        <v>0</v>
      </c>
      <c r="HI67" s="12">
        <f t="shared" si="169"/>
        <v>0</v>
      </c>
      <c r="HJ67" s="12">
        <f t="shared" si="170"/>
        <v>0</v>
      </c>
      <c r="HK67" s="12">
        <f t="shared" si="171"/>
        <v>0</v>
      </c>
      <c r="HL67" s="12">
        <f t="shared" si="172"/>
        <v>0</v>
      </c>
      <c r="HM67" s="12">
        <f t="shared" si="173"/>
        <v>0</v>
      </c>
      <c r="HN67" s="12">
        <f t="shared" si="174"/>
        <v>0</v>
      </c>
      <c r="HO67" s="12">
        <f t="shared" si="175"/>
        <v>0</v>
      </c>
      <c r="HP67" s="12">
        <f t="shared" si="176"/>
        <v>0</v>
      </c>
      <c r="HQ67" s="12">
        <f t="shared" si="177"/>
        <v>0</v>
      </c>
      <c r="HR67" s="12">
        <f t="shared" si="178"/>
        <v>0</v>
      </c>
      <c r="HS67" s="12">
        <f t="shared" si="179"/>
        <v>0</v>
      </c>
      <c r="HT67" s="12">
        <f t="shared" si="180"/>
        <v>0</v>
      </c>
      <c r="HU67" s="12">
        <f t="shared" si="181"/>
        <v>0</v>
      </c>
      <c r="HV67" s="12">
        <f t="shared" si="182"/>
        <v>0</v>
      </c>
      <c r="HW67" s="12">
        <f t="shared" si="183"/>
        <v>0</v>
      </c>
      <c r="HX67" s="12">
        <f t="shared" si="184"/>
        <v>0</v>
      </c>
      <c r="HY67" s="12">
        <f t="shared" si="185"/>
        <v>0</v>
      </c>
      <c r="HZ67" s="12">
        <f t="shared" si="186"/>
        <v>0</v>
      </c>
      <c r="IA67" s="12">
        <f t="shared" si="187"/>
        <v>0</v>
      </c>
      <c r="IB67" s="12">
        <f t="shared" si="188"/>
        <v>0</v>
      </c>
      <c r="IC67" s="12">
        <f t="shared" si="189"/>
        <v>0</v>
      </c>
      <c r="ID67" s="12">
        <f t="shared" si="190"/>
        <v>0</v>
      </c>
      <c r="IE67" s="12">
        <f t="shared" si="191"/>
        <v>0</v>
      </c>
      <c r="IF67" s="12">
        <f t="shared" si="192"/>
        <v>0</v>
      </c>
      <c r="IG67" s="12">
        <f t="shared" si="193"/>
        <v>0</v>
      </c>
      <c r="IH67" s="12">
        <f t="shared" si="194"/>
        <v>0</v>
      </c>
      <c r="II67" s="12">
        <f t="shared" si="195"/>
        <v>0</v>
      </c>
      <c r="IJ67" s="12">
        <f t="shared" si="196"/>
        <v>0</v>
      </c>
      <c r="IK67" s="12">
        <f t="shared" si="197"/>
        <v>0</v>
      </c>
      <c r="IL67" s="12">
        <f t="shared" si="198"/>
        <v>0</v>
      </c>
      <c r="IM67" s="12">
        <f t="shared" si="199"/>
        <v>0</v>
      </c>
      <c r="IN67" s="12">
        <f t="shared" si="200"/>
        <v>0</v>
      </c>
      <c r="IO67" s="12">
        <f t="shared" si="201"/>
        <v>0</v>
      </c>
      <c r="IP67" s="12">
        <f t="shared" si="202"/>
        <v>0</v>
      </c>
      <c r="IQ67" s="12">
        <f t="shared" si="203"/>
        <v>0</v>
      </c>
      <c r="IR67" s="12">
        <f t="shared" si="204"/>
        <v>0</v>
      </c>
      <c r="IS67" s="12">
        <f t="shared" si="205"/>
        <v>0</v>
      </c>
      <c r="IT67" s="12">
        <f t="shared" si="206"/>
        <v>0</v>
      </c>
      <c r="IU67" s="12">
        <f t="shared" si="207"/>
        <v>0</v>
      </c>
      <c r="IV67" s="12">
        <f t="shared" si="208"/>
        <v>0</v>
      </c>
      <c r="IW67" s="12">
        <f t="shared" si="209"/>
        <v>0</v>
      </c>
      <c r="IX67" s="12">
        <f t="shared" si="210"/>
        <v>0</v>
      </c>
      <c r="IY67" s="12">
        <f t="shared" si="211"/>
        <v>0</v>
      </c>
      <c r="IZ67" s="12">
        <f t="shared" si="212"/>
        <v>1</v>
      </c>
      <c r="JA67" s="13">
        <f t="shared" si="213"/>
        <v>0</v>
      </c>
      <c r="JB67" s="13">
        <f t="shared" si="214"/>
        <v>0</v>
      </c>
      <c r="JC67" s="13">
        <f t="shared" si="215"/>
        <v>0</v>
      </c>
      <c r="JD67" s="13">
        <f t="shared" si="216"/>
        <v>0</v>
      </c>
      <c r="JE67" s="13">
        <f t="shared" si="217"/>
        <v>0</v>
      </c>
      <c r="JF67" s="13">
        <f t="shared" si="218"/>
        <v>0</v>
      </c>
      <c r="JG67" s="13">
        <f t="shared" si="219"/>
        <v>0</v>
      </c>
      <c r="JH67" s="13">
        <f t="shared" si="220"/>
        <v>0</v>
      </c>
      <c r="JI67" s="13">
        <f t="shared" si="221"/>
        <v>0</v>
      </c>
      <c r="JJ67" s="13">
        <f t="shared" si="222"/>
        <v>0</v>
      </c>
      <c r="JK67" s="13">
        <f t="shared" si="223"/>
        <v>0</v>
      </c>
      <c r="JL67" s="13">
        <f t="shared" si="224"/>
        <v>0</v>
      </c>
      <c r="JM67" s="13">
        <f t="shared" si="225"/>
        <v>0</v>
      </c>
      <c r="JN67" s="13">
        <f t="shared" si="226"/>
        <v>0</v>
      </c>
      <c r="JO67" s="13">
        <f t="shared" si="227"/>
        <v>0</v>
      </c>
      <c r="JP67" s="13">
        <f t="shared" si="228"/>
        <v>0</v>
      </c>
      <c r="JQ67" s="13">
        <f t="shared" si="229"/>
        <v>0</v>
      </c>
      <c r="JR67" s="13">
        <f t="shared" si="230"/>
        <v>0</v>
      </c>
      <c r="JS67" s="13">
        <f t="shared" si="231"/>
        <v>0</v>
      </c>
      <c r="JT67" s="13">
        <f t="shared" si="232"/>
        <v>0</v>
      </c>
      <c r="JU67" s="13">
        <f t="shared" si="233"/>
        <v>0</v>
      </c>
      <c r="JV67" s="12">
        <f t="shared" si="234"/>
        <v>0</v>
      </c>
      <c r="JW67" s="12">
        <f t="shared" si="235"/>
        <v>0</v>
      </c>
      <c r="JX67" s="12">
        <f t="shared" si="236"/>
        <v>0</v>
      </c>
      <c r="JY67" s="12">
        <f t="shared" si="237"/>
        <v>0</v>
      </c>
      <c r="JZ67" s="12">
        <f t="shared" si="238"/>
        <v>0</v>
      </c>
      <c r="KA67" s="12">
        <f t="shared" si="239"/>
        <v>0</v>
      </c>
      <c r="KB67" s="12">
        <f t="shared" si="240"/>
        <v>0</v>
      </c>
      <c r="KC67" s="12">
        <f t="shared" si="241"/>
        <v>0</v>
      </c>
      <c r="KD67" s="12">
        <f t="shared" si="242"/>
        <v>0</v>
      </c>
      <c r="KE67" s="12">
        <f t="shared" si="243"/>
        <v>0</v>
      </c>
      <c r="KF67" s="12">
        <f t="shared" si="244"/>
        <v>0</v>
      </c>
      <c r="KG67" s="12">
        <f t="shared" si="245"/>
        <v>0</v>
      </c>
      <c r="KH67" s="12">
        <f t="shared" si="246"/>
        <v>0</v>
      </c>
      <c r="KI67" s="12">
        <f t="shared" si="247"/>
        <v>0</v>
      </c>
      <c r="KJ67" s="12">
        <f t="shared" si="248"/>
        <v>0</v>
      </c>
      <c r="KK67" s="12">
        <f t="shared" si="249"/>
        <v>0</v>
      </c>
      <c r="KL67" s="12">
        <f t="shared" si="250"/>
        <v>0</v>
      </c>
      <c r="KM67" s="12">
        <f t="shared" si="251"/>
        <v>0</v>
      </c>
      <c r="KN67" s="12">
        <f t="shared" si="252"/>
        <v>0</v>
      </c>
      <c r="KO67" s="12">
        <f t="shared" si="253"/>
        <v>0</v>
      </c>
      <c r="KP67" s="12">
        <f t="shared" si="254"/>
        <v>0</v>
      </c>
      <c r="KQ67" s="12">
        <f t="shared" si="255"/>
        <v>0</v>
      </c>
      <c r="KR67" s="12">
        <f t="shared" si="256"/>
        <v>0</v>
      </c>
      <c r="KS67" s="12">
        <f t="shared" si="257"/>
        <v>0</v>
      </c>
      <c r="KT67" s="12">
        <f t="shared" si="258"/>
        <v>0</v>
      </c>
      <c r="KU67" s="12">
        <f t="shared" si="259"/>
        <v>0</v>
      </c>
      <c r="KV67" s="12">
        <f t="shared" si="260"/>
        <v>0</v>
      </c>
      <c r="KW67" s="12">
        <f t="shared" si="261"/>
        <v>0</v>
      </c>
      <c r="KX67" s="12">
        <f t="shared" si="262"/>
        <v>0</v>
      </c>
      <c r="KY67" s="12">
        <f t="shared" si="263"/>
        <v>0</v>
      </c>
      <c r="KZ67" s="12">
        <f t="shared" si="264"/>
        <v>0</v>
      </c>
      <c r="LA67" s="12">
        <f t="shared" si="265"/>
        <v>0</v>
      </c>
      <c r="LB67" s="12">
        <f t="shared" si="266"/>
        <v>0</v>
      </c>
      <c r="LC67" s="12">
        <f t="shared" si="267"/>
        <v>0</v>
      </c>
      <c r="LD67" s="12">
        <f t="shared" si="268"/>
        <v>0</v>
      </c>
      <c r="LE67" s="12">
        <f t="shared" si="269"/>
        <v>0</v>
      </c>
      <c r="LF67" s="12">
        <f t="shared" si="270"/>
        <v>0</v>
      </c>
      <c r="LG67" s="12">
        <f t="shared" si="271"/>
        <v>0</v>
      </c>
      <c r="LH67" s="12">
        <f t="shared" si="272"/>
        <v>0</v>
      </c>
      <c r="LI67" s="12">
        <f t="shared" si="273"/>
        <v>0</v>
      </c>
      <c r="LJ67" s="12">
        <f t="shared" si="274"/>
        <v>0</v>
      </c>
      <c r="LK67" s="12">
        <f t="shared" si="275"/>
        <v>0</v>
      </c>
      <c r="LL67" s="12">
        <f t="shared" si="276"/>
        <v>0</v>
      </c>
      <c r="LM67" s="12">
        <f t="shared" si="277"/>
        <v>0</v>
      </c>
      <c r="LN67" s="12">
        <f t="shared" si="278"/>
        <v>0</v>
      </c>
      <c r="LO67" s="12">
        <f t="shared" si="279"/>
        <v>0</v>
      </c>
      <c r="LP67" s="12">
        <f t="shared" si="280"/>
        <v>0</v>
      </c>
      <c r="LQ67" s="12">
        <f t="shared" si="281"/>
        <v>0</v>
      </c>
      <c r="LR67" s="12">
        <f t="shared" si="282"/>
        <v>0</v>
      </c>
      <c r="LS67" s="12">
        <f t="shared" si="283"/>
        <v>0</v>
      </c>
      <c r="LT67" s="13">
        <f t="shared" si="284"/>
        <v>0</v>
      </c>
      <c r="LU67" s="13">
        <f t="shared" si="285"/>
        <v>0</v>
      </c>
      <c r="LV67" s="13">
        <f t="shared" si="286"/>
        <v>0</v>
      </c>
      <c r="LW67" s="13">
        <f t="shared" si="287"/>
        <v>0</v>
      </c>
      <c r="LX67" s="13">
        <f t="shared" si="288"/>
        <v>0</v>
      </c>
      <c r="LY67" s="13">
        <f t="shared" si="289"/>
        <v>0</v>
      </c>
      <c r="LZ67" s="13">
        <f t="shared" si="290"/>
        <v>0</v>
      </c>
      <c r="MA67" s="13">
        <f t="shared" si="291"/>
        <v>0</v>
      </c>
      <c r="MB67" s="13">
        <f t="shared" si="292"/>
        <v>0</v>
      </c>
      <c r="MC67" s="13">
        <f t="shared" si="293"/>
        <v>0</v>
      </c>
      <c r="MD67" s="13">
        <f t="shared" si="294"/>
        <v>0</v>
      </c>
      <c r="ME67" s="13">
        <f t="shared" si="295"/>
        <v>0</v>
      </c>
      <c r="MF67" s="13">
        <f t="shared" si="296"/>
        <v>0</v>
      </c>
      <c r="MG67" s="13">
        <f t="shared" si="297"/>
        <v>0</v>
      </c>
      <c r="MH67" s="13">
        <f t="shared" si="298"/>
        <v>0</v>
      </c>
      <c r="MI67" s="13">
        <f t="shared" si="299"/>
        <v>0</v>
      </c>
      <c r="MJ67" s="13">
        <f t="shared" si="300"/>
        <v>0</v>
      </c>
      <c r="MK67" s="13">
        <f t="shared" si="301"/>
        <v>0</v>
      </c>
      <c r="ML67" s="14">
        <f t="shared" si="302"/>
        <v>0</v>
      </c>
      <c r="MM67" s="14">
        <f t="shared" si="303"/>
        <v>0</v>
      </c>
      <c r="MN67" s="14">
        <f t="shared" si="304"/>
        <v>0</v>
      </c>
      <c r="MO67" s="14">
        <f t="shared" si="305"/>
        <v>0</v>
      </c>
      <c r="MP67" s="14">
        <f t="shared" si="306"/>
        <v>0</v>
      </c>
      <c r="MQ67" s="14">
        <f t="shared" si="307"/>
        <v>0</v>
      </c>
      <c r="MR67" s="14">
        <f t="shared" si="308"/>
        <v>0</v>
      </c>
      <c r="MS67" s="14">
        <f t="shared" si="309"/>
        <v>0</v>
      </c>
      <c r="MT67" s="14">
        <f t="shared" si="310"/>
        <v>0</v>
      </c>
      <c r="MU67" s="14">
        <f t="shared" si="311"/>
        <v>0</v>
      </c>
      <c r="MV67" s="14">
        <f t="shared" si="312"/>
        <v>0</v>
      </c>
      <c r="MW67" s="14">
        <f t="shared" si="313"/>
        <v>0</v>
      </c>
      <c r="MX67" s="14">
        <f t="shared" si="314"/>
        <v>0</v>
      </c>
      <c r="MY67" s="14">
        <f t="shared" si="315"/>
        <v>0</v>
      </c>
      <c r="MZ67" s="14">
        <f t="shared" si="316"/>
        <v>0</v>
      </c>
      <c r="NA67" s="14">
        <f t="shared" si="317"/>
        <v>0</v>
      </c>
      <c r="NB67" s="14">
        <f t="shared" si="318"/>
        <v>0</v>
      </c>
    </row>
    <row r="68" ht="15.75" customHeight="1">
      <c r="A68" s="2">
        <v>334.0</v>
      </c>
      <c r="B68" s="2" t="s">
        <v>1549</v>
      </c>
      <c r="C68" s="2" t="s">
        <v>1550</v>
      </c>
      <c r="D68" s="2" t="s">
        <v>1551</v>
      </c>
      <c r="E68" s="2">
        <v>2013.0</v>
      </c>
      <c r="F68" s="2" t="s">
        <v>1552</v>
      </c>
      <c r="G68" s="2" t="s">
        <v>1553</v>
      </c>
      <c r="H68" s="2" t="s">
        <v>452</v>
      </c>
      <c r="J68" s="2" t="s">
        <v>1554</v>
      </c>
      <c r="K68" s="2" t="s">
        <v>1555</v>
      </c>
      <c r="M68" s="2">
        <v>19.0</v>
      </c>
      <c r="N68" s="2" t="s">
        <v>1556</v>
      </c>
      <c r="O68" s="2" t="s">
        <v>1557</v>
      </c>
      <c r="P68" s="2" t="s">
        <v>1558</v>
      </c>
      <c r="Q68" s="2" t="s">
        <v>1559</v>
      </c>
      <c r="R68" s="2" t="s">
        <v>1560</v>
      </c>
      <c r="S68" s="2" t="s">
        <v>1561</v>
      </c>
      <c r="T68" s="2" t="s">
        <v>1562</v>
      </c>
      <c r="Y68" s="2" t="s">
        <v>1563</v>
      </c>
      <c r="AG68" s="2" t="s">
        <v>1564</v>
      </c>
      <c r="AI68" s="2" t="s">
        <v>1565</v>
      </c>
      <c r="AK68" s="2" t="s">
        <v>1566</v>
      </c>
      <c r="AL68" s="2" t="s">
        <v>384</v>
      </c>
      <c r="AN68" s="2" t="s">
        <v>386</v>
      </c>
      <c r="AO68" s="2" t="s">
        <v>1567</v>
      </c>
      <c r="AP68" s="2" t="s">
        <v>386</v>
      </c>
      <c r="AQ68" s="2">
        <v>1622.0</v>
      </c>
      <c r="AR68" s="2" t="s">
        <v>1551</v>
      </c>
      <c r="AS68" s="2" t="b">
        <v>0</v>
      </c>
      <c r="AT68" s="3">
        <v>0.0</v>
      </c>
      <c r="AU68" s="4"/>
      <c r="AV68" s="4"/>
      <c r="AW68" s="5">
        <f t="shared" si="432"/>
        <v>0</v>
      </c>
      <c r="AX68" s="5">
        <f t="shared" si="4"/>
        <v>0</v>
      </c>
      <c r="AY68" s="5">
        <f t="shared" si="5"/>
        <v>0</v>
      </c>
      <c r="AZ68" s="5">
        <f t="shared" si="6"/>
        <v>0</v>
      </c>
      <c r="BA68" s="5">
        <f t="shared" si="7"/>
        <v>0</v>
      </c>
      <c r="BB68" s="5">
        <f t="shared" si="8"/>
        <v>1</v>
      </c>
      <c r="BC68" s="5">
        <f t="shared" si="9"/>
        <v>0</v>
      </c>
      <c r="BD68" s="5">
        <f t="shared" si="10"/>
        <v>0</v>
      </c>
      <c r="BE68" s="5">
        <f t="shared" si="11"/>
        <v>0</v>
      </c>
      <c r="BF68" s="5">
        <f t="shared" si="12"/>
        <v>0</v>
      </c>
      <c r="BG68" s="5">
        <f t="shared" si="13"/>
        <v>0</v>
      </c>
      <c r="BH68" s="5">
        <f t="shared" si="14"/>
        <v>0</v>
      </c>
      <c r="BI68" s="5">
        <f t="shared" si="15"/>
        <v>0</v>
      </c>
      <c r="BJ68" s="5">
        <f t="shared" si="16"/>
        <v>0</v>
      </c>
      <c r="BK68" s="5">
        <f t="shared" si="17"/>
        <v>0</v>
      </c>
      <c r="BL68" s="5">
        <f t="shared" si="18"/>
        <v>0</v>
      </c>
      <c r="BM68" s="5">
        <f t="shared" si="19"/>
        <v>0</v>
      </c>
      <c r="BN68" s="5">
        <f t="shared" si="20"/>
        <v>0</v>
      </c>
      <c r="BO68" s="5">
        <f t="shared" si="21"/>
        <v>0</v>
      </c>
      <c r="BP68" s="5">
        <f t="shared" si="22"/>
        <v>0</v>
      </c>
      <c r="BQ68" s="5">
        <f t="shared" si="23"/>
        <v>0</v>
      </c>
      <c r="BR68" s="5">
        <f t="shared" si="24"/>
        <v>0</v>
      </c>
      <c r="BS68" s="5">
        <f t="shared" si="25"/>
        <v>0</v>
      </c>
      <c r="BT68" s="5">
        <f t="shared" si="26"/>
        <v>0</v>
      </c>
      <c r="BU68" s="5">
        <f t="shared" si="27"/>
        <v>0</v>
      </c>
      <c r="BV68" s="5">
        <f t="shared" ref="BV68:BW68" si="466">IF(OR(ISNUMBER(SEARCH("grit",$D68)),ISNUMBER(SEARCH("grit",$T68)),ISNUMBER(SEARCH("grit",$R68)),ISNUMBER(SEARCH("grit",$S68)),
ISNUMBER(SEARCH("determination",$D68)),ISNUMBER(SEARCH("determination",$T68)),ISNUMBER(SEARCH("determination",$R68)),ISNUMBER(SEARCH("determination",$S68)),
ISNUMBER(SEARCH("tenacity",$D68)),ISNUMBER(SEARCH("tenacity",$T68)),ISNUMBER(SEARCH("tenacity",$R68)),ISNUMBER(SEARCH("tenacity",$S68)),
ISNUMBER(SEARCH("endurance",$D68)),ISNUMBER(SEARCH("endurance",$T68)),ISNUMBER(SEARCH("endurance",$R68)),ISNUMBER(SEARCH("endurance",$S68)),
ISNUMBER(SEARCH("fortitude",$D68)),ISNUMBER(SEARCH("fortitude",$T68)),ISNUMBER(SEARCH("fortitude",$R68)),ISNUMBER(SEARCH("fortitude",$S68)),
ISNUMBER(SEARCH("resolve",$D68)),ISNUMBER(SEARCH("resolve",$T68)),ISNUMBER(SEARCH("resolve",$R68)),ISNUMBER(SEARCH("resolve",$S68)),
ISNUMBER(SEARCH("stamina",$D68)),ISNUMBER(SEARCH("stamina",$T68)),ISNUMBER(SEARCH("stamina",$R68)),ISNUMBER(SEARCH("stamina",$S68)),
ISNUMBER(SEARCH("guts",$D68)),ISNUMBER(SEARCH("guts",$T68)),ISNUMBER(SEARCH("guts",$R68)),ISNUMBER(SEARCH("guts",$S68)),
ISNUMBER(SEARCH("spunk",$D68)),ISNUMBER(SEARCH("spunk",$T68)),ISNUMBER(SEARCH("spunk",$R68)),ISNUMBER(SEARCH("spunk",$S68))), 1, 0)</f>
        <v>0</v>
      </c>
      <c r="BW68" s="5">
        <f t="shared" si="466"/>
        <v>0</v>
      </c>
      <c r="BX68" s="5">
        <f t="shared" si="29"/>
        <v>0</v>
      </c>
      <c r="BY68" s="5">
        <f t="shared" si="30"/>
        <v>0</v>
      </c>
      <c r="BZ68" s="5">
        <f t="shared" si="31"/>
        <v>0</v>
      </c>
      <c r="CA68" s="5">
        <f t="shared" si="32"/>
        <v>0</v>
      </c>
      <c r="CB68" s="5">
        <f t="shared" si="33"/>
        <v>0</v>
      </c>
      <c r="CC68" s="5">
        <f t="shared" si="34"/>
        <v>0</v>
      </c>
      <c r="CD68" s="5">
        <f t="shared" si="35"/>
        <v>0</v>
      </c>
      <c r="CE68" s="5">
        <f t="shared" si="36"/>
        <v>0</v>
      </c>
      <c r="CF68" s="5">
        <f t="shared" si="37"/>
        <v>0</v>
      </c>
      <c r="CG68" s="5">
        <f t="shared" si="38"/>
        <v>0</v>
      </c>
      <c r="CH68" s="5">
        <f t="shared" si="39"/>
        <v>0</v>
      </c>
      <c r="CI68" s="5">
        <f t="shared" si="40"/>
        <v>0</v>
      </c>
      <c r="CJ68" s="5">
        <f t="shared" si="41"/>
        <v>0</v>
      </c>
      <c r="CK68" s="5">
        <f t="shared" si="42"/>
        <v>0</v>
      </c>
      <c r="CL68" s="5">
        <f t="shared" si="43"/>
        <v>0</v>
      </c>
      <c r="CM68" s="5">
        <f t="shared" si="44"/>
        <v>0</v>
      </c>
      <c r="CN68" s="5">
        <f t="shared" si="45"/>
        <v>0</v>
      </c>
      <c r="CO68" s="5">
        <f t="shared" si="46"/>
        <v>0</v>
      </c>
      <c r="CP68" s="6">
        <f t="shared" si="47"/>
        <v>0</v>
      </c>
      <c r="CQ68" s="6">
        <f t="shared" si="48"/>
        <v>0</v>
      </c>
      <c r="CR68" s="6">
        <f t="shared" si="49"/>
        <v>0</v>
      </c>
      <c r="CS68" s="6">
        <f t="shared" si="50"/>
        <v>0</v>
      </c>
      <c r="CT68" s="6">
        <f t="shared" si="51"/>
        <v>0</v>
      </c>
      <c r="CU68" s="6">
        <f t="shared" si="52"/>
        <v>0</v>
      </c>
      <c r="CV68" s="6">
        <f t="shared" si="53"/>
        <v>0</v>
      </c>
      <c r="CW68" s="6">
        <f t="shared" si="54"/>
        <v>0</v>
      </c>
      <c r="CX68" s="6">
        <f t="shared" si="55"/>
        <v>0</v>
      </c>
      <c r="CY68" s="6">
        <f t="shared" si="56"/>
        <v>0</v>
      </c>
      <c r="CZ68" s="6">
        <f t="shared" si="57"/>
        <v>0</v>
      </c>
      <c r="DA68" s="6">
        <f t="shared" si="58"/>
        <v>1</v>
      </c>
      <c r="DB68" s="6">
        <f t="shared" si="59"/>
        <v>0</v>
      </c>
      <c r="DC68" s="6">
        <f t="shared" si="60"/>
        <v>0</v>
      </c>
      <c r="DD68" s="6">
        <f t="shared" si="61"/>
        <v>0</v>
      </c>
      <c r="DE68" s="6">
        <f t="shared" si="62"/>
        <v>0</v>
      </c>
      <c r="DF68" s="6">
        <f t="shared" si="63"/>
        <v>0</v>
      </c>
      <c r="DG68" s="6">
        <f t="shared" si="64"/>
        <v>1</v>
      </c>
      <c r="DH68" s="6">
        <f t="shared" si="434"/>
        <v>0</v>
      </c>
      <c r="DI68" s="6">
        <f t="shared" si="66"/>
        <v>0</v>
      </c>
      <c r="DJ68" s="6">
        <f t="shared" si="435"/>
        <v>0</v>
      </c>
      <c r="DK68" s="7">
        <f t="shared" si="68"/>
        <v>0</v>
      </c>
      <c r="DL68" s="7">
        <f t="shared" si="411"/>
        <v>0</v>
      </c>
      <c r="DM68" s="7">
        <f t="shared" si="70"/>
        <v>0</v>
      </c>
      <c r="DN68" s="7">
        <f t="shared" si="71"/>
        <v>0</v>
      </c>
      <c r="DO68" s="7">
        <f t="shared" si="72"/>
        <v>1</v>
      </c>
      <c r="DP68" s="8">
        <f t="shared" si="73"/>
        <v>0</v>
      </c>
      <c r="DQ68" s="8">
        <f t="shared" si="74"/>
        <v>0</v>
      </c>
      <c r="DR68" s="7">
        <f t="shared" si="75"/>
        <v>0</v>
      </c>
      <c r="DS68" s="7">
        <f t="shared" si="76"/>
        <v>0</v>
      </c>
      <c r="DT68" s="7">
        <f t="shared" si="77"/>
        <v>0</v>
      </c>
      <c r="DU68" s="9">
        <f t="shared" si="78"/>
        <v>0</v>
      </c>
      <c r="DV68" s="9">
        <f t="shared" si="79"/>
        <v>0</v>
      </c>
      <c r="DW68" s="9">
        <f t="shared" si="80"/>
        <v>0</v>
      </c>
      <c r="DX68" s="9">
        <f t="shared" si="81"/>
        <v>0</v>
      </c>
      <c r="DY68" s="9">
        <f t="shared" si="82"/>
        <v>0</v>
      </c>
      <c r="DZ68" s="9">
        <f t="shared" si="83"/>
        <v>0</v>
      </c>
      <c r="EA68" s="9">
        <f t="shared" si="84"/>
        <v>0</v>
      </c>
      <c r="EB68" s="9">
        <f t="shared" si="85"/>
        <v>0</v>
      </c>
      <c r="EC68" s="9">
        <f t="shared" si="86"/>
        <v>0</v>
      </c>
      <c r="ED68" s="9">
        <f t="shared" si="87"/>
        <v>0</v>
      </c>
      <c r="EE68" s="9">
        <f t="shared" si="88"/>
        <v>0</v>
      </c>
      <c r="EF68" s="9">
        <f t="shared" si="89"/>
        <v>0</v>
      </c>
      <c r="EG68" s="9">
        <f t="shared" si="90"/>
        <v>0</v>
      </c>
      <c r="EH68" s="9">
        <f t="shared" si="91"/>
        <v>0</v>
      </c>
      <c r="EI68" s="9">
        <f t="shared" si="92"/>
        <v>0</v>
      </c>
      <c r="EJ68" s="10">
        <f t="shared" si="93"/>
        <v>0</v>
      </c>
      <c r="EK68" s="10">
        <f t="shared" si="94"/>
        <v>0</v>
      </c>
      <c r="EL68" s="10">
        <f t="shared" ref="EL68:EM68" si="467">IF(OR(ISNUMBER(SEARCH("ai software toolkit", $D68)), ISNUMBER(SEARCH("ai software toolkit", $T68)), ISNUMBER(SEARCH("ai software toolkit", $R68)), ISNUMBER(SEARCH("ai software toolkit", $S68))), 1, 0)</f>
        <v>0</v>
      </c>
      <c r="EM68" s="10">
        <f t="shared" si="467"/>
        <v>0</v>
      </c>
      <c r="EN68" s="10">
        <f t="shared" si="96"/>
        <v>0</v>
      </c>
      <c r="EO68" s="10">
        <f t="shared" si="97"/>
        <v>0</v>
      </c>
      <c r="EP68" s="10">
        <f t="shared" si="98"/>
        <v>0</v>
      </c>
      <c r="EQ68" s="10">
        <f t="shared" si="99"/>
        <v>0</v>
      </c>
      <c r="ER68" s="10">
        <f t="shared" si="100"/>
        <v>0</v>
      </c>
      <c r="ES68" s="10">
        <f t="shared" si="101"/>
        <v>0</v>
      </c>
      <c r="ET68" s="10">
        <f t="shared" si="102"/>
        <v>0</v>
      </c>
      <c r="EU68" s="10">
        <f t="shared" si="103"/>
        <v>0</v>
      </c>
      <c r="EV68" s="10">
        <f t="shared" si="104"/>
        <v>0</v>
      </c>
      <c r="EW68" s="10">
        <f t="shared" si="105"/>
        <v>0</v>
      </c>
      <c r="EX68" s="10">
        <f t="shared" si="106"/>
        <v>0</v>
      </c>
      <c r="EY68" s="10">
        <f t="shared" si="107"/>
        <v>0</v>
      </c>
      <c r="EZ68" s="10">
        <f t="shared" si="108"/>
        <v>0</v>
      </c>
      <c r="FA68" s="10">
        <f t="shared" si="109"/>
        <v>0</v>
      </c>
      <c r="FB68" s="10">
        <f t="shared" si="110"/>
        <v>0</v>
      </c>
      <c r="FC68" s="10">
        <f t="shared" si="111"/>
        <v>0</v>
      </c>
      <c r="FD68" s="10">
        <f t="shared" si="112"/>
        <v>0</v>
      </c>
      <c r="FE68" s="10">
        <f t="shared" si="113"/>
        <v>0</v>
      </c>
      <c r="FF68" s="10">
        <f t="shared" si="114"/>
        <v>0</v>
      </c>
      <c r="FG68" s="10">
        <f t="shared" si="115"/>
        <v>0</v>
      </c>
      <c r="FH68" s="10">
        <f t="shared" si="116"/>
        <v>0</v>
      </c>
      <c r="FI68" s="10">
        <f t="shared" si="117"/>
        <v>0</v>
      </c>
      <c r="FJ68" s="10">
        <f t="shared" si="118"/>
        <v>0</v>
      </c>
      <c r="FK68" s="10">
        <f t="shared" si="119"/>
        <v>0</v>
      </c>
      <c r="FL68" s="10">
        <f t="shared" si="120"/>
        <v>0</v>
      </c>
      <c r="FM68" s="10">
        <f t="shared" si="121"/>
        <v>0</v>
      </c>
      <c r="FN68" s="10">
        <f t="shared" si="122"/>
        <v>0</v>
      </c>
      <c r="FO68" s="10">
        <f t="shared" si="123"/>
        <v>0</v>
      </c>
      <c r="FP68" s="10">
        <f t="shared" si="124"/>
        <v>0</v>
      </c>
      <c r="FQ68" s="10">
        <f t="shared" si="125"/>
        <v>0</v>
      </c>
      <c r="FR68" s="11">
        <f t="shared" ref="FR68:FR82" si="470">IF(
OR(
ISNUMBER(SEARCH("chatbot",$D68)),ISNUMBER(SEARCH("chatbot",$T68)),ISNUMBER(SEARCH("chatbot",#REF!)),ISNUMBER(SEARCH("chatbot",$S68)),
ISNUMBER(SEARCH("virtual assistance",$D68)),ISNUMBER(SEARCH("virtual assistance",$T68)),ISNUMBER(SEARCH("virtual assistance",$R68)),ISNUMBER(SEARCH("virtual assistance",$S68))), 1, 0)</f>
        <v>0</v>
      </c>
      <c r="FS68" s="11">
        <f t="shared" si="127"/>
        <v>0</v>
      </c>
      <c r="FT68" s="11">
        <f t="shared" si="128"/>
        <v>0</v>
      </c>
      <c r="FU68" s="11">
        <f t="shared" si="129"/>
        <v>0</v>
      </c>
      <c r="FV68" s="11">
        <f t="shared" si="130"/>
        <v>0</v>
      </c>
      <c r="FW68" s="11">
        <f t="shared" si="131"/>
        <v>0</v>
      </c>
      <c r="FX68" s="11">
        <f t="shared" si="132"/>
        <v>0</v>
      </c>
      <c r="FY68" s="11">
        <f t="shared" si="133"/>
        <v>0</v>
      </c>
      <c r="FZ68" s="11">
        <f t="shared" si="134"/>
        <v>0</v>
      </c>
      <c r="GA68" s="11">
        <f t="shared" si="135"/>
        <v>0</v>
      </c>
      <c r="GB68" s="11">
        <f t="shared" si="136"/>
        <v>0</v>
      </c>
      <c r="GC68" s="11">
        <f t="shared" si="137"/>
        <v>0</v>
      </c>
      <c r="GD68" s="11">
        <f t="shared" si="138"/>
        <v>0</v>
      </c>
      <c r="GE68" s="11">
        <f t="shared" si="139"/>
        <v>0</v>
      </c>
      <c r="GF68" s="11">
        <f t="shared" si="140"/>
        <v>0</v>
      </c>
      <c r="GG68" s="11">
        <f t="shared" si="141"/>
        <v>0</v>
      </c>
      <c r="GH68" s="11">
        <f t="shared" si="142"/>
        <v>0</v>
      </c>
      <c r="GI68" s="11">
        <f t="shared" si="143"/>
        <v>0</v>
      </c>
      <c r="GJ68" s="11">
        <f t="shared" si="144"/>
        <v>0</v>
      </c>
      <c r="GK68" s="11">
        <f t="shared" si="145"/>
        <v>0</v>
      </c>
      <c r="GL68" s="11">
        <f t="shared" si="146"/>
        <v>0</v>
      </c>
      <c r="GM68" s="11">
        <f t="shared" si="147"/>
        <v>0</v>
      </c>
      <c r="GN68" s="11">
        <f t="shared" si="148"/>
        <v>0</v>
      </c>
      <c r="GO68" s="11">
        <f t="shared" si="149"/>
        <v>0</v>
      </c>
      <c r="GP68" s="11">
        <f t="shared" si="150"/>
        <v>0</v>
      </c>
      <c r="GQ68" s="11">
        <f t="shared" si="151"/>
        <v>0</v>
      </c>
      <c r="GR68" s="11">
        <f t="shared" si="152"/>
        <v>0</v>
      </c>
      <c r="GS68" s="11">
        <f t="shared" si="153"/>
        <v>0</v>
      </c>
      <c r="GT68" s="11">
        <f t="shared" si="154"/>
        <v>1</v>
      </c>
      <c r="GU68" s="12">
        <f t="shared" si="155"/>
        <v>0</v>
      </c>
      <c r="GV68" s="12">
        <f t="shared" si="156"/>
        <v>0</v>
      </c>
      <c r="GW68" s="12">
        <f t="shared" si="157"/>
        <v>0</v>
      </c>
      <c r="GX68" s="12">
        <f t="shared" si="158"/>
        <v>0</v>
      </c>
      <c r="GY68" s="12">
        <f t="shared" si="159"/>
        <v>0</v>
      </c>
      <c r="GZ68" s="12">
        <f t="shared" si="160"/>
        <v>0</v>
      </c>
      <c r="HA68" s="12">
        <f t="shared" si="161"/>
        <v>0</v>
      </c>
      <c r="HB68" s="12">
        <f t="shared" si="162"/>
        <v>0</v>
      </c>
      <c r="HC68" s="12">
        <f t="shared" si="163"/>
        <v>0</v>
      </c>
      <c r="HD68" s="12">
        <f t="shared" si="164"/>
        <v>0</v>
      </c>
      <c r="HE68" s="12">
        <f t="shared" si="165"/>
        <v>0</v>
      </c>
      <c r="HF68" s="12">
        <f t="shared" si="166"/>
        <v>0</v>
      </c>
      <c r="HG68" s="12">
        <f t="shared" si="167"/>
        <v>0</v>
      </c>
      <c r="HH68" s="12">
        <f t="shared" si="168"/>
        <v>0</v>
      </c>
      <c r="HI68" s="12">
        <f t="shared" si="169"/>
        <v>0</v>
      </c>
      <c r="HJ68" s="12">
        <f t="shared" si="170"/>
        <v>0</v>
      </c>
      <c r="HK68" s="12">
        <f t="shared" si="171"/>
        <v>0</v>
      </c>
      <c r="HL68" s="12">
        <f t="shared" si="172"/>
        <v>0</v>
      </c>
      <c r="HM68" s="12">
        <f t="shared" si="173"/>
        <v>0</v>
      </c>
      <c r="HN68" s="12">
        <f t="shared" si="174"/>
        <v>0</v>
      </c>
      <c r="HO68" s="12">
        <f t="shared" si="175"/>
        <v>0</v>
      </c>
      <c r="HP68" s="12">
        <f t="shared" si="176"/>
        <v>0</v>
      </c>
      <c r="HQ68" s="12">
        <f t="shared" si="177"/>
        <v>0</v>
      </c>
      <c r="HR68" s="12">
        <f t="shared" si="178"/>
        <v>0</v>
      </c>
      <c r="HS68" s="12">
        <f t="shared" si="179"/>
        <v>0</v>
      </c>
      <c r="HT68" s="12">
        <f t="shared" si="180"/>
        <v>0</v>
      </c>
      <c r="HU68" s="12">
        <f t="shared" si="181"/>
        <v>0</v>
      </c>
      <c r="HV68" s="12">
        <f t="shared" si="182"/>
        <v>0</v>
      </c>
      <c r="HW68" s="12">
        <f t="shared" si="183"/>
        <v>0</v>
      </c>
      <c r="HX68" s="12">
        <f t="shared" si="184"/>
        <v>0</v>
      </c>
      <c r="HY68" s="12">
        <f t="shared" si="185"/>
        <v>0</v>
      </c>
      <c r="HZ68" s="12">
        <f t="shared" si="186"/>
        <v>0</v>
      </c>
      <c r="IA68" s="12">
        <f t="shared" si="187"/>
        <v>0</v>
      </c>
      <c r="IB68" s="12">
        <f t="shared" si="188"/>
        <v>0</v>
      </c>
      <c r="IC68" s="12">
        <f t="shared" si="189"/>
        <v>0</v>
      </c>
      <c r="ID68" s="12">
        <f t="shared" si="190"/>
        <v>0</v>
      </c>
      <c r="IE68" s="12">
        <f t="shared" si="191"/>
        <v>0</v>
      </c>
      <c r="IF68" s="12">
        <f t="shared" si="192"/>
        <v>0</v>
      </c>
      <c r="IG68" s="12">
        <f t="shared" si="193"/>
        <v>0</v>
      </c>
      <c r="IH68" s="12">
        <f t="shared" si="194"/>
        <v>0</v>
      </c>
      <c r="II68" s="12">
        <f t="shared" si="195"/>
        <v>0</v>
      </c>
      <c r="IJ68" s="12">
        <f t="shared" si="196"/>
        <v>0</v>
      </c>
      <c r="IK68" s="12">
        <f t="shared" si="197"/>
        <v>0</v>
      </c>
      <c r="IL68" s="12">
        <f t="shared" si="198"/>
        <v>0</v>
      </c>
      <c r="IM68" s="12">
        <f t="shared" si="199"/>
        <v>0</v>
      </c>
      <c r="IN68" s="12">
        <f t="shared" si="200"/>
        <v>0</v>
      </c>
      <c r="IO68" s="12">
        <f t="shared" si="201"/>
        <v>0</v>
      </c>
      <c r="IP68" s="12">
        <f t="shared" si="202"/>
        <v>0</v>
      </c>
      <c r="IQ68" s="12">
        <f t="shared" si="203"/>
        <v>0</v>
      </c>
      <c r="IR68" s="12">
        <f t="shared" si="204"/>
        <v>0</v>
      </c>
      <c r="IS68" s="12">
        <f t="shared" si="205"/>
        <v>0</v>
      </c>
      <c r="IT68" s="12">
        <f t="shared" si="206"/>
        <v>0</v>
      </c>
      <c r="IU68" s="12">
        <f t="shared" si="207"/>
        <v>0</v>
      </c>
      <c r="IV68" s="12">
        <f t="shared" si="208"/>
        <v>0</v>
      </c>
      <c r="IW68" s="12">
        <f t="shared" si="209"/>
        <v>0</v>
      </c>
      <c r="IX68" s="12">
        <f t="shared" si="210"/>
        <v>0</v>
      </c>
      <c r="IY68" s="12">
        <f t="shared" si="211"/>
        <v>0</v>
      </c>
      <c r="IZ68" s="12">
        <f t="shared" si="212"/>
        <v>1</v>
      </c>
      <c r="JA68" s="13">
        <f t="shared" si="213"/>
        <v>0</v>
      </c>
      <c r="JB68" s="13">
        <f t="shared" si="214"/>
        <v>0</v>
      </c>
      <c r="JC68" s="13">
        <f t="shared" si="215"/>
        <v>0</v>
      </c>
      <c r="JD68" s="13">
        <f t="shared" si="216"/>
        <v>0</v>
      </c>
      <c r="JE68" s="13">
        <f t="shared" si="217"/>
        <v>0</v>
      </c>
      <c r="JF68" s="13">
        <f t="shared" si="218"/>
        <v>0</v>
      </c>
      <c r="JG68" s="13">
        <f t="shared" si="219"/>
        <v>0</v>
      </c>
      <c r="JH68" s="13">
        <f t="shared" si="220"/>
        <v>0</v>
      </c>
      <c r="JI68" s="13">
        <f t="shared" si="221"/>
        <v>0</v>
      </c>
      <c r="JJ68" s="13">
        <f t="shared" si="222"/>
        <v>0</v>
      </c>
      <c r="JK68" s="13">
        <f t="shared" si="223"/>
        <v>0</v>
      </c>
      <c r="JL68" s="13">
        <f t="shared" si="224"/>
        <v>0</v>
      </c>
      <c r="JM68" s="13">
        <f t="shared" si="225"/>
        <v>0</v>
      </c>
      <c r="JN68" s="13">
        <f t="shared" si="226"/>
        <v>0</v>
      </c>
      <c r="JO68" s="13">
        <f t="shared" si="227"/>
        <v>0</v>
      </c>
      <c r="JP68" s="13">
        <f t="shared" si="228"/>
        <v>0</v>
      </c>
      <c r="JQ68" s="13">
        <f t="shared" si="229"/>
        <v>0</v>
      </c>
      <c r="JR68" s="13">
        <f t="shared" si="230"/>
        <v>0</v>
      </c>
      <c r="JS68" s="13">
        <f t="shared" si="231"/>
        <v>0</v>
      </c>
      <c r="JT68" s="13">
        <f t="shared" si="232"/>
        <v>0</v>
      </c>
      <c r="JU68" s="13">
        <f t="shared" si="233"/>
        <v>0</v>
      </c>
      <c r="JV68" s="12">
        <f t="shared" si="234"/>
        <v>0</v>
      </c>
      <c r="JW68" s="12">
        <f t="shared" si="235"/>
        <v>0</v>
      </c>
      <c r="JX68" s="12">
        <f t="shared" si="236"/>
        <v>0</v>
      </c>
      <c r="JY68" s="12">
        <f t="shared" si="237"/>
        <v>0</v>
      </c>
      <c r="JZ68" s="12">
        <f t="shared" si="238"/>
        <v>0</v>
      </c>
      <c r="KA68" s="12">
        <f t="shared" si="239"/>
        <v>0</v>
      </c>
      <c r="KB68" s="12">
        <f t="shared" si="240"/>
        <v>0</v>
      </c>
      <c r="KC68" s="12">
        <f t="shared" si="241"/>
        <v>0</v>
      </c>
      <c r="KD68" s="12">
        <f t="shared" si="242"/>
        <v>0</v>
      </c>
      <c r="KE68" s="12">
        <f t="shared" si="243"/>
        <v>0</v>
      </c>
      <c r="KF68" s="12">
        <f t="shared" si="244"/>
        <v>0</v>
      </c>
      <c r="KG68" s="12">
        <f t="shared" si="245"/>
        <v>0</v>
      </c>
      <c r="KH68" s="12">
        <f t="shared" si="246"/>
        <v>0</v>
      </c>
      <c r="KI68" s="12">
        <f t="shared" si="247"/>
        <v>0</v>
      </c>
      <c r="KJ68" s="12">
        <f t="shared" si="248"/>
        <v>0</v>
      </c>
      <c r="KK68" s="12">
        <f t="shared" si="249"/>
        <v>0</v>
      </c>
      <c r="KL68" s="12">
        <f t="shared" si="250"/>
        <v>0</v>
      </c>
      <c r="KM68" s="12">
        <f t="shared" si="251"/>
        <v>0</v>
      </c>
      <c r="KN68" s="12">
        <f t="shared" si="252"/>
        <v>0</v>
      </c>
      <c r="KO68" s="12">
        <f t="shared" si="253"/>
        <v>0</v>
      </c>
      <c r="KP68" s="12">
        <f t="shared" si="254"/>
        <v>0</v>
      </c>
      <c r="KQ68" s="12">
        <f t="shared" si="255"/>
        <v>0</v>
      </c>
      <c r="KR68" s="12">
        <f t="shared" si="256"/>
        <v>0</v>
      </c>
      <c r="KS68" s="12">
        <f t="shared" si="257"/>
        <v>0</v>
      </c>
      <c r="KT68" s="12">
        <f t="shared" si="258"/>
        <v>0</v>
      </c>
      <c r="KU68" s="12">
        <f t="shared" si="259"/>
        <v>0</v>
      </c>
      <c r="KV68" s="12">
        <f t="shared" si="260"/>
        <v>0</v>
      </c>
      <c r="KW68" s="12">
        <f t="shared" si="261"/>
        <v>0</v>
      </c>
      <c r="KX68" s="12">
        <f t="shared" si="262"/>
        <v>0</v>
      </c>
      <c r="KY68" s="12">
        <f t="shared" si="263"/>
        <v>0</v>
      </c>
      <c r="KZ68" s="12">
        <f t="shared" si="264"/>
        <v>0</v>
      </c>
      <c r="LA68" s="12">
        <f t="shared" si="265"/>
        <v>0</v>
      </c>
      <c r="LB68" s="12">
        <f t="shared" si="266"/>
        <v>0</v>
      </c>
      <c r="LC68" s="12">
        <f t="shared" si="267"/>
        <v>0</v>
      </c>
      <c r="LD68" s="12">
        <f t="shared" si="268"/>
        <v>0</v>
      </c>
      <c r="LE68" s="12">
        <f t="shared" si="269"/>
        <v>0</v>
      </c>
      <c r="LF68" s="12">
        <f t="shared" si="270"/>
        <v>0</v>
      </c>
      <c r="LG68" s="12">
        <f t="shared" si="271"/>
        <v>0</v>
      </c>
      <c r="LH68" s="12">
        <f t="shared" si="272"/>
        <v>0</v>
      </c>
      <c r="LI68" s="12">
        <f t="shared" si="273"/>
        <v>0</v>
      </c>
      <c r="LJ68" s="12">
        <f t="shared" si="274"/>
        <v>0</v>
      </c>
      <c r="LK68" s="12">
        <f t="shared" si="275"/>
        <v>0</v>
      </c>
      <c r="LL68" s="12">
        <f t="shared" si="276"/>
        <v>0</v>
      </c>
      <c r="LM68" s="12">
        <f t="shared" si="277"/>
        <v>0</v>
      </c>
      <c r="LN68" s="12">
        <f t="shared" si="278"/>
        <v>0</v>
      </c>
      <c r="LO68" s="12">
        <f t="shared" si="279"/>
        <v>0</v>
      </c>
      <c r="LP68" s="12">
        <f t="shared" si="280"/>
        <v>0</v>
      </c>
      <c r="LQ68" s="12">
        <f t="shared" si="281"/>
        <v>0</v>
      </c>
      <c r="LR68" s="12">
        <f t="shared" si="282"/>
        <v>0</v>
      </c>
      <c r="LS68" s="12">
        <f t="shared" si="283"/>
        <v>0</v>
      </c>
      <c r="LT68" s="13">
        <f t="shared" si="284"/>
        <v>0</v>
      </c>
      <c r="LU68" s="13">
        <f t="shared" si="285"/>
        <v>0</v>
      </c>
      <c r="LV68" s="13">
        <f t="shared" si="286"/>
        <v>0</v>
      </c>
      <c r="LW68" s="13">
        <f t="shared" si="287"/>
        <v>0</v>
      </c>
      <c r="LX68" s="13">
        <f t="shared" si="288"/>
        <v>0</v>
      </c>
      <c r="LY68" s="13">
        <f t="shared" si="289"/>
        <v>0</v>
      </c>
      <c r="LZ68" s="13">
        <f t="shared" si="290"/>
        <v>0</v>
      </c>
      <c r="MA68" s="13">
        <f t="shared" si="291"/>
        <v>0</v>
      </c>
      <c r="MB68" s="13">
        <f t="shared" si="292"/>
        <v>0</v>
      </c>
      <c r="MC68" s="13">
        <f t="shared" si="293"/>
        <v>0</v>
      </c>
      <c r="MD68" s="13">
        <f t="shared" si="294"/>
        <v>0</v>
      </c>
      <c r="ME68" s="13">
        <f t="shared" si="295"/>
        <v>0</v>
      </c>
      <c r="MF68" s="13">
        <f t="shared" si="296"/>
        <v>0</v>
      </c>
      <c r="MG68" s="13">
        <f t="shared" si="297"/>
        <v>0</v>
      </c>
      <c r="MH68" s="13">
        <f t="shared" si="298"/>
        <v>0</v>
      </c>
      <c r="MI68" s="13">
        <f t="shared" si="299"/>
        <v>0</v>
      </c>
      <c r="MJ68" s="13">
        <f t="shared" si="300"/>
        <v>0</v>
      </c>
      <c r="MK68" s="13">
        <f t="shared" si="301"/>
        <v>0</v>
      </c>
      <c r="ML68" s="14">
        <f t="shared" si="302"/>
        <v>0</v>
      </c>
      <c r="MM68" s="14">
        <f t="shared" si="303"/>
        <v>0</v>
      </c>
      <c r="MN68" s="14">
        <f t="shared" si="304"/>
        <v>0</v>
      </c>
      <c r="MO68" s="14">
        <f t="shared" si="305"/>
        <v>0</v>
      </c>
      <c r="MP68" s="14">
        <f t="shared" si="306"/>
        <v>0</v>
      </c>
      <c r="MQ68" s="14">
        <f t="shared" si="307"/>
        <v>0</v>
      </c>
      <c r="MR68" s="14">
        <f t="shared" si="308"/>
        <v>0</v>
      </c>
      <c r="MS68" s="14">
        <f t="shared" si="309"/>
        <v>0</v>
      </c>
      <c r="MT68" s="14">
        <f t="shared" si="310"/>
        <v>0</v>
      </c>
      <c r="MU68" s="14">
        <f t="shared" si="311"/>
        <v>0</v>
      </c>
      <c r="MV68" s="14">
        <f t="shared" si="312"/>
        <v>0</v>
      </c>
      <c r="MW68" s="14">
        <f t="shared" si="313"/>
        <v>0</v>
      </c>
      <c r="MX68" s="14">
        <f t="shared" si="314"/>
        <v>0</v>
      </c>
      <c r="MY68" s="14">
        <f t="shared" si="315"/>
        <v>0</v>
      </c>
      <c r="MZ68" s="14">
        <f t="shared" si="316"/>
        <v>0</v>
      </c>
      <c r="NA68" s="14">
        <f t="shared" si="317"/>
        <v>0</v>
      </c>
      <c r="NB68" s="14">
        <f t="shared" si="318"/>
        <v>0</v>
      </c>
    </row>
    <row r="69" ht="15.75" customHeight="1">
      <c r="A69" s="2">
        <v>192.0</v>
      </c>
      <c r="B69" s="2" t="s">
        <v>1568</v>
      </c>
      <c r="C69" s="2" t="s">
        <v>1569</v>
      </c>
      <c r="D69" s="2" t="s">
        <v>1570</v>
      </c>
      <c r="E69" s="2">
        <v>2020.0</v>
      </c>
      <c r="F69" s="2" t="s">
        <v>1571</v>
      </c>
      <c r="G69" s="2" t="s">
        <v>1572</v>
      </c>
      <c r="I69" s="2" t="s">
        <v>1573</v>
      </c>
      <c r="M69" s="2">
        <v>18.0</v>
      </c>
      <c r="N69" s="2" t="s">
        <v>1574</v>
      </c>
      <c r="O69" s="2" t="s">
        <v>1575</v>
      </c>
      <c r="P69" s="2" t="s">
        <v>1576</v>
      </c>
      <c r="Q69" s="2" t="s">
        <v>1577</v>
      </c>
      <c r="R69" s="2" t="s">
        <v>1578</v>
      </c>
      <c r="S69" s="2" t="s">
        <v>1579</v>
      </c>
      <c r="T69" s="2" t="s">
        <v>1580</v>
      </c>
      <c r="Y69" s="2" t="s">
        <v>1581</v>
      </c>
      <c r="AB69" s="2" t="s">
        <v>646</v>
      </c>
      <c r="AG69" s="2" t="s">
        <v>1582</v>
      </c>
      <c r="AI69" s="2" t="s">
        <v>1583</v>
      </c>
      <c r="AK69" s="2" t="s">
        <v>1584</v>
      </c>
      <c r="AL69" s="2" t="s">
        <v>384</v>
      </c>
      <c r="AM69" s="2" t="s">
        <v>579</v>
      </c>
      <c r="AN69" s="2" t="s">
        <v>386</v>
      </c>
      <c r="AO69" s="2" t="s">
        <v>1585</v>
      </c>
      <c r="AP69" s="2" t="s">
        <v>386</v>
      </c>
      <c r="AQ69" s="2">
        <v>794.0</v>
      </c>
      <c r="AR69" s="2" t="s">
        <v>1570</v>
      </c>
      <c r="AS69" s="2" t="b">
        <v>0</v>
      </c>
      <c r="AT69" s="3">
        <v>0.0</v>
      </c>
      <c r="AU69" s="4"/>
      <c r="AV69" s="4"/>
      <c r="AW69" s="5">
        <f t="shared" si="432"/>
        <v>0</v>
      </c>
      <c r="AX69" s="5">
        <f t="shared" si="4"/>
        <v>0</v>
      </c>
      <c r="AY69" s="5">
        <f t="shared" si="5"/>
        <v>0</v>
      </c>
      <c r="AZ69" s="5">
        <f t="shared" si="6"/>
        <v>0</v>
      </c>
      <c r="BA69" s="5">
        <f t="shared" si="7"/>
        <v>0</v>
      </c>
      <c r="BB69" s="5">
        <f t="shared" si="8"/>
        <v>0</v>
      </c>
      <c r="BC69" s="5">
        <f t="shared" si="9"/>
        <v>0</v>
      </c>
      <c r="BD69" s="5">
        <f t="shared" si="10"/>
        <v>0</v>
      </c>
      <c r="BE69" s="5">
        <f t="shared" si="11"/>
        <v>0</v>
      </c>
      <c r="BF69" s="5">
        <f t="shared" si="12"/>
        <v>0</v>
      </c>
      <c r="BG69" s="5">
        <f t="shared" si="13"/>
        <v>0</v>
      </c>
      <c r="BH69" s="5">
        <f t="shared" si="14"/>
        <v>0</v>
      </c>
      <c r="BI69" s="5">
        <f t="shared" si="15"/>
        <v>0</v>
      </c>
      <c r="BJ69" s="5">
        <f t="shared" si="16"/>
        <v>0</v>
      </c>
      <c r="BK69" s="5">
        <f t="shared" si="17"/>
        <v>0</v>
      </c>
      <c r="BL69" s="5">
        <f t="shared" si="18"/>
        <v>0</v>
      </c>
      <c r="BM69" s="5">
        <f t="shared" si="19"/>
        <v>0</v>
      </c>
      <c r="BN69" s="5">
        <f t="shared" si="20"/>
        <v>0</v>
      </c>
      <c r="BO69" s="5">
        <f t="shared" si="21"/>
        <v>0</v>
      </c>
      <c r="BP69" s="5">
        <f t="shared" si="22"/>
        <v>0</v>
      </c>
      <c r="BQ69" s="5">
        <f t="shared" si="23"/>
        <v>0</v>
      </c>
      <c r="BR69" s="5">
        <f t="shared" si="24"/>
        <v>0</v>
      </c>
      <c r="BS69" s="5">
        <f t="shared" si="25"/>
        <v>0</v>
      </c>
      <c r="BT69" s="5">
        <f t="shared" si="26"/>
        <v>0</v>
      </c>
      <c r="BU69" s="5">
        <f t="shared" si="27"/>
        <v>0</v>
      </c>
      <c r="BV69" s="5">
        <f t="shared" ref="BV69:BW69" si="468">IF(OR(ISNUMBER(SEARCH("grit",$D69)),ISNUMBER(SEARCH("grit",$T69)),ISNUMBER(SEARCH("grit",$R69)),ISNUMBER(SEARCH("grit",$S69)),
ISNUMBER(SEARCH("determination",$D69)),ISNUMBER(SEARCH("determination",$T69)),ISNUMBER(SEARCH("determination",$R69)),ISNUMBER(SEARCH("determination",$S69)),
ISNUMBER(SEARCH("tenacity",$D69)),ISNUMBER(SEARCH("tenacity",$T69)),ISNUMBER(SEARCH("tenacity",$R69)),ISNUMBER(SEARCH("tenacity",$S69)),
ISNUMBER(SEARCH("endurance",$D69)),ISNUMBER(SEARCH("endurance",$T69)),ISNUMBER(SEARCH("endurance",$R69)),ISNUMBER(SEARCH("endurance",$S69)),
ISNUMBER(SEARCH("fortitude",$D69)),ISNUMBER(SEARCH("fortitude",$T69)),ISNUMBER(SEARCH("fortitude",$R69)),ISNUMBER(SEARCH("fortitude",$S69)),
ISNUMBER(SEARCH("resolve",$D69)),ISNUMBER(SEARCH("resolve",$T69)),ISNUMBER(SEARCH("resolve",$R69)),ISNUMBER(SEARCH("resolve",$S69)),
ISNUMBER(SEARCH("stamina",$D69)),ISNUMBER(SEARCH("stamina",$T69)),ISNUMBER(SEARCH("stamina",$R69)),ISNUMBER(SEARCH("stamina",$S69)),
ISNUMBER(SEARCH("guts",$D69)),ISNUMBER(SEARCH("guts",$T69)),ISNUMBER(SEARCH("guts",$R69)),ISNUMBER(SEARCH("guts",$S69)),
ISNUMBER(SEARCH("spunk",$D69)),ISNUMBER(SEARCH("spunk",$T69)),ISNUMBER(SEARCH("spunk",$R69)),ISNUMBER(SEARCH("spunk",$S69))), 1, 0)</f>
        <v>0</v>
      </c>
      <c r="BW69" s="5">
        <f t="shared" si="468"/>
        <v>0</v>
      </c>
      <c r="BX69" s="5">
        <f t="shared" si="29"/>
        <v>0</v>
      </c>
      <c r="BY69" s="5">
        <f t="shared" si="30"/>
        <v>0</v>
      </c>
      <c r="BZ69" s="5">
        <f t="shared" si="31"/>
        <v>0</v>
      </c>
      <c r="CA69" s="5">
        <f t="shared" si="32"/>
        <v>0</v>
      </c>
      <c r="CB69" s="5">
        <f t="shared" si="33"/>
        <v>0</v>
      </c>
      <c r="CC69" s="5">
        <f t="shared" si="34"/>
        <v>0</v>
      </c>
      <c r="CD69" s="5">
        <f t="shared" si="35"/>
        <v>0</v>
      </c>
      <c r="CE69" s="5">
        <f t="shared" si="36"/>
        <v>0</v>
      </c>
      <c r="CF69" s="5">
        <f t="shared" si="37"/>
        <v>0</v>
      </c>
      <c r="CG69" s="5">
        <f t="shared" si="38"/>
        <v>0</v>
      </c>
      <c r="CH69" s="5">
        <f t="shared" si="39"/>
        <v>0</v>
      </c>
      <c r="CI69" s="5">
        <f t="shared" si="40"/>
        <v>0</v>
      </c>
      <c r="CJ69" s="5">
        <f t="shared" si="41"/>
        <v>0</v>
      </c>
      <c r="CK69" s="5">
        <f t="shared" si="42"/>
        <v>0</v>
      </c>
      <c r="CL69" s="5">
        <f t="shared" si="43"/>
        <v>0</v>
      </c>
      <c r="CM69" s="5">
        <f t="shared" si="44"/>
        <v>0</v>
      </c>
      <c r="CN69" s="5">
        <f t="shared" si="45"/>
        <v>0</v>
      </c>
      <c r="CO69" s="5">
        <f t="shared" si="46"/>
        <v>0</v>
      </c>
      <c r="CP69" s="6">
        <f t="shared" si="47"/>
        <v>0</v>
      </c>
      <c r="CQ69" s="6">
        <f t="shared" si="48"/>
        <v>0</v>
      </c>
      <c r="CR69" s="6">
        <f t="shared" si="49"/>
        <v>0</v>
      </c>
      <c r="CS69" s="6">
        <f t="shared" si="50"/>
        <v>0</v>
      </c>
      <c r="CT69" s="6">
        <f t="shared" si="51"/>
        <v>0</v>
      </c>
      <c r="CU69" s="6">
        <f t="shared" si="52"/>
        <v>0</v>
      </c>
      <c r="CV69" s="6">
        <f t="shared" si="53"/>
        <v>0</v>
      </c>
      <c r="CW69" s="6">
        <f t="shared" si="54"/>
        <v>0</v>
      </c>
      <c r="CX69" s="6">
        <f t="shared" si="55"/>
        <v>0</v>
      </c>
      <c r="CY69" s="6">
        <f t="shared" si="56"/>
        <v>0</v>
      </c>
      <c r="CZ69" s="6">
        <f t="shared" si="57"/>
        <v>0</v>
      </c>
      <c r="DA69" s="6">
        <f t="shared" si="58"/>
        <v>0</v>
      </c>
      <c r="DB69" s="6">
        <f t="shared" si="59"/>
        <v>0</v>
      </c>
      <c r="DC69" s="6">
        <f t="shared" si="60"/>
        <v>0</v>
      </c>
      <c r="DD69" s="6">
        <f t="shared" si="61"/>
        <v>0</v>
      </c>
      <c r="DE69" s="6">
        <f t="shared" si="62"/>
        <v>0</v>
      </c>
      <c r="DF69" s="6">
        <f t="shared" si="63"/>
        <v>0</v>
      </c>
      <c r="DG69" s="6">
        <f t="shared" si="64"/>
        <v>0</v>
      </c>
      <c r="DH69" s="6">
        <f t="shared" si="434"/>
        <v>0</v>
      </c>
      <c r="DI69" s="6">
        <f t="shared" si="66"/>
        <v>0</v>
      </c>
      <c r="DJ69" s="6">
        <f t="shared" si="435"/>
        <v>0</v>
      </c>
      <c r="DK69" s="7">
        <f t="shared" si="68"/>
        <v>0</v>
      </c>
      <c r="DL69" s="7">
        <f t="shared" si="411"/>
        <v>0</v>
      </c>
      <c r="DM69" s="7">
        <f t="shared" si="70"/>
        <v>0</v>
      </c>
      <c r="DN69" s="7">
        <f t="shared" si="71"/>
        <v>0</v>
      </c>
      <c r="DO69" s="7">
        <f t="shared" si="72"/>
        <v>1</v>
      </c>
      <c r="DP69" s="8">
        <f t="shared" si="73"/>
        <v>0</v>
      </c>
      <c r="DQ69" s="8">
        <f t="shared" si="74"/>
        <v>0</v>
      </c>
      <c r="DR69" s="7">
        <f t="shared" si="75"/>
        <v>0</v>
      </c>
      <c r="DS69" s="7">
        <f t="shared" si="76"/>
        <v>0</v>
      </c>
      <c r="DT69" s="7">
        <f t="shared" si="77"/>
        <v>0</v>
      </c>
      <c r="DU69" s="9">
        <f t="shared" si="78"/>
        <v>0</v>
      </c>
      <c r="DV69" s="9">
        <f t="shared" si="79"/>
        <v>0</v>
      </c>
      <c r="DW69" s="9">
        <f t="shared" si="80"/>
        <v>0</v>
      </c>
      <c r="DX69" s="9">
        <f t="shared" si="81"/>
        <v>0</v>
      </c>
      <c r="DY69" s="9">
        <f t="shared" si="82"/>
        <v>0</v>
      </c>
      <c r="DZ69" s="9">
        <f t="shared" si="83"/>
        <v>0</v>
      </c>
      <c r="EA69" s="9">
        <f t="shared" si="84"/>
        <v>0</v>
      </c>
      <c r="EB69" s="9">
        <f t="shared" si="85"/>
        <v>0</v>
      </c>
      <c r="EC69" s="9">
        <f t="shared" si="86"/>
        <v>0</v>
      </c>
      <c r="ED69" s="9">
        <f t="shared" si="87"/>
        <v>0</v>
      </c>
      <c r="EE69" s="9">
        <f t="shared" si="88"/>
        <v>0</v>
      </c>
      <c r="EF69" s="9">
        <f t="shared" si="89"/>
        <v>0</v>
      </c>
      <c r="EG69" s="9">
        <f t="shared" si="90"/>
        <v>0</v>
      </c>
      <c r="EH69" s="9">
        <f t="shared" si="91"/>
        <v>0</v>
      </c>
      <c r="EI69" s="9">
        <f t="shared" si="92"/>
        <v>0</v>
      </c>
      <c r="EJ69" s="10">
        <f t="shared" si="93"/>
        <v>0</v>
      </c>
      <c r="EK69" s="10">
        <f t="shared" si="94"/>
        <v>0</v>
      </c>
      <c r="EL69" s="10">
        <f t="shared" ref="EL69:EM69" si="469">IF(OR(ISNUMBER(SEARCH("ai software toolkit", $D69)), ISNUMBER(SEARCH("ai software toolkit", $T69)), ISNUMBER(SEARCH("ai software toolkit", $R69)), ISNUMBER(SEARCH("ai software toolkit", $S69))), 1, 0)</f>
        <v>0</v>
      </c>
      <c r="EM69" s="10">
        <f t="shared" si="469"/>
        <v>0</v>
      </c>
      <c r="EN69" s="10">
        <f t="shared" si="96"/>
        <v>0</v>
      </c>
      <c r="EO69" s="10">
        <f t="shared" si="97"/>
        <v>0</v>
      </c>
      <c r="EP69" s="10">
        <f t="shared" si="98"/>
        <v>0</v>
      </c>
      <c r="EQ69" s="10">
        <f t="shared" si="99"/>
        <v>0</v>
      </c>
      <c r="ER69" s="10">
        <f t="shared" si="100"/>
        <v>0</v>
      </c>
      <c r="ES69" s="10">
        <f t="shared" si="101"/>
        <v>0</v>
      </c>
      <c r="ET69" s="10">
        <f t="shared" si="102"/>
        <v>0</v>
      </c>
      <c r="EU69" s="10">
        <f t="shared" si="103"/>
        <v>0</v>
      </c>
      <c r="EV69" s="10">
        <f t="shared" si="104"/>
        <v>0</v>
      </c>
      <c r="EW69" s="10">
        <f t="shared" si="105"/>
        <v>0</v>
      </c>
      <c r="EX69" s="10">
        <f t="shared" si="106"/>
        <v>0</v>
      </c>
      <c r="EY69" s="10">
        <f t="shared" si="107"/>
        <v>0</v>
      </c>
      <c r="EZ69" s="10">
        <f t="shared" si="108"/>
        <v>0</v>
      </c>
      <c r="FA69" s="10">
        <f t="shared" si="109"/>
        <v>0</v>
      </c>
      <c r="FB69" s="10">
        <f t="shared" si="110"/>
        <v>0</v>
      </c>
      <c r="FC69" s="10">
        <f t="shared" si="111"/>
        <v>0</v>
      </c>
      <c r="FD69" s="10">
        <f t="shared" si="112"/>
        <v>0</v>
      </c>
      <c r="FE69" s="10">
        <f t="shared" si="113"/>
        <v>0</v>
      </c>
      <c r="FF69" s="10">
        <f t="shared" si="114"/>
        <v>0</v>
      </c>
      <c r="FG69" s="10">
        <f t="shared" si="115"/>
        <v>0</v>
      </c>
      <c r="FH69" s="10">
        <f t="shared" si="116"/>
        <v>0</v>
      </c>
      <c r="FI69" s="10">
        <f t="shared" si="117"/>
        <v>0</v>
      </c>
      <c r="FJ69" s="10">
        <f t="shared" si="118"/>
        <v>0</v>
      </c>
      <c r="FK69" s="10">
        <f t="shared" si="119"/>
        <v>0</v>
      </c>
      <c r="FL69" s="10">
        <f t="shared" si="120"/>
        <v>0</v>
      </c>
      <c r="FM69" s="10">
        <f t="shared" si="121"/>
        <v>0</v>
      </c>
      <c r="FN69" s="10">
        <f t="shared" si="122"/>
        <v>0</v>
      </c>
      <c r="FO69" s="10">
        <f t="shared" si="123"/>
        <v>0</v>
      </c>
      <c r="FP69" s="10">
        <f t="shared" si="124"/>
        <v>0</v>
      </c>
      <c r="FQ69" s="10">
        <f t="shared" si="125"/>
        <v>0</v>
      </c>
      <c r="FR69" s="11">
        <f t="shared" si="470"/>
        <v>0</v>
      </c>
      <c r="FS69" s="11">
        <f t="shared" si="127"/>
        <v>0</v>
      </c>
      <c r="FT69" s="11">
        <f t="shared" si="128"/>
        <v>0</v>
      </c>
      <c r="FU69" s="11">
        <f t="shared" si="129"/>
        <v>0</v>
      </c>
      <c r="FV69" s="11">
        <f t="shared" si="130"/>
        <v>0</v>
      </c>
      <c r="FW69" s="11">
        <f t="shared" si="131"/>
        <v>0</v>
      </c>
      <c r="FX69" s="11">
        <f t="shared" si="132"/>
        <v>0</v>
      </c>
      <c r="FY69" s="11">
        <f t="shared" si="133"/>
        <v>0</v>
      </c>
      <c r="FZ69" s="11">
        <f t="shared" si="134"/>
        <v>0</v>
      </c>
      <c r="GA69" s="11">
        <f t="shared" si="135"/>
        <v>0</v>
      </c>
      <c r="GB69" s="11">
        <f t="shared" si="136"/>
        <v>0</v>
      </c>
      <c r="GC69" s="11">
        <f t="shared" si="137"/>
        <v>0</v>
      </c>
      <c r="GD69" s="11">
        <f t="shared" si="138"/>
        <v>0</v>
      </c>
      <c r="GE69" s="11">
        <f t="shared" si="139"/>
        <v>0</v>
      </c>
      <c r="GF69" s="11">
        <f t="shared" si="140"/>
        <v>0</v>
      </c>
      <c r="GG69" s="11">
        <f t="shared" si="141"/>
        <v>0</v>
      </c>
      <c r="GH69" s="11">
        <f t="shared" si="142"/>
        <v>0</v>
      </c>
      <c r="GI69" s="11">
        <f t="shared" si="143"/>
        <v>0</v>
      </c>
      <c r="GJ69" s="11">
        <f t="shared" si="144"/>
        <v>0</v>
      </c>
      <c r="GK69" s="11">
        <f t="shared" si="145"/>
        <v>0</v>
      </c>
      <c r="GL69" s="11">
        <f t="shared" si="146"/>
        <v>0</v>
      </c>
      <c r="GM69" s="11">
        <f t="shared" si="147"/>
        <v>0</v>
      </c>
      <c r="GN69" s="11">
        <f t="shared" si="148"/>
        <v>0</v>
      </c>
      <c r="GO69" s="11">
        <f t="shared" si="149"/>
        <v>0</v>
      </c>
      <c r="GP69" s="11">
        <f t="shared" si="150"/>
        <v>0</v>
      </c>
      <c r="GQ69" s="11">
        <f t="shared" si="151"/>
        <v>0</v>
      </c>
      <c r="GR69" s="11">
        <f t="shared" si="152"/>
        <v>0</v>
      </c>
      <c r="GS69" s="11">
        <f t="shared" si="153"/>
        <v>0</v>
      </c>
      <c r="GT69" s="11">
        <f t="shared" si="154"/>
        <v>0</v>
      </c>
      <c r="GU69" s="12">
        <f t="shared" si="155"/>
        <v>0</v>
      </c>
      <c r="GV69" s="12">
        <f t="shared" si="156"/>
        <v>0</v>
      </c>
      <c r="GW69" s="12">
        <f t="shared" si="157"/>
        <v>0</v>
      </c>
      <c r="GX69" s="12">
        <f t="shared" si="158"/>
        <v>0</v>
      </c>
      <c r="GY69" s="12">
        <f t="shared" si="159"/>
        <v>0</v>
      </c>
      <c r="GZ69" s="12">
        <f t="shared" si="160"/>
        <v>0</v>
      </c>
      <c r="HA69" s="12">
        <f t="shared" si="161"/>
        <v>0</v>
      </c>
      <c r="HB69" s="12">
        <f t="shared" si="162"/>
        <v>0</v>
      </c>
      <c r="HC69" s="12">
        <f t="shared" si="163"/>
        <v>0</v>
      </c>
      <c r="HD69" s="12">
        <f t="shared" si="164"/>
        <v>0</v>
      </c>
      <c r="HE69" s="12">
        <f t="shared" si="165"/>
        <v>0</v>
      </c>
      <c r="HF69" s="12">
        <f t="shared" si="166"/>
        <v>0</v>
      </c>
      <c r="HG69" s="12">
        <f t="shared" si="167"/>
        <v>0</v>
      </c>
      <c r="HH69" s="12">
        <f t="shared" si="168"/>
        <v>0</v>
      </c>
      <c r="HI69" s="12">
        <f t="shared" si="169"/>
        <v>0</v>
      </c>
      <c r="HJ69" s="12">
        <f t="shared" si="170"/>
        <v>0</v>
      </c>
      <c r="HK69" s="12">
        <f t="shared" si="171"/>
        <v>0</v>
      </c>
      <c r="HL69" s="12">
        <f t="shared" si="172"/>
        <v>0</v>
      </c>
      <c r="HM69" s="12">
        <f t="shared" si="173"/>
        <v>0</v>
      </c>
      <c r="HN69" s="12">
        <f t="shared" si="174"/>
        <v>0</v>
      </c>
      <c r="HO69" s="12">
        <f t="shared" si="175"/>
        <v>0</v>
      </c>
      <c r="HP69" s="12">
        <f t="shared" si="176"/>
        <v>0</v>
      </c>
      <c r="HQ69" s="12">
        <f t="shared" si="177"/>
        <v>0</v>
      </c>
      <c r="HR69" s="12">
        <f t="shared" si="178"/>
        <v>0</v>
      </c>
      <c r="HS69" s="12">
        <f t="shared" si="179"/>
        <v>0</v>
      </c>
      <c r="HT69" s="12">
        <f t="shared" si="180"/>
        <v>0</v>
      </c>
      <c r="HU69" s="12">
        <f t="shared" si="181"/>
        <v>0</v>
      </c>
      <c r="HV69" s="12">
        <f t="shared" si="182"/>
        <v>0</v>
      </c>
      <c r="HW69" s="12">
        <f t="shared" si="183"/>
        <v>0</v>
      </c>
      <c r="HX69" s="12">
        <f t="shared" si="184"/>
        <v>0</v>
      </c>
      <c r="HY69" s="12">
        <f t="shared" si="185"/>
        <v>0</v>
      </c>
      <c r="HZ69" s="12">
        <f t="shared" si="186"/>
        <v>0</v>
      </c>
      <c r="IA69" s="12">
        <f t="shared" si="187"/>
        <v>0</v>
      </c>
      <c r="IB69" s="12">
        <f t="shared" si="188"/>
        <v>0</v>
      </c>
      <c r="IC69" s="12">
        <f t="shared" si="189"/>
        <v>0</v>
      </c>
      <c r="ID69" s="12">
        <f t="shared" si="190"/>
        <v>0</v>
      </c>
      <c r="IE69" s="12">
        <f t="shared" si="191"/>
        <v>0</v>
      </c>
      <c r="IF69" s="12">
        <f t="shared" si="192"/>
        <v>0</v>
      </c>
      <c r="IG69" s="12">
        <f t="shared" si="193"/>
        <v>0</v>
      </c>
      <c r="IH69" s="12">
        <f t="shared" si="194"/>
        <v>0</v>
      </c>
      <c r="II69" s="12">
        <f t="shared" si="195"/>
        <v>0</v>
      </c>
      <c r="IJ69" s="12">
        <f t="shared" si="196"/>
        <v>0</v>
      </c>
      <c r="IK69" s="12">
        <f t="shared" si="197"/>
        <v>0</v>
      </c>
      <c r="IL69" s="12">
        <f t="shared" si="198"/>
        <v>0</v>
      </c>
      <c r="IM69" s="12">
        <f t="shared" si="199"/>
        <v>0</v>
      </c>
      <c r="IN69" s="12">
        <f t="shared" si="200"/>
        <v>0</v>
      </c>
      <c r="IO69" s="12">
        <f t="shared" si="201"/>
        <v>0</v>
      </c>
      <c r="IP69" s="12">
        <f t="shared" si="202"/>
        <v>0</v>
      </c>
      <c r="IQ69" s="12">
        <f t="shared" si="203"/>
        <v>0</v>
      </c>
      <c r="IR69" s="12">
        <f t="shared" si="204"/>
        <v>0</v>
      </c>
      <c r="IS69" s="12">
        <f t="shared" si="205"/>
        <v>0</v>
      </c>
      <c r="IT69" s="12">
        <f t="shared" si="206"/>
        <v>0</v>
      </c>
      <c r="IU69" s="12">
        <f t="shared" si="207"/>
        <v>0</v>
      </c>
      <c r="IV69" s="12">
        <f t="shared" si="208"/>
        <v>0</v>
      </c>
      <c r="IW69" s="12">
        <f t="shared" si="209"/>
        <v>0</v>
      </c>
      <c r="IX69" s="12">
        <f t="shared" si="210"/>
        <v>0</v>
      </c>
      <c r="IY69" s="12">
        <f t="shared" si="211"/>
        <v>0</v>
      </c>
      <c r="IZ69" s="12">
        <f t="shared" si="212"/>
        <v>1</v>
      </c>
      <c r="JA69" s="13">
        <f t="shared" si="213"/>
        <v>0</v>
      </c>
      <c r="JB69" s="13">
        <f t="shared" si="214"/>
        <v>0</v>
      </c>
      <c r="JC69" s="13">
        <f t="shared" si="215"/>
        <v>0</v>
      </c>
      <c r="JD69" s="13">
        <f t="shared" si="216"/>
        <v>0</v>
      </c>
      <c r="JE69" s="13">
        <f t="shared" si="217"/>
        <v>0</v>
      </c>
      <c r="JF69" s="13">
        <f t="shared" si="218"/>
        <v>0</v>
      </c>
      <c r="JG69" s="13">
        <f t="shared" si="219"/>
        <v>0</v>
      </c>
      <c r="JH69" s="13">
        <f t="shared" si="220"/>
        <v>0</v>
      </c>
      <c r="JI69" s="13">
        <f t="shared" si="221"/>
        <v>0</v>
      </c>
      <c r="JJ69" s="13">
        <f t="shared" si="222"/>
        <v>0</v>
      </c>
      <c r="JK69" s="13">
        <f t="shared" si="223"/>
        <v>0</v>
      </c>
      <c r="JL69" s="13">
        <f t="shared" si="224"/>
        <v>0</v>
      </c>
      <c r="JM69" s="13">
        <f t="shared" si="225"/>
        <v>0</v>
      </c>
      <c r="JN69" s="13">
        <f t="shared" si="226"/>
        <v>0</v>
      </c>
      <c r="JO69" s="13">
        <f t="shared" si="227"/>
        <v>0</v>
      </c>
      <c r="JP69" s="13">
        <f t="shared" si="228"/>
        <v>0</v>
      </c>
      <c r="JQ69" s="13">
        <f t="shared" si="229"/>
        <v>0</v>
      </c>
      <c r="JR69" s="13">
        <f t="shared" si="230"/>
        <v>0</v>
      </c>
      <c r="JS69" s="13">
        <f t="shared" si="231"/>
        <v>0</v>
      </c>
      <c r="JT69" s="13">
        <f t="shared" si="232"/>
        <v>0</v>
      </c>
      <c r="JU69" s="13">
        <f t="shared" si="233"/>
        <v>0</v>
      </c>
      <c r="JV69" s="12">
        <f t="shared" si="234"/>
        <v>0</v>
      </c>
      <c r="JW69" s="12">
        <f t="shared" si="235"/>
        <v>0</v>
      </c>
      <c r="JX69" s="12">
        <f t="shared" si="236"/>
        <v>0</v>
      </c>
      <c r="JY69" s="12">
        <f t="shared" si="237"/>
        <v>0</v>
      </c>
      <c r="JZ69" s="12">
        <f t="shared" si="238"/>
        <v>0</v>
      </c>
      <c r="KA69" s="12">
        <f t="shared" si="239"/>
        <v>0</v>
      </c>
      <c r="KB69" s="12">
        <f t="shared" si="240"/>
        <v>0</v>
      </c>
      <c r="KC69" s="12">
        <f t="shared" si="241"/>
        <v>0</v>
      </c>
      <c r="KD69" s="12">
        <f t="shared" si="242"/>
        <v>0</v>
      </c>
      <c r="KE69" s="12">
        <f t="shared" si="243"/>
        <v>0</v>
      </c>
      <c r="KF69" s="12">
        <f t="shared" si="244"/>
        <v>0</v>
      </c>
      <c r="KG69" s="12">
        <f t="shared" si="245"/>
        <v>0</v>
      </c>
      <c r="KH69" s="12">
        <f t="shared" si="246"/>
        <v>0</v>
      </c>
      <c r="KI69" s="12">
        <f t="shared" si="247"/>
        <v>0</v>
      </c>
      <c r="KJ69" s="12">
        <f t="shared" si="248"/>
        <v>0</v>
      </c>
      <c r="KK69" s="12">
        <f t="shared" si="249"/>
        <v>0</v>
      </c>
      <c r="KL69" s="12">
        <f t="shared" si="250"/>
        <v>0</v>
      </c>
      <c r="KM69" s="12">
        <f t="shared" si="251"/>
        <v>0</v>
      </c>
      <c r="KN69" s="12">
        <f t="shared" si="252"/>
        <v>0</v>
      </c>
      <c r="KO69" s="12">
        <f t="shared" si="253"/>
        <v>0</v>
      </c>
      <c r="KP69" s="12">
        <f t="shared" si="254"/>
        <v>0</v>
      </c>
      <c r="KQ69" s="12">
        <f t="shared" si="255"/>
        <v>0</v>
      </c>
      <c r="KR69" s="12">
        <f t="shared" si="256"/>
        <v>0</v>
      </c>
      <c r="KS69" s="12">
        <f t="shared" si="257"/>
        <v>0</v>
      </c>
      <c r="KT69" s="12">
        <f t="shared" si="258"/>
        <v>0</v>
      </c>
      <c r="KU69" s="12">
        <f t="shared" si="259"/>
        <v>0</v>
      </c>
      <c r="KV69" s="12">
        <f t="shared" si="260"/>
        <v>0</v>
      </c>
      <c r="KW69" s="12">
        <f t="shared" si="261"/>
        <v>0</v>
      </c>
      <c r="KX69" s="12">
        <f t="shared" si="262"/>
        <v>0</v>
      </c>
      <c r="KY69" s="12">
        <f t="shared" si="263"/>
        <v>0</v>
      </c>
      <c r="KZ69" s="12">
        <f t="shared" si="264"/>
        <v>0</v>
      </c>
      <c r="LA69" s="12">
        <f t="shared" si="265"/>
        <v>0</v>
      </c>
      <c r="LB69" s="12">
        <f t="shared" si="266"/>
        <v>0</v>
      </c>
      <c r="LC69" s="12">
        <f t="shared" si="267"/>
        <v>0</v>
      </c>
      <c r="LD69" s="12">
        <f t="shared" si="268"/>
        <v>0</v>
      </c>
      <c r="LE69" s="12">
        <f t="shared" si="269"/>
        <v>0</v>
      </c>
      <c r="LF69" s="12">
        <f t="shared" si="270"/>
        <v>0</v>
      </c>
      <c r="LG69" s="12">
        <f t="shared" si="271"/>
        <v>0</v>
      </c>
      <c r="LH69" s="12">
        <f t="shared" si="272"/>
        <v>0</v>
      </c>
      <c r="LI69" s="12">
        <f t="shared" si="273"/>
        <v>0</v>
      </c>
      <c r="LJ69" s="12">
        <f t="shared" si="274"/>
        <v>0</v>
      </c>
      <c r="LK69" s="12">
        <f t="shared" si="275"/>
        <v>0</v>
      </c>
      <c r="LL69" s="12">
        <f t="shared" si="276"/>
        <v>0</v>
      </c>
      <c r="LM69" s="12">
        <f t="shared" si="277"/>
        <v>0</v>
      </c>
      <c r="LN69" s="12">
        <f t="shared" si="278"/>
        <v>0</v>
      </c>
      <c r="LO69" s="12">
        <f t="shared" si="279"/>
        <v>0</v>
      </c>
      <c r="LP69" s="12">
        <f t="shared" si="280"/>
        <v>0</v>
      </c>
      <c r="LQ69" s="12">
        <f t="shared" si="281"/>
        <v>0</v>
      </c>
      <c r="LR69" s="12">
        <f t="shared" si="282"/>
        <v>0</v>
      </c>
      <c r="LS69" s="12">
        <f t="shared" si="283"/>
        <v>0</v>
      </c>
      <c r="LT69" s="13">
        <f t="shared" si="284"/>
        <v>0</v>
      </c>
      <c r="LU69" s="13">
        <f t="shared" si="285"/>
        <v>0</v>
      </c>
      <c r="LV69" s="13">
        <f t="shared" si="286"/>
        <v>0</v>
      </c>
      <c r="LW69" s="13">
        <f t="shared" si="287"/>
        <v>0</v>
      </c>
      <c r="LX69" s="13">
        <f t="shared" si="288"/>
        <v>0</v>
      </c>
      <c r="LY69" s="13">
        <f t="shared" si="289"/>
        <v>0</v>
      </c>
      <c r="LZ69" s="13">
        <f t="shared" si="290"/>
        <v>0</v>
      </c>
      <c r="MA69" s="13">
        <f t="shared" si="291"/>
        <v>0</v>
      </c>
      <c r="MB69" s="13">
        <f t="shared" si="292"/>
        <v>0</v>
      </c>
      <c r="MC69" s="13">
        <f t="shared" si="293"/>
        <v>0</v>
      </c>
      <c r="MD69" s="13">
        <f t="shared" si="294"/>
        <v>0</v>
      </c>
      <c r="ME69" s="13">
        <f t="shared" si="295"/>
        <v>0</v>
      </c>
      <c r="MF69" s="13">
        <f t="shared" si="296"/>
        <v>0</v>
      </c>
      <c r="MG69" s="13">
        <f t="shared" si="297"/>
        <v>0</v>
      </c>
      <c r="MH69" s="13">
        <f t="shared" si="298"/>
        <v>0</v>
      </c>
      <c r="MI69" s="13">
        <f t="shared" si="299"/>
        <v>0</v>
      </c>
      <c r="MJ69" s="13">
        <f t="shared" si="300"/>
        <v>0</v>
      </c>
      <c r="MK69" s="13">
        <f t="shared" si="301"/>
        <v>0</v>
      </c>
      <c r="ML69" s="14">
        <f t="shared" si="302"/>
        <v>0</v>
      </c>
      <c r="MM69" s="14">
        <f t="shared" si="303"/>
        <v>0</v>
      </c>
      <c r="MN69" s="14">
        <f t="shared" si="304"/>
        <v>0</v>
      </c>
      <c r="MO69" s="14">
        <f t="shared" si="305"/>
        <v>1</v>
      </c>
      <c r="MP69" s="14">
        <f t="shared" si="306"/>
        <v>1</v>
      </c>
      <c r="MQ69" s="14">
        <f t="shared" si="307"/>
        <v>0</v>
      </c>
      <c r="MR69" s="14">
        <f t="shared" si="308"/>
        <v>0</v>
      </c>
      <c r="MS69" s="14">
        <f t="shared" si="309"/>
        <v>0</v>
      </c>
      <c r="MT69" s="14">
        <f t="shared" si="310"/>
        <v>0</v>
      </c>
      <c r="MU69" s="14">
        <f t="shared" si="311"/>
        <v>0</v>
      </c>
      <c r="MV69" s="14">
        <f t="shared" si="312"/>
        <v>0</v>
      </c>
      <c r="MW69" s="14">
        <f t="shared" si="313"/>
        <v>0</v>
      </c>
      <c r="MX69" s="14">
        <f t="shared" si="314"/>
        <v>0</v>
      </c>
      <c r="MY69" s="14">
        <f t="shared" si="315"/>
        <v>0</v>
      </c>
      <c r="MZ69" s="14">
        <f t="shared" si="316"/>
        <v>0</v>
      </c>
      <c r="NA69" s="14">
        <f t="shared" si="317"/>
        <v>0</v>
      </c>
      <c r="NB69" s="14">
        <f t="shared" si="318"/>
        <v>0</v>
      </c>
    </row>
    <row r="70" ht="15.75" customHeight="1">
      <c r="A70" s="2">
        <v>421.0</v>
      </c>
      <c r="B70" s="2" t="s">
        <v>1586</v>
      </c>
      <c r="C70" s="2" t="s">
        <v>1587</v>
      </c>
      <c r="D70" s="2" t="s">
        <v>1588</v>
      </c>
      <c r="E70" s="2">
        <v>2012.0</v>
      </c>
      <c r="F70" s="2" t="s">
        <v>1028</v>
      </c>
      <c r="H70" s="2" t="s">
        <v>1589</v>
      </c>
      <c r="M70" s="2">
        <v>18.0</v>
      </c>
      <c r="O70" s="2" t="s">
        <v>1590</v>
      </c>
      <c r="P70" s="2" t="s">
        <v>1591</v>
      </c>
      <c r="Q70" s="2" t="s">
        <v>1592</v>
      </c>
      <c r="R70" s="2" t="s">
        <v>1593</v>
      </c>
      <c r="S70" s="2" t="s">
        <v>1594</v>
      </c>
      <c r="T70" s="2" t="s">
        <v>1595</v>
      </c>
      <c r="Y70" s="2" t="s">
        <v>1596</v>
      </c>
      <c r="AB70" s="2" t="s">
        <v>1597</v>
      </c>
      <c r="AG70" s="2" t="s">
        <v>1040</v>
      </c>
      <c r="AK70" s="2" t="s">
        <v>1041</v>
      </c>
      <c r="AL70" s="2" t="s">
        <v>384</v>
      </c>
      <c r="AN70" s="2" t="s">
        <v>386</v>
      </c>
      <c r="AO70" s="2" t="s">
        <v>1598</v>
      </c>
      <c r="AP70" s="2" t="s">
        <v>386</v>
      </c>
      <c r="AQ70" s="2">
        <v>1652.0</v>
      </c>
      <c r="AR70" s="2" t="s">
        <v>1599</v>
      </c>
      <c r="AS70" s="2" t="b">
        <v>0</v>
      </c>
      <c r="AT70" s="3">
        <v>0.0</v>
      </c>
      <c r="AU70" s="4">
        <v>1.0</v>
      </c>
      <c r="AV70" s="4"/>
      <c r="AW70" s="5">
        <f t="shared" si="432"/>
        <v>0</v>
      </c>
      <c r="AX70" s="5">
        <f t="shared" si="4"/>
        <v>0</v>
      </c>
      <c r="AY70" s="5">
        <f t="shared" si="5"/>
        <v>0</v>
      </c>
      <c r="AZ70" s="5">
        <f t="shared" si="6"/>
        <v>0</v>
      </c>
      <c r="BA70" s="5">
        <f t="shared" si="7"/>
        <v>0</v>
      </c>
      <c r="BB70" s="5">
        <f t="shared" si="8"/>
        <v>0</v>
      </c>
      <c r="BC70" s="5">
        <f t="shared" si="9"/>
        <v>0</v>
      </c>
      <c r="BD70" s="5">
        <f t="shared" si="10"/>
        <v>0</v>
      </c>
      <c r="BE70" s="5">
        <f t="shared" si="11"/>
        <v>0</v>
      </c>
      <c r="BF70" s="5">
        <f t="shared" si="12"/>
        <v>0</v>
      </c>
      <c r="BG70" s="5">
        <f t="shared" si="13"/>
        <v>0</v>
      </c>
      <c r="BH70" s="5">
        <f t="shared" si="14"/>
        <v>0</v>
      </c>
      <c r="BI70" s="5">
        <f t="shared" si="15"/>
        <v>0</v>
      </c>
      <c r="BJ70" s="5">
        <f t="shared" si="16"/>
        <v>0</v>
      </c>
      <c r="BK70" s="5">
        <f t="shared" si="17"/>
        <v>0</v>
      </c>
      <c r="BL70" s="5">
        <f t="shared" si="18"/>
        <v>0</v>
      </c>
      <c r="BM70" s="5">
        <f t="shared" si="19"/>
        <v>0</v>
      </c>
      <c r="BN70" s="5">
        <f t="shared" si="20"/>
        <v>0</v>
      </c>
      <c r="BO70" s="5">
        <f t="shared" si="21"/>
        <v>0</v>
      </c>
      <c r="BP70" s="5">
        <f t="shared" si="22"/>
        <v>0</v>
      </c>
      <c r="BQ70" s="5">
        <f t="shared" si="23"/>
        <v>0</v>
      </c>
      <c r="BR70" s="5">
        <f t="shared" si="24"/>
        <v>0</v>
      </c>
      <c r="BS70" s="5">
        <f t="shared" si="25"/>
        <v>0</v>
      </c>
      <c r="BT70" s="5">
        <f t="shared" si="26"/>
        <v>0</v>
      </c>
      <c r="BU70" s="5">
        <f t="shared" si="27"/>
        <v>0</v>
      </c>
      <c r="BV70" s="5">
        <f t="shared" ref="BV70:BW70" si="471">IF(OR(ISNUMBER(SEARCH("grit",$D70)),ISNUMBER(SEARCH("grit",$T70)),ISNUMBER(SEARCH("grit",$R70)),ISNUMBER(SEARCH("grit",$S70)),
ISNUMBER(SEARCH("determination",$D70)),ISNUMBER(SEARCH("determination",$T70)),ISNUMBER(SEARCH("determination",$R70)),ISNUMBER(SEARCH("determination",$S70)),
ISNUMBER(SEARCH("tenacity",$D70)),ISNUMBER(SEARCH("tenacity",$T70)),ISNUMBER(SEARCH("tenacity",$R70)),ISNUMBER(SEARCH("tenacity",$S70)),
ISNUMBER(SEARCH("endurance",$D70)),ISNUMBER(SEARCH("endurance",$T70)),ISNUMBER(SEARCH("endurance",$R70)),ISNUMBER(SEARCH("endurance",$S70)),
ISNUMBER(SEARCH("fortitude",$D70)),ISNUMBER(SEARCH("fortitude",$T70)),ISNUMBER(SEARCH("fortitude",$R70)),ISNUMBER(SEARCH("fortitude",$S70)),
ISNUMBER(SEARCH("resolve",$D70)),ISNUMBER(SEARCH("resolve",$T70)),ISNUMBER(SEARCH("resolve",$R70)),ISNUMBER(SEARCH("resolve",$S70)),
ISNUMBER(SEARCH("stamina",$D70)),ISNUMBER(SEARCH("stamina",$T70)),ISNUMBER(SEARCH("stamina",$R70)),ISNUMBER(SEARCH("stamina",$S70)),
ISNUMBER(SEARCH("guts",$D70)),ISNUMBER(SEARCH("guts",$T70)),ISNUMBER(SEARCH("guts",$R70)),ISNUMBER(SEARCH("guts",$S70)),
ISNUMBER(SEARCH("spunk",$D70)),ISNUMBER(SEARCH("spunk",$T70)),ISNUMBER(SEARCH("spunk",$R70)),ISNUMBER(SEARCH("spunk",$S70))), 1, 0)</f>
        <v>0</v>
      </c>
      <c r="BW70" s="5">
        <f t="shared" si="471"/>
        <v>0</v>
      </c>
      <c r="BX70" s="5">
        <f t="shared" si="29"/>
        <v>0</v>
      </c>
      <c r="BY70" s="5">
        <f t="shared" si="30"/>
        <v>0</v>
      </c>
      <c r="BZ70" s="5">
        <f t="shared" si="31"/>
        <v>0</v>
      </c>
      <c r="CA70" s="5">
        <f t="shared" si="32"/>
        <v>0</v>
      </c>
      <c r="CB70" s="5">
        <f t="shared" si="33"/>
        <v>0</v>
      </c>
      <c r="CC70" s="5">
        <f t="shared" si="34"/>
        <v>0</v>
      </c>
      <c r="CD70" s="5">
        <f t="shared" si="35"/>
        <v>0</v>
      </c>
      <c r="CE70" s="5">
        <f t="shared" si="36"/>
        <v>0</v>
      </c>
      <c r="CF70" s="5">
        <f t="shared" si="37"/>
        <v>0</v>
      </c>
      <c r="CG70" s="5">
        <f t="shared" si="38"/>
        <v>0</v>
      </c>
      <c r="CH70" s="5">
        <f t="shared" si="39"/>
        <v>0</v>
      </c>
      <c r="CI70" s="5">
        <f t="shared" si="40"/>
        <v>0</v>
      </c>
      <c r="CJ70" s="5">
        <f t="shared" si="41"/>
        <v>0</v>
      </c>
      <c r="CK70" s="5">
        <f t="shared" si="42"/>
        <v>1</v>
      </c>
      <c r="CL70" s="5">
        <f t="shared" si="43"/>
        <v>0</v>
      </c>
      <c r="CM70" s="5">
        <f t="shared" si="44"/>
        <v>0</v>
      </c>
      <c r="CN70" s="5">
        <f t="shared" si="45"/>
        <v>0</v>
      </c>
      <c r="CO70" s="5">
        <f t="shared" si="46"/>
        <v>0</v>
      </c>
      <c r="CP70" s="6">
        <f t="shared" si="47"/>
        <v>0</v>
      </c>
      <c r="CQ70" s="6">
        <f t="shared" si="48"/>
        <v>0</v>
      </c>
      <c r="CR70" s="6">
        <f t="shared" si="49"/>
        <v>0</v>
      </c>
      <c r="CS70" s="6">
        <f t="shared" si="50"/>
        <v>0</v>
      </c>
      <c r="CT70" s="6">
        <f t="shared" si="51"/>
        <v>0</v>
      </c>
      <c r="CU70" s="6">
        <f t="shared" si="52"/>
        <v>0</v>
      </c>
      <c r="CV70" s="6">
        <f t="shared" si="53"/>
        <v>0</v>
      </c>
      <c r="CW70" s="6">
        <f t="shared" si="54"/>
        <v>0</v>
      </c>
      <c r="CX70" s="6">
        <f t="shared" si="55"/>
        <v>0</v>
      </c>
      <c r="CY70" s="6">
        <f t="shared" si="56"/>
        <v>0</v>
      </c>
      <c r="CZ70" s="6">
        <f t="shared" si="57"/>
        <v>0</v>
      </c>
      <c r="DA70" s="6">
        <f t="shared" si="58"/>
        <v>0</v>
      </c>
      <c r="DB70" s="6">
        <f t="shared" si="59"/>
        <v>0</v>
      </c>
      <c r="DC70" s="6">
        <f t="shared" si="60"/>
        <v>0</v>
      </c>
      <c r="DD70" s="6">
        <f t="shared" si="61"/>
        <v>0</v>
      </c>
      <c r="DE70" s="6">
        <f t="shared" si="62"/>
        <v>0</v>
      </c>
      <c r="DF70" s="6">
        <f t="shared" si="63"/>
        <v>0</v>
      </c>
      <c r="DG70" s="6">
        <f t="shared" si="64"/>
        <v>0</v>
      </c>
      <c r="DH70" s="6">
        <f t="shared" si="434"/>
        <v>0</v>
      </c>
      <c r="DI70" s="6">
        <f t="shared" si="66"/>
        <v>0</v>
      </c>
      <c r="DJ70" s="6">
        <f t="shared" si="435"/>
        <v>0</v>
      </c>
      <c r="DK70" s="7">
        <f t="shared" si="68"/>
        <v>0</v>
      </c>
      <c r="DL70" s="7">
        <f t="shared" si="411"/>
        <v>0</v>
      </c>
      <c r="DM70" s="7">
        <f t="shared" si="70"/>
        <v>0</v>
      </c>
      <c r="DN70" s="7">
        <f t="shared" si="71"/>
        <v>0</v>
      </c>
      <c r="DO70" s="7">
        <f t="shared" si="72"/>
        <v>1</v>
      </c>
      <c r="DP70" s="8">
        <f t="shared" si="73"/>
        <v>0</v>
      </c>
      <c r="DQ70" s="8">
        <f t="shared" si="74"/>
        <v>1</v>
      </c>
      <c r="DR70" s="7">
        <f t="shared" si="75"/>
        <v>0</v>
      </c>
      <c r="DS70" s="7">
        <f t="shared" si="76"/>
        <v>0</v>
      </c>
      <c r="DT70" s="7">
        <f t="shared" si="77"/>
        <v>0</v>
      </c>
      <c r="DU70" s="9">
        <f t="shared" si="78"/>
        <v>0</v>
      </c>
      <c r="DV70" s="9">
        <f t="shared" si="79"/>
        <v>0</v>
      </c>
      <c r="DW70" s="9">
        <f t="shared" si="80"/>
        <v>0</v>
      </c>
      <c r="DX70" s="9">
        <f t="shared" si="81"/>
        <v>0</v>
      </c>
      <c r="DY70" s="9">
        <f t="shared" si="82"/>
        <v>0</v>
      </c>
      <c r="DZ70" s="9">
        <f t="shared" si="83"/>
        <v>0</v>
      </c>
      <c r="EA70" s="9">
        <f t="shared" si="84"/>
        <v>0</v>
      </c>
      <c r="EB70" s="9">
        <f t="shared" si="85"/>
        <v>0</v>
      </c>
      <c r="EC70" s="9">
        <f t="shared" si="86"/>
        <v>0</v>
      </c>
      <c r="ED70" s="9">
        <f t="shared" si="87"/>
        <v>0</v>
      </c>
      <c r="EE70" s="9">
        <f t="shared" si="88"/>
        <v>0</v>
      </c>
      <c r="EF70" s="9">
        <f t="shared" si="89"/>
        <v>0</v>
      </c>
      <c r="EG70" s="9">
        <f t="shared" si="90"/>
        <v>0</v>
      </c>
      <c r="EH70" s="9">
        <f t="shared" si="91"/>
        <v>0</v>
      </c>
      <c r="EI70" s="9">
        <f t="shared" si="92"/>
        <v>0</v>
      </c>
      <c r="EJ70" s="10">
        <f t="shared" si="93"/>
        <v>0</v>
      </c>
      <c r="EK70" s="10">
        <f t="shared" si="94"/>
        <v>0</v>
      </c>
      <c r="EL70" s="10">
        <f t="shared" ref="EL70:EM70" si="472">IF(OR(ISNUMBER(SEARCH("ai software toolkit", $D70)), ISNUMBER(SEARCH("ai software toolkit", $T70)), ISNUMBER(SEARCH("ai software toolkit", $R70)), ISNUMBER(SEARCH("ai software toolkit", $S70))), 1, 0)</f>
        <v>0</v>
      </c>
      <c r="EM70" s="10">
        <f t="shared" si="472"/>
        <v>0</v>
      </c>
      <c r="EN70" s="10">
        <f t="shared" si="96"/>
        <v>0</v>
      </c>
      <c r="EO70" s="10">
        <f t="shared" si="97"/>
        <v>0</v>
      </c>
      <c r="EP70" s="10">
        <f t="shared" si="98"/>
        <v>0</v>
      </c>
      <c r="EQ70" s="10">
        <f t="shared" si="99"/>
        <v>0</v>
      </c>
      <c r="ER70" s="10">
        <f t="shared" si="100"/>
        <v>0</v>
      </c>
      <c r="ES70" s="10">
        <f t="shared" si="101"/>
        <v>0</v>
      </c>
      <c r="ET70" s="10">
        <f t="shared" si="102"/>
        <v>0</v>
      </c>
      <c r="EU70" s="10">
        <f t="shared" si="103"/>
        <v>0</v>
      </c>
      <c r="EV70" s="10">
        <f t="shared" si="104"/>
        <v>0</v>
      </c>
      <c r="EW70" s="10">
        <f t="shared" si="105"/>
        <v>0</v>
      </c>
      <c r="EX70" s="10">
        <f t="shared" si="106"/>
        <v>0</v>
      </c>
      <c r="EY70" s="10">
        <f t="shared" si="107"/>
        <v>0</v>
      </c>
      <c r="EZ70" s="10">
        <f t="shared" si="108"/>
        <v>0</v>
      </c>
      <c r="FA70" s="10">
        <f t="shared" si="109"/>
        <v>0</v>
      </c>
      <c r="FB70" s="10">
        <f t="shared" si="110"/>
        <v>0</v>
      </c>
      <c r="FC70" s="10">
        <f t="shared" si="111"/>
        <v>0</v>
      </c>
      <c r="FD70" s="10">
        <f t="shared" si="112"/>
        <v>0</v>
      </c>
      <c r="FE70" s="10">
        <f t="shared" si="113"/>
        <v>0</v>
      </c>
      <c r="FF70" s="10">
        <f t="shared" si="114"/>
        <v>0</v>
      </c>
      <c r="FG70" s="10">
        <f t="shared" si="115"/>
        <v>0</v>
      </c>
      <c r="FH70" s="10">
        <f t="shared" si="116"/>
        <v>0</v>
      </c>
      <c r="FI70" s="10">
        <f t="shared" si="117"/>
        <v>0</v>
      </c>
      <c r="FJ70" s="10">
        <f t="shared" si="118"/>
        <v>0</v>
      </c>
      <c r="FK70" s="10">
        <f t="shared" si="119"/>
        <v>0</v>
      </c>
      <c r="FL70" s="10">
        <f t="shared" si="120"/>
        <v>0</v>
      </c>
      <c r="FM70" s="10">
        <f t="shared" si="121"/>
        <v>0</v>
      </c>
      <c r="FN70" s="10">
        <f t="shared" si="122"/>
        <v>0</v>
      </c>
      <c r="FO70" s="10">
        <f t="shared" si="123"/>
        <v>0</v>
      </c>
      <c r="FP70" s="10">
        <f t="shared" si="124"/>
        <v>0</v>
      </c>
      <c r="FQ70" s="10">
        <f t="shared" si="125"/>
        <v>0</v>
      </c>
      <c r="FR70" s="11">
        <f t="shared" si="470"/>
        <v>0</v>
      </c>
      <c r="FS70" s="11">
        <f t="shared" si="127"/>
        <v>0</v>
      </c>
      <c r="FT70" s="11">
        <f t="shared" si="128"/>
        <v>0</v>
      </c>
      <c r="FU70" s="11">
        <f t="shared" si="129"/>
        <v>0</v>
      </c>
      <c r="FV70" s="11">
        <f t="shared" si="130"/>
        <v>0</v>
      </c>
      <c r="FW70" s="11">
        <f t="shared" si="131"/>
        <v>0</v>
      </c>
      <c r="FX70" s="11">
        <f t="shared" si="132"/>
        <v>0</v>
      </c>
      <c r="FY70" s="11">
        <f t="shared" si="133"/>
        <v>0</v>
      </c>
      <c r="FZ70" s="11">
        <f t="shared" si="134"/>
        <v>0</v>
      </c>
      <c r="GA70" s="11">
        <f t="shared" si="135"/>
        <v>0</v>
      </c>
      <c r="GB70" s="11">
        <f t="shared" si="136"/>
        <v>0</v>
      </c>
      <c r="GC70" s="11">
        <f t="shared" si="137"/>
        <v>0</v>
      </c>
      <c r="GD70" s="11">
        <f t="shared" si="138"/>
        <v>0</v>
      </c>
      <c r="GE70" s="11">
        <f t="shared" si="139"/>
        <v>0</v>
      </c>
      <c r="GF70" s="11">
        <f t="shared" si="140"/>
        <v>0</v>
      </c>
      <c r="GG70" s="11">
        <f t="shared" si="141"/>
        <v>0</v>
      </c>
      <c r="GH70" s="11">
        <f t="shared" si="142"/>
        <v>0</v>
      </c>
      <c r="GI70" s="11">
        <f t="shared" si="143"/>
        <v>0</v>
      </c>
      <c r="GJ70" s="11">
        <f t="shared" si="144"/>
        <v>0</v>
      </c>
      <c r="GK70" s="11">
        <f t="shared" si="145"/>
        <v>0</v>
      </c>
      <c r="GL70" s="11">
        <f t="shared" si="146"/>
        <v>0</v>
      </c>
      <c r="GM70" s="11">
        <f t="shared" si="147"/>
        <v>0</v>
      </c>
      <c r="GN70" s="11">
        <f t="shared" si="148"/>
        <v>0</v>
      </c>
      <c r="GO70" s="11">
        <f t="shared" si="149"/>
        <v>0</v>
      </c>
      <c r="GP70" s="11">
        <f t="shared" si="150"/>
        <v>0</v>
      </c>
      <c r="GQ70" s="11">
        <f t="shared" si="151"/>
        <v>0</v>
      </c>
      <c r="GR70" s="11">
        <f t="shared" si="152"/>
        <v>0</v>
      </c>
      <c r="GS70" s="11">
        <f t="shared" si="153"/>
        <v>0</v>
      </c>
      <c r="GT70" s="11">
        <f t="shared" si="154"/>
        <v>0</v>
      </c>
      <c r="GU70" s="12">
        <f t="shared" si="155"/>
        <v>0</v>
      </c>
      <c r="GV70" s="12">
        <f t="shared" si="156"/>
        <v>0</v>
      </c>
      <c r="GW70" s="12">
        <f t="shared" si="157"/>
        <v>0</v>
      </c>
      <c r="GX70" s="12">
        <f t="shared" si="158"/>
        <v>0</v>
      </c>
      <c r="GY70" s="12">
        <f t="shared" si="159"/>
        <v>0</v>
      </c>
      <c r="GZ70" s="12">
        <f t="shared" si="160"/>
        <v>0</v>
      </c>
      <c r="HA70" s="12">
        <f t="shared" si="161"/>
        <v>0</v>
      </c>
      <c r="HB70" s="12">
        <f t="shared" si="162"/>
        <v>0</v>
      </c>
      <c r="HC70" s="12">
        <f t="shared" si="163"/>
        <v>0</v>
      </c>
      <c r="HD70" s="12">
        <f t="shared" si="164"/>
        <v>0</v>
      </c>
      <c r="HE70" s="12">
        <f t="shared" si="165"/>
        <v>0</v>
      </c>
      <c r="HF70" s="12">
        <f t="shared" si="166"/>
        <v>0</v>
      </c>
      <c r="HG70" s="12">
        <f t="shared" si="167"/>
        <v>0</v>
      </c>
      <c r="HH70" s="12">
        <f t="shared" si="168"/>
        <v>0</v>
      </c>
      <c r="HI70" s="12">
        <f t="shared" si="169"/>
        <v>0</v>
      </c>
      <c r="HJ70" s="12">
        <f t="shared" si="170"/>
        <v>0</v>
      </c>
      <c r="HK70" s="12">
        <f t="shared" si="171"/>
        <v>0</v>
      </c>
      <c r="HL70" s="12">
        <f t="shared" si="172"/>
        <v>0</v>
      </c>
      <c r="HM70" s="12">
        <f t="shared" si="173"/>
        <v>0</v>
      </c>
      <c r="HN70" s="12">
        <f t="shared" si="174"/>
        <v>0</v>
      </c>
      <c r="HO70" s="12">
        <f t="shared" si="175"/>
        <v>0</v>
      </c>
      <c r="HP70" s="12">
        <f t="shared" si="176"/>
        <v>0</v>
      </c>
      <c r="HQ70" s="12">
        <f t="shared" si="177"/>
        <v>0</v>
      </c>
      <c r="HR70" s="12">
        <f t="shared" si="178"/>
        <v>0</v>
      </c>
      <c r="HS70" s="12">
        <f t="shared" si="179"/>
        <v>0</v>
      </c>
      <c r="HT70" s="12">
        <f t="shared" si="180"/>
        <v>0</v>
      </c>
      <c r="HU70" s="12">
        <f t="shared" si="181"/>
        <v>0</v>
      </c>
      <c r="HV70" s="12">
        <f t="shared" si="182"/>
        <v>0</v>
      </c>
      <c r="HW70" s="12">
        <f t="shared" si="183"/>
        <v>0</v>
      </c>
      <c r="HX70" s="12">
        <f t="shared" si="184"/>
        <v>0</v>
      </c>
      <c r="HY70" s="12">
        <f t="shared" si="185"/>
        <v>0</v>
      </c>
      <c r="HZ70" s="12">
        <f t="shared" si="186"/>
        <v>0</v>
      </c>
      <c r="IA70" s="12">
        <f t="shared" si="187"/>
        <v>0</v>
      </c>
      <c r="IB70" s="12">
        <f t="shared" si="188"/>
        <v>0</v>
      </c>
      <c r="IC70" s="12">
        <f t="shared" si="189"/>
        <v>0</v>
      </c>
      <c r="ID70" s="12">
        <f t="shared" si="190"/>
        <v>0</v>
      </c>
      <c r="IE70" s="12">
        <f t="shared" si="191"/>
        <v>0</v>
      </c>
      <c r="IF70" s="12">
        <f t="shared" si="192"/>
        <v>0</v>
      </c>
      <c r="IG70" s="12">
        <f t="shared" si="193"/>
        <v>0</v>
      </c>
      <c r="IH70" s="12">
        <f t="shared" si="194"/>
        <v>0</v>
      </c>
      <c r="II70" s="12">
        <f t="shared" si="195"/>
        <v>0</v>
      </c>
      <c r="IJ70" s="12">
        <f t="shared" si="196"/>
        <v>0</v>
      </c>
      <c r="IK70" s="12">
        <f t="shared" si="197"/>
        <v>0</v>
      </c>
      <c r="IL70" s="12">
        <f t="shared" si="198"/>
        <v>0</v>
      </c>
      <c r="IM70" s="12">
        <f t="shared" si="199"/>
        <v>0</v>
      </c>
      <c r="IN70" s="12">
        <f t="shared" si="200"/>
        <v>0</v>
      </c>
      <c r="IO70" s="12">
        <f t="shared" si="201"/>
        <v>0</v>
      </c>
      <c r="IP70" s="12">
        <f t="shared" si="202"/>
        <v>0</v>
      </c>
      <c r="IQ70" s="12">
        <f t="shared" si="203"/>
        <v>0</v>
      </c>
      <c r="IR70" s="12">
        <f t="shared" si="204"/>
        <v>0</v>
      </c>
      <c r="IS70" s="12">
        <f t="shared" si="205"/>
        <v>0</v>
      </c>
      <c r="IT70" s="12">
        <f t="shared" si="206"/>
        <v>0</v>
      </c>
      <c r="IU70" s="12">
        <f t="shared" si="207"/>
        <v>0</v>
      </c>
      <c r="IV70" s="12">
        <f t="shared" si="208"/>
        <v>0</v>
      </c>
      <c r="IW70" s="12">
        <f t="shared" si="209"/>
        <v>0</v>
      </c>
      <c r="IX70" s="12">
        <f t="shared" si="210"/>
        <v>0</v>
      </c>
      <c r="IY70" s="12">
        <f t="shared" si="211"/>
        <v>0</v>
      </c>
      <c r="IZ70" s="12">
        <f t="shared" si="212"/>
        <v>0</v>
      </c>
      <c r="JA70" s="13">
        <f t="shared" si="213"/>
        <v>0</v>
      </c>
      <c r="JB70" s="13">
        <f t="shared" si="214"/>
        <v>0</v>
      </c>
      <c r="JC70" s="13">
        <f t="shared" si="215"/>
        <v>0</v>
      </c>
      <c r="JD70" s="13">
        <f t="shared" si="216"/>
        <v>0</v>
      </c>
      <c r="JE70" s="13">
        <f t="shared" si="217"/>
        <v>0</v>
      </c>
      <c r="JF70" s="13">
        <f t="shared" si="218"/>
        <v>1</v>
      </c>
      <c r="JG70" s="13">
        <f t="shared" si="219"/>
        <v>0</v>
      </c>
      <c r="JH70" s="13">
        <f t="shared" si="220"/>
        <v>0</v>
      </c>
      <c r="JI70" s="13">
        <f t="shared" si="221"/>
        <v>0</v>
      </c>
      <c r="JJ70" s="13">
        <f t="shared" si="222"/>
        <v>0</v>
      </c>
      <c r="JK70" s="13">
        <f t="shared" si="223"/>
        <v>0</v>
      </c>
      <c r="JL70" s="13">
        <f t="shared" si="224"/>
        <v>0</v>
      </c>
      <c r="JM70" s="13">
        <f t="shared" si="225"/>
        <v>0</v>
      </c>
      <c r="JN70" s="13">
        <f t="shared" si="226"/>
        <v>0</v>
      </c>
      <c r="JO70" s="13">
        <f t="shared" si="227"/>
        <v>0</v>
      </c>
      <c r="JP70" s="13">
        <f t="shared" si="228"/>
        <v>0</v>
      </c>
      <c r="JQ70" s="13">
        <f t="shared" si="229"/>
        <v>0</v>
      </c>
      <c r="JR70" s="13">
        <f t="shared" si="230"/>
        <v>0</v>
      </c>
      <c r="JS70" s="13">
        <f t="shared" si="231"/>
        <v>0</v>
      </c>
      <c r="JT70" s="13">
        <f t="shared" si="232"/>
        <v>0</v>
      </c>
      <c r="JU70" s="13">
        <f t="shared" si="233"/>
        <v>0</v>
      </c>
      <c r="JV70" s="12">
        <f t="shared" si="234"/>
        <v>0</v>
      </c>
      <c r="JW70" s="12">
        <f t="shared" si="235"/>
        <v>0</v>
      </c>
      <c r="JX70" s="12">
        <f t="shared" si="236"/>
        <v>0</v>
      </c>
      <c r="JY70" s="12">
        <f t="shared" si="237"/>
        <v>0</v>
      </c>
      <c r="JZ70" s="12">
        <f t="shared" si="238"/>
        <v>0</v>
      </c>
      <c r="KA70" s="12">
        <f t="shared" si="239"/>
        <v>0</v>
      </c>
      <c r="KB70" s="12">
        <f t="shared" si="240"/>
        <v>0</v>
      </c>
      <c r="KC70" s="12">
        <f t="shared" si="241"/>
        <v>0</v>
      </c>
      <c r="KD70" s="12">
        <f t="shared" si="242"/>
        <v>0</v>
      </c>
      <c r="KE70" s="12">
        <f t="shared" si="243"/>
        <v>0</v>
      </c>
      <c r="KF70" s="12">
        <f t="shared" si="244"/>
        <v>0</v>
      </c>
      <c r="KG70" s="12">
        <f t="shared" si="245"/>
        <v>0</v>
      </c>
      <c r="KH70" s="12">
        <f t="shared" si="246"/>
        <v>0</v>
      </c>
      <c r="KI70" s="12">
        <f t="shared" si="247"/>
        <v>0</v>
      </c>
      <c r="KJ70" s="12">
        <f t="shared" si="248"/>
        <v>0</v>
      </c>
      <c r="KK70" s="12">
        <f t="shared" si="249"/>
        <v>0</v>
      </c>
      <c r="KL70" s="12">
        <f t="shared" si="250"/>
        <v>0</v>
      </c>
      <c r="KM70" s="12">
        <f t="shared" si="251"/>
        <v>0</v>
      </c>
      <c r="KN70" s="12">
        <f t="shared" si="252"/>
        <v>0</v>
      </c>
      <c r="KO70" s="12">
        <f t="shared" si="253"/>
        <v>0</v>
      </c>
      <c r="KP70" s="12">
        <f t="shared" si="254"/>
        <v>0</v>
      </c>
      <c r="KQ70" s="12">
        <f t="shared" si="255"/>
        <v>0</v>
      </c>
      <c r="KR70" s="12">
        <f t="shared" si="256"/>
        <v>0</v>
      </c>
      <c r="KS70" s="12">
        <f t="shared" si="257"/>
        <v>0</v>
      </c>
      <c r="KT70" s="12">
        <f t="shared" si="258"/>
        <v>0</v>
      </c>
      <c r="KU70" s="12">
        <f t="shared" si="259"/>
        <v>0</v>
      </c>
      <c r="KV70" s="12">
        <f t="shared" si="260"/>
        <v>0</v>
      </c>
      <c r="KW70" s="12">
        <f t="shared" si="261"/>
        <v>0</v>
      </c>
      <c r="KX70" s="12">
        <f t="shared" si="262"/>
        <v>0</v>
      </c>
      <c r="KY70" s="12">
        <f t="shared" si="263"/>
        <v>0</v>
      </c>
      <c r="KZ70" s="12">
        <f t="shared" si="264"/>
        <v>0</v>
      </c>
      <c r="LA70" s="12">
        <f t="shared" si="265"/>
        <v>0</v>
      </c>
      <c r="LB70" s="12">
        <f t="shared" si="266"/>
        <v>0</v>
      </c>
      <c r="LC70" s="12">
        <f t="shared" si="267"/>
        <v>0</v>
      </c>
      <c r="LD70" s="12">
        <f t="shared" si="268"/>
        <v>0</v>
      </c>
      <c r="LE70" s="12">
        <f t="shared" si="269"/>
        <v>0</v>
      </c>
      <c r="LF70" s="12">
        <f t="shared" si="270"/>
        <v>0</v>
      </c>
      <c r="LG70" s="12">
        <f t="shared" si="271"/>
        <v>0</v>
      </c>
      <c r="LH70" s="12">
        <f t="shared" si="272"/>
        <v>0</v>
      </c>
      <c r="LI70" s="12">
        <f t="shared" si="273"/>
        <v>0</v>
      </c>
      <c r="LJ70" s="12">
        <f t="shared" si="274"/>
        <v>0</v>
      </c>
      <c r="LK70" s="12">
        <f t="shared" si="275"/>
        <v>0</v>
      </c>
      <c r="LL70" s="12">
        <f t="shared" si="276"/>
        <v>0</v>
      </c>
      <c r="LM70" s="12">
        <f t="shared" si="277"/>
        <v>0</v>
      </c>
      <c r="LN70" s="12">
        <f t="shared" si="278"/>
        <v>0</v>
      </c>
      <c r="LO70" s="12">
        <f t="shared" si="279"/>
        <v>0</v>
      </c>
      <c r="LP70" s="12">
        <f t="shared" si="280"/>
        <v>0</v>
      </c>
      <c r="LQ70" s="12">
        <f t="shared" si="281"/>
        <v>0</v>
      </c>
      <c r="LR70" s="12">
        <f t="shared" si="282"/>
        <v>0</v>
      </c>
      <c r="LS70" s="12">
        <f t="shared" si="283"/>
        <v>0</v>
      </c>
      <c r="LT70" s="13">
        <f t="shared" si="284"/>
        <v>0</v>
      </c>
      <c r="LU70" s="13">
        <f t="shared" si="285"/>
        <v>0</v>
      </c>
      <c r="LV70" s="13">
        <f t="shared" si="286"/>
        <v>1</v>
      </c>
      <c r="LW70" s="13">
        <f t="shared" si="287"/>
        <v>1</v>
      </c>
      <c r="LX70" s="13">
        <f t="shared" si="288"/>
        <v>0</v>
      </c>
      <c r="LY70" s="13">
        <f t="shared" si="289"/>
        <v>0</v>
      </c>
      <c r="LZ70" s="13">
        <f t="shared" si="290"/>
        <v>0</v>
      </c>
      <c r="MA70" s="13">
        <f t="shared" si="291"/>
        <v>0</v>
      </c>
      <c r="MB70" s="13">
        <f t="shared" si="292"/>
        <v>0</v>
      </c>
      <c r="MC70" s="13">
        <f t="shared" si="293"/>
        <v>1</v>
      </c>
      <c r="MD70" s="13">
        <f t="shared" si="294"/>
        <v>0</v>
      </c>
      <c r="ME70" s="13">
        <f t="shared" si="295"/>
        <v>0</v>
      </c>
      <c r="MF70" s="13">
        <f t="shared" si="296"/>
        <v>0</v>
      </c>
      <c r="MG70" s="13">
        <f t="shared" si="297"/>
        <v>0</v>
      </c>
      <c r="MH70" s="13">
        <f t="shared" si="298"/>
        <v>0</v>
      </c>
      <c r="MI70" s="13">
        <f t="shared" si="299"/>
        <v>0</v>
      </c>
      <c r="MJ70" s="13">
        <f t="shared" si="300"/>
        <v>0</v>
      </c>
      <c r="MK70" s="13">
        <f t="shared" si="301"/>
        <v>0</v>
      </c>
      <c r="ML70" s="14">
        <f t="shared" si="302"/>
        <v>0</v>
      </c>
      <c r="MM70" s="14">
        <f t="shared" si="303"/>
        <v>0</v>
      </c>
      <c r="MN70" s="14">
        <f t="shared" si="304"/>
        <v>0</v>
      </c>
      <c r="MO70" s="14">
        <f t="shared" si="305"/>
        <v>0</v>
      </c>
      <c r="MP70" s="14">
        <f t="shared" si="306"/>
        <v>0</v>
      </c>
      <c r="MQ70" s="14">
        <f t="shared" si="307"/>
        <v>0</v>
      </c>
      <c r="MR70" s="14">
        <f t="shared" si="308"/>
        <v>0</v>
      </c>
      <c r="MS70" s="14">
        <f t="shared" si="309"/>
        <v>0</v>
      </c>
      <c r="MT70" s="14">
        <f t="shared" si="310"/>
        <v>0</v>
      </c>
      <c r="MU70" s="14">
        <f t="shared" si="311"/>
        <v>0</v>
      </c>
      <c r="MV70" s="14">
        <f t="shared" si="312"/>
        <v>0</v>
      </c>
      <c r="MW70" s="14">
        <f t="shared" si="313"/>
        <v>0</v>
      </c>
      <c r="MX70" s="14">
        <f t="shared" si="314"/>
        <v>0</v>
      </c>
      <c r="MY70" s="14">
        <f t="shared" si="315"/>
        <v>0</v>
      </c>
      <c r="MZ70" s="14">
        <f t="shared" si="316"/>
        <v>0</v>
      </c>
      <c r="NA70" s="14">
        <f t="shared" si="317"/>
        <v>0</v>
      </c>
      <c r="NB70" s="14">
        <f t="shared" si="318"/>
        <v>0</v>
      </c>
    </row>
    <row r="71" ht="15.75" customHeight="1">
      <c r="A71" s="2">
        <v>76.0</v>
      </c>
      <c r="B71" s="2" t="s">
        <v>1600</v>
      </c>
      <c r="C71" s="2" t="s">
        <v>1601</v>
      </c>
      <c r="D71" s="2" t="s">
        <v>1602</v>
      </c>
      <c r="E71" s="2">
        <v>2021.0</v>
      </c>
      <c r="F71" s="2" t="s">
        <v>850</v>
      </c>
      <c r="G71" s="2" t="s">
        <v>1603</v>
      </c>
      <c r="J71" s="2" t="s">
        <v>1126</v>
      </c>
      <c r="K71" s="2" t="s">
        <v>1604</v>
      </c>
      <c r="M71" s="2">
        <v>18.0</v>
      </c>
      <c r="N71" s="2" t="s">
        <v>1605</v>
      </c>
      <c r="O71" s="2" t="s">
        <v>1606</v>
      </c>
      <c r="P71" s="2" t="s">
        <v>1607</v>
      </c>
      <c r="Q71" s="2" t="s">
        <v>1608</v>
      </c>
      <c r="R71" s="2" t="s">
        <v>1609</v>
      </c>
      <c r="S71" s="2" t="s">
        <v>1610</v>
      </c>
      <c r="T71" s="2" t="s">
        <v>1611</v>
      </c>
      <c r="Y71" s="2" t="s">
        <v>1612</v>
      </c>
      <c r="AB71" s="2" t="s">
        <v>862</v>
      </c>
      <c r="AG71" s="2" t="s">
        <v>863</v>
      </c>
      <c r="AI71" s="2" t="s">
        <v>864</v>
      </c>
      <c r="AK71" s="2" t="s">
        <v>850</v>
      </c>
      <c r="AL71" s="2" t="s">
        <v>384</v>
      </c>
      <c r="AN71" s="2" t="s">
        <v>386</v>
      </c>
      <c r="AO71" s="2" t="s">
        <v>1613</v>
      </c>
      <c r="AP71" s="2" t="s">
        <v>386</v>
      </c>
      <c r="AQ71" s="2">
        <v>242.0</v>
      </c>
      <c r="AR71" s="2" t="s">
        <v>1614</v>
      </c>
      <c r="AS71" s="2" t="b">
        <v>1</v>
      </c>
      <c r="AT71" s="3">
        <v>0.0</v>
      </c>
      <c r="AU71" s="4"/>
      <c r="AV71" s="4">
        <v>1.0</v>
      </c>
      <c r="AW71" s="5">
        <f t="shared" si="432"/>
        <v>0</v>
      </c>
      <c r="AX71" s="5">
        <f t="shared" si="4"/>
        <v>0</v>
      </c>
      <c r="AY71" s="5">
        <f t="shared" si="5"/>
        <v>0</v>
      </c>
      <c r="AZ71" s="5">
        <f t="shared" si="6"/>
        <v>0</v>
      </c>
      <c r="BA71" s="5">
        <f t="shared" si="7"/>
        <v>0</v>
      </c>
      <c r="BB71" s="5">
        <f t="shared" si="8"/>
        <v>0</v>
      </c>
      <c r="BC71" s="5">
        <f t="shared" si="9"/>
        <v>0</v>
      </c>
      <c r="BD71" s="5">
        <f t="shared" si="10"/>
        <v>0</v>
      </c>
      <c r="BE71" s="5">
        <f t="shared" si="11"/>
        <v>0</v>
      </c>
      <c r="BF71" s="5">
        <f t="shared" si="12"/>
        <v>0</v>
      </c>
      <c r="BG71" s="5">
        <f t="shared" si="13"/>
        <v>0</v>
      </c>
      <c r="BH71" s="5">
        <f t="shared" si="14"/>
        <v>0</v>
      </c>
      <c r="BI71" s="5">
        <f t="shared" si="15"/>
        <v>0</v>
      </c>
      <c r="BJ71" s="5">
        <f t="shared" si="16"/>
        <v>0</v>
      </c>
      <c r="BK71" s="5">
        <f t="shared" si="17"/>
        <v>0</v>
      </c>
      <c r="BL71" s="5">
        <f t="shared" si="18"/>
        <v>0</v>
      </c>
      <c r="BM71" s="5">
        <f t="shared" si="19"/>
        <v>0</v>
      </c>
      <c r="BN71" s="5">
        <f t="shared" si="20"/>
        <v>0</v>
      </c>
      <c r="BO71" s="5">
        <f t="shared" si="21"/>
        <v>0</v>
      </c>
      <c r="BP71" s="5">
        <f t="shared" si="22"/>
        <v>0</v>
      </c>
      <c r="BQ71" s="5">
        <f t="shared" si="23"/>
        <v>0</v>
      </c>
      <c r="BR71" s="5">
        <f t="shared" si="24"/>
        <v>0</v>
      </c>
      <c r="BS71" s="5">
        <f t="shared" si="25"/>
        <v>0</v>
      </c>
      <c r="BT71" s="5">
        <f t="shared" si="26"/>
        <v>0</v>
      </c>
      <c r="BU71" s="5">
        <f t="shared" si="27"/>
        <v>0</v>
      </c>
      <c r="BV71" s="5">
        <f t="shared" ref="BV71:BW71" si="473">IF(OR(ISNUMBER(SEARCH("grit",$D71)),ISNUMBER(SEARCH("grit",$T71)),ISNUMBER(SEARCH("grit",$R71)),ISNUMBER(SEARCH("grit",$S71)),
ISNUMBER(SEARCH("determination",$D71)),ISNUMBER(SEARCH("determination",$T71)),ISNUMBER(SEARCH("determination",$R71)),ISNUMBER(SEARCH("determination",$S71)),
ISNUMBER(SEARCH("tenacity",$D71)),ISNUMBER(SEARCH("tenacity",$T71)),ISNUMBER(SEARCH("tenacity",$R71)),ISNUMBER(SEARCH("tenacity",$S71)),
ISNUMBER(SEARCH("endurance",$D71)),ISNUMBER(SEARCH("endurance",$T71)),ISNUMBER(SEARCH("endurance",$R71)),ISNUMBER(SEARCH("endurance",$S71)),
ISNUMBER(SEARCH("fortitude",$D71)),ISNUMBER(SEARCH("fortitude",$T71)),ISNUMBER(SEARCH("fortitude",$R71)),ISNUMBER(SEARCH("fortitude",$S71)),
ISNUMBER(SEARCH("resolve",$D71)),ISNUMBER(SEARCH("resolve",$T71)),ISNUMBER(SEARCH("resolve",$R71)),ISNUMBER(SEARCH("resolve",$S71)),
ISNUMBER(SEARCH("stamina",$D71)),ISNUMBER(SEARCH("stamina",$T71)),ISNUMBER(SEARCH("stamina",$R71)),ISNUMBER(SEARCH("stamina",$S71)),
ISNUMBER(SEARCH("guts",$D71)),ISNUMBER(SEARCH("guts",$T71)),ISNUMBER(SEARCH("guts",$R71)),ISNUMBER(SEARCH("guts",$S71)),
ISNUMBER(SEARCH("spunk",$D71)),ISNUMBER(SEARCH("spunk",$T71)),ISNUMBER(SEARCH("spunk",$R71)),ISNUMBER(SEARCH("spunk",$S71))), 1, 0)</f>
        <v>0</v>
      </c>
      <c r="BW71" s="5">
        <f t="shared" si="473"/>
        <v>0</v>
      </c>
      <c r="BX71" s="5">
        <f t="shared" si="29"/>
        <v>1</v>
      </c>
      <c r="BY71" s="5">
        <f t="shared" si="30"/>
        <v>1</v>
      </c>
      <c r="BZ71" s="5">
        <f t="shared" si="31"/>
        <v>0</v>
      </c>
      <c r="CA71" s="5">
        <f t="shared" si="32"/>
        <v>1</v>
      </c>
      <c r="CB71" s="5">
        <f t="shared" si="33"/>
        <v>0</v>
      </c>
      <c r="CC71" s="5">
        <f t="shared" si="34"/>
        <v>0</v>
      </c>
      <c r="CD71" s="5">
        <f t="shared" si="35"/>
        <v>0</v>
      </c>
      <c r="CE71" s="5">
        <f t="shared" si="36"/>
        <v>0</v>
      </c>
      <c r="CF71" s="5">
        <f t="shared" si="37"/>
        <v>0</v>
      </c>
      <c r="CG71" s="5">
        <f t="shared" si="38"/>
        <v>0</v>
      </c>
      <c r="CH71" s="5">
        <f t="shared" si="39"/>
        <v>0</v>
      </c>
      <c r="CI71" s="5">
        <f t="shared" si="40"/>
        <v>0</v>
      </c>
      <c r="CJ71" s="5">
        <f t="shared" si="41"/>
        <v>0</v>
      </c>
      <c r="CK71" s="5">
        <f t="shared" si="42"/>
        <v>0</v>
      </c>
      <c r="CL71" s="5">
        <f t="shared" si="43"/>
        <v>0</v>
      </c>
      <c r="CM71" s="5">
        <f t="shared" si="44"/>
        <v>0</v>
      </c>
      <c r="CN71" s="5">
        <f t="shared" si="45"/>
        <v>0</v>
      </c>
      <c r="CO71" s="5">
        <f t="shared" si="46"/>
        <v>0</v>
      </c>
      <c r="CP71" s="6">
        <f t="shared" si="47"/>
        <v>0</v>
      </c>
      <c r="CQ71" s="6">
        <f t="shared" si="48"/>
        <v>0</v>
      </c>
      <c r="CR71" s="6">
        <f t="shared" si="49"/>
        <v>0</v>
      </c>
      <c r="CS71" s="6">
        <f t="shared" si="50"/>
        <v>0</v>
      </c>
      <c r="CT71" s="6">
        <f t="shared" si="51"/>
        <v>0</v>
      </c>
      <c r="CU71" s="6">
        <f t="shared" si="52"/>
        <v>0</v>
      </c>
      <c r="CV71" s="6">
        <f t="shared" si="53"/>
        <v>0</v>
      </c>
      <c r="CW71" s="6">
        <f t="shared" si="54"/>
        <v>0</v>
      </c>
      <c r="CX71" s="6">
        <f t="shared" si="55"/>
        <v>0</v>
      </c>
      <c r="CY71" s="6">
        <f t="shared" si="56"/>
        <v>0</v>
      </c>
      <c r="CZ71" s="6">
        <f t="shared" si="57"/>
        <v>0</v>
      </c>
      <c r="DA71" s="6">
        <f t="shared" si="58"/>
        <v>0</v>
      </c>
      <c r="DB71" s="6">
        <f t="shared" si="59"/>
        <v>0</v>
      </c>
      <c r="DC71" s="6">
        <f t="shared" si="60"/>
        <v>1</v>
      </c>
      <c r="DD71" s="6">
        <f t="shared" si="61"/>
        <v>0</v>
      </c>
      <c r="DE71" s="6">
        <f t="shared" si="62"/>
        <v>0</v>
      </c>
      <c r="DF71" s="6">
        <f t="shared" si="63"/>
        <v>0</v>
      </c>
      <c r="DG71" s="6">
        <f t="shared" si="64"/>
        <v>0</v>
      </c>
      <c r="DH71" s="6">
        <f t="shared" si="434"/>
        <v>0</v>
      </c>
      <c r="DI71" s="6">
        <f t="shared" si="66"/>
        <v>0</v>
      </c>
      <c r="DJ71" s="6">
        <f t="shared" si="435"/>
        <v>0</v>
      </c>
      <c r="DK71" s="7">
        <f t="shared" si="68"/>
        <v>0</v>
      </c>
      <c r="DL71" s="7">
        <f t="shared" si="411"/>
        <v>0</v>
      </c>
      <c r="DM71" s="7">
        <f t="shared" si="70"/>
        <v>0</v>
      </c>
      <c r="DN71" s="7">
        <f t="shared" si="71"/>
        <v>0</v>
      </c>
      <c r="DO71" s="7">
        <f t="shared" si="72"/>
        <v>1</v>
      </c>
      <c r="DP71" s="8">
        <f t="shared" si="73"/>
        <v>0</v>
      </c>
      <c r="DQ71" s="8">
        <f t="shared" si="74"/>
        <v>1</v>
      </c>
      <c r="DR71" s="7">
        <f t="shared" si="75"/>
        <v>0</v>
      </c>
      <c r="DS71" s="7">
        <f t="shared" si="76"/>
        <v>0</v>
      </c>
      <c r="DT71" s="7">
        <f t="shared" si="77"/>
        <v>0</v>
      </c>
      <c r="DU71" s="9">
        <f t="shared" si="78"/>
        <v>0</v>
      </c>
      <c r="DV71" s="9">
        <f t="shared" si="79"/>
        <v>0</v>
      </c>
      <c r="DW71" s="9">
        <f t="shared" si="80"/>
        <v>0</v>
      </c>
      <c r="DX71" s="9">
        <f t="shared" si="81"/>
        <v>0</v>
      </c>
      <c r="DY71" s="9">
        <f t="shared" si="82"/>
        <v>0</v>
      </c>
      <c r="DZ71" s="9">
        <f t="shared" si="83"/>
        <v>0</v>
      </c>
      <c r="EA71" s="9">
        <f t="shared" si="84"/>
        <v>0</v>
      </c>
      <c r="EB71" s="9">
        <f t="shared" si="85"/>
        <v>0</v>
      </c>
      <c r="EC71" s="9">
        <f t="shared" si="86"/>
        <v>0</v>
      </c>
      <c r="ED71" s="9">
        <f t="shared" si="87"/>
        <v>0</v>
      </c>
      <c r="EE71" s="9">
        <f t="shared" si="88"/>
        <v>0</v>
      </c>
      <c r="EF71" s="9">
        <f t="shared" si="89"/>
        <v>0</v>
      </c>
      <c r="EG71" s="9">
        <f t="shared" si="90"/>
        <v>0</v>
      </c>
      <c r="EH71" s="9">
        <f t="shared" si="91"/>
        <v>0</v>
      </c>
      <c r="EI71" s="9">
        <f t="shared" si="92"/>
        <v>0</v>
      </c>
      <c r="EJ71" s="10">
        <f t="shared" si="93"/>
        <v>0</v>
      </c>
      <c r="EK71" s="10">
        <f t="shared" si="94"/>
        <v>0</v>
      </c>
      <c r="EL71" s="10">
        <f t="shared" ref="EL71:EM71" si="474">IF(OR(ISNUMBER(SEARCH("ai software toolkit", $D71)), ISNUMBER(SEARCH("ai software toolkit", $T71)), ISNUMBER(SEARCH("ai software toolkit", $R71)), ISNUMBER(SEARCH("ai software toolkit", $S71))), 1, 0)</f>
        <v>0</v>
      </c>
      <c r="EM71" s="10">
        <f t="shared" si="474"/>
        <v>0</v>
      </c>
      <c r="EN71" s="10">
        <f t="shared" si="96"/>
        <v>0</v>
      </c>
      <c r="EO71" s="10">
        <f t="shared" si="97"/>
        <v>0</v>
      </c>
      <c r="EP71" s="10">
        <f t="shared" si="98"/>
        <v>0</v>
      </c>
      <c r="EQ71" s="10">
        <f t="shared" si="99"/>
        <v>0</v>
      </c>
      <c r="ER71" s="10">
        <f t="shared" si="100"/>
        <v>0</v>
      </c>
      <c r="ES71" s="10">
        <f t="shared" si="101"/>
        <v>0</v>
      </c>
      <c r="ET71" s="10">
        <f t="shared" si="102"/>
        <v>0</v>
      </c>
      <c r="EU71" s="10">
        <f t="shared" si="103"/>
        <v>0</v>
      </c>
      <c r="EV71" s="10">
        <f t="shared" si="104"/>
        <v>0</v>
      </c>
      <c r="EW71" s="10">
        <f t="shared" si="105"/>
        <v>0</v>
      </c>
      <c r="EX71" s="10">
        <f t="shared" si="106"/>
        <v>0</v>
      </c>
      <c r="EY71" s="10">
        <f t="shared" si="107"/>
        <v>0</v>
      </c>
      <c r="EZ71" s="10">
        <f t="shared" si="108"/>
        <v>0</v>
      </c>
      <c r="FA71" s="10">
        <f t="shared" si="109"/>
        <v>0</v>
      </c>
      <c r="FB71" s="10">
        <f t="shared" si="110"/>
        <v>0</v>
      </c>
      <c r="FC71" s="10">
        <f t="shared" si="111"/>
        <v>0</v>
      </c>
      <c r="FD71" s="10">
        <f t="shared" si="112"/>
        <v>0</v>
      </c>
      <c r="FE71" s="10">
        <f t="shared" si="113"/>
        <v>0</v>
      </c>
      <c r="FF71" s="10">
        <f t="shared" si="114"/>
        <v>0</v>
      </c>
      <c r="FG71" s="10">
        <f t="shared" si="115"/>
        <v>0</v>
      </c>
      <c r="FH71" s="10">
        <f t="shared" si="116"/>
        <v>0</v>
      </c>
      <c r="FI71" s="10">
        <f t="shared" si="117"/>
        <v>0</v>
      </c>
      <c r="FJ71" s="10">
        <f t="shared" si="118"/>
        <v>0</v>
      </c>
      <c r="FK71" s="10">
        <f t="shared" si="119"/>
        <v>0</v>
      </c>
      <c r="FL71" s="10">
        <f t="shared" si="120"/>
        <v>0</v>
      </c>
      <c r="FM71" s="10">
        <f t="shared" si="121"/>
        <v>0</v>
      </c>
      <c r="FN71" s="10">
        <f t="shared" si="122"/>
        <v>0</v>
      </c>
      <c r="FO71" s="10">
        <f t="shared" si="123"/>
        <v>0</v>
      </c>
      <c r="FP71" s="10">
        <f t="shared" si="124"/>
        <v>0</v>
      </c>
      <c r="FQ71" s="10">
        <f t="shared" si="125"/>
        <v>0</v>
      </c>
      <c r="FR71" s="11">
        <f t="shared" si="470"/>
        <v>0</v>
      </c>
      <c r="FS71" s="11">
        <f t="shared" si="127"/>
        <v>0</v>
      </c>
      <c r="FT71" s="11">
        <f t="shared" si="128"/>
        <v>0</v>
      </c>
      <c r="FU71" s="11">
        <f t="shared" si="129"/>
        <v>0</v>
      </c>
      <c r="FV71" s="11">
        <f t="shared" si="130"/>
        <v>0</v>
      </c>
      <c r="FW71" s="11">
        <f t="shared" si="131"/>
        <v>0</v>
      </c>
      <c r="FX71" s="11">
        <f t="shared" si="132"/>
        <v>0</v>
      </c>
      <c r="FY71" s="11">
        <f t="shared" si="133"/>
        <v>0</v>
      </c>
      <c r="FZ71" s="11">
        <f t="shared" si="134"/>
        <v>0</v>
      </c>
      <c r="GA71" s="11">
        <f t="shared" si="135"/>
        <v>0</v>
      </c>
      <c r="GB71" s="11">
        <f t="shared" si="136"/>
        <v>0</v>
      </c>
      <c r="GC71" s="11">
        <f t="shared" si="137"/>
        <v>0</v>
      </c>
      <c r="GD71" s="11">
        <f t="shared" si="138"/>
        <v>0</v>
      </c>
      <c r="GE71" s="11">
        <f t="shared" si="139"/>
        <v>0</v>
      </c>
      <c r="GF71" s="11">
        <f t="shared" si="140"/>
        <v>0</v>
      </c>
      <c r="GG71" s="11">
        <f t="shared" si="141"/>
        <v>0</v>
      </c>
      <c r="GH71" s="11">
        <f t="shared" si="142"/>
        <v>0</v>
      </c>
      <c r="GI71" s="11">
        <f t="shared" si="143"/>
        <v>0</v>
      </c>
      <c r="GJ71" s="11">
        <f t="shared" si="144"/>
        <v>0</v>
      </c>
      <c r="GK71" s="11">
        <f t="shared" si="145"/>
        <v>0</v>
      </c>
      <c r="GL71" s="11">
        <f t="shared" si="146"/>
        <v>0</v>
      </c>
      <c r="GM71" s="11">
        <f t="shared" si="147"/>
        <v>0</v>
      </c>
      <c r="GN71" s="11">
        <f t="shared" si="148"/>
        <v>0</v>
      </c>
      <c r="GO71" s="11">
        <f t="shared" si="149"/>
        <v>0</v>
      </c>
      <c r="GP71" s="11">
        <f t="shared" si="150"/>
        <v>0</v>
      </c>
      <c r="GQ71" s="11">
        <f t="shared" si="151"/>
        <v>0</v>
      </c>
      <c r="GR71" s="11">
        <f t="shared" si="152"/>
        <v>0</v>
      </c>
      <c r="GS71" s="11">
        <f t="shared" si="153"/>
        <v>0</v>
      </c>
      <c r="GT71" s="11">
        <f t="shared" si="154"/>
        <v>0</v>
      </c>
      <c r="GU71" s="12">
        <f t="shared" si="155"/>
        <v>0</v>
      </c>
      <c r="GV71" s="12">
        <f t="shared" si="156"/>
        <v>0</v>
      </c>
      <c r="GW71" s="12">
        <f t="shared" si="157"/>
        <v>0</v>
      </c>
      <c r="GX71" s="12">
        <f t="shared" si="158"/>
        <v>0</v>
      </c>
      <c r="GY71" s="12">
        <f t="shared" si="159"/>
        <v>0</v>
      </c>
      <c r="GZ71" s="12">
        <f t="shared" si="160"/>
        <v>0</v>
      </c>
      <c r="HA71" s="12">
        <f t="shared" si="161"/>
        <v>0</v>
      </c>
      <c r="HB71" s="12">
        <f t="shared" si="162"/>
        <v>0</v>
      </c>
      <c r="HC71" s="12">
        <f t="shared" si="163"/>
        <v>0</v>
      </c>
      <c r="HD71" s="12">
        <f t="shared" si="164"/>
        <v>0</v>
      </c>
      <c r="HE71" s="12">
        <f t="shared" si="165"/>
        <v>0</v>
      </c>
      <c r="HF71" s="12">
        <f t="shared" si="166"/>
        <v>0</v>
      </c>
      <c r="HG71" s="12">
        <f t="shared" si="167"/>
        <v>0</v>
      </c>
      <c r="HH71" s="12">
        <f t="shared" si="168"/>
        <v>0</v>
      </c>
      <c r="HI71" s="12">
        <f t="shared" si="169"/>
        <v>0</v>
      </c>
      <c r="HJ71" s="12">
        <f t="shared" si="170"/>
        <v>0</v>
      </c>
      <c r="HK71" s="12">
        <f t="shared" si="171"/>
        <v>0</v>
      </c>
      <c r="HL71" s="12">
        <f t="shared" si="172"/>
        <v>0</v>
      </c>
      <c r="HM71" s="12">
        <f t="shared" si="173"/>
        <v>0</v>
      </c>
      <c r="HN71" s="12">
        <f t="shared" si="174"/>
        <v>0</v>
      </c>
      <c r="HO71" s="12">
        <f t="shared" si="175"/>
        <v>0</v>
      </c>
      <c r="HP71" s="12">
        <f t="shared" si="176"/>
        <v>0</v>
      </c>
      <c r="HQ71" s="12">
        <f t="shared" si="177"/>
        <v>0</v>
      </c>
      <c r="HR71" s="12">
        <f t="shared" si="178"/>
        <v>0</v>
      </c>
      <c r="HS71" s="12">
        <f t="shared" si="179"/>
        <v>0</v>
      </c>
      <c r="HT71" s="12">
        <f t="shared" si="180"/>
        <v>0</v>
      </c>
      <c r="HU71" s="12">
        <f t="shared" si="181"/>
        <v>0</v>
      </c>
      <c r="HV71" s="12">
        <f t="shared" si="182"/>
        <v>0</v>
      </c>
      <c r="HW71" s="12">
        <f t="shared" si="183"/>
        <v>0</v>
      </c>
      <c r="HX71" s="12">
        <f t="shared" si="184"/>
        <v>0</v>
      </c>
      <c r="HY71" s="12">
        <f t="shared" si="185"/>
        <v>0</v>
      </c>
      <c r="HZ71" s="12">
        <f t="shared" si="186"/>
        <v>0</v>
      </c>
      <c r="IA71" s="12">
        <f t="shared" si="187"/>
        <v>0</v>
      </c>
      <c r="IB71" s="12">
        <f t="shared" si="188"/>
        <v>0</v>
      </c>
      <c r="IC71" s="12">
        <f t="shared" si="189"/>
        <v>0</v>
      </c>
      <c r="ID71" s="12">
        <f t="shared" si="190"/>
        <v>0</v>
      </c>
      <c r="IE71" s="12">
        <f t="shared" si="191"/>
        <v>0</v>
      </c>
      <c r="IF71" s="12">
        <f t="shared" si="192"/>
        <v>0</v>
      </c>
      <c r="IG71" s="12">
        <f t="shared" si="193"/>
        <v>0</v>
      </c>
      <c r="IH71" s="12">
        <f t="shared" si="194"/>
        <v>0</v>
      </c>
      <c r="II71" s="12">
        <f t="shared" si="195"/>
        <v>0</v>
      </c>
      <c r="IJ71" s="12">
        <f t="shared" si="196"/>
        <v>0</v>
      </c>
      <c r="IK71" s="12">
        <f t="shared" si="197"/>
        <v>0</v>
      </c>
      <c r="IL71" s="12">
        <f t="shared" si="198"/>
        <v>0</v>
      </c>
      <c r="IM71" s="12">
        <f t="shared" si="199"/>
        <v>0</v>
      </c>
      <c r="IN71" s="12">
        <f t="shared" si="200"/>
        <v>0</v>
      </c>
      <c r="IO71" s="12">
        <f t="shared" si="201"/>
        <v>0</v>
      </c>
      <c r="IP71" s="12">
        <f t="shared" si="202"/>
        <v>0</v>
      </c>
      <c r="IQ71" s="12">
        <f t="shared" si="203"/>
        <v>0</v>
      </c>
      <c r="IR71" s="12">
        <f t="shared" si="204"/>
        <v>0</v>
      </c>
      <c r="IS71" s="12">
        <f t="shared" si="205"/>
        <v>0</v>
      </c>
      <c r="IT71" s="12">
        <f t="shared" si="206"/>
        <v>0</v>
      </c>
      <c r="IU71" s="12">
        <f t="shared" si="207"/>
        <v>0</v>
      </c>
      <c r="IV71" s="12">
        <f t="shared" si="208"/>
        <v>0</v>
      </c>
      <c r="IW71" s="12">
        <f t="shared" si="209"/>
        <v>0</v>
      </c>
      <c r="IX71" s="12">
        <f t="shared" si="210"/>
        <v>0</v>
      </c>
      <c r="IY71" s="12">
        <f t="shared" si="211"/>
        <v>0</v>
      </c>
      <c r="IZ71" s="12">
        <f t="shared" si="212"/>
        <v>0</v>
      </c>
      <c r="JA71" s="13">
        <f t="shared" si="213"/>
        <v>0</v>
      </c>
      <c r="JB71" s="13">
        <f t="shared" si="214"/>
        <v>0</v>
      </c>
      <c r="JC71" s="13">
        <f t="shared" si="215"/>
        <v>0</v>
      </c>
      <c r="JD71" s="13">
        <f t="shared" si="216"/>
        <v>0</v>
      </c>
      <c r="JE71" s="13">
        <f t="shared" si="217"/>
        <v>0</v>
      </c>
      <c r="JF71" s="13">
        <f t="shared" si="218"/>
        <v>0</v>
      </c>
      <c r="JG71" s="13">
        <f t="shared" si="219"/>
        <v>0</v>
      </c>
      <c r="JH71" s="13">
        <f t="shared" si="220"/>
        <v>0</v>
      </c>
      <c r="JI71" s="13">
        <f t="shared" si="221"/>
        <v>0</v>
      </c>
      <c r="JJ71" s="13">
        <f t="shared" si="222"/>
        <v>0</v>
      </c>
      <c r="JK71" s="13">
        <f t="shared" si="223"/>
        <v>0</v>
      </c>
      <c r="JL71" s="13">
        <f t="shared" si="224"/>
        <v>0</v>
      </c>
      <c r="JM71" s="13">
        <f t="shared" si="225"/>
        <v>0</v>
      </c>
      <c r="JN71" s="13">
        <f t="shared" si="226"/>
        <v>0</v>
      </c>
      <c r="JO71" s="13">
        <f t="shared" si="227"/>
        <v>0</v>
      </c>
      <c r="JP71" s="13">
        <f t="shared" si="228"/>
        <v>0</v>
      </c>
      <c r="JQ71" s="13">
        <f t="shared" si="229"/>
        <v>0</v>
      </c>
      <c r="JR71" s="13">
        <f t="shared" si="230"/>
        <v>0</v>
      </c>
      <c r="JS71" s="13">
        <f t="shared" si="231"/>
        <v>0</v>
      </c>
      <c r="JT71" s="13">
        <f t="shared" si="232"/>
        <v>0</v>
      </c>
      <c r="JU71" s="13">
        <f t="shared" si="233"/>
        <v>0</v>
      </c>
      <c r="JV71" s="12">
        <f t="shared" si="234"/>
        <v>0</v>
      </c>
      <c r="JW71" s="12">
        <f t="shared" si="235"/>
        <v>0</v>
      </c>
      <c r="JX71" s="12">
        <f t="shared" si="236"/>
        <v>0</v>
      </c>
      <c r="JY71" s="12">
        <f t="shared" si="237"/>
        <v>0</v>
      </c>
      <c r="JZ71" s="12">
        <f t="shared" si="238"/>
        <v>0</v>
      </c>
      <c r="KA71" s="12">
        <f t="shared" si="239"/>
        <v>0</v>
      </c>
      <c r="KB71" s="12">
        <f t="shared" si="240"/>
        <v>0</v>
      </c>
      <c r="KC71" s="12">
        <f t="shared" si="241"/>
        <v>0</v>
      </c>
      <c r="KD71" s="12">
        <f t="shared" si="242"/>
        <v>0</v>
      </c>
      <c r="KE71" s="12">
        <f t="shared" si="243"/>
        <v>0</v>
      </c>
      <c r="KF71" s="12">
        <f t="shared" si="244"/>
        <v>0</v>
      </c>
      <c r="KG71" s="12">
        <f t="shared" si="245"/>
        <v>0</v>
      </c>
      <c r="KH71" s="12">
        <f t="shared" si="246"/>
        <v>0</v>
      </c>
      <c r="KI71" s="12">
        <f t="shared" si="247"/>
        <v>0</v>
      </c>
      <c r="KJ71" s="12">
        <f t="shared" si="248"/>
        <v>0</v>
      </c>
      <c r="KK71" s="12">
        <f t="shared" si="249"/>
        <v>0</v>
      </c>
      <c r="KL71" s="12">
        <f t="shared" si="250"/>
        <v>0</v>
      </c>
      <c r="KM71" s="12">
        <f t="shared" si="251"/>
        <v>0</v>
      </c>
      <c r="KN71" s="12">
        <f t="shared" si="252"/>
        <v>0</v>
      </c>
      <c r="KO71" s="12">
        <f t="shared" si="253"/>
        <v>0</v>
      </c>
      <c r="KP71" s="12">
        <f t="shared" si="254"/>
        <v>0</v>
      </c>
      <c r="KQ71" s="12">
        <f t="shared" si="255"/>
        <v>0</v>
      </c>
      <c r="KR71" s="12">
        <f t="shared" si="256"/>
        <v>0</v>
      </c>
      <c r="KS71" s="12">
        <f t="shared" si="257"/>
        <v>0</v>
      </c>
      <c r="KT71" s="12">
        <f t="shared" si="258"/>
        <v>0</v>
      </c>
      <c r="KU71" s="12">
        <f t="shared" si="259"/>
        <v>0</v>
      </c>
      <c r="KV71" s="12">
        <f t="shared" si="260"/>
        <v>0</v>
      </c>
      <c r="KW71" s="12">
        <f t="shared" si="261"/>
        <v>0</v>
      </c>
      <c r="KX71" s="12">
        <f t="shared" si="262"/>
        <v>0</v>
      </c>
      <c r="KY71" s="12">
        <f t="shared" si="263"/>
        <v>0</v>
      </c>
      <c r="KZ71" s="12">
        <f t="shared" si="264"/>
        <v>0</v>
      </c>
      <c r="LA71" s="12">
        <f t="shared" si="265"/>
        <v>0</v>
      </c>
      <c r="LB71" s="12">
        <f t="shared" si="266"/>
        <v>0</v>
      </c>
      <c r="LC71" s="12">
        <f t="shared" si="267"/>
        <v>0</v>
      </c>
      <c r="LD71" s="12">
        <f t="shared" si="268"/>
        <v>0</v>
      </c>
      <c r="LE71" s="12">
        <f t="shared" si="269"/>
        <v>0</v>
      </c>
      <c r="LF71" s="12">
        <f t="shared" si="270"/>
        <v>0</v>
      </c>
      <c r="LG71" s="12">
        <f t="shared" si="271"/>
        <v>0</v>
      </c>
      <c r="LH71" s="12">
        <f t="shared" si="272"/>
        <v>0</v>
      </c>
      <c r="LI71" s="12">
        <f t="shared" si="273"/>
        <v>0</v>
      </c>
      <c r="LJ71" s="12">
        <f t="shared" si="274"/>
        <v>0</v>
      </c>
      <c r="LK71" s="12">
        <f t="shared" si="275"/>
        <v>0</v>
      </c>
      <c r="LL71" s="12">
        <f t="shared" si="276"/>
        <v>0</v>
      </c>
      <c r="LM71" s="12">
        <f t="shared" si="277"/>
        <v>0</v>
      </c>
      <c r="LN71" s="12">
        <f t="shared" si="278"/>
        <v>0</v>
      </c>
      <c r="LO71" s="12">
        <f t="shared" si="279"/>
        <v>0</v>
      </c>
      <c r="LP71" s="12">
        <f t="shared" si="280"/>
        <v>0</v>
      </c>
      <c r="LQ71" s="12">
        <f t="shared" si="281"/>
        <v>0</v>
      </c>
      <c r="LR71" s="12">
        <f t="shared" si="282"/>
        <v>0</v>
      </c>
      <c r="LS71" s="12">
        <f t="shared" si="283"/>
        <v>0</v>
      </c>
      <c r="LT71" s="13">
        <f t="shared" si="284"/>
        <v>0</v>
      </c>
      <c r="LU71" s="13">
        <f t="shared" si="285"/>
        <v>0</v>
      </c>
      <c r="LV71" s="13">
        <f t="shared" si="286"/>
        <v>0</v>
      </c>
      <c r="LW71" s="13">
        <f t="shared" si="287"/>
        <v>0</v>
      </c>
      <c r="LX71" s="13">
        <f t="shared" si="288"/>
        <v>0</v>
      </c>
      <c r="LY71" s="13">
        <f t="shared" si="289"/>
        <v>0</v>
      </c>
      <c r="LZ71" s="13">
        <f t="shared" si="290"/>
        <v>0</v>
      </c>
      <c r="MA71" s="13">
        <f t="shared" si="291"/>
        <v>0</v>
      </c>
      <c r="MB71" s="13">
        <f t="shared" si="292"/>
        <v>0</v>
      </c>
      <c r="MC71" s="13">
        <f t="shared" si="293"/>
        <v>0</v>
      </c>
      <c r="MD71" s="13">
        <f t="shared" si="294"/>
        <v>0</v>
      </c>
      <c r="ME71" s="13">
        <f t="shared" si="295"/>
        <v>0</v>
      </c>
      <c r="MF71" s="13">
        <f t="shared" si="296"/>
        <v>0</v>
      </c>
      <c r="MG71" s="13">
        <f t="shared" si="297"/>
        <v>0</v>
      </c>
      <c r="MH71" s="13">
        <f t="shared" si="298"/>
        <v>0</v>
      </c>
      <c r="MI71" s="13">
        <f t="shared" si="299"/>
        <v>0</v>
      </c>
      <c r="MJ71" s="13">
        <f t="shared" si="300"/>
        <v>0</v>
      </c>
      <c r="MK71" s="13">
        <f t="shared" si="301"/>
        <v>0</v>
      </c>
      <c r="ML71" s="14">
        <f t="shared" si="302"/>
        <v>0</v>
      </c>
      <c r="MM71" s="14">
        <f t="shared" si="303"/>
        <v>0</v>
      </c>
      <c r="MN71" s="14">
        <f t="shared" si="304"/>
        <v>0</v>
      </c>
      <c r="MO71" s="14">
        <f t="shared" si="305"/>
        <v>0</v>
      </c>
      <c r="MP71" s="14">
        <f t="shared" si="306"/>
        <v>1</v>
      </c>
      <c r="MQ71" s="14">
        <f t="shared" si="307"/>
        <v>0</v>
      </c>
      <c r="MR71" s="14">
        <f t="shared" si="308"/>
        <v>0</v>
      </c>
      <c r="MS71" s="14">
        <f t="shared" si="309"/>
        <v>0</v>
      </c>
      <c r="MT71" s="14">
        <f t="shared" si="310"/>
        <v>0</v>
      </c>
      <c r="MU71" s="14">
        <f t="shared" si="311"/>
        <v>0</v>
      </c>
      <c r="MV71" s="14">
        <f t="shared" si="312"/>
        <v>0</v>
      </c>
      <c r="MW71" s="14">
        <f t="shared" si="313"/>
        <v>0</v>
      </c>
      <c r="MX71" s="14">
        <f t="shared" si="314"/>
        <v>0</v>
      </c>
      <c r="MY71" s="14">
        <f t="shared" si="315"/>
        <v>0</v>
      </c>
      <c r="MZ71" s="14">
        <f t="shared" si="316"/>
        <v>0</v>
      </c>
      <c r="NA71" s="14">
        <f t="shared" si="317"/>
        <v>1</v>
      </c>
      <c r="NB71" s="14">
        <f t="shared" si="318"/>
        <v>0</v>
      </c>
    </row>
    <row r="72" ht="15.75" customHeight="1">
      <c r="A72" s="2">
        <v>305.0</v>
      </c>
      <c r="B72" s="2" t="s">
        <v>1615</v>
      </c>
      <c r="C72" s="2" t="s">
        <v>1616</v>
      </c>
      <c r="D72" s="2" t="s">
        <v>1617</v>
      </c>
      <c r="E72" s="2">
        <v>2020.0</v>
      </c>
      <c r="F72" s="2" t="s">
        <v>762</v>
      </c>
      <c r="G72" s="2" t="s">
        <v>925</v>
      </c>
      <c r="H72" s="2" t="s">
        <v>471</v>
      </c>
      <c r="I72" s="2" t="s">
        <v>1618</v>
      </c>
      <c r="M72" s="2">
        <v>18.0</v>
      </c>
      <c r="N72" s="2" t="s">
        <v>1619</v>
      </c>
      <c r="O72" s="2" t="s">
        <v>1620</v>
      </c>
      <c r="P72" s="2" t="s">
        <v>1621</v>
      </c>
      <c r="Q72" s="2" t="s">
        <v>1622</v>
      </c>
      <c r="R72" s="2" t="s">
        <v>1623</v>
      </c>
      <c r="S72" s="2" t="s">
        <v>1624</v>
      </c>
      <c r="T72" s="2" t="s">
        <v>1625</v>
      </c>
      <c r="Y72" s="2" t="s">
        <v>1626</v>
      </c>
      <c r="AB72" s="2" t="s">
        <v>687</v>
      </c>
      <c r="AG72" s="2" t="s">
        <v>772</v>
      </c>
      <c r="AJ72" s="2">
        <v>3.2188094E7</v>
      </c>
      <c r="AK72" s="2" t="s">
        <v>773</v>
      </c>
      <c r="AL72" s="2" t="s">
        <v>384</v>
      </c>
      <c r="AM72" s="2" t="s">
        <v>484</v>
      </c>
      <c r="AN72" s="2" t="s">
        <v>386</v>
      </c>
      <c r="AO72" s="2" t="s">
        <v>1627</v>
      </c>
      <c r="AP72" s="2" t="s">
        <v>386</v>
      </c>
      <c r="AQ72" s="2">
        <v>889.0</v>
      </c>
      <c r="AR72" s="2" t="s">
        <v>1628</v>
      </c>
      <c r="AS72" s="2" t="b">
        <v>0</v>
      </c>
      <c r="AT72" s="3">
        <v>0.0</v>
      </c>
      <c r="AU72" s="4"/>
      <c r="AV72" s="4"/>
      <c r="AW72" s="5">
        <f t="shared" si="432"/>
        <v>0</v>
      </c>
      <c r="AX72" s="5">
        <f t="shared" si="4"/>
        <v>0</v>
      </c>
      <c r="AY72" s="5">
        <f t="shared" si="5"/>
        <v>0</v>
      </c>
      <c r="AZ72" s="5">
        <f t="shared" si="6"/>
        <v>0</v>
      </c>
      <c r="BA72" s="5">
        <f t="shared" si="7"/>
        <v>0</v>
      </c>
      <c r="BB72" s="5">
        <f t="shared" si="8"/>
        <v>0</v>
      </c>
      <c r="BC72" s="5">
        <f t="shared" si="9"/>
        <v>0</v>
      </c>
      <c r="BD72" s="5">
        <f t="shared" si="10"/>
        <v>0</v>
      </c>
      <c r="BE72" s="5">
        <f t="shared" si="11"/>
        <v>0</v>
      </c>
      <c r="BF72" s="5">
        <f t="shared" si="12"/>
        <v>0</v>
      </c>
      <c r="BG72" s="5">
        <f t="shared" si="13"/>
        <v>0</v>
      </c>
      <c r="BH72" s="5">
        <f t="shared" si="14"/>
        <v>0</v>
      </c>
      <c r="BI72" s="5">
        <f t="shared" si="15"/>
        <v>0</v>
      </c>
      <c r="BJ72" s="5">
        <f t="shared" si="16"/>
        <v>0</v>
      </c>
      <c r="BK72" s="5">
        <f t="shared" si="17"/>
        <v>1</v>
      </c>
      <c r="BL72" s="5">
        <f t="shared" si="18"/>
        <v>0</v>
      </c>
      <c r="BM72" s="5">
        <f t="shared" si="19"/>
        <v>0</v>
      </c>
      <c r="BN72" s="5">
        <f t="shared" si="20"/>
        <v>0</v>
      </c>
      <c r="BO72" s="5">
        <f t="shared" si="21"/>
        <v>0</v>
      </c>
      <c r="BP72" s="5">
        <f t="shared" si="22"/>
        <v>0</v>
      </c>
      <c r="BQ72" s="5">
        <f t="shared" si="23"/>
        <v>0</v>
      </c>
      <c r="BR72" s="5">
        <f t="shared" si="24"/>
        <v>0</v>
      </c>
      <c r="BS72" s="5">
        <f t="shared" si="25"/>
        <v>0</v>
      </c>
      <c r="BT72" s="5">
        <f t="shared" si="26"/>
        <v>0</v>
      </c>
      <c r="BU72" s="5">
        <f t="shared" si="27"/>
        <v>0</v>
      </c>
      <c r="BV72" s="5">
        <f t="shared" ref="BV72:BW72" si="475">IF(OR(ISNUMBER(SEARCH("grit",$D72)),ISNUMBER(SEARCH("grit",$T72)),ISNUMBER(SEARCH("grit",$R72)),ISNUMBER(SEARCH("grit",$S72)),
ISNUMBER(SEARCH("determination",$D72)),ISNUMBER(SEARCH("determination",$T72)),ISNUMBER(SEARCH("determination",$R72)),ISNUMBER(SEARCH("determination",$S72)),
ISNUMBER(SEARCH("tenacity",$D72)),ISNUMBER(SEARCH("tenacity",$T72)),ISNUMBER(SEARCH("tenacity",$R72)),ISNUMBER(SEARCH("tenacity",$S72)),
ISNUMBER(SEARCH("endurance",$D72)),ISNUMBER(SEARCH("endurance",$T72)),ISNUMBER(SEARCH("endurance",$R72)),ISNUMBER(SEARCH("endurance",$S72)),
ISNUMBER(SEARCH("fortitude",$D72)),ISNUMBER(SEARCH("fortitude",$T72)),ISNUMBER(SEARCH("fortitude",$R72)),ISNUMBER(SEARCH("fortitude",$S72)),
ISNUMBER(SEARCH("resolve",$D72)),ISNUMBER(SEARCH("resolve",$T72)),ISNUMBER(SEARCH("resolve",$R72)),ISNUMBER(SEARCH("resolve",$S72)),
ISNUMBER(SEARCH("stamina",$D72)),ISNUMBER(SEARCH("stamina",$T72)),ISNUMBER(SEARCH("stamina",$R72)),ISNUMBER(SEARCH("stamina",$S72)),
ISNUMBER(SEARCH("guts",$D72)),ISNUMBER(SEARCH("guts",$T72)),ISNUMBER(SEARCH("guts",$R72)),ISNUMBER(SEARCH("guts",$S72)),
ISNUMBER(SEARCH("spunk",$D72)),ISNUMBER(SEARCH("spunk",$T72)),ISNUMBER(SEARCH("spunk",$R72)),ISNUMBER(SEARCH("spunk",$S72))), 1, 0)</f>
        <v>0</v>
      </c>
      <c r="BW72" s="5">
        <f t="shared" si="475"/>
        <v>0</v>
      </c>
      <c r="BX72" s="5">
        <f t="shared" si="29"/>
        <v>0</v>
      </c>
      <c r="BY72" s="5">
        <f t="shared" si="30"/>
        <v>0</v>
      </c>
      <c r="BZ72" s="5">
        <f t="shared" si="31"/>
        <v>0</v>
      </c>
      <c r="CA72" s="5">
        <f t="shared" si="32"/>
        <v>0</v>
      </c>
      <c r="CB72" s="5">
        <f t="shared" si="33"/>
        <v>0</v>
      </c>
      <c r="CC72" s="5">
        <f t="shared" si="34"/>
        <v>0</v>
      </c>
      <c r="CD72" s="5">
        <f t="shared" si="35"/>
        <v>0</v>
      </c>
      <c r="CE72" s="5">
        <f t="shared" si="36"/>
        <v>0</v>
      </c>
      <c r="CF72" s="5">
        <f t="shared" si="37"/>
        <v>0</v>
      </c>
      <c r="CG72" s="5">
        <f t="shared" si="38"/>
        <v>0</v>
      </c>
      <c r="CH72" s="5">
        <f t="shared" si="39"/>
        <v>0</v>
      </c>
      <c r="CI72" s="5">
        <f t="shared" si="40"/>
        <v>0</v>
      </c>
      <c r="CJ72" s="5">
        <f t="shared" si="41"/>
        <v>0</v>
      </c>
      <c r="CK72" s="5">
        <f t="shared" si="42"/>
        <v>1</v>
      </c>
      <c r="CL72" s="5">
        <f t="shared" si="43"/>
        <v>0</v>
      </c>
      <c r="CM72" s="5">
        <f t="shared" si="44"/>
        <v>0</v>
      </c>
      <c r="CN72" s="5">
        <f t="shared" si="45"/>
        <v>0</v>
      </c>
      <c r="CO72" s="5">
        <f t="shared" si="46"/>
        <v>0</v>
      </c>
      <c r="CP72" s="6">
        <f t="shared" si="47"/>
        <v>0</v>
      </c>
      <c r="CQ72" s="6">
        <f t="shared" si="48"/>
        <v>0</v>
      </c>
      <c r="CR72" s="6">
        <f t="shared" si="49"/>
        <v>0</v>
      </c>
      <c r="CS72" s="6">
        <f t="shared" si="50"/>
        <v>0</v>
      </c>
      <c r="CT72" s="6">
        <f t="shared" si="51"/>
        <v>0</v>
      </c>
      <c r="CU72" s="6">
        <f t="shared" si="52"/>
        <v>0</v>
      </c>
      <c r="CV72" s="6">
        <f t="shared" si="53"/>
        <v>0</v>
      </c>
      <c r="CW72" s="6">
        <f t="shared" si="54"/>
        <v>0</v>
      </c>
      <c r="CX72" s="6">
        <f t="shared" si="55"/>
        <v>0</v>
      </c>
      <c r="CY72" s="6">
        <f t="shared" si="56"/>
        <v>0</v>
      </c>
      <c r="CZ72" s="6">
        <f t="shared" si="57"/>
        <v>0</v>
      </c>
      <c r="DA72" s="6">
        <f t="shared" si="58"/>
        <v>0</v>
      </c>
      <c r="DB72" s="6">
        <f t="shared" si="59"/>
        <v>0</v>
      </c>
      <c r="DC72" s="6">
        <f t="shared" si="60"/>
        <v>1</v>
      </c>
      <c r="DD72" s="6">
        <f t="shared" si="61"/>
        <v>0</v>
      </c>
      <c r="DE72" s="6">
        <f t="shared" si="62"/>
        <v>1</v>
      </c>
      <c r="DF72" s="6">
        <f t="shared" si="63"/>
        <v>0</v>
      </c>
      <c r="DG72" s="6">
        <f t="shared" si="64"/>
        <v>0</v>
      </c>
      <c r="DH72" s="6">
        <f t="shared" si="434"/>
        <v>0</v>
      </c>
      <c r="DI72" s="6">
        <f t="shared" si="66"/>
        <v>0</v>
      </c>
      <c r="DJ72" s="6">
        <f t="shared" si="435"/>
        <v>0</v>
      </c>
      <c r="DK72" s="7">
        <f t="shared" si="68"/>
        <v>0</v>
      </c>
      <c r="DL72" s="7">
        <f t="shared" si="411"/>
        <v>0</v>
      </c>
      <c r="DM72" s="7">
        <f t="shared" si="70"/>
        <v>0</v>
      </c>
      <c r="DN72" s="7">
        <f t="shared" si="71"/>
        <v>0</v>
      </c>
      <c r="DO72" s="7">
        <f t="shared" si="72"/>
        <v>1</v>
      </c>
      <c r="DP72" s="8">
        <f t="shared" si="73"/>
        <v>0</v>
      </c>
      <c r="DQ72" s="8">
        <f t="shared" si="74"/>
        <v>1</v>
      </c>
      <c r="DR72" s="7">
        <f t="shared" si="75"/>
        <v>0</v>
      </c>
      <c r="DS72" s="7">
        <f t="shared" si="76"/>
        <v>0</v>
      </c>
      <c r="DT72" s="7">
        <f t="shared" si="77"/>
        <v>0</v>
      </c>
      <c r="DU72" s="9">
        <f t="shared" si="78"/>
        <v>0</v>
      </c>
      <c r="DV72" s="9">
        <f t="shared" si="79"/>
        <v>0</v>
      </c>
      <c r="DW72" s="9">
        <f t="shared" si="80"/>
        <v>0</v>
      </c>
      <c r="DX72" s="9">
        <f t="shared" si="81"/>
        <v>0</v>
      </c>
      <c r="DY72" s="9">
        <f t="shared" si="82"/>
        <v>0</v>
      </c>
      <c r="DZ72" s="9">
        <f t="shared" si="83"/>
        <v>0</v>
      </c>
      <c r="EA72" s="9">
        <f t="shared" si="84"/>
        <v>0</v>
      </c>
      <c r="EB72" s="9">
        <f t="shared" si="85"/>
        <v>0</v>
      </c>
      <c r="EC72" s="9">
        <f t="shared" si="86"/>
        <v>0</v>
      </c>
      <c r="ED72" s="9">
        <f t="shared" si="87"/>
        <v>0</v>
      </c>
      <c r="EE72" s="9">
        <f t="shared" si="88"/>
        <v>0</v>
      </c>
      <c r="EF72" s="9">
        <f t="shared" si="89"/>
        <v>0</v>
      </c>
      <c r="EG72" s="9">
        <f t="shared" si="90"/>
        <v>0</v>
      </c>
      <c r="EH72" s="9">
        <f t="shared" si="91"/>
        <v>0</v>
      </c>
      <c r="EI72" s="9">
        <f t="shared" si="92"/>
        <v>0</v>
      </c>
      <c r="EJ72" s="10">
        <f t="shared" si="93"/>
        <v>0</v>
      </c>
      <c r="EK72" s="10">
        <f t="shared" si="94"/>
        <v>0</v>
      </c>
      <c r="EL72" s="10">
        <f t="shared" ref="EL72:EM72" si="476">IF(OR(ISNUMBER(SEARCH("ai software toolkit", $D72)), ISNUMBER(SEARCH("ai software toolkit", $T72)), ISNUMBER(SEARCH("ai software toolkit", $R72)), ISNUMBER(SEARCH("ai software toolkit", $S72))), 1, 0)</f>
        <v>0</v>
      </c>
      <c r="EM72" s="10">
        <f t="shared" si="476"/>
        <v>0</v>
      </c>
      <c r="EN72" s="10">
        <f t="shared" si="96"/>
        <v>0</v>
      </c>
      <c r="EO72" s="10">
        <f t="shared" si="97"/>
        <v>0</v>
      </c>
      <c r="EP72" s="10">
        <f t="shared" si="98"/>
        <v>0</v>
      </c>
      <c r="EQ72" s="10">
        <f t="shared" si="99"/>
        <v>0</v>
      </c>
      <c r="ER72" s="10">
        <f t="shared" si="100"/>
        <v>0</v>
      </c>
      <c r="ES72" s="10">
        <f t="shared" si="101"/>
        <v>0</v>
      </c>
      <c r="ET72" s="10">
        <f t="shared" si="102"/>
        <v>0</v>
      </c>
      <c r="EU72" s="10">
        <f t="shared" si="103"/>
        <v>0</v>
      </c>
      <c r="EV72" s="10">
        <f t="shared" si="104"/>
        <v>0</v>
      </c>
      <c r="EW72" s="10">
        <f t="shared" si="105"/>
        <v>0</v>
      </c>
      <c r="EX72" s="10">
        <f t="shared" si="106"/>
        <v>0</v>
      </c>
      <c r="EY72" s="10">
        <f t="shared" si="107"/>
        <v>0</v>
      </c>
      <c r="EZ72" s="10">
        <f t="shared" si="108"/>
        <v>0</v>
      </c>
      <c r="FA72" s="10">
        <f t="shared" si="109"/>
        <v>0</v>
      </c>
      <c r="FB72" s="10">
        <f t="shared" si="110"/>
        <v>0</v>
      </c>
      <c r="FC72" s="10">
        <f t="shared" si="111"/>
        <v>0</v>
      </c>
      <c r="FD72" s="10">
        <f t="shared" si="112"/>
        <v>0</v>
      </c>
      <c r="FE72" s="10">
        <f t="shared" si="113"/>
        <v>0</v>
      </c>
      <c r="FF72" s="10">
        <f t="shared" si="114"/>
        <v>0</v>
      </c>
      <c r="FG72" s="10">
        <f t="shared" si="115"/>
        <v>0</v>
      </c>
      <c r="FH72" s="10">
        <f t="shared" si="116"/>
        <v>0</v>
      </c>
      <c r="FI72" s="10">
        <f t="shared" si="117"/>
        <v>0</v>
      </c>
      <c r="FJ72" s="10">
        <f t="shared" si="118"/>
        <v>0</v>
      </c>
      <c r="FK72" s="10">
        <f t="shared" si="119"/>
        <v>0</v>
      </c>
      <c r="FL72" s="10">
        <f t="shared" si="120"/>
        <v>0</v>
      </c>
      <c r="FM72" s="10">
        <f t="shared" si="121"/>
        <v>0</v>
      </c>
      <c r="FN72" s="10">
        <f t="shared" si="122"/>
        <v>0</v>
      </c>
      <c r="FO72" s="10">
        <f t="shared" si="123"/>
        <v>0</v>
      </c>
      <c r="FP72" s="10">
        <f t="shared" si="124"/>
        <v>0</v>
      </c>
      <c r="FQ72" s="10">
        <f t="shared" si="125"/>
        <v>0</v>
      </c>
      <c r="FR72" s="11">
        <f t="shared" si="470"/>
        <v>0</v>
      </c>
      <c r="FS72" s="11">
        <f t="shared" si="127"/>
        <v>0</v>
      </c>
      <c r="FT72" s="11">
        <f t="shared" si="128"/>
        <v>0</v>
      </c>
      <c r="FU72" s="11">
        <f t="shared" si="129"/>
        <v>0</v>
      </c>
      <c r="FV72" s="11">
        <f t="shared" si="130"/>
        <v>0</v>
      </c>
      <c r="FW72" s="11">
        <f t="shared" si="131"/>
        <v>0</v>
      </c>
      <c r="FX72" s="11">
        <f t="shared" si="132"/>
        <v>0</v>
      </c>
      <c r="FY72" s="11">
        <f t="shared" si="133"/>
        <v>0</v>
      </c>
      <c r="FZ72" s="11">
        <f t="shared" si="134"/>
        <v>0</v>
      </c>
      <c r="GA72" s="11">
        <f t="shared" si="135"/>
        <v>0</v>
      </c>
      <c r="GB72" s="11">
        <f t="shared" si="136"/>
        <v>0</v>
      </c>
      <c r="GC72" s="11">
        <f t="shared" si="137"/>
        <v>0</v>
      </c>
      <c r="GD72" s="11">
        <f t="shared" si="138"/>
        <v>0</v>
      </c>
      <c r="GE72" s="11">
        <f t="shared" si="139"/>
        <v>0</v>
      </c>
      <c r="GF72" s="11">
        <f t="shared" si="140"/>
        <v>0</v>
      </c>
      <c r="GG72" s="11">
        <f t="shared" si="141"/>
        <v>0</v>
      </c>
      <c r="GH72" s="11">
        <f t="shared" si="142"/>
        <v>0</v>
      </c>
      <c r="GI72" s="11">
        <f t="shared" si="143"/>
        <v>0</v>
      </c>
      <c r="GJ72" s="11">
        <f t="shared" si="144"/>
        <v>0</v>
      </c>
      <c r="GK72" s="11">
        <f t="shared" si="145"/>
        <v>0</v>
      </c>
      <c r="GL72" s="11">
        <f t="shared" si="146"/>
        <v>0</v>
      </c>
      <c r="GM72" s="11">
        <f t="shared" si="147"/>
        <v>0</v>
      </c>
      <c r="GN72" s="11">
        <f t="shared" si="148"/>
        <v>0</v>
      </c>
      <c r="GO72" s="11">
        <f t="shared" si="149"/>
        <v>0</v>
      </c>
      <c r="GP72" s="11">
        <f t="shared" si="150"/>
        <v>0</v>
      </c>
      <c r="GQ72" s="11">
        <f t="shared" si="151"/>
        <v>0</v>
      </c>
      <c r="GR72" s="11">
        <f t="shared" si="152"/>
        <v>0</v>
      </c>
      <c r="GS72" s="11">
        <f t="shared" si="153"/>
        <v>0</v>
      </c>
      <c r="GT72" s="11">
        <f t="shared" si="154"/>
        <v>0</v>
      </c>
      <c r="GU72" s="12">
        <f t="shared" si="155"/>
        <v>0</v>
      </c>
      <c r="GV72" s="12">
        <f t="shared" si="156"/>
        <v>0</v>
      </c>
      <c r="GW72" s="12">
        <f t="shared" si="157"/>
        <v>0</v>
      </c>
      <c r="GX72" s="12">
        <f t="shared" si="158"/>
        <v>0</v>
      </c>
      <c r="GY72" s="12">
        <f t="shared" si="159"/>
        <v>0</v>
      </c>
      <c r="GZ72" s="12">
        <f t="shared" si="160"/>
        <v>0</v>
      </c>
      <c r="HA72" s="12">
        <f t="shared" si="161"/>
        <v>0</v>
      </c>
      <c r="HB72" s="12">
        <f t="shared" si="162"/>
        <v>0</v>
      </c>
      <c r="HC72" s="12">
        <f t="shared" si="163"/>
        <v>0</v>
      </c>
      <c r="HD72" s="12">
        <f t="shared" si="164"/>
        <v>0</v>
      </c>
      <c r="HE72" s="12">
        <f t="shared" si="165"/>
        <v>0</v>
      </c>
      <c r="HF72" s="12">
        <f t="shared" si="166"/>
        <v>0</v>
      </c>
      <c r="HG72" s="12">
        <f t="shared" si="167"/>
        <v>0</v>
      </c>
      <c r="HH72" s="12">
        <f t="shared" si="168"/>
        <v>0</v>
      </c>
      <c r="HI72" s="12">
        <f t="shared" si="169"/>
        <v>0</v>
      </c>
      <c r="HJ72" s="12">
        <f t="shared" si="170"/>
        <v>0</v>
      </c>
      <c r="HK72" s="12">
        <f t="shared" si="171"/>
        <v>0</v>
      </c>
      <c r="HL72" s="12">
        <f t="shared" si="172"/>
        <v>0</v>
      </c>
      <c r="HM72" s="12">
        <f t="shared" si="173"/>
        <v>0</v>
      </c>
      <c r="HN72" s="12">
        <f t="shared" si="174"/>
        <v>0</v>
      </c>
      <c r="HO72" s="12">
        <f t="shared" si="175"/>
        <v>0</v>
      </c>
      <c r="HP72" s="12">
        <f t="shared" si="176"/>
        <v>0</v>
      </c>
      <c r="HQ72" s="12">
        <f t="shared" si="177"/>
        <v>0</v>
      </c>
      <c r="HR72" s="12">
        <f t="shared" si="178"/>
        <v>0</v>
      </c>
      <c r="HS72" s="12">
        <f t="shared" si="179"/>
        <v>0</v>
      </c>
      <c r="HT72" s="12">
        <f t="shared" si="180"/>
        <v>0</v>
      </c>
      <c r="HU72" s="12">
        <f t="shared" si="181"/>
        <v>0</v>
      </c>
      <c r="HV72" s="12">
        <f t="shared" si="182"/>
        <v>0</v>
      </c>
      <c r="HW72" s="12">
        <f t="shared" si="183"/>
        <v>0</v>
      </c>
      <c r="HX72" s="12">
        <f t="shared" si="184"/>
        <v>0</v>
      </c>
      <c r="HY72" s="12">
        <f t="shared" si="185"/>
        <v>0</v>
      </c>
      <c r="HZ72" s="12">
        <f t="shared" si="186"/>
        <v>0</v>
      </c>
      <c r="IA72" s="12">
        <f t="shared" si="187"/>
        <v>0</v>
      </c>
      <c r="IB72" s="12">
        <f t="shared" si="188"/>
        <v>0</v>
      </c>
      <c r="IC72" s="12">
        <f t="shared" si="189"/>
        <v>0</v>
      </c>
      <c r="ID72" s="12">
        <f t="shared" si="190"/>
        <v>0</v>
      </c>
      <c r="IE72" s="12">
        <f t="shared" si="191"/>
        <v>0</v>
      </c>
      <c r="IF72" s="12">
        <f t="shared" si="192"/>
        <v>0</v>
      </c>
      <c r="IG72" s="12">
        <f t="shared" si="193"/>
        <v>0</v>
      </c>
      <c r="IH72" s="12">
        <f t="shared" si="194"/>
        <v>0</v>
      </c>
      <c r="II72" s="12">
        <f t="shared" si="195"/>
        <v>0</v>
      </c>
      <c r="IJ72" s="12">
        <f t="shared" si="196"/>
        <v>0</v>
      </c>
      <c r="IK72" s="12">
        <f t="shared" si="197"/>
        <v>0</v>
      </c>
      <c r="IL72" s="12">
        <f t="shared" si="198"/>
        <v>0</v>
      </c>
      <c r="IM72" s="12">
        <f t="shared" si="199"/>
        <v>0</v>
      </c>
      <c r="IN72" s="12">
        <f t="shared" si="200"/>
        <v>0</v>
      </c>
      <c r="IO72" s="12">
        <f t="shared" si="201"/>
        <v>0</v>
      </c>
      <c r="IP72" s="12">
        <f t="shared" si="202"/>
        <v>0</v>
      </c>
      <c r="IQ72" s="12">
        <f t="shared" si="203"/>
        <v>0</v>
      </c>
      <c r="IR72" s="12">
        <f t="shared" si="204"/>
        <v>0</v>
      </c>
      <c r="IS72" s="12">
        <f t="shared" si="205"/>
        <v>0</v>
      </c>
      <c r="IT72" s="12">
        <f t="shared" si="206"/>
        <v>0</v>
      </c>
      <c r="IU72" s="12">
        <f t="shared" si="207"/>
        <v>0</v>
      </c>
      <c r="IV72" s="12">
        <f t="shared" si="208"/>
        <v>0</v>
      </c>
      <c r="IW72" s="12">
        <f t="shared" si="209"/>
        <v>0</v>
      </c>
      <c r="IX72" s="12">
        <f t="shared" si="210"/>
        <v>0</v>
      </c>
      <c r="IY72" s="12">
        <f t="shared" si="211"/>
        <v>0</v>
      </c>
      <c r="IZ72" s="12">
        <f t="shared" si="212"/>
        <v>1</v>
      </c>
      <c r="JA72" s="13">
        <f t="shared" si="213"/>
        <v>0</v>
      </c>
      <c r="JB72" s="13">
        <f t="shared" si="214"/>
        <v>0</v>
      </c>
      <c r="JC72" s="13">
        <f t="shared" si="215"/>
        <v>0</v>
      </c>
      <c r="JD72" s="13">
        <f t="shared" si="216"/>
        <v>0</v>
      </c>
      <c r="JE72" s="13">
        <f t="shared" si="217"/>
        <v>0</v>
      </c>
      <c r="JF72" s="13">
        <f t="shared" si="218"/>
        <v>0</v>
      </c>
      <c r="JG72" s="13">
        <f t="shared" si="219"/>
        <v>0</v>
      </c>
      <c r="JH72" s="13">
        <f t="shared" si="220"/>
        <v>0</v>
      </c>
      <c r="JI72" s="13">
        <f t="shared" si="221"/>
        <v>0</v>
      </c>
      <c r="JJ72" s="13">
        <f t="shared" si="222"/>
        <v>0</v>
      </c>
      <c r="JK72" s="13">
        <f t="shared" si="223"/>
        <v>0</v>
      </c>
      <c r="JL72" s="13">
        <f t="shared" si="224"/>
        <v>0</v>
      </c>
      <c r="JM72" s="13">
        <f t="shared" si="225"/>
        <v>0</v>
      </c>
      <c r="JN72" s="13">
        <f t="shared" si="226"/>
        <v>0</v>
      </c>
      <c r="JO72" s="13">
        <f t="shared" si="227"/>
        <v>0</v>
      </c>
      <c r="JP72" s="13">
        <f t="shared" si="228"/>
        <v>0</v>
      </c>
      <c r="JQ72" s="13">
        <f t="shared" si="229"/>
        <v>0</v>
      </c>
      <c r="JR72" s="13">
        <f t="shared" si="230"/>
        <v>0</v>
      </c>
      <c r="JS72" s="13">
        <f t="shared" si="231"/>
        <v>0</v>
      </c>
      <c r="JT72" s="13">
        <f t="shared" si="232"/>
        <v>0</v>
      </c>
      <c r="JU72" s="13">
        <f t="shared" si="233"/>
        <v>0</v>
      </c>
      <c r="JV72" s="12">
        <f t="shared" si="234"/>
        <v>0</v>
      </c>
      <c r="JW72" s="12">
        <f t="shared" si="235"/>
        <v>0</v>
      </c>
      <c r="JX72" s="12">
        <f t="shared" si="236"/>
        <v>0</v>
      </c>
      <c r="JY72" s="12">
        <f t="shared" si="237"/>
        <v>0</v>
      </c>
      <c r="JZ72" s="12">
        <f t="shared" si="238"/>
        <v>0</v>
      </c>
      <c r="KA72" s="12">
        <f t="shared" si="239"/>
        <v>0</v>
      </c>
      <c r="KB72" s="12">
        <f t="shared" si="240"/>
        <v>0</v>
      </c>
      <c r="KC72" s="12">
        <f t="shared" si="241"/>
        <v>0</v>
      </c>
      <c r="KD72" s="12">
        <f t="shared" si="242"/>
        <v>0</v>
      </c>
      <c r="KE72" s="12">
        <f t="shared" si="243"/>
        <v>0</v>
      </c>
      <c r="KF72" s="12">
        <f t="shared" si="244"/>
        <v>0</v>
      </c>
      <c r="KG72" s="12">
        <f t="shared" si="245"/>
        <v>0</v>
      </c>
      <c r="KH72" s="12">
        <f t="shared" si="246"/>
        <v>0</v>
      </c>
      <c r="KI72" s="12">
        <f t="shared" si="247"/>
        <v>0</v>
      </c>
      <c r="KJ72" s="12">
        <f t="shared" si="248"/>
        <v>0</v>
      </c>
      <c r="KK72" s="12">
        <f t="shared" si="249"/>
        <v>0</v>
      </c>
      <c r="KL72" s="12">
        <f t="shared" si="250"/>
        <v>0</v>
      </c>
      <c r="KM72" s="12">
        <f t="shared" si="251"/>
        <v>0</v>
      </c>
      <c r="KN72" s="12">
        <f t="shared" si="252"/>
        <v>0</v>
      </c>
      <c r="KO72" s="12">
        <f t="shared" si="253"/>
        <v>0</v>
      </c>
      <c r="KP72" s="12">
        <f t="shared" si="254"/>
        <v>0</v>
      </c>
      <c r="KQ72" s="12">
        <f t="shared" si="255"/>
        <v>0</v>
      </c>
      <c r="KR72" s="12">
        <f t="shared" si="256"/>
        <v>0</v>
      </c>
      <c r="KS72" s="12">
        <f t="shared" si="257"/>
        <v>0</v>
      </c>
      <c r="KT72" s="12">
        <f t="shared" si="258"/>
        <v>0</v>
      </c>
      <c r="KU72" s="12">
        <f t="shared" si="259"/>
        <v>0</v>
      </c>
      <c r="KV72" s="12">
        <f t="shared" si="260"/>
        <v>0</v>
      </c>
      <c r="KW72" s="12">
        <f t="shared" si="261"/>
        <v>0</v>
      </c>
      <c r="KX72" s="12">
        <f t="shared" si="262"/>
        <v>0</v>
      </c>
      <c r="KY72" s="12">
        <f t="shared" si="263"/>
        <v>0</v>
      </c>
      <c r="KZ72" s="12">
        <f t="shared" si="264"/>
        <v>0</v>
      </c>
      <c r="LA72" s="12">
        <f t="shared" si="265"/>
        <v>0</v>
      </c>
      <c r="LB72" s="12">
        <f t="shared" si="266"/>
        <v>0</v>
      </c>
      <c r="LC72" s="12">
        <f t="shared" si="267"/>
        <v>0</v>
      </c>
      <c r="LD72" s="12">
        <f t="shared" si="268"/>
        <v>0</v>
      </c>
      <c r="LE72" s="12">
        <f t="shared" si="269"/>
        <v>0</v>
      </c>
      <c r="LF72" s="12">
        <f t="shared" si="270"/>
        <v>0</v>
      </c>
      <c r="LG72" s="12">
        <f t="shared" si="271"/>
        <v>0</v>
      </c>
      <c r="LH72" s="12">
        <f t="shared" si="272"/>
        <v>0</v>
      </c>
      <c r="LI72" s="12">
        <f t="shared" si="273"/>
        <v>0</v>
      </c>
      <c r="LJ72" s="12">
        <f t="shared" si="274"/>
        <v>0</v>
      </c>
      <c r="LK72" s="12">
        <f t="shared" si="275"/>
        <v>0</v>
      </c>
      <c r="LL72" s="12">
        <f t="shared" si="276"/>
        <v>0</v>
      </c>
      <c r="LM72" s="12">
        <f t="shared" si="277"/>
        <v>0</v>
      </c>
      <c r="LN72" s="12">
        <f t="shared" si="278"/>
        <v>0</v>
      </c>
      <c r="LO72" s="12">
        <f t="shared" si="279"/>
        <v>0</v>
      </c>
      <c r="LP72" s="12">
        <f t="shared" si="280"/>
        <v>0</v>
      </c>
      <c r="LQ72" s="12">
        <f t="shared" si="281"/>
        <v>0</v>
      </c>
      <c r="LR72" s="12">
        <f t="shared" si="282"/>
        <v>0</v>
      </c>
      <c r="LS72" s="12">
        <f t="shared" si="283"/>
        <v>0</v>
      </c>
      <c r="LT72" s="13">
        <f t="shared" si="284"/>
        <v>0</v>
      </c>
      <c r="LU72" s="13">
        <f t="shared" si="285"/>
        <v>0</v>
      </c>
      <c r="LV72" s="13">
        <f t="shared" si="286"/>
        <v>0</v>
      </c>
      <c r="LW72" s="13">
        <f t="shared" si="287"/>
        <v>0</v>
      </c>
      <c r="LX72" s="13">
        <f t="shared" si="288"/>
        <v>0</v>
      </c>
      <c r="LY72" s="13">
        <f t="shared" si="289"/>
        <v>0</v>
      </c>
      <c r="LZ72" s="13">
        <f t="shared" si="290"/>
        <v>0</v>
      </c>
      <c r="MA72" s="13">
        <f t="shared" si="291"/>
        <v>0</v>
      </c>
      <c r="MB72" s="13">
        <f t="shared" si="292"/>
        <v>0</v>
      </c>
      <c r="MC72" s="13">
        <f t="shared" si="293"/>
        <v>0</v>
      </c>
      <c r="MD72" s="13">
        <f t="shared" si="294"/>
        <v>0</v>
      </c>
      <c r="ME72" s="13">
        <f t="shared" si="295"/>
        <v>0</v>
      </c>
      <c r="MF72" s="13">
        <f t="shared" si="296"/>
        <v>0</v>
      </c>
      <c r="MG72" s="13">
        <f t="shared" si="297"/>
        <v>0</v>
      </c>
      <c r="MH72" s="13">
        <f t="shared" si="298"/>
        <v>0</v>
      </c>
      <c r="MI72" s="13">
        <f t="shared" si="299"/>
        <v>0</v>
      </c>
      <c r="MJ72" s="13">
        <f t="shared" si="300"/>
        <v>0</v>
      </c>
      <c r="MK72" s="13">
        <f t="shared" si="301"/>
        <v>0</v>
      </c>
      <c r="ML72" s="14">
        <f t="shared" si="302"/>
        <v>0</v>
      </c>
      <c r="MM72" s="14">
        <f t="shared" si="303"/>
        <v>0</v>
      </c>
      <c r="MN72" s="14">
        <f t="shared" si="304"/>
        <v>0</v>
      </c>
      <c r="MO72" s="14">
        <f t="shared" si="305"/>
        <v>0</v>
      </c>
      <c r="MP72" s="14">
        <f t="shared" si="306"/>
        <v>0</v>
      </c>
      <c r="MQ72" s="14">
        <f t="shared" si="307"/>
        <v>0</v>
      </c>
      <c r="MR72" s="14">
        <f t="shared" si="308"/>
        <v>0</v>
      </c>
      <c r="MS72" s="14">
        <f t="shared" si="309"/>
        <v>0</v>
      </c>
      <c r="MT72" s="14">
        <f t="shared" si="310"/>
        <v>0</v>
      </c>
      <c r="MU72" s="14">
        <f t="shared" si="311"/>
        <v>0</v>
      </c>
      <c r="MV72" s="14">
        <f t="shared" si="312"/>
        <v>0</v>
      </c>
      <c r="MW72" s="14">
        <f t="shared" si="313"/>
        <v>0</v>
      </c>
      <c r="MX72" s="14">
        <f t="shared" si="314"/>
        <v>0</v>
      </c>
      <c r="MY72" s="14">
        <f t="shared" si="315"/>
        <v>0</v>
      </c>
      <c r="MZ72" s="14">
        <f t="shared" si="316"/>
        <v>0</v>
      </c>
      <c r="NA72" s="14">
        <f t="shared" si="317"/>
        <v>0</v>
      </c>
      <c r="NB72" s="14">
        <f t="shared" si="318"/>
        <v>0</v>
      </c>
    </row>
    <row r="73" ht="15.75" customHeight="1">
      <c r="A73" s="2">
        <v>335.0</v>
      </c>
      <c r="B73" s="2" t="s">
        <v>1629</v>
      </c>
      <c r="C73" s="2" t="s">
        <v>1630</v>
      </c>
      <c r="D73" s="2" t="s">
        <v>1631</v>
      </c>
      <c r="E73" s="2">
        <v>2018.0</v>
      </c>
      <c r="F73" s="2" t="s">
        <v>1632</v>
      </c>
      <c r="G73" s="2" t="s">
        <v>1633</v>
      </c>
      <c r="J73" s="2" t="s">
        <v>1634</v>
      </c>
      <c r="K73" s="2" t="s">
        <v>1635</v>
      </c>
      <c r="M73" s="2">
        <v>18.0</v>
      </c>
      <c r="N73" s="2" t="s">
        <v>1636</v>
      </c>
      <c r="O73" s="2" t="s">
        <v>1637</v>
      </c>
      <c r="P73" s="2" t="s">
        <v>1638</v>
      </c>
      <c r="Q73" s="2" t="s">
        <v>1639</v>
      </c>
      <c r="R73" s="2" t="s">
        <v>1640</v>
      </c>
      <c r="S73" s="2" t="s">
        <v>1641</v>
      </c>
      <c r="T73" s="2" t="s">
        <v>1642</v>
      </c>
      <c r="Y73" s="2" t="s">
        <v>1643</v>
      </c>
      <c r="AB73" s="2" t="s">
        <v>646</v>
      </c>
      <c r="AG73" s="2" t="s">
        <v>1644</v>
      </c>
      <c r="AI73" s="2" t="s">
        <v>1645</v>
      </c>
      <c r="AK73" s="2" t="s">
        <v>1646</v>
      </c>
      <c r="AL73" s="2" t="s">
        <v>384</v>
      </c>
      <c r="AM73" s="2" t="s">
        <v>385</v>
      </c>
      <c r="AN73" s="2" t="s">
        <v>386</v>
      </c>
      <c r="AO73" s="2" t="s">
        <v>1647</v>
      </c>
      <c r="AP73" s="2" t="s">
        <v>386</v>
      </c>
      <c r="AQ73" s="2">
        <v>1301.0</v>
      </c>
      <c r="AR73" s="2" t="s">
        <v>1648</v>
      </c>
      <c r="AS73" s="2" t="b">
        <v>1</v>
      </c>
      <c r="AT73" s="3">
        <v>0.0</v>
      </c>
      <c r="AU73" s="4"/>
      <c r="AV73" s="4">
        <v>1.0</v>
      </c>
      <c r="AW73" s="5">
        <f t="shared" si="432"/>
        <v>0</v>
      </c>
      <c r="AX73" s="5">
        <f t="shared" si="4"/>
        <v>0</v>
      </c>
      <c r="AY73" s="5">
        <f t="shared" si="5"/>
        <v>0</v>
      </c>
      <c r="AZ73" s="5">
        <f t="shared" si="6"/>
        <v>0</v>
      </c>
      <c r="BA73" s="5">
        <f t="shared" si="7"/>
        <v>0</v>
      </c>
      <c r="BB73" s="5">
        <f t="shared" si="8"/>
        <v>0</v>
      </c>
      <c r="BC73" s="5">
        <f t="shared" si="9"/>
        <v>0</v>
      </c>
      <c r="BD73" s="5">
        <f t="shared" si="10"/>
        <v>0</v>
      </c>
      <c r="BE73" s="5">
        <f t="shared" si="11"/>
        <v>0</v>
      </c>
      <c r="BF73" s="5">
        <f t="shared" si="12"/>
        <v>0</v>
      </c>
      <c r="BG73" s="5">
        <f t="shared" si="13"/>
        <v>0</v>
      </c>
      <c r="BH73" s="5">
        <f t="shared" si="14"/>
        <v>0</v>
      </c>
      <c r="BI73" s="5">
        <f t="shared" si="15"/>
        <v>0</v>
      </c>
      <c r="BJ73" s="5">
        <f t="shared" si="16"/>
        <v>0</v>
      </c>
      <c r="BK73" s="5">
        <f t="shared" si="17"/>
        <v>0</v>
      </c>
      <c r="BL73" s="5">
        <f t="shared" si="18"/>
        <v>0</v>
      </c>
      <c r="BM73" s="5">
        <f t="shared" si="19"/>
        <v>0</v>
      </c>
      <c r="BN73" s="5">
        <f t="shared" si="20"/>
        <v>0</v>
      </c>
      <c r="BO73" s="5">
        <f t="shared" si="21"/>
        <v>0</v>
      </c>
      <c r="BP73" s="5">
        <f t="shared" si="22"/>
        <v>0</v>
      </c>
      <c r="BQ73" s="5">
        <f t="shared" si="23"/>
        <v>0</v>
      </c>
      <c r="BR73" s="5">
        <f t="shared" si="24"/>
        <v>0</v>
      </c>
      <c r="BS73" s="5">
        <f t="shared" si="25"/>
        <v>0</v>
      </c>
      <c r="BT73" s="5">
        <f t="shared" si="26"/>
        <v>0</v>
      </c>
      <c r="BU73" s="5">
        <f t="shared" si="27"/>
        <v>0</v>
      </c>
      <c r="BV73" s="5">
        <f t="shared" ref="BV73:BW73" si="477">IF(OR(ISNUMBER(SEARCH("grit",$D73)),ISNUMBER(SEARCH("grit",$T73)),ISNUMBER(SEARCH("grit",$R73)),ISNUMBER(SEARCH("grit",$S73)),
ISNUMBER(SEARCH("determination",$D73)),ISNUMBER(SEARCH("determination",$T73)),ISNUMBER(SEARCH("determination",$R73)),ISNUMBER(SEARCH("determination",$S73)),
ISNUMBER(SEARCH("tenacity",$D73)),ISNUMBER(SEARCH("tenacity",$T73)),ISNUMBER(SEARCH("tenacity",$R73)),ISNUMBER(SEARCH("tenacity",$S73)),
ISNUMBER(SEARCH("endurance",$D73)),ISNUMBER(SEARCH("endurance",$T73)),ISNUMBER(SEARCH("endurance",$R73)),ISNUMBER(SEARCH("endurance",$S73)),
ISNUMBER(SEARCH("fortitude",$D73)),ISNUMBER(SEARCH("fortitude",$T73)),ISNUMBER(SEARCH("fortitude",$R73)),ISNUMBER(SEARCH("fortitude",$S73)),
ISNUMBER(SEARCH("resolve",$D73)),ISNUMBER(SEARCH("resolve",$T73)),ISNUMBER(SEARCH("resolve",$R73)),ISNUMBER(SEARCH("resolve",$S73)),
ISNUMBER(SEARCH("stamina",$D73)),ISNUMBER(SEARCH("stamina",$T73)),ISNUMBER(SEARCH("stamina",$R73)),ISNUMBER(SEARCH("stamina",$S73)),
ISNUMBER(SEARCH("guts",$D73)),ISNUMBER(SEARCH("guts",$T73)),ISNUMBER(SEARCH("guts",$R73)),ISNUMBER(SEARCH("guts",$S73)),
ISNUMBER(SEARCH("spunk",$D73)),ISNUMBER(SEARCH("spunk",$T73)),ISNUMBER(SEARCH("spunk",$R73)),ISNUMBER(SEARCH("spunk",$S73))), 1, 0)</f>
        <v>0</v>
      </c>
      <c r="BW73" s="5">
        <f t="shared" si="477"/>
        <v>0</v>
      </c>
      <c r="BX73" s="5">
        <f t="shared" si="29"/>
        <v>0</v>
      </c>
      <c r="BY73" s="5">
        <f t="shared" si="30"/>
        <v>0</v>
      </c>
      <c r="BZ73" s="5">
        <f t="shared" si="31"/>
        <v>0</v>
      </c>
      <c r="CA73" s="5">
        <f t="shared" si="32"/>
        <v>0</v>
      </c>
      <c r="CB73" s="5">
        <f t="shared" si="33"/>
        <v>0</v>
      </c>
      <c r="CC73" s="5">
        <f t="shared" si="34"/>
        <v>0</v>
      </c>
      <c r="CD73" s="5">
        <f t="shared" si="35"/>
        <v>0</v>
      </c>
      <c r="CE73" s="5">
        <f t="shared" si="36"/>
        <v>0</v>
      </c>
      <c r="CF73" s="5">
        <f t="shared" si="37"/>
        <v>0</v>
      </c>
      <c r="CG73" s="5">
        <f t="shared" si="38"/>
        <v>0</v>
      </c>
      <c r="CH73" s="5">
        <f t="shared" si="39"/>
        <v>0</v>
      </c>
      <c r="CI73" s="5">
        <f t="shared" si="40"/>
        <v>0</v>
      </c>
      <c r="CJ73" s="5">
        <f t="shared" si="41"/>
        <v>0</v>
      </c>
      <c r="CK73" s="5">
        <f t="shared" si="42"/>
        <v>0</v>
      </c>
      <c r="CL73" s="5">
        <f t="shared" si="43"/>
        <v>0</v>
      </c>
      <c r="CM73" s="5">
        <f t="shared" si="44"/>
        <v>0</v>
      </c>
      <c r="CN73" s="5">
        <f t="shared" si="45"/>
        <v>0</v>
      </c>
      <c r="CO73" s="5">
        <f t="shared" si="46"/>
        <v>0</v>
      </c>
      <c r="CP73" s="6">
        <f t="shared" si="47"/>
        <v>0</v>
      </c>
      <c r="CQ73" s="6">
        <f t="shared" si="48"/>
        <v>0</v>
      </c>
      <c r="CR73" s="6">
        <f t="shared" si="49"/>
        <v>0</v>
      </c>
      <c r="CS73" s="6">
        <f t="shared" si="50"/>
        <v>0</v>
      </c>
      <c r="CT73" s="6">
        <f t="shared" si="51"/>
        <v>0</v>
      </c>
      <c r="CU73" s="6">
        <f t="shared" si="52"/>
        <v>0</v>
      </c>
      <c r="CV73" s="6">
        <f t="shared" si="53"/>
        <v>0</v>
      </c>
      <c r="CW73" s="6">
        <f t="shared" si="54"/>
        <v>0</v>
      </c>
      <c r="CX73" s="6">
        <f t="shared" si="55"/>
        <v>0</v>
      </c>
      <c r="CY73" s="6">
        <f t="shared" si="56"/>
        <v>0</v>
      </c>
      <c r="CZ73" s="6">
        <f t="shared" si="57"/>
        <v>0</v>
      </c>
      <c r="DA73" s="6">
        <f t="shared" si="58"/>
        <v>0</v>
      </c>
      <c r="DB73" s="6">
        <f t="shared" si="59"/>
        <v>0</v>
      </c>
      <c r="DC73" s="6">
        <f t="shared" si="60"/>
        <v>0</v>
      </c>
      <c r="DD73" s="6">
        <f t="shared" si="61"/>
        <v>0</v>
      </c>
      <c r="DE73" s="6">
        <f t="shared" si="62"/>
        <v>0</v>
      </c>
      <c r="DF73" s="6">
        <f t="shared" si="63"/>
        <v>0</v>
      </c>
      <c r="DG73" s="6">
        <f t="shared" si="64"/>
        <v>0</v>
      </c>
      <c r="DH73" s="6">
        <f t="shared" si="434"/>
        <v>0</v>
      </c>
      <c r="DI73" s="6">
        <f t="shared" si="66"/>
        <v>0</v>
      </c>
      <c r="DJ73" s="6">
        <f t="shared" si="435"/>
        <v>0</v>
      </c>
      <c r="DK73" s="7">
        <f t="shared" si="68"/>
        <v>0</v>
      </c>
      <c r="DL73" s="7">
        <f t="shared" si="411"/>
        <v>0</v>
      </c>
      <c r="DM73" s="7">
        <f t="shared" si="70"/>
        <v>0</v>
      </c>
      <c r="DN73" s="7">
        <f t="shared" si="71"/>
        <v>0</v>
      </c>
      <c r="DO73" s="7">
        <f t="shared" si="72"/>
        <v>1</v>
      </c>
      <c r="DP73" s="8">
        <f t="shared" si="73"/>
        <v>0</v>
      </c>
      <c r="DQ73" s="8">
        <f t="shared" si="74"/>
        <v>1</v>
      </c>
      <c r="DR73" s="7">
        <f t="shared" si="75"/>
        <v>0</v>
      </c>
      <c r="DS73" s="7">
        <f t="shared" si="76"/>
        <v>0</v>
      </c>
      <c r="DT73" s="7">
        <f t="shared" si="77"/>
        <v>0</v>
      </c>
      <c r="DU73" s="9">
        <f t="shared" si="78"/>
        <v>0</v>
      </c>
      <c r="DV73" s="9">
        <f t="shared" si="79"/>
        <v>0</v>
      </c>
      <c r="DW73" s="9">
        <f t="shared" si="80"/>
        <v>0</v>
      </c>
      <c r="DX73" s="9">
        <f t="shared" si="81"/>
        <v>0</v>
      </c>
      <c r="DY73" s="9">
        <f t="shared" si="82"/>
        <v>0</v>
      </c>
      <c r="DZ73" s="9">
        <f t="shared" si="83"/>
        <v>0</v>
      </c>
      <c r="EA73" s="9">
        <f t="shared" si="84"/>
        <v>0</v>
      </c>
      <c r="EB73" s="9">
        <f t="shared" si="85"/>
        <v>0</v>
      </c>
      <c r="EC73" s="9">
        <f t="shared" si="86"/>
        <v>0</v>
      </c>
      <c r="ED73" s="9">
        <f t="shared" si="87"/>
        <v>0</v>
      </c>
      <c r="EE73" s="9">
        <f t="shared" si="88"/>
        <v>0</v>
      </c>
      <c r="EF73" s="9">
        <f t="shared" si="89"/>
        <v>0</v>
      </c>
      <c r="EG73" s="9">
        <f t="shared" si="90"/>
        <v>0</v>
      </c>
      <c r="EH73" s="9">
        <f t="shared" si="91"/>
        <v>0</v>
      </c>
      <c r="EI73" s="9">
        <f t="shared" si="92"/>
        <v>0</v>
      </c>
      <c r="EJ73" s="10">
        <f t="shared" si="93"/>
        <v>0</v>
      </c>
      <c r="EK73" s="10">
        <f t="shared" si="94"/>
        <v>0</v>
      </c>
      <c r="EL73" s="10">
        <f t="shared" ref="EL73:EM73" si="478">IF(OR(ISNUMBER(SEARCH("ai software toolkit", $D73)), ISNUMBER(SEARCH("ai software toolkit", $T73)), ISNUMBER(SEARCH("ai software toolkit", $R73)), ISNUMBER(SEARCH("ai software toolkit", $S73))), 1, 0)</f>
        <v>0</v>
      </c>
      <c r="EM73" s="10">
        <f t="shared" si="478"/>
        <v>0</v>
      </c>
      <c r="EN73" s="10">
        <f t="shared" si="96"/>
        <v>0</v>
      </c>
      <c r="EO73" s="10">
        <f t="shared" si="97"/>
        <v>0</v>
      </c>
      <c r="EP73" s="10">
        <f t="shared" si="98"/>
        <v>0</v>
      </c>
      <c r="EQ73" s="10">
        <f t="shared" si="99"/>
        <v>0</v>
      </c>
      <c r="ER73" s="10">
        <f t="shared" si="100"/>
        <v>0</v>
      </c>
      <c r="ES73" s="10">
        <f t="shared" si="101"/>
        <v>0</v>
      </c>
      <c r="ET73" s="10">
        <f t="shared" si="102"/>
        <v>0</v>
      </c>
      <c r="EU73" s="10">
        <f t="shared" si="103"/>
        <v>0</v>
      </c>
      <c r="EV73" s="10">
        <f t="shared" si="104"/>
        <v>0</v>
      </c>
      <c r="EW73" s="10">
        <f t="shared" si="105"/>
        <v>0</v>
      </c>
      <c r="EX73" s="10">
        <f t="shared" si="106"/>
        <v>0</v>
      </c>
      <c r="EY73" s="10">
        <f t="shared" si="107"/>
        <v>0</v>
      </c>
      <c r="EZ73" s="10">
        <f t="shared" si="108"/>
        <v>0</v>
      </c>
      <c r="FA73" s="10">
        <f t="shared" si="109"/>
        <v>0</v>
      </c>
      <c r="FB73" s="10">
        <f t="shared" si="110"/>
        <v>0</v>
      </c>
      <c r="FC73" s="10">
        <f t="shared" si="111"/>
        <v>0</v>
      </c>
      <c r="FD73" s="10">
        <f t="shared" si="112"/>
        <v>0</v>
      </c>
      <c r="FE73" s="10">
        <f t="shared" si="113"/>
        <v>0</v>
      </c>
      <c r="FF73" s="10">
        <f t="shared" si="114"/>
        <v>0</v>
      </c>
      <c r="FG73" s="10">
        <f t="shared" si="115"/>
        <v>0</v>
      </c>
      <c r="FH73" s="10">
        <f t="shared" si="116"/>
        <v>0</v>
      </c>
      <c r="FI73" s="10">
        <f t="shared" si="117"/>
        <v>0</v>
      </c>
      <c r="FJ73" s="10">
        <f t="shared" si="118"/>
        <v>0</v>
      </c>
      <c r="FK73" s="10">
        <f t="shared" si="119"/>
        <v>0</v>
      </c>
      <c r="FL73" s="10">
        <f t="shared" si="120"/>
        <v>0</v>
      </c>
      <c r="FM73" s="10">
        <f t="shared" si="121"/>
        <v>0</v>
      </c>
      <c r="FN73" s="10">
        <f t="shared" si="122"/>
        <v>0</v>
      </c>
      <c r="FO73" s="10">
        <f t="shared" si="123"/>
        <v>0</v>
      </c>
      <c r="FP73" s="10">
        <f t="shared" si="124"/>
        <v>1</v>
      </c>
      <c r="FQ73" s="10">
        <f t="shared" si="125"/>
        <v>0</v>
      </c>
      <c r="FR73" s="11">
        <f t="shared" si="470"/>
        <v>0</v>
      </c>
      <c r="FS73" s="11">
        <f t="shared" si="127"/>
        <v>0</v>
      </c>
      <c r="FT73" s="11">
        <f t="shared" si="128"/>
        <v>0</v>
      </c>
      <c r="FU73" s="11">
        <f t="shared" si="129"/>
        <v>0</v>
      </c>
      <c r="FV73" s="11">
        <f t="shared" si="130"/>
        <v>0</v>
      </c>
      <c r="FW73" s="11">
        <f t="shared" si="131"/>
        <v>0</v>
      </c>
      <c r="FX73" s="11">
        <f t="shared" si="132"/>
        <v>0</v>
      </c>
      <c r="FY73" s="11">
        <f t="shared" si="133"/>
        <v>0</v>
      </c>
      <c r="FZ73" s="11">
        <f t="shared" si="134"/>
        <v>0</v>
      </c>
      <c r="GA73" s="11">
        <f t="shared" si="135"/>
        <v>0</v>
      </c>
      <c r="GB73" s="11">
        <f t="shared" si="136"/>
        <v>0</v>
      </c>
      <c r="GC73" s="11">
        <f t="shared" si="137"/>
        <v>0</v>
      </c>
      <c r="GD73" s="11">
        <f t="shared" si="138"/>
        <v>0</v>
      </c>
      <c r="GE73" s="11">
        <f t="shared" si="139"/>
        <v>0</v>
      </c>
      <c r="GF73" s="11">
        <f t="shared" si="140"/>
        <v>0</v>
      </c>
      <c r="GG73" s="11">
        <f t="shared" si="141"/>
        <v>0</v>
      </c>
      <c r="GH73" s="11">
        <f t="shared" si="142"/>
        <v>0</v>
      </c>
      <c r="GI73" s="11">
        <f t="shared" si="143"/>
        <v>0</v>
      </c>
      <c r="GJ73" s="11">
        <f t="shared" si="144"/>
        <v>0</v>
      </c>
      <c r="GK73" s="11">
        <f t="shared" si="145"/>
        <v>0</v>
      </c>
      <c r="GL73" s="11">
        <f t="shared" si="146"/>
        <v>0</v>
      </c>
      <c r="GM73" s="11">
        <f t="shared" si="147"/>
        <v>0</v>
      </c>
      <c r="GN73" s="11">
        <f t="shared" si="148"/>
        <v>0</v>
      </c>
      <c r="GO73" s="11">
        <f t="shared" si="149"/>
        <v>0</v>
      </c>
      <c r="GP73" s="11">
        <f t="shared" si="150"/>
        <v>0</v>
      </c>
      <c r="GQ73" s="11">
        <f t="shared" si="151"/>
        <v>1</v>
      </c>
      <c r="GR73" s="11">
        <f t="shared" si="152"/>
        <v>0</v>
      </c>
      <c r="GS73" s="11">
        <f t="shared" si="153"/>
        <v>0</v>
      </c>
      <c r="GT73" s="11">
        <f t="shared" si="154"/>
        <v>0</v>
      </c>
      <c r="GU73" s="12">
        <f t="shared" si="155"/>
        <v>0</v>
      </c>
      <c r="GV73" s="12">
        <f t="shared" si="156"/>
        <v>0</v>
      </c>
      <c r="GW73" s="12">
        <f t="shared" si="157"/>
        <v>0</v>
      </c>
      <c r="GX73" s="12">
        <f t="shared" si="158"/>
        <v>0</v>
      </c>
      <c r="GY73" s="12">
        <f t="shared" si="159"/>
        <v>0</v>
      </c>
      <c r="GZ73" s="12">
        <f t="shared" si="160"/>
        <v>0</v>
      </c>
      <c r="HA73" s="12">
        <f t="shared" si="161"/>
        <v>0</v>
      </c>
      <c r="HB73" s="12">
        <f t="shared" si="162"/>
        <v>0</v>
      </c>
      <c r="HC73" s="12">
        <f t="shared" si="163"/>
        <v>0</v>
      </c>
      <c r="HD73" s="12">
        <f t="shared" si="164"/>
        <v>0</v>
      </c>
      <c r="HE73" s="12">
        <f t="shared" si="165"/>
        <v>0</v>
      </c>
      <c r="HF73" s="12">
        <f t="shared" si="166"/>
        <v>0</v>
      </c>
      <c r="HG73" s="12">
        <f t="shared" si="167"/>
        <v>0</v>
      </c>
      <c r="HH73" s="12">
        <f t="shared" si="168"/>
        <v>0</v>
      </c>
      <c r="HI73" s="12">
        <f t="shared" si="169"/>
        <v>0</v>
      </c>
      <c r="HJ73" s="12">
        <f t="shared" si="170"/>
        <v>0</v>
      </c>
      <c r="HK73" s="12">
        <f t="shared" si="171"/>
        <v>0</v>
      </c>
      <c r="HL73" s="12">
        <f t="shared" si="172"/>
        <v>0</v>
      </c>
      <c r="HM73" s="12">
        <f t="shared" si="173"/>
        <v>0</v>
      </c>
      <c r="HN73" s="12">
        <f t="shared" si="174"/>
        <v>0</v>
      </c>
      <c r="HO73" s="12">
        <f t="shared" si="175"/>
        <v>0</v>
      </c>
      <c r="HP73" s="12">
        <f t="shared" si="176"/>
        <v>0</v>
      </c>
      <c r="HQ73" s="12">
        <f t="shared" si="177"/>
        <v>0</v>
      </c>
      <c r="HR73" s="12">
        <f t="shared" si="178"/>
        <v>0</v>
      </c>
      <c r="HS73" s="12">
        <f t="shared" si="179"/>
        <v>0</v>
      </c>
      <c r="HT73" s="12">
        <f t="shared" si="180"/>
        <v>0</v>
      </c>
      <c r="HU73" s="12">
        <f t="shared" si="181"/>
        <v>0</v>
      </c>
      <c r="HV73" s="12">
        <f t="shared" si="182"/>
        <v>0</v>
      </c>
      <c r="HW73" s="12">
        <f t="shared" si="183"/>
        <v>0</v>
      </c>
      <c r="HX73" s="12">
        <f t="shared" si="184"/>
        <v>0</v>
      </c>
      <c r="HY73" s="12">
        <f t="shared" si="185"/>
        <v>0</v>
      </c>
      <c r="HZ73" s="12">
        <f t="shared" si="186"/>
        <v>0</v>
      </c>
      <c r="IA73" s="12">
        <f t="shared" si="187"/>
        <v>0</v>
      </c>
      <c r="IB73" s="12">
        <f t="shared" si="188"/>
        <v>0</v>
      </c>
      <c r="IC73" s="12">
        <f t="shared" si="189"/>
        <v>0</v>
      </c>
      <c r="ID73" s="12">
        <f t="shared" si="190"/>
        <v>0</v>
      </c>
      <c r="IE73" s="12">
        <f t="shared" si="191"/>
        <v>0</v>
      </c>
      <c r="IF73" s="12">
        <f t="shared" si="192"/>
        <v>0</v>
      </c>
      <c r="IG73" s="12">
        <f t="shared" si="193"/>
        <v>0</v>
      </c>
      <c r="IH73" s="12">
        <f t="shared" si="194"/>
        <v>0</v>
      </c>
      <c r="II73" s="12">
        <f t="shared" si="195"/>
        <v>0</v>
      </c>
      <c r="IJ73" s="12">
        <f t="shared" si="196"/>
        <v>0</v>
      </c>
      <c r="IK73" s="12">
        <f t="shared" si="197"/>
        <v>0</v>
      </c>
      <c r="IL73" s="12">
        <f t="shared" si="198"/>
        <v>0</v>
      </c>
      <c r="IM73" s="12">
        <f t="shared" si="199"/>
        <v>0</v>
      </c>
      <c r="IN73" s="12">
        <f t="shared" si="200"/>
        <v>0</v>
      </c>
      <c r="IO73" s="12">
        <f t="shared" si="201"/>
        <v>0</v>
      </c>
      <c r="IP73" s="12">
        <f t="shared" si="202"/>
        <v>0</v>
      </c>
      <c r="IQ73" s="12">
        <f t="shared" si="203"/>
        <v>0</v>
      </c>
      <c r="IR73" s="12">
        <f t="shared" si="204"/>
        <v>0</v>
      </c>
      <c r="IS73" s="12">
        <f t="shared" si="205"/>
        <v>0</v>
      </c>
      <c r="IT73" s="12">
        <f t="shared" si="206"/>
        <v>0</v>
      </c>
      <c r="IU73" s="12">
        <f t="shared" si="207"/>
        <v>0</v>
      </c>
      <c r="IV73" s="12">
        <f t="shared" si="208"/>
        <v>0</v>
      </c>
      <c r="IW73" s="12">
        <f t="shared" si="209"/>
        <v>0</v>
      </c>
      <c r="IX73" s="12">
        <f t="shared" si="210"/>
        <v>0</v>
      </c>
      <c r="IY73" s="12">
        <f t="shared" si="211"/>
        <v>0</v>
      </c>
      <c r="IZ73" s="12">
        <f t="shared" si="212"/>
        <v>1</v>
      </c>
      <c r="JA73" s="13">
        <f t="shared" si="213"/>
        <v>0</v>
      </c>
      <c r="JB73" s="13">
        <f t="shared" si="214"/>
        <v>0</v>
      </c>
      <c r="JC73" s="13">
        <f t="shared" si="215"/>
        <v>0</v>
      </c>
      <c r="JD73" s="13">
        <f t="shared" si="216"/>
        <v>0</v>
      </c>
      <c r="JE73" s="13">
        <f t="shared" si="217"/>
        <v>0</v>
      </c>
      <c r="JF73" s="13">
        <f t="shared" si="218"/>
        <v>0</v>
      </c>
      <c r="JG73" s="13">
        <f t="shared" si="219"/>
        <v>0</v>
      </c>
      <c r="JH73" s="13">
        <f t="shared" si="220"/>
        <v>0</v>
      </c>
      <c r="JI73" s="13">
        <f t="shared" si="221"/>
        <v>0</v>
      </c>
      <c r="JJ73" s="13">
        <f t="shared" si="222"/>
        <v>0</v>
      </c>
      <c r="JK73" s="13">
        <f t="shared" si="223"/>
        <v>0</v>
      </c>
      <c r="JL73" s="13">
        <f t="shared" si="224"/>
        <v>0</v>
      </c>
      <c r="JM73" s="13">
        <f t="shared" si="225"/>
        <v>0</v>
      </c>
      <c r="JN73" s="13">
        <f t="shared" si="226"/>
        <v>0</v>
      </c>
      <c r="JO73" s="13">
        <f t="shared" si="227"/>
        <v>0</v>
      </c>
      <c r="JP73" s="13">
        <f t="shared" si="228"/>
        <v>0</v>
      </c>
      <c r="JQ73" s="13">
        <f t="shared" si="229"/>
        <v>0</v>
      </c>
      <c r="JR73" s="13">
        <f t="shared" si="230"/>
        <v>0</v>
      </c>
      <c r="JS73" s="13">
        <f t="shared" si="231"/>
        <v>0</v>
      </c>
      <c r="JT73" s="13">
        <f t="shared" si="232"/>
        <v>0</v>
      </c>
      <c r="JU73" s="13">
        <f t="shared" si="233"/>
        <v>0</v>
      </c>
      <c r="JV73" s="12">
        <f t="shared" si="234"/>
        <v>0</v>
      </c>
      <c r="JW73" s="12">
        <f t="shared" si="235"/>
        <v>0</v>
      </c>
      <c r="JX73" s="12">
        <f t="shared" si="236"/>
        <v>0</v>
      </c>
      <c r="JY73" s="12">
        <f t="shared" si="237"/>
        <v>0</v>
      </c>
      <c r="JZ73" s="12">
        <f t="shared" si="238"/>
        <v>0</v>
      </c>
      <c r="KA73" s="12">
        <f t="shared" si="239"/>
        <v>0</v>
      </c>
      <c r="KB73" s="12">
        <f t="shared" si="240"/>
        <v>0</v>
      </c>
      <c r="KC73" s="12">
        <f t="shared" si="241"/>
        <v>0</v>
      </c>
      <c r="KD73" s="12">
        <f t="shared" si="242"/>
        <v>0</v>
      </c>
      <c r="KE73" s="12">
        <f t="shared" si="243"/>
        <v>0</v>
      </c>
      <c r="KF73" s="12">
        <f t="shared" si="244"/>
        <v>0</v>
      </c>
      <c r="KG73" s="12">
        <f t="shared" si="245"/>
        <v>0</v>
      </c>
      <c r="KH73" s="12">
        <f t="shared" si="246"/>
        <v>0</v>
      </c>
      <c r="KI73" s="12">
        <f t="shared" si="247"/>
        <v>0</v>
      </c>
      <c r="KJ73" s="12">
        <f t="shared" si="248"/>
        <v>0</v>
      </c>
      <c r="KK73" s="12">
        <f t="shared" si="249"/>
        <v>0</v>
      </c>
      <c r="KL73" s="12">
        <f t="shared" si="250"/>
        <v>0</v>
      </c>
      <c r="KM73" s="12">
        <f t="shared" si="251"/>
        <v>0</v>
      </c>
      <c r="KN73" s="12">
        <f t="shared" si="252"/>
        <v>0</v>
      </c>
      <c r="KO73" s="12">
        <f t="shared" si="253"/>
        <v>0</v>
      </c>
      <c r="KP73" s="12">
        <f t="shared" si="254"/>
        <v>0</v>
      </c>
      <c r="KQ73" s="12">
        <f t="shared" si="255"/>
        <v>0</v>
      </c>
      <c r="KR73" s="12">
        <f t="shared" si="256"/>
        <v>0</v>
      </c>
      <c r="KS73" s="12">
        <f t="shared" si="257"/>
        <v>0</v>
      </c>
      <c r="KT73" s="12">
        <f t="shared" si="258"/>
        <v>0</v>
      </c>
      <c r="KU73" s="12">
        <f t="shared" si="259"/>
        <v>0</v>
      </c>
      <c r="KV73" s="12">
        <f t="shared" si="260"/>
        <v>0</v>
      </c>
      <c r="KW73" s="12">
        <f t="shared" si="261"/>
        <v>0</v>
      </c>
      <c r="KX73" s="12">
        <f t="shared" si="262"/>
        <v>0</v>
      </c>
      <c r="KY73" s="12">
        <f t="shared" si="263"/>
        <v>0</v>
      </c>
      <c r="KZ73" s="12">
        <f t="shared" si="264"/>
        <v>0</v>
      </c>
      <c r="LA73" s="12">
        <f t="shared" si="265"/>
        <v>0</v>
      </c>
      <c r="LB73" s="12">
        <f t="shared" si="266"/>
        <v>0</v>
      </c>
      <c r="LC73" s="12">
        <f t="shared" si="267"/>
        <v>0</v>
      </c>
      <c r="LD73" s="12">
        <f t="shared" si="268"/>
        <v>0</v>
      </c>
      <c r="LE73" s="12">
        <f t="shared" si="269"/>
        <v>0</v>
      </c>
      <c r="LF73" s="12">
        <f t="shared" si="270"/>
        <v>0</v>
      </c>
      <c r="LG73" s="12">
        <f t="shared" si="271"/>
        <v>0</v>
      </c>
      <c r="LH73" s="12">
        <f t="shared" si="272"/>
        <v>0</v>
      </c>
      <c r="LI73" s="12">
        <f t="shared" si="273"/>
        <v>0</v>
      </c>
      <c r="LJ73" s="12">
        <f t="shared" si="274"/>
        <v>0</v>
      </c>
      <c r="LK73" s="12">
        <f t="shared" si="275"/>
        <v>0</v>
      </c>
      <c r="LL73" s="12">
        <f t="shared" si="276"/>
        <v>0</v>
      </c>
      <c r="LM73" s="12">
        <f t="shared" si="277"/>
        <v>0</v>
      </c>
      <c r="LN73" s="12">
        <f t="shared" si="278"/>
        <v>0</v>
      </c>
      <c r="LO73" s="12">
        <f t="shared" si="279"/>
        <v>0</v>
      </c>
      <c r="LP73" s="12">
        <f t="shared" si="280"/>
        <v>0</v>
      </c>
      <c r="LQ73" s="12">
        <f t="shared" si="281"/>
        <v>0</v>
      </c>
      <c r="LR73" s="12">
        <f t="shared" si="282"/>
        <v>0</v>
      </c>
      <c r="LS73" s="12">
        <f t="shared" si="283"/>
        <v>0</v>
      </c>
      <c r="LT73" s="13">
        <f t="shared" si="284"/>
        <v>0</v>
      </c>
      <c r="LU73" s="13">
        <f t="shared" si="285"/>
        <v>0</v>
      </c>
      <c r="LV73" s="13">
        <f t="shared" si="286"/>
        <v>0</v>
      </c>
      <c r="LW73" s="13">
        <f t="shared" si="287"/>
        <v>0</v>
      </c>
      <c r="LX73" s="13">
        <f t="shared" si="288"/>
        <v>0</v>
      </c>
      <c r="LY73" s="13">
        <f t="shared" si="289"/>
        <v>0</v>
      </c>
      <c r="LZ73" s="13">
        <f t="shared" si="290"/>
        <v>0</v>
      </c>
      <c r="MA73" s="13">
        <f t="shared" si="291"/>
        <v>0</v>
      </c>
      <c r="MB73" s="13">
        <f t="shared" si="292"/>
        <v>0</v>
      </c>
      <c r="MC73" s="13">
        <f t="shared" si="293"/>
        <v>0</v>
      </c>
      <c r="MD73" s="13">
        <f t="shared" si="294"/>
        <v>0</v>
      </c>
      <c r="ME73" s="13">
        <f t="shared" si="295"/>
        <v>0</v>
      </c>
      <c r="MF73" s="13">
        <f t="shared" si="296"/>
        <v>0</v>
      </c>
      <c r="MG73" s="13">
        <f t="shared" si="297"/>
        <v>0</v>
      </c>
      <c r="MH73" s="13">
        <f t="shared" si="298"/>
        <v>0</v>
      </c>
      <c r="MI73" s="13">
        <f t="shared" si="299"/>
        <v>0</v>
      </c>
      <c r="MJ73" s="13">
        <f t="shared" si="300"/>
        <v>0</v>
      </c>
      <c r="MK73" s="13">
        <f t="shared" si="301"/>
        <v>0</v>
      </c>
      <c r="ML73" s="14">
        <f t="shared" si="302"/>
        <v>0</v>
      </c>
      <c r="MM73" s="14">
        <f t="shared" si="303"/>
        <v>0</v>
      </c>
      <c r="MN73" s="14">
        <f t="shared" si="304"/>
        <v>0</v>
      </c>
      <c r="MO73" s="14">
        <f t="shared" si="305"/>
        <v>0</v>
      </c>
      <c r="MP73" s="14">
        <f t="shared" si="306"/>
        <v>0</v>
      </c>
      <c r="MQ73" s="14">
        <f t="shared" si="307"/>
        <v>0</v>
      </c>
      <c r="MR73" s="14">
        <f t="shared" si="308"/>
        <v>0</v>
      </c>
      <c r="MS73" s="14">
        <f t="shared" si="309"/>
        <v>0</v>
      </c>
      <c r="MT73" s="14">
        <f t="shared" si="310"/>
        <v>0</v>
      </c>
      <c r="MU73" s="14">
        <f t="shared" si="311"/>
        <v>0</v>
      </c>
      <c r="MV73" s="14">
        <f t="shared" si="312"/>
        <v>0</v>
      </c>
      <c r="MW73" s="14">
        <f t="shared" si="313"/>
        <v>0</v>
      </c>
      <c r="MX73" s="14">
        <f t="shared" si="314"/>
        <v>0</v>
      </c>
      <c r="MY73" s="14">
        <f t="shared" si="315"/>
        <v>0</v>
      </c>
      <c r="MZ73" s="14">
        <f t="shared" si="316"/>
        <v>0</v>
      </c>
      <c r="NA73" s="14">
        <f t="shared" si="317"/>
        <v>0</v>
      </c>
      <c r="NB73" s="14">
        <f t="shared" si="318"/>
        <v>0</v>
      </c>
    </row>
    <row r="74" ht="15.75" customHeight="1">
      <c r="A74" s="2">
        <v>440.0</v>
      </c>
      <c r="B74" s="2" t="s">
        <v>1649</v>
      </c>
      <c r="C74" s="2" t="s">
        <v>1650</v>
      </c>
      <c r="D74" s="2" t="s">
        <v>1651</v>
      </c>
      <c r="E74" s="2">
        <v>2006.0</v>
      </c>
      <c r="F74" s="2" t="s">
        <v>1652</v>
      </c>
      <c r="G74" s="2" t="s">
        <v>925</v>
      </c>
      <c r="H74" s="2" t="s">
        <v>392</v>
      </c>
      <c r="J74" s="2" t="s">
        <v>411</v>
      </c>
      <c r="K74" s="2" t="s">
        <v>1653</v>
      </c>
      <c r="M74" s="2">
        <v>18.0</v>
      </c>
      <c r="N74" s="2" t="s">
        <v>1654</v>
      </c>
      <c r="O74" s="2" t="s">
        <v>1655</v>
      </c>
      <c r="P74" s="2" t="s">
        <v>1656</v>
      </c>
      <c r="Q74" s="2" t="s">
        <v>1657</v>
      </c>
      <c r="R74" s="2" t="s">
        <v>1658</v>
      </c>
      <c r="S74" s="2" t="s">
        <v>1659</v>
      </c>
      <c r="Y74" s="2" t="s">
        <v>1660</v>
      </c>
      <c r="AG74" s="2" t="s">
        <v>1661</v>
      </c>
      <c r="AK74" s="2" t="s">
        <v>1662</v>
      </c>
      <c r="AL74" s="2" t="s">
        <v>384</v>
      </c>
      <c r="AN74" s="2" t="s">
        <v>386</v>
      </c>
      <c r="AO74" s="2" t="s">
        <v>1663</v>
      </c>
      <c r="AP74" s="2" t="s">
        <v>386</v>
      </c>
      <c r="AQ74" s="2">
        <v>1732.0</v>
      </c>
      <c r="AR74" s="2" t="s">
        <v>1664</v>
      </c>
      <c r="AS74" s="2" t="b">
        <v>1</v>
      </c>
      <c r="AT74" s="3">
        <v>0.0</v>
      </c>
      <c r="AU74" s="4"/>
      <c r="AV74" s="4"/>
      <c r="AW74" s="5">
        <f t="shared" si="432"/>
        <v>0</v>
      </c>
      <c r="AX74" s="5">
        <f t="shared" si="4"/>
        <v>0</v>
      </c>
      <c r="AY74" s="5">
        <f t="shared" si="5"/>
        <v>0</v>
      </c>
      <c r="AZ74" s="5">
        <f t="shared" si="6"/>
        <v>0</v>
      </c>
      <c r="BA74" s="5">
        <f t="shared" si="7"/>
        <v>0</v>
      </c>
      <c r="BB74" s="5">
        <f t="shared" si="8"/>
        <v>0</v>
      </c>
      <c r="BC74" s="5">
        <f t="shared" si="9"/>
        <v>0</v>
      </c>
      <c r="BD74" s="5">
        <f t="shared" si="10"/>
        <v>0</v>
      </c>
      <c r="BE74" s="5">
        <f t="shared" si="11"/>
        <v>0</v>
      </c>
      <c r="BF74" s="5">
        <f t="shared" si="12"/>
        <v>0</v>
      </c>
      <c r="BG74" s="5">
        <f t="shared" si="13"/>
        <v>0</v>
      </c>
      <c r="BH74" s="5">
        <f t="shared" si="14"/>
        <v>0</v>
      </c>
      <c r="BI74" s="5">
        <f t="shared" si="15"/>
        <v>0</v>
      </c>
      <c r="BJ74" s="5">
        <f t="shared" si="16"/>
        <v>0</v>
      </c>
      <c r="BK74" s="5">
        <f t="shared" si="17"/>
        <v>0</v>
      </c>
      <c r="BL74" s="5">
        <f t="shared" si="18"/>
        <v>0</v>
      </c>
      <c r="BM74" s="5">
        <f t="shared" si="19"/>
        <v>0</v>
      </c>
      <c r="BN74" s="5">
        <f t="shared" si="20"/>
        <v>0</v>
      </c>
      <c r="BO74" s="5">
        <f t="shared" si="21"/>
        <v>0</v>
      </c>
      <c r="BP74" s="5">
        <f t="shared" si="22"/>
        <v>0</v>
      </c>
      <c r="BQ74" s="5">
        <f t="shared" si="23"/>
        <v>0</v>
      </c>
      <c r="BR74" s="5">
        <f t="shared" si="24"/>
        <v>0</v>
      </c>
      <c r="BS74" s="5">
        <f t="shared" si="25"/>
        <v>0</v>
      </c>
      <c r="BT74" s="5">
        <f t="shared" si="26"/>
        <v>0</v>
      </c>
      <c r="BU74" s="5">
        <f t="shared" si="27"/>
        <v>1</v>
      </c>
      <c r="BV74" s="5">
        <f t="shared" ref="BV74:BW74" si="479">IF(OR(ISNUMBER(SEARCH("grit",$D74)),ISNUMBER(SEARCH("grit",$T74)),ISNUMBER(SEARCH("grit",$R74)),ISNUMBER(SEARCH("grit",$S74)),
ISNUMBER(SEARCH("determination",$D74)),ISNUMBER(SEARCH("determination",$T74)),ISNUMBER(SEARCH("determination",$R74)),ISNUMBER(SEARCH("determination",$S74)),
ISNUMBER(SEARCH("tenacity",$D74)),ISNUMBER(SEARCH("tenacity",$T74)),ISNUMBER(SEARCH("tenacity",$R74)),ISNUMBER(SEARCH("tenacity",$S74)),
ISNUMBER(SEARCH("endurance",$D74)),ISNUMBER(SEARCH("endurance",$T74)),ISNUMBER(SEARCH("endurance",$R74)),ISNUMBER(SEARCH("endurance",$S74)),
ISNUMBER(SEARCH("fortitude",$D74)),ISNUMBER(SEARCH("fortitude",$T74)),ISNUMBER(SEARCH("fortitude",$R74)),ISNUMBER(SEARCH("fortitude",$S74)),
ISNUMBER(SEARCH("resolve",$D74)),ISNUMBER(SEARCH("resolve",$T74)),ISNUMBER(SEARCH("resolve",$R74)),ISNUMBER(SEARCH("resolve",$S74)),
ISNUMBER(SEARCH("stamina",$D74)),ISNUMBER(SEARCH("stamina",$T74)),ISNUMBER(SEARCH("stamina",$R74)),ISNUMBER(SEARCH("stamina",$S74)),
ISNUMBER(SEARCH("guts",$D74)),ISNUMBER(SEARCH("guts",$T74)),ISNUMBER(SEARCH("guts",$R74)),ISNUMBER(SEARCH("guts",$S74)),
ISNUMBER(SEARCH("spunk",$D74)),ISNUMBER(SEARCH("spunk",$T74)),ISNUMBER(SEARCH("spunk",$R74)),ISNUMBER(SEARCH("spunk",$S74))), 1, 0)</f>
        <v>0</v>
      </c>
      <c r="BW74" s="5">
        <f t="shared" si="479"/>
        <v>0</v>
      </c>
      <c r="BX74" s="5">
        <f t="shared" si="29"/>
        <v>0</v>
      </c>
      <c r="BY74" s="5">
        <f t="shared" si="30"/>
        <v>0</v>
      </c>
      <c r="BZ74" s="5">
        <f t="shared" si="31"/>
        <v>0</v>
      </c>
      <c r="CA74" s="5">
        <f t="shared" si="32"/>
        <v>0</v>
      </c>
      <c r="CB74" s="5">
        <f t="shared" si="33"/>
        <v>0</v>
      </c>
      <c r="CC74" s="5">
        <f t="shared" si="34"/>
        <v>0</v>
      </c>
      <c r="CD74" s="5">
        <f t="shared" si="35"/>
        <v>0</v>
      </c>
      <c r="CE74" s="5">
        <f t="shared" si="36"/>
        <v>0</v>
      </c>
      <c r="CF74" s="5">
        <f t="shared" si="37"/>
        <v>0</v>
      </c>
      <c r="CG74" s="5">
        <f t="shared" si="38"/>
        <v>0</v>
      </c>
      <c r="CH74" s="5">
        <f t="shared" si="39"/>
        <v>0</v>
      </c>
      <c r="CI74" s="5">
        <f t="shared" si="40"/>
        <v>0</v>
      </c>
      <c r="CJ74" s="5">
        <f t="shared" si="41"/>
        <v>0</v>
      </c>
      <c r="CK74" s="5">
        <f t="shared" si="42"/>
        <v>0</v>
      </c>
      <c r="CL74" s="5">
        <f t="shared" si="43"/>
        <v>0</v>
      </c>
      <c r="CM74" s="5">
        <f t="shared" si="44"/>
        <v>0</v>
      </c>
      <c r="CN74" s="5">
        <f t="shared" si="45"/>
        <v>0</v>
      </c>
      <c r="CO74" s="5">
        <f t="shared" si="46"/>
        <v>0</v>
      </c>
      <c r="CP74" s="6">
        <f t="shared" si="47"/>
        <v>0</v>
      </c>
      <c r="CQ74" s="6">
        <f t="shared" si="48"/>
        <v>0</v>
      </c>
      <c r="CR74" s="6">
        <f t="shared" si="49"/>
        <v>0</v>
      </c>
      <c r="CS74" s="6">
        <f t="shared" si="50"/>
        <v>0</v>
      </c>
      <c r="CT74" s="6">
        <f t="shared" si="51"/>
        <v>0</v>
      </c>
      <c r="CU74" s="6">
        <f t="shared" si="52"/>
        <v>0</v>
      </c>
      <c r="CV74" s="6">
        <f t="shared" si="53"/>
        <v>0</v>
      </c>
      <c r="CW74" s="6">
        <f t="shared" si="54"/>
        <v>0</v>
      </c>
      <c r="CX74" s="6">
        <f t="shared" si="55"/>
        <v>0</v>
      </c>
      <c r="CY74" s="6">
        <f t="shared" si="56"/>
        <v>0</v>
      </c>
      <c r="CZ74" s="6">
        <f t="shared" si="57"/>
        <v>0</v>
      </c>
      <c r="DA74" s="6">
        <f t="shared" si="58"/>
        <v>0</v>
      </c>
      <c r="DB74" s="6">
        <f t="shared" si="59"/>
        <v>0</v>
      </c>
      <c r="DC74" s="6">
        <f t="shared" si="60"/>
        <v>0</v>
      </c>
      <c r="DD74" s="6">
        <f t="shared" si="61"/>
        <v>0</v>
      </c>
      <c r="DE74" s="6">
        <f t="shared" si="62"/>
        <v>0</v>
      </c>
      <c r="DF74" s="6">
        <f t="shared" si="63"/>
        <v>0</v>
      </c>
      <c r="DG74" s="6">
        <f t="shared" si="64"/>
        <v>0</v>
      </c>
      <c r="DH74" s="6">
        <f t="shared" si="434"/>
        <v>0</v>
      </c>
      <c r="DI74" s="6">
        <f t="shared" si="66"/>
        <v>0</v>
      </c>
      <c r="DJ74" s="6">
        <f t="shared" si="435"/>
        <v>0</v>
      </c>
      <c r="DK74" s="7">
        <f t="shared" si="68"/>
        <v>0</v>
      </c>
      <c r="DL74" s="7">
        <f t="shared" si="411"/>
        <v>0</v>
      </c>
      <c r="DM74" s="7">
        <f t="shared" si="70"/>
        <v>0</v>
      </c>
      <c r="DN74" s="7">
        <f t="shared" si="71"/>
        <v>0</v>
      </c>
      <c r="DO74" s="7">
        <f t="shared" si="72"/>
        <v>0</v>
      </c>
      <c r="DP74" s="8">
        <f t="shared" si="73"/>
        <v>0</v>
      </c>
      <c r="DQ74" s="8">
        <f t="shared" si="74"/>
        <v>0</v>
      </c>
      <c r="DR74" s="7">
        <f t="shared" si="75"/>
        <v>0</v>
      </c>
      <c r="DS74" s="7">
        <f t="shared" si="76"/>
        <v>0</v>
      </c>
      <c r="DT74" s="7">
        <f t="shared" si="77"/>
        <v>0</v>
      </c>
      <c r="DU74" s="9">
        <f t="shared" si="78"/>
        <v>0</v>
      </c>
      <c r="DV74" s="9">
        <f t="shared" si="79"/>
        <v>0</v>
      </c>
      <c r="DW74" s="9">
        <f t="shared" si="80"/>
        <v>0</v>
      </c>
      <c r="DX74" s="9">
        <f t="shared" si="81"/>
        <v>0</v>
      </c>
      <c r="DY74" s="9">
        <f t="shared" si="82"/>
        <v>0</v>
      </c>
      <c r="DZ74" s="9">
        <f t="shared" si="83"/>
        <v>0</v>
      </c>
      <c r="EA74" s="9">
        <f t="shared" si="84"/>
        <v>0</v>
      </c>
      <c r="EB74" s="9">
        <f t="shared" si="85"/>
        <v>0</v>
      </c>
      <c r="EC74" s="9">
        <f t="shared" si="86"/>
        <v>0</v>
      </c>
      <c r="ED74" s="9">
        <f t="shared" si="87"/>
        <v>0</v>
      </c>
      <c r="EE74" s="9">
        <f t="shared" si="88"/>
        <v>0</v>
      </c>
      <c r="EF74" s="9">
        <f t="shared" si="89"/>
        <v>0</v>
      </c>
      <c r="EG74" s="9">
        <f t="shared" si="90"/>
        <v>0</v>
      </c>
      <c r="EH74" s="9">
        <f t="shared" si="91"/>
        <v>0</v>
      </c>
      <c r="EI74" s="9">
        <f t="shared" si="92"/>
        <v>0</v>
      </c>
      <c r="EJ74" s="10">
        <f t="shared" si="93"/>
        <v>0</v>
      </c>
      <c r="EK74" s="10">
        <f t="shared" si="94"/>
        <v>0</v>
      </c>
      <c r="EL74" s="10">
        <f t="shared" ref="EL74:EM74" si="480">IF(OR(ISNUMBER(SEARCH("ai software toolkit", $D74)), ISNUMBER(SEARCH("ai software toolkit", $T74)), ISNUMBER(SEARCH("ai software toolkit", $R74)), ISNUMBER(SEARCH("ai software toolkit", $S74))), 1, 0)</f>
        <v>0</v>
      </c>
      <c r="EM74" s="10">
        <f t="shared" si="480"/>
        <v>0</v>
      </c>
      <c r="EN74" s="10">
        <f t="shared" si="96"/>
        <v>0</v>
      </c>
      <c r="EO74" s="10">
        <f t="shared" si="97"/>
        <v>0</v>
      </c>
      <c r="EP74" s="10">
        <f t="shared" si="98"/>
        <v>0</v>
      </c>
      <c r="EQ74" s="10">
        <f t="shared" si="99"/>
        <v>0</v>
      </c>
      <c r="ER74" s="10">
        <f t="shared" si="100"/>
        <v>0</v>
      </c>
      <c r="ES74" s="10">
        <f t="shared" si="101"/>
        <v>0</v>
      </c>
      <c r="ET74" s="10">
        <f t="shared" si="102"/>
        <v>0</v>
      </c>
      <c r="EU74" s="10">
        <f t="shared" si="103"/>
        <v>0</v>
      </c>
      <c r="EV74" s="10">
        <f t="shared" si="104"/>
        <v>0</v>
      </c>
      <c r="EW74" s="10">
        <f t="shared" si="105"/>
        <v>0</v>
      </c>
      <c r="EX74" s="10">
        <f t="shared" si="106"/>
        <v>0</v>
      </c>
      <c r="EY74" s="10">
        <f t="shared" si="107"/>
        <v>0</v>
      </c>
      <c r="EZ74" s="10">
        <f t="shared" si="108"/>
        <v>0</v>
      </c>
      <c r="FA74" s="10">
        <f t="shared" si="109"/>
        <v>0</v>
      </c>
      <c r="FB74" s="10">
        <f t="shared" si="110"/>
        <v>0</v>
      </c>
      <c r="FC74" s="10">
        <f t="shared" si="111"/>
        <v>0</v>
      </c>
      <c r="FD74" s="10">
        <f t="shared" si="112"/>
        <v>0</v>
      </c>
      <c r="FE74" s="10">
        <f t="shared" si="113"/>
        <v>0</v>
      </c>
      <c r="FF74" s="10">
        <f t="shared" si="114"/>
        <v>0</v>
      </c>
      <c r="FG74" s="10">
        <f t="shared" si="115"/>
        <v>0</v>
      </c>
      <c r="FH74" s="10">
        <f t="shared" si="116"/>
        <v>0</v>
      </c>
      <c r="FI74" s="10">
        <f t="shared" si="117"/>
        <v>0</v>
      </c>
      <c r="FJ74" s="10">
        <f t="shared" si="118"/>
        <v>0</v>
      </c>
      <c r="FK74" s="10">
        <f t="shared" si="119"/>
        <v>0</v>
      </c>
      <c r="FL74" s="10">
        <f t="shared" si="120"/>
        <v>0</v>
      </c>
      <c r="FM74" s="10">
        <f t="shared" si="121"/>
        <v>0</v>
      </c>
      <c r="FN74" s="10">
        <f t="shared" si="122"/>
        <v>0</v>
      </c>
      <c r="FO74" s="10">
        <f t="shared" si="123"/>
        <v>0</v>
      </c>
      <c r="FP74" s="10">
        <f t="shared" si="124"/>
        <v>1</v>
      </c>
      <c r="FQ74" s="10">
        <f t="shared" si="125"/>
        <v>0</v>
      </c>
      <c r="FR74" s="11">
        <f t="shared" si="470"/>
        <v>0</v>
      </c>
      <c r="FS74" s="11">
        <f t="shared" si="127"/>
        <v>0</v>
      </c>
      <c r="FT74" s="11">
        <f t="shared" si="128"/>
        <v>0</v>
      </c>
      <c r="FU74" s="11">
        <f t="shared" si="129"/>
        <v>0</v>
      </c>
      <c r="FV74" s="11">
        <f t="shared" si="130"/>
        <v>0</v>
      </c>
      <c r="FW74" s="11">
        <f t="shared" si="131"/>
        <v>0</v>
      </c>
      <c r="FX74" s="11">
        <f t="shared" si="132"/>
        <v>0</v>
      </c>
      <c r="FY74" s="11">
        <f t="shared" si="133"/>
        <v>0</v>
      </c>
      <c r="FZ74" s="11">
        <f t="shared" si="134"/>
        <v>0</v>
      </c>
      <c r="GA74" s="11">
        <f t="shared" si="135"/>
        <v>0</v>
      </c>
      <c r="GB74" s="11">
        <f t="shared" si="136"/>
        <v>0</v>
      </c>
      <c r="GC74" s="11">
        <f t="shared" si="137"/>
        <v>0</v>
      </c>
      <c r="GD74" s="11">
        <f t="shared" si="138"/>
        <v>0</v>
      </c>
      <c r="GE74" s="11">
        <f t="shared" si="139"/>
        <v>0</v>
      </c>
      <c r="GF74" s="11">
        <f t="shared" si="140"/>
        <v>0</v>
      </c>
      <c r="GG74" s="11">
        <f t="shared" si="141"/>
        <v>0</v>
      </c>
      <c r="GH74" s="11">
        <f t="shared" si="142"/>
        <v>0</v>
      </c>
      <c r="GI74" s="11">
        <f t="shared" si="143"/>
        <v>0</v>
      </c>
      <c r="GJ74" s="11">
        <f t="shared" si="144"/>
        <v>0</v>
      </c>
      <c r="GK74" s="11">
        <f t="shared" si="145"/>
        <v>0</v>
      </c>
      <c r="GL74" s="11">
        <f t="shared" si="146"/>
        <v>0</v>
      </c>
      <c r="GM74" s="11">
        <f t="shared" si="147"/>
        <v>0</v>
      </c>
      <c r="GN74" s="11">
        <f t="shared" si="148"/>
        <v>0</v>
      </c>
      <c r="GO74" s="11">
        <f t="shared" si="149"/>
        <v>0</v>
      </c>
      <c r="GP74" s="11">
        <f t="shared" si="150"/>
        <v>0</v>
      </c>
      <c r="GQ74" s="11">
        <f t="shared" si="151"/>
        <v>1</v>
      </c>
      <c r="GR74" s="11">
        <f t="shared" si="152"/>
        <v>0</v>
      </c>
      <c r="GS74" s="11">
        <f t="shared" si="153"/>
        <v>0</v>
      </c>
      <c r="GT74" s="11">
        <f t="shared" si="154"/>
        <v>0</v>
      </c>
      <c r="GU74" s="12">
        <f t="shared" si="155"/>
        <v>0</v>
      </c>
      <c r="GV74" s="12">
        <f t="shared" si="156"/>
        <v>0</v>
      </c>
      <c r="GW74" s="12">
        <f t="shared" si="157"/>
        <v>0</v>
      </c>
      <c r="GX74" s="12">
        <f t="shared" si="158"/>
        <v>0</v>
      </c>
      <c r="GY74" s="12">
        <f t="shared" si="159"/>
        <v>0</v>
      </c>
      <c r="GZ74" s="12">
        <f t="shared" si="160"/>
        <v>0</v>
      </c>
      <c r="HA74" s="12">
        <f t="shared" si="161"/>
        <v>0</v>
      </c>
      <c r="HB74" s="12">
        <f t="shared" si="162"/>
        <v>0</v>
      </c>
      <c r="HC74" s="12">
        <f t="shared" si="163"/>
        <v>0</v>
      </c>
      <c r="HD74" s="12">
        <f t="shared" si="164"/>
        <v>0</v>
      </c>
      <c r="HE74" s="12">
        <f t="shared" si="165"/>
        <v>0</v>
      </c>
      <c r="HF74" s="12">
        <f t="shared" si="166"/>
        <v>0</v>
      </c>
      <c r="HG74" s="12">
        <f t="shared" si="167"/>
        <v>0</v>
      </c>
      <c r="HH74" s="12">
        <f t="shared" si="168"/>
        <v>0</v>
      </c>
      <c r="HI74" s="12">
        <f t="shared" si="169"/>
        <v>0</v>
      </c>
      <c r="HJ74" s="12">
        <f t="shared" si="170"/>
        <v>0</v>
      </c>
      <c r="HK74" s="12">
        <f t="shared" si="171"/>
        <v>0</v>
      </c>
      <c r="HL74" s="12">
        <f t="shared" si="172"/>
        <v>0</v>
      </c>
      <c r="HM74" s="12">
        <f t="shared" si="173"/>
        <v>0</v>
      </c>
      <c r="HN74" s="12">
        <f t="shared" si="174"/>
        <v>0</v>
      </c>
      <c r="HO74" s="12">
        <f t="shared" si="175"/>
        <v>0</v>
      </c>
      <c r="HP74" s="12">
        <f t="shared" si="176"/>
        <v>0</v>
      </c>
      <c r="HQ74" s="12">
        <f t="shared" si="177"/>
        <v>0</v>
      </c>
      <c r="HR74" s="12">
        <f t="shared" si="178"/>
        <v>0</v>
      </c>
      <c r="HS74" s="12">
        <f t="shared" si="179"/>
        <v>0</v>
      </c>
      <c r="HT74" s="12">
        <f t="shared" si="180"/>
        <v>0</v>
      </c>
      <c r="HU74" s="12">
        <f t="shared" si="181"/>
        <v>0</v>
      </c>
      <c r="HV74" s="12">
        <f t="shared" si="182"/>
        <v>0</v>
      </c>
      <c r="HW74" s="12">
        <f t="shared" si="183"/>
        <v>0</v>
      </c>
      <c r="HX74" s="12">
        <f t="shared" si="184"/>
        <v>0</v>
      </c>
      <c r="HY74" s="12">
        <f t="shared" si="185"/>
        <v>0</v>
      </c>
      <c r="HZ74" s="12">
        <f t="shared" si="186"/>
        <v>0</v>
      </c>
      <c r="IA74" s="12">
        <f t="shared" si="187"/>
        <v>0</v>
      </c>
      <c r="IB74" s="12">
        <f t="shared" si="188"/>
        <v>0</v>
      </c>
      <c r="IC74" s="12">
        <f t="shared" si="189"/>
        <v>0</v>
      </c>
      <c r="ID74" s="12">
        <f t="shared" si="190"/>
        <v>0</v>
      </c>
      <c r="IE74" s="12">
        <f t="shared" si="191"/>
        <v>0</v>
      </c>
      <c r="IF74" s="12">
        <f t="shared" si="192"/>
        <v>0</v>
      </c>
      <c r="IG74" s="12">
        <f t="shared" si="193"/>
        <v>0</v>
      </c>
      <c r="IH74" s="12">
        <f t="shared" si="194"/>
        <v>0</v>
      </c>
      <c r="II74" s="12">
        <f t="shared" si="195"/>
        <v>0</v>
      </c>
      <c r="IJ74" s="12">
        <f t="shared" si="196"/>
        <v>0</v>
      </c>
      <c r="IK74" s="12">
        <f t="shared" si="197"/>
        <v>0</v>
      </c>
      <c r="IL74" s="12">
        <f t="shared" si="198"/>
        <v>0</v>
      </c>
      <c r="IM74" s="12">
        <f t="shared" si="199"/>
        <v>0</v>
      </c>
      <c r="IN74" s="12">
        <f t="shared" si="200"/>
        <v>0</v>
      </c>
      <c r="IO74" s="12">
        <f t="shared" si="201"/>
        <v>0</v>
      </c>
      <c r="IP74" s="12">
        <f t="shared" si="202"/>
        <v>0</v>
      </c>
      <c r="IQ74" s="12">
        <f t="shared" si="203"/>
        <v>0</v>
      </c>
      <c r="IR74" s="12">
        <f t="shared" si="204"/>
        <v>0</v>
      </c>
      <c r="IS74" s="12">
        <f t="shared" si="205"/>
        <v>0</v>
      </c>
      <c r="IT74" s="12">
        <f t="shared" si="206"/>
        <v>0</v>
      </c>
      <c r="IU74" s="12">
        <f t="shared" si="207"/>
        <v>0</v>
      </c>
      <c r="IV74" s="12">
        <f t="shared" si="208"/>
        <v>0</v>
      </c>
      <c r="IW74" s="12">
        <f t="shared" si="209"/>
        <v>0</v>
      </c>
      <c r="IX74" s="12">
        <f t="shared" si="210"/>
        <v>0</v>
      </c>
      <c r="IY74" s="12">
        <f t="shared" si="211"/>
        <v>0</v>
      </c>
      <c r="IZ74" s="12">
        <f t="shared" si="212"/>
        <v>0</v>
      </c>
      <c r="JA74" s="13">
        <f t="shared" si="213"/>
        <v>0</v>
      </c>
      <c r="JB74" s="13">
        <f t="shared" si="214"/>
        <v>0</v>
      </c>
      <c r="JC74" s="13">
        <f t="shared" si="215"/>
        <v>0</v>
      </c>
      <c r="JD74" s="13">
        <f t="shared" si="216"/>
        <v>0</v>
      </c>
      <c r="JE74" s="13">
        <f t="shared" si="217"/>
        <v>0</v>
      </c>
      <c r="JF74" s="13">
        <f t="shared" si="218"/>
        <v>0</v>
      </c>
      <c r="JG74" s="13">
        <f t="shared" si="219"/>
        <v>0</v>
      </c>
      <c r="JH74" s="13">
        <f t="shared" si="220"/>
        <v>0</v>
      </c>
      <c r="JI74" s="13">
        <f t="shared" si="221"/>
        <v>0</v>
      </c>
      <c r="JJ74" s="13">
        <f t="shared" si="222"/>
        <v>0</v>
      </c>
      <c r="JK74" s="13">
        <f t="shared" si="223"/>
        <v>0</v>
      </c>
      <c r="JL74" s="13">
        <f t="shared" si="224"/>
        <v>0</v>
      </c>
      <c r="JM74" s="13">
        <f t="shared" si="225"/>
        <v>0</v>
      </c>
      <c r="JN74" s="13">
        <f t="shared" si="226"/>
        <v>0</v>
      </c>
      <c r="JO74" s="13">
        <f t="shared" si="227"/>
        <v>0</v>
      </c>
      <c r="JP74" s="13">
        <f t="shared" si="228"/>
        <v>0</v>
      </c>
      <c r="JQ74" s="13">
        <f t="shared" si="229"/>
        <v>0</v>
      </c>
      <c r="JR74" s="13">
        <f t="shared" si="230"/>
        <v>0</v>
      </c>
      <c r="JS74" s="13">
        <f t="shared" si="231"/>
        <v>0</v>
      </c>
      <c r="JT74" s="13">
        <f t="shared" si="232"/>
        <v>0</v>
      </c>
      <c r="JU74" s="13">
        <f t="shared" si="233"/>
        <v>0</v>
      </c>
      <c r="JV74" s="12">
        <f t="shared" si="234"/>
        <v>0</v>
      </c>
      <c r="JW74" s="12">
        <f t="shared" si="235"/>
        <v>0</v>
      </c>
      <c r="JX74" s="12">
        <f t="shared" si="236"/>
        <v>0</v>
      </c>
      <c r="JY74" s="12">
        <f t="shared" si="237"/>
        <v>0</v>
      </c>
      <c r="JZ74" s="12">
        <f t="shared" si="238"/>
        <v>0</v>
      </c>
      <c r="KA74" s="12">
        <f t="shared" si="239"/>
        <v>0</v>
      </c>
      <c r="KB74" s="12">
        <f t="shared" si="240"/>
        <v>0</v>
      </c>
      <c r="KC74" s="12">
        <f t="shared" si="241"/>
        <v>0</v>
      </c>
      <c r="KD74" s="12">
        <f t="shared" si="242"/>
        <v>0</v>
      </c>
      <c r="KE74" s="12">
        <f t="shared" si="243"/>
        <v>0</v>
      </c>
      <c r="KF74" s="12">
        <f t="shared" si="244"/>
        <v>0</v>
      </c>
      <c r="KG74" s="12">
        <f t="shared" si="245"/>
        <v>0</v>
      </c>
      <c r="KH74" s="12">
        <f t="shared" si="246"/>
        <v>0</v>
      </c>
      <c r="KI74" s="12">
        <f t="shared" si="247"/>
        <v>0</v>
      </c>
      <c r="KJ74" s="12">
        <f t="shared" si="248"/>
        <v>0</v>
      </c>
      <c r="KK74" s="12">
        <f t="shared" si="249"/>
        <v>0</v>
      </c>
      <c r="KL74" s="12">
        <f t="shared" si="250"/>
        <v>0</v>
      </c>
      <c r="KM74" s="12">
        <f t="shared" si="251"/>
        <v>0</v>
      </c>
      <c r="KN74" s="12">
        <f t="shared" si="252"/>
        <v>0</v>
      </c>
      <c r="KO74" s="12">
        <f t="shared" si="253"/>
        <v>0</v>
      </c>
      <c r="KP74" s="12">
        <f t="shared" si="254"/>
        <v>0</v>
      </c>
      <c r="KQ74" s="12">
        <f t="shared" si="255"/>
        <v>0</v>
      </c>
      <c r="KR74" s="12">
        <f t="shared" si="256"/>
        <v>0</v>
      </c>
      <c r="KS74" s="12">
        <f t="shared" si="257"/>
        <v>0</v>
      </c>
      <c r="KT74" s="12">
        <f t="shared" si="258"/>
        <v>0</v>
      </c>
      <c r="KU74" s="12">
        <f t="shared" si="259"/>
        <v>0</v>
      </c>
      <c r="KV74" s="12">
        <f t="shared" si="260"/>
        <v>0</v>
      </c>
      <c r="KW74" s="12">
        <f t="shared" si="261"/>
        <v>0</v>
      </c>
      <c r="KX74" s="12">
        <f t="shared" si="262"/>
        <v>0</v>
      </c>
      <c r="KY74" s="12">
        <f t="shared" si="263"/>
        <v>0</v>
      </c>
      <c r="KZ74" s="12">
        <f t="shared" si="264"/>
        <v>0</v>
      </c>
      <c r="LA74" s="12">
        <f t="shared" si="265"/>
        <v>0</v>
      </c>
      <c r="LB74" s="12">
        <f t="shared" si="266"/>
        <v>0</v>
      </c>
      <c r="LC74" s="12">
        <f t="shared" si="267"/>
        <v>0</v>
      </c>
      <c r="LD74" s="12">
        <f t="shared" si="268"/>
        <v>0</v>
      </c>
      <c r="LE74" s="12">
        <f t="shared" si="269"/>
        <v>0</v>
      </c>
      <c r="LF74" s="12">
        <f t="shared" si="270"/>
        <v>0</v>
      </c>
      <c r="LG74" s="12">
        <f t="shared" si="271"/>
        <v>0</v>
      </c>
      <c r="LH74" s="12">
        <f t="shared" si="272"/>
        <v>0</v>
      </c>
      <c r="LI74" s="12">
        <f t="shared" si="273"/>
        <v>0</v>
      </c>
      <c r="LJ74" s="12">
        <f t="shared" si="274"/>
        <v>0</v>
      </c>
      <c r="LK74" s="12">
        <f t="shared" si="275"/>
        <v>0</v>
      </c>
      <c r="LL74" s="12">
        <f t="shared" si="276"/>
        <v>0</v>
      </c>
      <c r="LM74" s="12">
        <f t="shared" si="277"/>
        <v>0</v>
      </c>
      <c r="LN74" s="12">
        <f t="shared" si="278"/>
        <v>0</v>
      </c>
      <c r="LO74" s="12">
        <f t="shared" si="279"/>
        <v>0</v>
      </c>
      <c r="LP74" s="12">
        <f t="shared" si="280"/>
        <v>0</v>
      </c>
      <c r="LQ74" s="12">
        <f t="shared" si="281"/>
        <v>0</v>
      </c>
      <c r="LR74" s="12">
        <f t="shared" si="282"/>
        <v>0</v>
      </c>
      <c r="LS74" s="12">
        <f t="shared" si="283"/>
        <v>0</v>
      </c>
      <c r="LT74" s="13">
        <f t="shared" si="284"/>
        <v>0</v>
      </c>
      <c r="LU74" s="13">
        <f t="shared" si="285"/>
        <v>0</v>
      </c>
      <c r="LV74" s="13">
        <f t="shared" si="286"/>
        <v>0</v>
      </c>
      <c r="LW74" s="13">
        <f t="shared" si="287"/>
        <v>0</v>
      </c>
      <c r="LX74" s="13">
        <f t="shared" si="288"/>
        <v>0</v>
      </c>
      <c r="LY74" s="13">
        <f t="shared" si="289"/>
        <v>0</v>
      </c>
      <c r="LZ74" s="13">
        <f t="shared" si="290"/>
        <v>0</v>
      </c>
      <c r="MA74" s="13">
        <f t="shared" si="291"/>
        <v>0</v>
      </c>
      <c r="MB74" s="13">
        <f t="shared" si="292"/>
        <v>0</v>
      </c>
      <c r="MC74" s="13">
        <f t="shared" si="293"/>
        <v>0</v>
      </c>
      <c r="MD74" s="13">
        <f t="shared" si="294"/>
        <v>0</v>
      </c>
      <c r="ME74" s="13">
        <f t="shared" si="295"/>
        <v>0</v>
      </c>
      <c r="MF74" s="13">
        <f t="shared" si="296"/>
        <v>0</v>
      </c>
      <c r="MG74" s="13">
        <f t="shared" si="297"/>
        <v>0</v>
      </c>
      <c r="MH74" s="13">
        <f t="shared" si="298"/>
        <v>0</v>
      </c>
      <c r="MI74" s="13">
        <f t="shared" si="299"/>
        <v>0</v>
      </c>
      <c r="MJ74" s="13">
        <f t="shared" si="300"/>
        <v>0</v>
      </c>
      <c r="MK74" s="13">
        <f t="shared" si="301"/>
        <v>0</v>
      </c>
      <c r="ML74" s="14">
        <f t="shared" si="302"/>
        <v>0</v>
      </c>
      <c r="MM74" s="14">
        <f t="shared" si="303"/>
        <v>0</v>
      </c>
      <c r="MN74" s="14">
        <f t="shared" si="304"/>
        <v>0</v>
      </c>
      <c r="MO74" s="14">
        <f t="shared" si="305"/>
        <v>0</v>
      </c>
      <c r="MP74" s="14">
        <f t="shared" si="306"/>
        <v>0</v>
      </c>
      <c r="MQ74" s="14">
        <f t="shared" si="307"/>
        <v>0</v>
      </c>
      <c r="MR74" s="14">
        <f t="shared" si="308"/>
        <v>0</v>
      </c>
      <c r="MS74" s="14">
        <f t="shared" si="309"/>
        <v>0</v>
      </c>
      <c r="MT74" s="14">
        <f t="shared" si="310"/>
        <v>0</v>
      </c>
      <c r="MU74" s="14">
        <f t="shared" si="311"/>
        <v>0</v>
      </c>
      <c r="MV74" s="14">
        <f t="shared" si="312"/>
        <v>0</v>
      </c>
      <c r="MW74" s="14">
        <f t="shared" si="313"/>
        <v>0</v>
      </c>
      <c r="MX74" s="14">
        <f t="shared" si="314"/>
        <v>0</v>
      </c>
      <c r="MY74" s="14">
        <f t="shared" si="315"/>
        <v>0</v>
      </c>
      <c r="MZ74" s="14">
        <f t="shared" si="316"/>
        <v>0</v>
      </c>
      <c r="NA74" s="14">
        <f t="shared" si="317"/>
        <v>0</v>
      </c>
      <c r="NB74" s="14">
        <f t="shared" si="318"/>
        <v>0</v>
      </c>
    </row>
    <row r="75" ht="15.75" customHeight="1">
      <c r="A75" s="2">
        <v>11.0</v>
      </c>
      <c r="B75" s="2" t="s">
        <v>1665</v>
      </c>
      <c r="C75" s="2" t="s">
        <v>1666</v>
      </c>
      <c r="D75" s="2" t="s">
        <v>1667</v>
      </c>
      <c r="E75" s="2">
        <v>2021.0</v>
      </c>
      <c r="F75" s="2" t="s">
        <v>1194</v>
      </c>
      <c r="G75" s="2" t="s">
        <v>1431</v>
      </c>
      <c r="H75" s="2" t="s">
        <v>1668</v>
      </c>
      <c r="I75" s="2" t="s">
        <v>1669</v>
      </c>
      <c r="M75" s="2">
        <v>17.0</v>
      </c>
      <c r="N75" s="2" t="s">
        <v>1670</v>
      </c>
      <c r="O75" s="2" t="s">
        <v>1671</v>
      </c>
      <c r="P75" s="2" t="s">
        <v>1672</v>
      </c>
      <c r="Q75" s="2" t="s">
        <v>1673</v>
      </c>
      <c r="R75" s="2" t="s">
        <v>1674</v>
      </c>
      <c r="T75" s="2" t="s">
        <v>1675</v>
      </c>
      <c r="Y75" s="2" t="s">
        <v>1676</v>
      </c>
      <c r="AB75" s="2" t="s">
        <v>1203</v>
      </c>
      <c r="AG75" s="2" t="s">
        <v>1204</v>
      </c>
      <c r="AI75" s="2" t="s">
        <v>1205</v>
      </c>
      <c r="AJ75" s="2">
        <v>3.4914718E7</v>
      </c>
      <c r="AK75" s="2" t="s">
        <v>1194</v>
      </c>
      <c r="AL75" s="2" t="s">
        <v>384</v>
      </c>
      <c r="AM75" s="2" t="s">
        <v>484</v>
      </c>
      <c r="AN75" s="2" t="s">
        <v>386</v>
      </c>
      <c r="AO75" s="2" t="s">
        <v>1677</v>
      </c>
      <c r="AP75" s="2" t="s">
        <v>386</v>
      </c>
      <c r="AQ75" s="2">
        <v>13.0</v>
      </c>
      <c r="AR75" s="2" t="s">
        <v>1678</v>
      </c>
      <c r="AS75" s="2" t="b">
        <v>0</v>
      </c>
      <c r="AT75" s="3">
        <v>0.0</v>
      </c>
      <c r="AU75" s="4"/>
      <c r="AV75" s="4">
        <v>1.0</v>
      </c>
      <c r="AW75" s="5">
        <f t="shared" si="432"/>
        <v>0</v>
      </c>
      <c r="AX75" s="5">
        <f t="shared" si="4"/>
        <v>0</v>
      </c>
      <c r="AY75" s="5">
        <f t="shared" si="5"/>
        <v>0</v>
      </c>
      <c r="AZ75" s="5">
        <f t="shared" si="6"/>
        <v>0</v>
      </c>
      <c r="BA75" s="5">
        <f t="shared" si="7"/>
        <v>0</v>
      </c>
      <c r="BB75" s="5">
        <f t="shared" si="8"/>
        <v>0</v>
      </c>
      <c r="BC75" s="5">
        <f t="shared" si="9"/>
        <v>0</v>
      </c>
      <c r="BD75" s="5">
        <f t="shared" si="10"/>
        <v>0</v>
      </c>
      <c r="BE75" s="5">
        <f t="shared" si="11"/>
        <v>0</v>
      </c>
      <c r="BF75" s="5">
        <f t="shared" si="12"/>
        <v>0</v>
      </c>
      <c r="BG75" s="5">
        <f t="shared" si="13"/>
        <v>0</v>
      </c>
      <c r="BH75" s="5">
        <f t="shared" si="14"/>
        <v>0</v>
      </c>
      <c r="BI75" s="5">
        <f t="shared" si="15"/>
        <v>0</v>
      </c>
      <c r="BJ75" s="5">
        <f t="shared" si="16"/>
        <v>0</v>
      </c>
      <c r="BK75" s="5">
        <f t="shared" si="17"/>
        <v>0</v>
      </c>
      <c r="BL75" s="5">
        <f t="shared" si="18"/>
        <v>0</v>
      </c>
      <c r="BM75" s="5">
        <f t="shared" si="19"/>
        <v>0</v>
      </c>
      <c r="BN75" s="5">
        <f t="shared" si="20"/>
        <v>0</v>
      </c>
      <c r="BO75" s="5">
        <f t="shared" si="21"/>
        <v>0</v>
      </c>
      <c r="BP75" s="5">
        <f t="shared" si="22"/>
        <v>0</v>
      </c>
      <c r="BQ75" s="5">
        <f t="shared" si="23"/>
        <v>0</v>
      </c>
      <c r="BR75" s="5">
        <f t="shared" si="24"/>
        <v>0</v>
      </c>
      <c r="BS75" s="5">
        <f t="shared" si="25"/>
        <v>0</v>
      </c>
      <c r="BT75" s="5">
        <f t="shared" si="26"/>
        <v>0</v>
      </c>
      <c r="BU75" s="5">
        <f t="shared" si="27"/>
        <v>0</v>
      </c>
      <c r="BV75" s="5">
        <f t="shared" ref="BV75:BW75" si="481">IF(OR(ISNUMBER(SEARCH("grit",$D75)),ISNUMBER(SEARCH("grit",$T75)),ISNUMBER(SEARCH("grit",$R75)),ISNUMBER(SEARCH("grit",$S75)),
ISNUMBER(SEARCH("determination",$D75)),ISNUMBER(SEARCH("determination",$T75)),ISNUMBER(SEARCH("determination",$R75)),ISNUMBER(SEARCH("determination",$S75)),
ISNUMBER(SEARCH("tenacity",$D75)),ISNUMBER(SEARCH("tenacity",$T75)),ISNUMBER(SEARCH("tenacity",$R75)),ISNUMBER(SEARCH("tenacity",$S75)),
ISNUMBER(SEARCH("endurance",$D75)),ISNUMBER(SEARCH("endurance",$T75)),ISNUMBER(SEARCH("endurance",$R75)),ISNUMBER(SEARCH("endurance",$S75)),
ISNUMBER(SEARCH("fortitude",$D75)),ISNUMBER(SEARCH("fortitude",$T75)),ISNUMBER(SEARCH("fortitude",$R75)),ISNUMBER(SEARCH("fortitude",$S75)),
ISNUMBER(SEARCH("resolve",$D75)),ISNUMBER(SEARCH("resolve",$T75)),ISNUMBER(SEARCH("resolve",$R75)),ISNUMBER(SEARCH("resolve",$S75)),
ISNUMBER(SEARCH("stamina",$D75)),ISNUMBER(SEARCH("stamina",$T75)),ISNUMBER(SEARCH("stamina",$R75)),ISNUMBER(SEARCH("stamina",$S75)),
ISNUMBER(SEARCH("guts",$D75)),ISNUMBER(SEARCH("guts",$T75)),ISNUMBER(SEARCH("guts",$R75)),ISNUMBER(SEARCH("guts",$S75)),
ISNUMBER(SEARCH("spunk",$D75)),ISNUMBER(SEARCH("spunk",$T75)),ISNUMBER(SEARCH("spunk",$R75)),ISNUMBER(SEARCH("spunk",$S75))), 1, 0)</f>
        <v>0</v>
      </c>
      <c r="BW75" s="5">
        <f t="shared" si="481"/>
        <v>0</v>
      </c>
      <c r="BX75" s="5">
        <f t="shared" si="29"/>
        <v>0</v>
      </c>
      <c r="BY75" s="5">
        <f t="shared" si="30"/>
        <v>0</v>
      </c>
      <c r="BZ75" s="5">
        <f t="shared" si="31"/>
        <v>0</v>
      </c>
      <c r="CA75" s="5">
        <f t="shared" si="32"/>
        <v>0</v>
      </c>
      <c r="CB75" s="5">
        <f t="shared" si="33"/>
        <v>0</v>
      </c>
      <c r="CC75" s="5">
        <f t="shared" si="34"/>
        <v>0</v>
      </c>
      <c r="CD75" s="5">
        <f t="shared" si="35"/>
        <v>0</v>
      </c>
      <c r="CE75" s="5">
        <f t="shared" si="36"/>
        <v>0</v>
      </c>
      <c r="CF75" s="5">
        <f t="shared" si="37"/>
        <v>0</v>
      </c>
      <c r="CG75" s="5">
        <f t="shared" si="38"/>
        <v>0</v>
      </c>
      <c r="CH75" s="5">
        <f t="shared" si="39"/>
        <v>0</v>
      </c>
      <c r="CI75" s="5">
        <f t="shared" si="40"/>
        <v>0</v>
      </c>
      <c r="CJ75" s="5">
        <f t="shared" si="41"/>
        <v>0</v>
      </c>
      <c r="CK75" s="5">
        <f t="shared" si="42"/>
        <v>0</v>
      </c>
      <c r="CL75" s="5">
        <f t="shared" si="43"/>
        <v>0</v>
      </c>
      <c r="CM75" s="5">
        <f t="shared" si="44"/>
        <v>0</v>
      </c>
      <c r="CN75" s="5">
        <f t="shared" si="45"/>
        <v>0</v>
      </c>
      <c r="CO75" s="5">
        <f t="shared" si="46"/>
        <v>0</v>
      </c>
      <c r="CP75" s="6">
        <f t="shared" si="47"/>
        <v>0</v>
      </c>
      <c r="CQ75" s="6">
        <f t="shared" si="48"/>
        <v>0</v>
      </c>
      <c r="CR75" s="6">
        <f t="shared" si="49"/>
        <v>0</v>
      </c>
      <c r="CS75" s="6">
        <f t="shared" si="50"/>
        <v>0</v>
      </c>
      <c r="CT75" s="6">
        <f t="shared" si="51"/>
        <v>0</v>
      </c>
      <c r="CU75" s="6">
        <f t="shared" si="52"/>
        <v>0</v>
      </c>
      <c r="CV75" s="6">
        <f t="shared" si="53"/>
        <v>0</v>
      </c>
      <c r="CW75" s="6">
        <f t="shared" si="54"/>
        <v>0</v>
      </c>
      <c r="CX75" s="6">
        <f t="shared" si="55"/>
        <v>0</v>
      </c>
      <c r="CY75" s="6">
        <f t="shared" si="56"/>
        <v>0</v>
      </c>
      <c r="CZ75" s="6">
        <f t="shared" si="57"/>
        <v>0</v>
      </c>
      <c r="DA75" s="6">
        <f t="shared" si="58"/>
        <v>0</v>
      </c>
      <c r="DB75" s="6">
        <f t="shared" si="59"/>
        <v>0</v>
      </c>
      <c r="DC75" s="6">
        <f t="shared" si="60"/>
        <v>0</v>
      </c>
      <c r="DD75" s="6">
        <f t="shared" si="61"/>
        <v>0</v>
      </c>
      <c r="DE75" s="6">
        <f t="shared" si="62"/>
        <v>0</v>
      </c>
      <c r="DF75" s="6">
        <f t="shared" si="63"/>
        <v>0</v>
      </c>
      <c r="DG75" s="6">
        <f t="shared" si="64"/>
        <v>0</v>
      </c>
      <c r="DH75" s="6">
        <f>IF(
OR(
ISNUMBER(SEARCH("Spirituality",$D75)),ISNUMBER(SEARCH("Spirituality",$T75)),ISNUMBER(SEARCH("Spirituality",$R73)),ISNUMBER(SEARCH("Spirituality",$S75)),
ISNUMBER(SEARCH("religiosity",$D75)),ISNUMBER(SEARCH("religiosity",$T75)),ISNUMBER(SEARCH("religiosity",$R75)),ISNUMBER(SEARCH("religiosity",$S75))), 1, 0)</f>
        <v>0</v>
      </c>
      <c r="DI75" s="6">
        <f t="shared" si="66"/>
        <v>0</v>
      </c>
      <c r="DJ75" s="6">
        <f>IF(OR(ISNUMBER(SEARCH("Emotional Balance", $D75)), ISNUMBER(SEARCH("Emotional Balance", $T75)), ISNUMBER(SEARCH("Emotional Balance", $R75)), ISNUMBER(SEARCH("Emotional Balance", $S75))), 1, 0)</f>
        <v>0</v>
      </c>
      <c r="DK75" s="7">
        <f t="shared" si="68"/>
        <v>1</v>
      </c>
      <c r="DL75" s="7">
        <f t="shared" si="411"/>
        <v>0</v>
      </c>
      <c r="DM75" s="7">
        <f t="shared" si="70"/>
        <v>0</v>
      </c>
      <c r="DN75" s="7">
        <f t="shared" si="71"/>
        <v>0</v>
      </c>
      <c r="DO75" s="7">
        <f t="shared" si="72"/>
        <v>0</v>
      </c>
      <c r="DP75" s="8">
        <f t="shared" si="73"/>
        <v>0</v>
      </c>
      <c r="DQ75" s="8">
        <f t="shared" si="74"/>
        <v>0</v>
      </c>
      <c r="DR75" s="7">
        <f t="shared" si="75"/>
        <v>1</v>
      </c>
      <c r="DS75" s="7">
        <f t="shared" si="76"/>
        <v>0</v>
      </c>
      <c r="DT75" s="7">
        <f t="shared" si="77"/>
        <v>0</v>
      </c>
      <c r="DU75" s="9">
        <f t="shared" si="78"/>
        <v>0</v>
      </c>
      <c r="DV75" s="9">
        <f t="shared" si="79"/>
        <v>0</v>
      </c>
      <c r="DW75" s="9">
        <f t="shared" si="80"/>
        <v>0</v>
      </c>
      <c r="DX75" s="9">
        <f t="shared" si="81"/>
        <v>0</v>
      </c>
      <c r="DY75" s="9">
        <f t="shared" si="82"/>
        <v>0</v>
      </c>
      <c r="DZ75" s="9">
        <f t="shared" si="83"/>
        <v>0</v>
      </c>
      <c r="EA75" s="9">
        <f t="shared" si="84"/>
        <v>0</v>
      </c>
      <c r="EB75" s="9">
        <f t="shared" si="85"/>
        <v>0</v>
      </c>
      <c r="EC75" s="9">
        <f t="shared" si="86"/>
        <v>0</v>
      </c>
      <c r="ED75" s="9">
        <f t="shared" si="87"/>
        <v>0</v>
      </c>
      <c r="EE75" s="9">
        <f t="shared" si="88"/>
        <v>0</v>
      </c>
      <c r="EF75" s="9">
        <f t="shared" si="89"/>
        <v>0</v>
      </c>
      <c r="EG75" s="9">
        <f t="shared" si="90"/>
        <v>0</v>
      </c>
      <c r="EH75" s="9">
        <f t="shared" si="91"/>
        <v>0</v>
      </c>
      <c r="EI75" s="9">
        <f t="shared" si="92"/>
        <v>0</v>
      </c>
      <c r="EJ75" s="10">
        <f t="shared" si="93"/>
        <v>0</v>
      </c>
      <c r="EK75" s="10">
        <f t="shared" si="94"/>
        <v>0</v>
      </c>
      <c r="EL75" s="10">
        <f t="shared" ref="EL75:EM75" si="482">IF(OR(ISNUMBER(SEARCH("ai software toolkit", $D75)), ISNUMBER(SEARCH("ai software toolkit", $T75)), ISNUMBER(SEARCH("ai software toolkit", $R75)), ISNUMBER(SEARCH("ai software toolkit", $S75))), 1, 0)</f>
        <v>0</v>
      </c>
      <c r="EM75" s="10">
        <f t="shared" si="482"/>
        <v>0</v>
      </c>
      <c r="EN75" s="10">
        <f t="shared" si="96"/>
        <v>0</v>
      </c>
      <c r="EO75" s="10">
        <f t="shared" si="97"/>
        <v>0</v>
      </c>
      <c r="EP75" s="10">
        <f t="shared" si="98"/>
        <v>0</v>
      </c>
      <c r="EQ75" s="10">
        <f t="shared" si="99"/>
        <v>0</v>
      </c>
      <c r="ER75" s="10">
        <f t="shared" si="100"/>
        <v>0</v>
      </c>
      <c r="ES75" s="10">
        <f t="shared" si="101"/>
        <v>0</v>
      </c>
      <c r="ET75" s="10">
        <f t="shared" si="102"/>
        <v>0</v>
      </c>
      <c r="EU75" s="10">
        <f t="shared" si="103"/>
        <v>0</v>
      </c>
      <c r="EV75" s="10">
        <f t="shared" si="104"/>
        <v>0</v>
      </c>
      <c r="EW75" s="10">
        <f t="shared" si="105"/>
        <v>0</v>
      </c>
      <c r="EX75" s="10">
        <f t="shared" si="106"/>
        <v>0</v>
      </c>
      <c r="EY75" s="10">
        <f t="shared" si="107"/>
        <v>0</v>
      </c>
      <c r="EZ75" s="10">
        <f t="shared" si="108"/>
        <v>0</v>
      </c>
      <c r="FA75" s="10">
        <f t="shared" si="109"/>
        <v>0</v>
      </c>
      <c r="FB75" s="10">
        <f t="shared" si="110"/>
        <v>0</v>
      </c>
      <c r="FC75" s="10">
        <f t="shared" si="111"/>
        <v>0</v>
      </c>
      <c r="FD75" s="10">
        <f t="shared" si="112"/>
        <v>0</v>
      </c>
      <c r="FE75" s="10">
        <f t="shared" si="113"/>
        <v>0</v>
      </c>
      <c r="FF75" s="10">
        <f t="shared" si="114"/>
        <v>0</v>
      </c>
      <c r="FG75" s="10">
        <f t="shared" si="115"/>
        <v>0</v>
      </c>
      <c r="FH75" s="10">
        <f t="shared" si="116"/>
        <v>0</v>
      </c>
      <c r="FI75" s="10">
        <f t="shared" si="117"/>
        <v>0</v>
      </c>
      <c r="FJ75" s="10">
        <f t="shared" si="118"/>
        <v>0</v>
      </c>
      <c r="FK75" s="10">
        <f t="shared" si="119"/>
        <v>0</v>
      </c>
      <c r="FL75" s="10">
        <f t="shared" si="120"/>
        <v>0</v>
      </c>
      <c r="FM75" s="10">
        <f t="shared" si="121"/>
        <v>0</v>
      </c>
      <c r="FN75" s="10">
        <f t="shared" si="122"/>
        <v>0</v>
      </c>
      <c r="FO75" s="10">
        <f t="shared" si="123"/>
        <v>0</v>
      </c>
      <c r="FP75" s="10">
        <f t="shared" si="124"/>
        <v>0</v>
      </c>
      <c r="FQ75" s="10">
        <f t="shared" si="125"/>
        <v>0</v>
      </c>
      <c r="FR75" s="11">
        <f t="shared" si="470"/>
        <v>0</v>
      </c>
      <c r="FS75" s="11">
        <f t="shared" si="127"/>
        <v>0</v>
      </c>
      <c r="FT75" s="11">
        <f t="shared" si="128"/>
        <v>0</v>
      </c>
      <c r="FU75" s="11">
        <f t="shared" si="129"/>
        <v>0</v>
      </c>
      <c r="FV75" s="11">
        <f t="shared" si="130"/>
        <v>0</v>
      </c>
      <c r="FW75" s="11">
        <f t="shared" si="131"/>
        <v>0</v>
      </c>
      <c r="FX75" s="11">
        <f t="shared" si="132"/>
        <v>0</v>
      </c>
      <c r="FY75" s="11">
        <f t="shared" si="133"/>
        <v>0</v>
      </c>
      <c r="FZ75" s="11">
        <f t="shared" si="134"/>
        <v>0</v>
      </c>
      <c r="GA75" s="11">
        <f t="shared" si="135"/>
        <v>0</v>
      </c>
      <c r="GB75" s="11">
        <f t="shared" si="136"/>
        <v>0</v>
      </c>
      <c r="GC75" s="11">
        <f t="shared" si="137"/>
        <v>0</v>
      </c>
      <c r="GD75" s="11">
        <f t="shared" si="138"/>
        <v>0</v>
      </c>
      <c r="GE75" s="11">
        <f t="shared" si="139"/>
        <v>0</v>
      </c>
      <c r="GF75" s="11">
        <f t="shared" si="140"/>
        <v>0</v>
      </c>
      <c r="GG75" s="11">
        <f t="shared" si="141"/>
        <v>0</v>
      </c>
      <c r="GH75" s="11">
        <f t="shared" si="142"/>
        <v>0</v>
      </c>
      <c r="GI75" s="11">
        <f t="shared" si="143"/>
        <v>0</v>
      </c>
      <c r="GJ75" s="11">
        <f t="shared" si="144"/>
        <v>0</v>
      </c>
      <c r="GK75" s="11">
        <f t="shared" si="145"/>
        <v>0</v>
      </c>
      <c r="GL75" s="11">
        <f t="shared" si="146"/>
        <v>0</v>
      </c>
      <c r="GM75" s="11">
        <f t="shared" si="147"/>
        <v>0</v>
      </c>
      <c r="GN75" s="11">
        <f t="shared" si="148"/>
        <v>0</v>
      </c>
      <c r="GO75" s="11">
        <f t="shared" si="149"/>
        <v>0</v>
      </c>
      <c r="GP75" s="11">
        <f t="shared" si="150"/>
        <v>0</v>
      </c>
      <c r="GQ75" s="11">
        <f t="shared" si="151"/>
        <v>0</v>
      </c>
      <c r="GR75" s="11">
        <f t="shared" si="152"/>
        <v>0</v>
      </c>
      <c r="GS75" s="11">
        <f t="shared" si="153"/>
        <v>0</v>
      </c>
      <c r="GT75" s="11">
        <f t="shared" si="154"/>
        <v>0</v>
      </c>
      <c r="GU75" s="12">
        <f t="shared" si="155"/>
        <v>0</v>
      </c>
      <c r="GV75" s="12">
        <f t="shared" si="156"/>
        <v>0</v>
      </c>
      <c r="GW75" s="12">
        <f t="shared" si="157"/>
        <v>0</v>
      </c>
      <c r="GX75" s="12">
        <f t="shared" si="158"/>
        <v>0</v>
      </c>
      <c r="GY75" s="12">
        <f t="shared" si="159"/>
        <v>0</v>
      </c>
      <c r="GZ75" s="12">
        <f t="shared" si="160"/>
        <v>0</v>
      </c>
      <c r="HA75" s="12">
        <f t="shared" si="161"/>
        <v>0</v>
      </c>
      <c r="HB75" s="12">
        <f t="shared" si="162"/>
        <v>0</v>
      </c>
      <c r="HC75" s="12">
        <f t="shared" si="163"/>
        <v>0</v>
      </c>
      <c r="HD75" s="12">
        <f t="shared" si="164"/>
        <v>0</v>
      </c>
      <c r="HE75" s="12">
        <f t="shared" si="165"/>
        <v>0</v>
      </c>
      <c r="HF75" s="12">
        <f t="shared" si="166"/>
        <v>0</v>
      </c>
      <c r="HG75" s="12">
        <f t="shared" si="167"/>
        <v>0</v>
      </c>
      <c r="HH75" s="12">
        <f t="shared" si="168"/>
        <v>0</v>
      </c>
      <c r="HI75" s="12">
        <f t="shared" si="169"/>
        <v>0</v>
      </c>
      <c r="HJ75" s="12">
        <f t="shared" si="170"/>
        <v>0</v>
      </c>
      <c r="HK75" s="12">
        <f t="shared" si="171"/>
        <v>0</v>
      </c>
      <c r="HL75" s="12">
        <f t="shared" si="172"/>
        <v>0</v>
      </c>
      <c r="HM75" s="12">
        <f t="shared" si="173"/>
        <v>0</v>
      </c>
      <c r="HN75" s="12">
        <f t="shared" si="174"/>
        <v>0</v>
      </c>
      <c r="HO75" s="12">
        <f t="shared" si="175"/>
        <v>0</v>
      </c>
      <c r="HP75" s="12">
        <f t="shared" si="176"/>
        <v>0</v>
      </c>
      <c r="HQ75" s="12">
        <f t="shared" si="177"/>
        <v>0</v>
      </c>
      <c r="HR75" s="12">
        <f t="shared" si="178"/>
        <v>0</v>
      </c>
      <c r="HS75" s="12">
        <f t="shared" si="179"/>
        <v>0</v>
      </c>
      <c r="HT75" s="12">
        <f t="shared" si="180"/>
        <v>0</v>
      </c>
      <c r="HU75" s="12">
        <f t="shared" si="181"/>
        <v>0</v>
      </c>
      <c r="HV75" s="12">
        <f t="shared" si="182"/>
        <v>0</v>
      </c>
      <c r="HW75" s="12">
        <f t="shared" si="183"/>
        <v>0</v>
      </c>
      <c r="HX75" s="12">
        <f t="shared" si="184"/>
        <v>0</v>
      </c>
      <c r="HY75" s="12">
        <f t="shared" si="185"/>
        <v>0</v>
      </c>
      <c r="HZ75" s="12">
        <f t="shared" si="186"/>
        <v>0</v>
      </c>
      <c r="IA75" s="12">
        <f t="shared" si="187"/>
        <v>0</v>
      </c>
      <c r="IB75" s="12">
        <f t="shared" si="188"/>
        <v>0</v>
      </c>
      <c r="IC75" s="12">
        <f t="shared" si="189"/>
        <v>0</v>
      </c>
      <c r="ID75" s="12">
        <f t="shared" si="190"/>
        <v>0</v>
      </c>
      <c r="IE75" s="12">
        <f t="shared" si="191"/>
        <v>0</v>
      </c>
      <c r="IF75" s="12">
        <f t="shared" si="192"/>
        <v>0</v>
      </c>
      <c r="IG75" s="12">
        <f t="shared" si="193"/>
        <v>0</v>
      </c>
      <c r="IH75" s="12">
        <f t="shared" si="194"/>
        <v>0</v>
      </c>
      <c r="II75" s="12">
        <f t="shared" si="195"/>
        <v>0</v>
      </c>
      <c r="IJ75" s="12">
        <f t="shared" si="196"/>
        <v>0</v>
      </c>
      <c r="IK75" s="12">
        <f t="shared" si="197"/>
        <v>0</v>
      </c>
      <c r="IL75" s="12">
        <f t="shared" si="198"/>
        <v>0</v>
      </c>
      <c r="IM75" s="12">
        <f t="shared" si="199"/>
        <v>0</v>
      </c>
      <c r="IN75" s="12">
        <f t="shared" si="200"/>
        <v>0</v>
      </c>
      <c r="IO75" s="12">
        <f t="shared" si="201"/>
        <v>0</v>
      </c>
      <c r="IP75" s="12">
        <f t="shared" si="202"/>
        <v>0</v>
      </c>
      <c r="IQ75" s="12">
        <f t="shared" si="203"/>
        <v>0</v>
      </c>
      <c r="IR75" s="12">
        <f t="shared" si="204"/>
        <v>0</v>
      </c>
      <c r="IS75" s="12">
        <f t="shared" si="205"/>
        <v>0</v>
      </c>
      <c r="IT75" s="12">
        <f t="shared" si="206"/>
        <v>0</v>
      </c>
      <c r="IU75" s="12">
        <f t="shared" si="207"/>
        <v>0</v>
      </c>
      <c r="IV75" s="12">
        <f t="shared" si="208"/>
        <v>0</v>
      </c>
      <c r="IW75" s="12">
        <f t="shared" si="209"/>
        <v>0</v>
      </c>
      <c r="IX75" s="12">
        <f t="shared" si="210"/>
        <v>0</v>
      </c>
      <c r="IY75" s="12">
        <f t="shared" si="211"/>
        <v>0</v>
      </c>
      <c r="IZ75" s="12">
        <f t="shared" si="212"/>
        <v>1</v>
      </c>
      <c r="JA75" s="13">
        <f t="shared" si="213"/>
        <v>0</v>
      </c>
      <c r="JB75" s="13">
        <f t="shared" si="214"/>
        <v>0</v>
      </c>
      <c r="JC75" s="13">
        <f t="shared" si="215"/>
        <v>0</v>
      </c>
      <c r="JD75" s="13">
        <f t="shared" si="216"/>
        <v>0</v>
      </c>
      <c r="JE75" s="13">
        <f t="shared" si="217"/>
        <v>0</v>
      </c>
      <c r="JF75" s="13">
        <f t="shared" si="218"/>
        <v>0</v>
      </c>
      <c r="JG75" s="13">
        <f t="shared" si="219"/>
        <v>0</v>
      </c>
      <c r="JH75" s="13">
        <f t="shared" si="220"/>
        <v>0</v>
      </c>
      <c r="JI75" s="13">
        <f t="shared" si="221"/>
        <v>0</v>
      </c>
      <c r="JJ75" s="13">
        <f t="shared" si="222"/>
        <v>0</v>
      </c>
      <c r="JK75" s="13">
        <f t="shared" si="223"/>
        <v>0</v>
      </c>
      <c r="JL75" s="13">
        <f t="shared" si="224"/>
        <v>0</v>
      </c>
      <c r="JM75" s="13">
        <f t="shared" si="225"/>
        <v>0</v>
      </c>
      <c r="JN75" s="13">
        <f t="shared" si="226"/>
        <v>0</v>
      </c>
      <c r="JO75" s="13">
        <f t="shared" si="227"/>
        <v>0</v>
      </c>
      <c r="JP75" s="13">
        <f t="shared" si="228"/>
        <v>0</v>
      </c>
      <c r="JQ75" s="13">
        <f t="shared" si="229"/>
        <v>0</v>
      </c>
      <c r="JR75" s="13">
        <f t="shared" si="230"/>
        <v>0</v>
      </c>
      <c r="JS75" s="13">
        <f t="shared" si="231"/>
        <v>0</v>
      </c>
      <c r="JT75" s="13">
        <f t="shared" si="232"/>
        <v>0</v>
      </c>
      <c r="JU75" s="13">
        <f t="shared" si="233"/>
        <v>0</v>
      </c>
      <c r="JV75" s="12">
        <f t="shared" si="234"/>
        <v>0</v>
      </c>
      <c r="JW75" s="12">
        <f t="shared" si="235"/>
        <v>0</v>
      </c>
      <c r="JX75" s="12">
        <f t="shared" si="236"/>
        <v>0</v>
      </c>
      <c r="JY75" s="12">
        <f t="shared" si="237"/>
        <v>0</v>
      </c>
      <c r="JZ75" s="12">
        <f t="shared" si="238"/>
        <v>0</v>
      </c>
      <c r="KA75" s="12">
        <f t="shared" si="239"/>
        <v>0</v>
      </c>
      <c r="KB75" s="12">
        <f t="shared" si="240"/>
        <v>0</v>
      </c>
      <c r="KC75" s="12">
        <f t="shared" si="241"/>
        <v>0</v>
      </c>
      <c r="KD75" s="12">
        <f t="shared" si="242"/>
        <v>0</v>
      </c>
      <c r="KE75" s="12">
        <f t="shared" si="243"/>
        <v>0</v>
      </c>
      <c r="KF75" s="12">
        <f t="shared" si="244"/>
        <v>0</v>
      </c>
      <c r="KG75" s="12">
        <f t="shared" si="245"/>
        <v>0</v>
      </c>
      <c r="KH75" s="12">
        <f t="shared" si="246"/>
        <v>0</v>
      </c>
      <c r="KI75" s="12">
        <f t="shared" si="247"/>
        <v>0</v>
      </c>
      <c r="KJ75" s="12">
        <f t="shared" si="248"/>
        <v>0</v>
      </c>
      <c r="KK75" s="12">
        <f t="shared" si="249"/>
        <v>0</v>
      </c>
      <c r="KL75" s="12">
        <f t="shared" si="250"/>
        <v>0</v>
      </c>
      <c r="KM75" s="12">
        <f t="shared" si="251"/>
        <v>0</v>
      </c>
      <c r="KN75" s="12">
        <f t="shared" si="252"/>
        <v>0</v>
      </c>
      <c r="KO75" s="12">
        <f t="shared" si="253"/>
        <v>0</v>
      </c>
      <c r="KP75" s="12">
        <f t="shared" si="254"/>
        <v>0</v>
      </c>
      <c r="KQ75" s="12">
        <f t="shared" si="255"/>
        <v>0</v>
      </c>
      <c r="KR75" s="12">
        <f t="shared" si="256"/>
        <v>0</v>
      </c>
      <c r="KS75" s="12">
        <f t="shared" si="257"/>
        <v>0</v>
      </c>
      <c r="KT75" s="12">
        <f t="shared" si="258"/>
        <v>0</v>
      </c>
      <c r="KU75" s="12">
        <f t="shared" si="259"/>
        <v>0</v>
      </c>
      <c r="KV75" s="12">
        <f t="shared" si="260"/>
        <v>0</v>
      </c>
      <c r="KW75" s="12">
        <f t="shared" si="261"/>
        <v>0</v>
      </c>
      <c r="KX75" s="12">
        <f t="shared" si="262"/>
        <v>0</v>
      </c>
      <c r="KY75" s="12">
        <f t="shared" si="263"/>
        <v>0</v>
      </c>
      <c r="KZ75" s="12">
        <f t="shared" si="264"/>
        <v>0</v>
      </c>
      <c r="LA75" s="12">
        <f t="shared" si="265"/>
        <v>0</v>
      </c>
      <c r="LB75" s="12">
        <f t="shared" si="266"/>
        <v>0</v>
      </c>
      <c r="LC75" s="12">
        <f t="shared" si="267"/>
        <v>0</v>
      </c>
      <c r="LD75" s="12">
        <f t="shared" si="268"/>
        <v>0</v>
      </c>
      <c r="LE75" s="12">
        <f t="shared" si="269"/>
        <v>0</v>
      </c>
      <c r="LF75" s="12">
        <f t="shared" si="270"/>
        <v>0</v>
      </c>
      <c r="LG75" s="12">
        <f t="shared" si="271"/>
        <v>0</v>
      </c>
      <c r="LH75" s="12">
        <f t="shared" si="272"/>
        <v>0</v>
      </c>
      <c r="LI75" s="12">
        <f t="shared" si="273"/>
        <v>0</v>
      </c>
      <c r="LJ75" s="12">
        <f t="shared" si="274"/>
        <v>0</v>
      </c>
      <c r="LK75" s="12">
        <f t="shared" si="275"/>
        <v>0</v>
      </c>
      <c r="LL75" s="12">
        <f t="shared" si="276"/>
        <v>0</v>
      </c>
      <c r="LM75" s="12">
        <f t="shared" si="277"/>
        <v>0</v>
      </c>
      <c r="LN75" s="12">
        <f t="shared" si="278"/>
        <v>0</v>
      </c>
      <c r="LO75" s="12">
        <f t="shared" si="279"/>
        <v>0</v>
      </c>
      <c r="LP75" s="12">
        <f t="shared" si="280"/>
        <v>0</v>
      </c>
      <c r="LQ75" s="12">
        <f t="shared" si="281"/>
        <v>0</v>
      </c>
      <c r="LR75" s="12">
        <f t="shared" si="282"/>
        <v>0</v>
      </c>
      <c r="LS75" s="12">
        <f t="shared" si="283"/>
        <v>0</v>
      </c>
      <c r="LT75" s="13">
        <f t="shared" si="284"/>
        <v>0</v>
      </c>
      <c r="LU75" s="13">
        <f t="shared" si="285"/>
        <v>0</v>
      </c>
      <c r="LV75" s="13">
        <f t="shared" si="286"/>
        <v>0</v>
      </c>
      <c r="LW75" s="13">
        <f t="shared" si="287"/>
        <v>0</v>
      </c>
      <c r="LX75" s="13">
        <f t="shared" si="288"/>
        <v>0</v>
      </c>
      <c r="LY75" s="13">
        <f t="shared" si="289"/>
        <v>0</v>
      </c>
      <c r="LZ75" s="13">
        <f t="shared" si="290"/>
        <v>0</v>
      </c>
      <c r="MA75" s="13">
        <f t="shared" si="291"/>
        <v>0</v>
      </c>
      <c r="MB75" s="13">
        <f t="shared" si="292"/>
        <v>0</v>
      </c>
      <c r="MC75" s="13">
        <f t="shared" si="293"/>
        <v>0</v>
      </c>
      <c r="MD75" s="13">
        <f t="shared" si="294"/>
        <v>0</v>
      </c>
      <c r="ME75" s="13">
        <f t="shared" si="295"/>
        <v>0</v>
      </c>
      <c r="MF75" s="13">
        <f t="shared" si="296"/>
        <v>0</v>
      </c>
      <c r="MG75" s="13">
        <f t="shared" si="297"/>
        <v>0</v>
      </c>
      <c r="MH75" s="13">
        <f t="shared" si="298"/>
        <v>0</v>
      </c>
      <c r="MI75" s="13">
        <f t="shared" si="299"/>
        <v>0</v>
      </c>
      <c r="MJ75" s="13">
        <f t="shared" si="300"/>
        <v>0</v>
      </c>
      <c r="MK75" s="13">
        <f t="shared" si="301"/>
        <v>0</v>
      </c>
      <c r="ML75" s="14">
        <f t="shared" si="302"/>
        <v>0</v>
      </c>
      <c r="MM75" s="14">
        <f t="shared" si="303"/>
        <v>0</v>
      </c>
      <c r="MN75" s="14">
        <f t="shared" si="304"/>
        <v>0</v>
      </c>
      <c r="MO75" s="14">
        <f t="shared" si="305"/>
        <v>0</v>
      </c>
      <c r="MP75" s="14">
        <f t="shared" si="306"/>
        <v>1</v>
      </c>
      <c r="MQ75" s="14">
        <f t="shared" si="307"/>
        <v>0</v>
      </c>
      <c r="MR75" s="14">
        <f t="shared" si="308"/>
        <v>0</v>
      </c>
      <c r="MS75" s="14">
        <f t="shared" si="309"/>
        <v>0</v>
      </c>
      <c r="MT75" s="14">
        <f t="shared" si="310"/>
        <v>0</v>
      </c>
      <c r="MU75" s="14">
        <f t="shared" si="311"/>
        <v>0</v>
      </c>
      <c r="MV75" s="14">
        <f t="shared" si="312"/>
        <v>0</v>
      </c>
      <c r="MW75" s="14">
        <f t="shared" si="313"/>
        <v>0</v>
      </c>
      <c r="MX75" s="14">
        <f t="shared" si="314"/>
        <v>0</v>
      </c>
      <c r="MY75" s="14">
        <f t="shared" si="315"/>
        <v>0</v>
      </c>
      <c r="MZ75" s="14">
        <f t="shared" si="316"/>
        <v>0</v>
      </c>
      <c r="NA75" s="14">
        <f t="shared" si="317"/>
        <v>0</v>
      </c>
      <c r="NB75" s="14">
        <f t="shared" si="318"/>
        <v>0</v>
      </c>
    </row>
    <row r="76" ht="15.75" customHeight="1">
      <c r="A76" s="2">
        <v>113.0</v>
      </c>
      <c r="B76" s="2" t="s">
        <v>1679</v>
      </c>
      <c r="C76" s="2" t="s">
        <v>1680</v>
      </c>
      <c r="D76" s="2" t="s">
        <v>1681</v>
      </c>
      <c r="E76" s="2">
        <v>2021.0</v>
      </c>
      <c r="F76" s="2" t="s">
        <v>1682</v>
      </c>
      <c r="G76" s="2" t="s">
        <v>1160</v>
      </c>
      <c r="I76" s="2" t="s">
        <v>1683</v>
      </c>
      <c r="M76" s="2">
        <v>17.0</v>
      </c>
      <c r="N76" s="2" t="s">
        <v>1684</v>
      </c>
      <c r="O76" s="2" t="s">
        <v>1685</v>
      </c>
      <c r="P76" s="2" t="s">
        <v>1686</v>
      </c>
      <c r="Q76" s="2" t="s">
        <v>1687</v>
      </c>
      <c r="R76" s="2" t="s">
        <v>1688</v>
      </c>
      <c r="S76" s="2" t="s">
        <v>1689</v>
      </c>
      <c r="T76" s="2" t="s">
        <v>1690</v>
      </c>
      <c r="Y76" s="2" t="s">
        <v>1691</v>
      </c>
      <c r="AB76" s="2" t="s">
        <v>646</v>
      </c>
      <c r="AG76" s="2" t="s">
        <v>1692</v>
      </c>
      <c r="AK76" s="2" t="s">
        <v>1682</v>
      </c>
      <c r="AL76" s="2" t="s">
        <v>384</v>
      </c>
      <c r="AM76" s="2" t="s">
        <v>484</v>
      </c>
      <c r="AN76" s="2" t="s">
        <v>386</v>
      </c>
      <c r="AO76" s="2" t="s">
        <v>1693</v>
      </c>
      <c r="AP76" s="2" t="s">
        <v>386</v>
      </c>
      <c r="AQ76" s="2">
        <v>383.0</v>
      </c>
      <c r="AR76" s="2" t="s">
        <v>1681</v>
      </c>
      <c r="AS76" s="2" t="b">
        <v>1</v>
      </c>
      <c r="AT76" s="3">
        <v>0.0</v>
      </c>
      <c r="AU76" s="4"/>
      <c r="AV76" s="4"/>
      <c r="AW76" s="5">
        <f t="shared" si="432"/>
        <v>0</v>
      </c>
      <c r="AX76" s="5">
        <f t="shared" si="4"/>
        <v>0</v>
      </c>
      <c r="AY76" s="5">
        <f t="shared" si="5"/>
        <v>0</v>
      </c>
      <c r="AZ76" s="5">
        <f t="shared" si="6"/>
        <v>0</v>
      </c>
      <c r="BA76" s="5">
        <f t="shared" si="7"/>
        <v>0</v>
      </c>
      <c r="BB76" s="5">
        <f t="shared" si="8"/>
        <v>0</v>
      </c>
      <c r="BC76" s="5">
        <f t="shared" si="9"/>
        <v>0</v>
      </c>
      <c r="BD76" s="5">
        <f t="shared" si="10"/>
        <v>0</v>
      </c>
      <c r="BE76" s="5">
        <f t="shared" si="11"/>
        <v>0</v>
      </c>
      <c r="BF76" s="5">
        <f t="shared" si="12"/>
        <v>0</v>
      </c>
      <c r="BG76" s="5">
        <f t="shared" si="13"/>
        <v>0</v>
      </c>
      <c r="BH76" s="5">
        <f t="shared" si="14"/>
        <v>0</v>
      </c>
      <c r="BI76" s="5">
        <f t="shared" si="15"/>
        <v>0</v>
      </c>
      <c r="BJ76" s="5">
        <f t="shared" si="16"/>
        <v>0</v>
      </c>
      <c r="BK76" s="5">
        <f t="shared" si="17"/>
        <v>0</v>
      </c>
      <c r="BL76" s="5">
        <f t="shared" si="18"/>
        <v>0</v>
      </c>
      <c r="BM76" s="5">
        <f t="shared" si="19"/>
        <v>0</v>
      </c>
      <c r="BN76" s="5">
        <f t="shared" si="20"/>
        <v>0</v>
      </c>
      <c r="BO76" s="5">
        <f t="shared" si="21"/>
        <v>0</v>
      </c>
      <c r="BP76" s="5">
        <f t="shared" si="22"/>
        <v>0</v>
      </c>
      <c r="BQ76" s="5">
        <f t="shared" si="23"/>
        <v>0</v>
      </c>
      <c r="BR76" s="5">
        <f t="shared" si="24"/>
        <v>0</v>
      </c>
      <c r="BS76" s="5">
        <f t="shared" si="25"/>
        <v>1</v>
      </c>
      <c r="BT76" s="5">
        <f t="shared" si="26"/>
        <v>0</v>
      </c>
      <c r="BU76" s="5">
        <f t="shared" si="27"/>
        <v>0</v>
      </c>
      <c r="BV76" s="5">
        <f t="shared" ref="BV76:BW76" si="483">IF(OR(ISNUMBER(SEARCH("grit",$D76)),ISNUMBER(SEARCH("grit",$T76)),ISNUMBER(SEARCH("grit",$R76)),ISNUMBER(SEARCH("grit",$S76)),
ISNUMBER(SEARCH("determination",$D76)),ISNUMBER(SEARCH("determination",$T76)),ISNUMBER(SEARCH("determination",$R76)),ISNUMBER(SEARCH("determination",$S76)),
ISNUMBER(SEARCH("tenacity",$D76)),ISNUMBER(SEARCH("tenacity",$T76)),ISNUMBER(SEARCH("tenacity",$R76)),ISNUMBER(SEARCH("tenacity",$S76)),
ISNUMBER(SEARCH("endurance",$D76)),ISNUMBER(SEARCH("endurance",$T76)),ISNUMBER(SEARCH("endurance",$R76)),ISNUMBER(SEARCH("endurance",$S76)),
ISNUMBER(SEARCH("fortitude",$D76)),ISNUMBER(SEARCH("fortitude",$T76)),ISNUMBER(SEARCH("fortitude",$R76)),ISNUMBER(SEARCH("fortitude",$S76)),
ISNUMBER(SEARCH("resolve",$D76)),ISNUMBER(SEARCH("resolve",$T76)),ISNUMBER(SEARCH("resolve",$R76)),ISNUMBER(SEARCH("resolve",$S76)),
ISNUMBER(SEARCH("stamina",$D76)),ISNUMBER(SEARCH("stamina",$T76)),ISNUMBER(SEARCH("stamina",$R76)),ISNUMBER(SEARCH("stamina",$S76)),
ISNUMBER(SEARCH("guts",$D76)),ISNUMBER(SEARCH("guts",$T76)),ISNUMBER(SEARCH("guts",$R76)),ISNUMBER(SEARCH("guts",$S76)),
ISNUMBER(SEARCH("spunk",$D76)),ISNUMBER(SEARCH("spunk",$T76)),ISNUMBER(SEARCH("spunk",$R76)),ISNUMBER(SEARCH("spunk",$S76))), 1, 0)</f>
        <v>0</v>
      </c>
      <c r="BW76" s="5">
        <f t="shared" si="483"/>
        <v>0</v>
      </c>
      <c r="BX76" s="5">
        <f t="shared" si="29"/>
        <v>0</v>
      </c>
      <c r="BY76" s="5">
        <f t="shared" si="30"/>
        <v>0</v>
      </c>
      <c r="BZ76" s="5">
        <f t="shared" si="31"/>
        <v>0</v>
      </c>
      <c r="CA76" s="5">
        <f t="shared" si="32"/>
        <v>0</v>
      </c>
      <c r="CB76" s="5">
        <f t="shared" si="33"/>
        <v>0</v>
      </c>
      <c r="CC76" s="5">
        <f t="shared" si="34"/>
        <v>0</v>
      </c>
      <c r="CD76" s="5">
        <f t="shared" si="35"/>
        <v>0</v>
      </c>
      <c r="CE76" s="5">
        <f t="shared" si="36"/>
        <v>0</v>
      </c>
      <c r="CF76" s="5">
        <f t="shared" si="37"/>
        <v>0</v>
      </c>
      <c r="CG76" s="5">
        <f t="shared" si="38"/>
        <v>0</v>
      </c>
      <c r="CH76" s="5">
        <f t="shared" si="39"/>
        <v>0</v>
      </c>
      <c r="CI76" s="5">
        <f t="shared" si="40"/>
        <v>0</v>
      </c>
      <c r="CJ76" s="5">
        <f t="shared" si="41"/>
        <v>0</v>
      </c>
      <c r="CK76" s="5">
        <f t="shared" si="42"/>
        <v>0</v>
      </c>
      <c r="CL76" s="5">
        <f t="shared" si="43"/>
        <v>0</v>
      </c>
      <c r="CM76" s="5">
        <f t="shared" si="44"/>
        <v>0</v>
      </c>
      <c r="CN76" s="5">
        <f t="shared" si="45"/>
        <v>0</v>
      </c>
      <c r="CO76" s="5">
        <f t="shared" si="46"/>
        <v>0</v>
      </c>
      <c r="CP76" s="6">
        <f t="shared" si="47"/>
        <v>0</v>
      </c>
      <c r="CQ76" s="6">
        <f t="shared" si="48"/>
        <v>0</v>
      </c>
      <c r="CR76" s="6">
        <f t="shared" si="49"/>
        <v>0</v>
      </c>
      <c r="CS76" s="6">
        <f t="shared" si="50"/>
        <v>0</v>
      </c>
      <c r="CT76" s="6">
        <f t="shared" si="51"/>
        <v>0</v>
      </c>
      <c r="CU76" s="6">
        <f t="shared" si="52"/>
        <v>0</v>
      </c>
      <c r="CV76" s="6">
        <f t="shared" si="53"/>
        <v>0</v>
      </c>
      <c r="CW76" s="6">
        <f t="shared" si="54"/>
        <v>0</v>
      </c>
      <c r="CX76" s="6">
        <f t="shared" si="55"/>
        <v>0</v>
      </c>
      <c r="CY76" s="6">
        <f t="shared" si="56"/>
        <v>0</v>
      </c>
      <c r="CZ76" s="6">
        <f t="shared" si="57"/>
        <v>0</v>
      </c>
      <c r="DA76" s="6">
        <f t="shared" si="58"/>
        <v>0</v>
      </c>
      <c r="DB76" s="6">
        <f t="shared" si="59"/>
        <v>0</v>
      </c>
      <c r="DC76" s="6">
        <f t="shared" si="60"/>
        <v>0</v>
      </c>
      <c r="DD76" s="6">
        <f t="shared" si="61"/>
        <v>0</v>
      </c>
      <c r="DE76" s="6">
        <f t="shared" si="62"/>
        <v>0</v>
      </c>
      <c r="DF76" s="6">
        <f t="shared" si="63"/>
        <v>0</v>
      </c>
      <c r="DG76" s="6">
        <f t="shared" si="64"/>
        <v>0</v>
      </c>
      <c r="DH76" s="6">
        <f t="shared" ref="DH76:DH83" si="486">IF(
OR(
ISNUMBER(SEARCH("Spirituality",$D76)),ISNUMBER(SEARCH("Spirituality",$T76)),ISNUMBER(SEARCH("Spirituality",$R74)),ISNUMBER(SEARCH("Spirituality",$S76)),
ISNUMBER(SEARCH("religio",$D76)),ISNUMBER(SEARCH("religio",$T76)),ISNUMBER(SEARCH("religio",$R76)),ISNUMBER(SEARCH("religio",$S76))), 1, 0)</f>
        <v>0</v>
      </c>
      <c r="DI76" s="6">
        <f t="shared" si="66"/>
        <v>0</v>
      </c>
      <c r="DJ76" s="6">
        <f t="shared" ref="DJ76:DJ83" si="487">IF(OR(ISNUMBER(SEARCH("Emotional stability", $D76)), ISNUMBER(SEARCH("Emotional stability", $T76)), ISNUMBER(SEARCH("Emotional stability", $R76)), ISNUMBER(SEARCH("Emotional stability", $S76))), 1, 0)</f>
        <v>0</v>
      </c>
      <c r="DK76" s="7">
        <f t="shared" si="68"/>
        <v>0</v>
      </c>
      <c r="DL76" s="7">
        <f t="shared" si="411"/>
        <v>0</v>
      </c>
      <c r="DM76" s="7">
        <f t="shared" si="70"/>
        <v>0</v>
      </c>
      <c r="DN76" s="7">
        <f t="shared" si="71"/>
        <v>0</v>
      </c>
      <c r="DO76" s="7">
        <f t="shared" si="72"/>
        <v>0</v>
      </c>
      <c r="DP76" s="8">
        <f t="shared" si="73"/>
        <v>0</v>
      </c>
      <c r="DQ76" s="8">
        <f t="shared" si="74"/>
        <v>1</v>
      </c>
      <c r="DR76" s="7">
        <f t="shared" si="75"/>
        <v>0</v>
      </c>
      <c r="DS76" s="7">
        <f t="shared" si="76"/>
        <v>0</v>
      </c>
      <c r="DT76" s="7">
        <f t="shared" si="77"/>
        <v>0</v>
      </c>
      <c r="DU76" s="9">
        <f t="shared" si="78"/>
        <v>0</v>
      </c>
      <c r="DV76" s="9">
        <f t="shared" si="79"/>
        <v>0</v>
      </c>
      <c r="DW76" s="9">
        <f t="shared" si="80"/>
        <v>0</v>
      </c>
      <c r="DX76" s="9">
        <f t="shared" si="81"/>
        <v>0</v>
      </c>
      <c r="DY76" s="9">
        <f t="shared" si="82"/>
        <v>0</v>
      </c>
      <c r="DZ76" s="9">
        <f t="shared" si="83"/>
        <v>0</v>
      </c>
      <c r="EA76" s="9">
        <f t="shared" si="84"/>
        <v>0</v>
      </c>
      <c r="EB76" s="9">
        <f t="shared" si="85"/>
        <v>0</v>
      </c>
      <c r="EC76" s="9">
        <f t="shared" si="86"/>
        <v>0</v>
      </c>
      <c r="ED76" s="9">
        <f t="shared" si="87"/>
        <v>0</v>
      </c>
      <c r="EE76" s="9">
        <f t="shared" si="88"/>
        <v>0</v>
      </c>
      <c r="EF76" s="9">
        <f t="shared" si="89"/>
        <v>0</v>
      </c>
      <c r="EG76" s="9">
        <f t="shared" si="90"/>
        <v>0</v>
      </c>
      <c r="EH76" s="9">
        <f t="shared" si="91"/>
        <v>0</v>
      </c>
      <c r="EI76" s="9">
        <f t="shared" si="92"/>
        <v>1</v>
      </c>
      <c r="EJ76" s="10">
        <f t="shared" si="93"/>
        <v>0</v>
      </c>
      <c r="EK76" s="10">
        <f t="shared" si="94"/>
        <v>0</v>
      </c>
      <c r="EL76" s="10">
        <f t="shared" ref="EL76:EM76" si="484">IF(OR(ISNUMBER(SEARCH("ai software toolkit", $D76)), ISNUMBER(SEARCH("ai software toolkit", $T76)), ISNUMBER(SEARCH("ai software toolkit", $R76)), ISNUMBER(SEARCH("ai software toolkit", $S76))), 1, 0)</f>
        <v>0</v>
      </c>
      <c r="EM76" s="10">
        <f t="shared" si="484"/>
        <v>0</v>
      </c>
      <c r="EN76" s="10">
        <f t="shared" si="96"/>
        <v>0</v>
      </c>
      <c r="EO76" s="10">
        <f t="shared" si="97"/>
        <v>0</v>
      </c>
      <c r="EP76" s="10">
        <f t="shared" si="98"/>
        <v>0</v>
      </c>
      <c r="EQ76" s="10">
        <f t="shared" si="99"/>
        <v>0</v>
      </c>
      <c r="ER76" s="10">
        <f t="shared" si="100"/>
        <v>0</v>
      </c>
      <c r="ES76" s="10">
        <f t="shared" si="101"/>
        <v>0</v>
      </c>
      <c r="ET76" s="10">
        <f t="shared" si="102"/>
        <v>0</v>
      </c>
      <c r="EU76" s="10">
        <f t="shared" si="103"/>
        <v>0</v>
      </c>
      <c r="EV76" s="10">
        <f t="shared" si="104"/>
        <v>0</v>
      </c>
      <c r="EW76" s="10">
        <f t="shared" si="105"/>
        <v>0</v>
      </c>
      <c r="EX76" s="10">
        <f t="shared" si="106"/>
        <v>0</v>
      </c>
      <c r="EY76" s="10">
        <f t="shared" si="107"/>
        <v>0</v>
      </c>
      <c r="EZ76" s="10">
        <f t="shared" si="108"/>
        <v>0</v>
      </c>
      <c r="FA76" s="10">
        <f t="shared" si="109"/>
        <v>0</v>
      </c>
      <c r="FB76" s="10">
        <f t="shared" si="110"/>
        <v>0</v>
      </c>
      <c r="FC76" s="10">
        <f t="shared" si="111"/>
        <v>0</v>
      </c>
      <c r="FD76" s="10">
        <f t="shared" si="112"/>
        <v>0</v>
      </c>
      <c r="FE76" s="10">
        <f t="shared" si="113"/>
        <v>0</v>
      </c>
      <c r="FF76" s="10">
        <f t="shared" si="114"/>
        <v>0</v>
      </c>
      <c r="FG76" s="10">
        <f t="shared" si="115"/>
        <v>0</v>
      </c>
      <c r="FH76" s="10">
        <f t="shared" si="116"/>
        <v>0</v>
      </c>
      <c r="FI76" s="10">
        <f t="shared" si="117"/>
        <v>0</v>
      </c>
      <c r="FJ76" s="10">
        <f t="shared" si="118"/>
        <v>0</v>
      </c>
      <c r="FK76" s="10">
        <f t="shared" si="119"/>
        <v>0</v>
      </c>
      <c r="FL76" s="10">
        <f t="shared" si="120"/>
        <v>0</v>
      </c>
      <c r="FM76" s="10">
        <f t="shared" si="121"/>
        <v>0</v>
      </c>
      <c r="FN76" s="10">
        <f t="shared" si="122"/>
        <v>0</v>
      </c>
      <c r="FO76" s="10">
        <f t="shared" si="123"/>
        <v>0</v>
      </c>
      <c r="FP76" s="10">
        <f t="shared" si="124"/>
        <v>0</v>
      </c>
      <c r="FQ76" s="10">
        <f t="shared" si="125"/>
        <v>0</v>
      </c>
      <c r="FR76" s="11">
        <f t="shared" si="470"/>
        <v>0</v>
      </c>
      <c r="FS76" s="11">
        <f t="shared" si="127"/>
        <v>0</v>
      </c>
      <c r="FT76" s="11">
        <f t="shared" si="128"/>
        <v>0</v>
      </c>
      <c r="FU76" s="11">
        <f t="shared" si="129"/>
        <v>0</v>
      </c>
      <c r="FV76" s="11">
        <f t="shared" si="130"/>
        <v>0</v>
      </c>
      <c r="FW76" s="11">
        <f t="shared" si="131"/>
        <v>0</v>
      </c>
      <c r="FX76" s="11">
        <f t="shared" si="132"/>
        <v>0</v>
      </c>
      <c r="FY76" s="11">
        <f t="shared" si="133"/>
        <v>0</v>
      </c>
      <c r="FZ76" s="11">
        <f t="shared" si="134"/>
        <v>0</v>
      </c>
      <c r="GA76" s="11">
        <f t="shared" si="135"/>
        <v>0</v>
      </c>
      <c r="GB76" s="11">
        <f t="shared" si="136"/>
        <v>0</v>
      </c>
      <c r="GC76" s="11">
        <f t="shared" si="137"/>
        <v>0</v>
      </c>
      <c r="GD76" s="11">
        <f t="shared" si="138"/>
        <v>0</v>
      </c>
      <c r="GE76" s="11">
        <f t="shared" si="139"/>
        <v>0</v>
      </c>
      <c r="GF76" s="11">
        <f t="shared" si="140"/>
        <v>0</v>
      </c>
      <c r="GG76" s="11">
        <f t="shared" si="141"/>
        <v>0</v>
      </c>
      <c r="GH76" s="11">
        <f t="shared" si="142"/>
        <v>0</v>
      </c>
      <c r="GI76" s="11">
        <f t="shared" si="143"/>
        <v>0</v>
      </c>
      <c r="GJ76" s="11">
        <f t="shared" si="144"/>
        <v>0</v>
      </c>
      <c r="GK76" s="11">
        <f t="shared" si="145"/>
        <v>0</v>
      </c>
      <c r="GL76" s="11">
        <f t="shared" si="146"/>
        <v>0</v>
      </c>
      <c r="GM76" s="11">
        <f t="shared" si="147"/>
        <v>0</v>
      </c>
      <c r="GN76" s="11">
        <f t="shared" si="148"/>
        <v>0</v>
      </c>
      <c r="GO76" s="11">
        <f t="shared" si="149"/>
        <v>0</v>
      </c>
      <c r="GP76" s="11">
        <f t="shared" si="150"/>
        <v>0</v>
      </c>
      <c r="GQ76" s="11">
        <f t="shared" si="151"/>
        <v>0</v>
      </c>
      <c r="GR76" s="11">
        <f t="shared" si="152"/>
        <v>0</v>
      </c>
      <c r="GS76" s="11">
        <f t="shared" si="153"/>
        <v>0</v>
      </c>
      <c r="GT76" s="11">
        <f t="shared" si="154"/>
        <v>0</v>
      </c>
      <c r="GU76" s="12">
        <f t="shared" si="155"/>
        <v>0</v>
      </c>
      <c r="GV76" s="12">
        <f t="shared" si="156"/>
        <v>0</v>
      </c>
      <c r="GW76" s="12">
        <f t="shared" si="157"/>
        <v>0</v>
      </c>
      <c r="GX76" s="12">
        <f t="shared" si="158"/>
        <v>0</v>
      </c>
      <c r="GY76" s="12">
        <f t="shared" si="159"/>
        <v>0</v>
      </c>
      <c r="GZ76" s="12">
        <f t="shared" si="160"/>
        <v>0</v>
      </c>
      <c r="HA76" s="12">
        <f t="shared" si="161"/>
        <v>0</v>
      </c>
      <c r="HB76" s="12">
        <f t="shared" si="162"/>
        <v>0</v>
      </c>
      <c r="HC76" s="12">
        <f t="shared" si="163"/>
        <v>0</v>
      </c>
      <c r="HD76" s="12">
        <f t="shared" si="164"/>
        <v>0</v>
      </c>
      <c r="HE76" s="12">
        <f t="shared" si="165"/>
        <v>0</v>
      </c>
      <c r="HF76" s="12">
        <f t="shared" si="166"/>
        <v>0</v>
      </c>
      <c r="HG76" s="12">
        <f t="shared" si="167"/>
        <v>0</v>
      </c>
      <c r="HH76" s="12">
        <f t="shared" si="168"/>
        <v>0</v>
      </c>
      <c r="HI76" s="12">
        <f t="shared" si="169"/>
        <v>0</v>
      </c>
      <c r="HJ76" s="12">
        <f t="shared" si="170"/>
        <v>0</v>
      </c>
      <c r="HK76" s="12">
        <f t="shared" si="171"/>
        <v>0</v>
      </c>
      <c r="HL76" s="12">
        <f t="shared" si="172"/>
        <v>0</v>
      </c>
      <c r="HM76" s="12">
        <f t="shared" si="173"/>
        <v>0</v>
      </c>
      <c r="HN76" s="12">
        <f t="shared" si="174"/>
        <v>0</v>
      </c>
      <c r="HO76" s="12">
        <f t="shared" si="175"/>
        <v>0</v>
      </c>
      <c r="HP76" s="12">
        <f t="shared" si="176"/>
        <v>0</v>
      </c>
      <c r="HQ76" s="12">
        <f t="shared" si="177"/>
        <v>0</v>
      </c>
      <c r="HR76" s="12">
        <f t="shared" si="178"/>
        <v>0</v>
      </c>
      <c r="HS76" s="12">
        <f t="shared" si="179"/>
        <v>0</v>
      </c>
      <c r="HT76" s="12">
        <f t="shared" si="180"/>
        <v>0</v>
      </c>
      <c r="HU76" s="12">
        <f t="shared" si="181"/>
        <v>0</v>
      </c>
      <c r="HV76" s="12">
        <f t="shared" si="182"/>
        <v>1</v>
      </c>
      <c r="HW76" s="12">
        <f t="shared" si="183"/>
        <v>0</v>
      </c>
      <c r="HX76" s="12">
        <f t="shared" si="184"/>
        <v>0</v>
      </c>
      <c r="HY76" s="12">
        <f t="shared" si="185"/>
        <v>0</v>
      </c>
      <c r="HZ76" s="12">
        <f t="shared" si="186"/>
        <v>0</v>
      </c>
      <c r="IA76" s="12">
        <f t="shared" si="187"/>
        <v>0</v>
      </c>
      <c r="IB76" s="12">
        <f t="shared" si="188"/>
        <v>0</v>
      </c>
      <c r="IC76" s="12">
        <f t="shared" si="189"/>
        <v>0</v>
      </c>
      <c r="ID76" s="12">
        <f t="shared" si="190"/>
        <v>0</v>
      </c>
      <c r="IE76" s="12">
        <f t="shared" si="191"/>
        <v>0</v>
      </c>
      <c r="IF76" s="12">
        <f t="shared" si="192"/>
        <v>0</v>
      </c>
      <c r="IG76" s="12">
        <f t="shared" si="193"/>
        <v>0</v>
      </c>
      <c r="IH76" s="12">
        <f t="shared" si="194"/>
        <v>0</v>
      </c>
      <c r="II76" s="12">
        <f t="shared" si="195"/>
        <v>0</v>
      </c>
      <c r="IJ76" s="12">
        <f t="shared" si="196"/>
        <v>0</v>
      </c>
      <c r="IK76" s="12">
        <f t="shared" si="197"/>
        <v>0</v>
      </c>
      <c r="IL76" s="12">
        <f t="shared" si="198"/>
        <v>0</v>
      </c>
      <c r="IM76" s="12">
        <f t="shared" si="199"/>
        <v>0</v>
      </c>
      <c r="IN76" s="12">
        <f t="shared" si="200"/>
        <v>0</v>
      </c>
      <c r="IO76" s="12">
        <f t="shared" si="201"/>
        <v>0</v>
      </c>
      <c r="IP76" s="12">
        <f t="shared" si="202"/>
        <v>0</v>
      </c>
      <c r="IQ76" s="12">
        <f t="shared" si="203"/>
        <v>0</v>
      </c>
      <c r="IR76" s="12">
        <f t="shared" si="204"/>
        <v>0</v>
      </c>
      <c r="IS76" s="12">
        <f t="shared" si="205"/>
        <v>0</v>
      </c>
      <c r="IT76" s="12">
        <f t="shared" si="206"/>
        <v>0</v>
      </c>
      <c r="IU76" s="12">
        <f t="shared" si="207"/>
        <v>0</v>
      </c>
      <c r="IV76" s="12">
        <f t="shared" si="208"/>
        <v>0</v>
      </c>
      <c r="IW76" s="12">
        <f t="shared" si="209"/>
        <v>0</v>
      </c>
      <c r="IX76" s="12">
        <f t="shared" si="210"/>
        <v>0</v>
      </c>
      <c r="IY76" s="12">
        <f t="shared" si="211"/>
        <v>0</v>
      </c>
      <c r="IZ76" s="12">
        <f t="shared" si="212"/>
        <v>0</v>
      </c>
      <c r="JA76" s="13">
        <f t="shared" si="213"/>
        <v>0</v>
      </c>
      <c r="JB76" s="13">
        <f t="shared" si="214"/>
        <v>0</v>
      </c>
      <c r="JC76" s="13">
        <f t="shared" si="215"/>
        <v>0</v>
      </c>
      <c r="JD76" s="13">
        <f t="shared" si="216"/>
        <v>0</v>
      </c>
      <c r="JE76" s="13">
        <f t="shared" si="217"/>
        <v>0</v>
      </c>
      <c r="JF76" s="13">
        <f t="shared" si="218"/>
        <v>0</v>
      </c>
      <c r="JG76" s="13">
        <f t="shared" si="219"/>
        <v>0</v>
      </c>
      <c r="JH76" s="13">
        <f t="shared" si="220"/>
        <v>0</v>
      </c>
      <c r="JI76" s="13">
        <f t="shared" si="221"/>
        <v>0</v>
      </c>
      <c r="JJ76" s="13">
        <f t="shared" si="222"/>
        <v>0</v>
      </c>
      <c r="JK76" s="13">
        <f t="shared" si="223"/>
        <v>0</v>
      </c>
      <c r="JL76" s="13">
        <f t="shared" si="224"/>
        <v>0</v>
      </c>
      <c r="JM76" s="13">
        <f t="shared" si="225"/>
        <v>0</v>
      </c>
      <c r="JN76" s="13">
        <f t="shared" si="226"/>
        <v>0</v>
      </c>
      <c r="JO76" s="13">
        <f t="shared" si="227"/>
        <v>0</v>
      </c>
      <c r="JP76" s="13">
        <f t="shared" si="228"/>
        <v>0</v>
      </c>
      <c r="JQ76" s="13">
        <f t="shared" si="229"/>
        <v>0</v>
      </c>
      <c r="JR76" s="13">
        <f t="shared" si="230"/>
        <v>0</v>
      </c>
      <c r="JS76" s="13">
        <f t="shared" si="231"/>
        <v>0</v>
      </c>
      <c r="JT76" s="13">
        <f t="shared" si="232"/>
        <v>0</v>
      </c>
      <c r="JU76" s="13">
        <f t="shared" si="233"/>
        <v>0</v>
      </c>
      <c r="JV76" s="12">
        <f t="shared" si="234"/>
        <v>0</v>
      </c>
      <c r="JW76" s="12">
        <f t="shared" si="235"/>
        <v>0</v>
      </c>
      <c r="JX76" s="12">
        <f t="shared" si="236"/>
        <v>0</v>
      </c>
      <c r="JY76" s="12">
        <f t="shared" si="237"/>
        <v>0</v>
      </c>
      <c r="JZ76" s="12">
        <f t="shared" si="238"/>
        <v>0</v>
      </c>
      <c r="KA76" s="12">
        <f t="shared" si="239"/>
        <v>0</v>
      </c>
      <c r="KB76" s="12">
        <f t="shared" si="240"/>
        <v>0</v>
      </c>
      <c r="KC76" s="12">
        <f t="shared" si="241"/>
        <v>0</v>
      </c>
      <c r="KD76" s="12">
        <f t="shared" si="242"/>
        <v>0</v>
      </c>
      <c r="KE76" s="12">
        <f t="shared" si="243"/>
        <v>0</v>
      </c>
      <c r="KF76" s="12">
        <f t="shared" si="244"/>
        <v>0</v>
      </c>
      <c r="KG76" s="12">
        <f t="shared" si="245"/>
        <v>0</v>
      </c>
      <c r="KH76" s="12">
        <f t="shared" si="246"/>
        <v>0</v>
      </c>
      <c r="KI76" s="12">
        <f t="shared" si="247"/>
        <v>0</v>
      </c>
      <c r="KJ76" s="12">
        <f t="shared" si="248"/>
        <v>0</v>
      </c>
      <c r="KK76" s="12">
        <f t="shared" si="249"/>
        <v>0</v>
      </c>
      <c r="KL76" s="12">
        <f t="shared" si="250"/>
        <v>0</v>
      </c>
      <c r="KM76" s="12">
        <f t="shared" si="251"/>
        <v>0</v>
      </c>
      <c r="KN76" s="12">
        <f t="shared" si="252"/>
        <v>0</v>
      </c>
      <c r="KO76" s="12">
        <f t="shared" si="253"/>
        <v>0</v>
      </c>
      <c r="KP76" s="12">
        <f t="shared" si="254"/>
        <v>0</v>
      </c>
      <c r="KQ76" s="12">
        <f t="shared" si="255"/>
        <v>0</v>
      </c>
      <c r="KR76" s="12">
        <f t="shared" si="256"/>
        <v>0</v>
      </c>
      <c r="KS76" s="12">
        <f t="shared" si="257"/>
        <v>0</v>
      </c>
      <c r="KT76" s="12">
        <f t="shared" si="258"/>
        <v>0</v>
      </c>
      <c r="KU76" s="12">
        <f t="shared" si="259"/>
        <v>0</v>
      </c>
      <c r="KV76" s="12">
        <f t="shared" si="260"/>
        <v>0</v>
      </c>
      <c r="KW76" s="12">
        <f t="shared" si="261"/>
        <v>0</v>
      </c>
      <c r="KX76" s="12">
        <f t="shared" si="262"/>
        <v>0</v>
      </c>
      <c r="KY76" s="12">
        <f t="shared" si="263"/>
        <v>0</v>
      </c>
      <c r="KZ76" s="12">
        <f t="shared" si="264"/>
        <v>0</v>
      </c>
      <c r="LA76" s="12">
        <f t="shared" si="265"/>
        <v>0</v>
      </c>
      <c r="LB76" s="12">
        <f t="shared" si="266"/>
        <v>0</v>
      </c>
      <c r="LC76" s="12">
        <f t="shared" si="267"/>
        <v>0</v>
      </c>
      <c r="LD76" s="12">
        <f t="shared" si="268"/>
        <v>0</v>
      </c>
      <c r="LE76" s="12">
        <f t="shared" si="269"/>
        <v>0</v>
      </c>
      <c r="LF76" s="12">
        <f t="shared" si="270"/>
        <v>0</v>
      </c>
      <c r="LG76" s="12">
        <f t="shared" si="271"/>
        <v>0</v>
      </c>
      <c r="LH76" s="12">
        <f t="shared" si="272"/>
        <v>0</v>
      </c>
      <c r="LI76" s="12">
        <f t="shared" si="273"/>
        <v>0</v>
      </c>
      <c r="LJ76" s="12">
        <f t="shared" si="274"/>
        <v>0</v>
      </c>
      <c r="LK76" s="12">
        <f t="shared" si="275"/>
        <v>0</v>
      </c>
      <c r="LL76" s="12">
        <f t="shared" si="276"/>
        <v>0</v>
      </c>
      <c r="LM76" s="12">
        <f t="shared" si="277"/>
        <v>0</v>
      </c>
      <c r="LN76" s="12">
        <f t="shared" si="278"/>
        <v>0</v>
      </c>
      <c r="LO76" s="12">
        <f t="shared" si="279"/>
        <v>0</v>
      </c>
      <c r="LP76" s="12">
        <f t="shared" si="280"/>
        <v>0</v>
      </c>
      <c r="LQ76" s="12">
        <f t="shared" si="281"/>
        <v>0</v>
      </c>
      <c r="LR76" s="12">
        <f t="shared" si="282"/>
        <v>0</v>
      </c>
      <c r="LS76" s="12">
        <f t="shared" si="283"/>
        <v>0</v>
      </c>
      <c r="LT76" s="13">
        <f t="shared" si="284"/>
        <v>0</v>
      </c>
      <c r="LU76" s="13">
        <f t="shared" si="285"/>
        <v>0</v>
      </c>
      <c r="LV76" s="13">
        <f t="shared" si="286"/>
        <v>0</v>
      </c>
      <c r="LW76" s="13">
        <f t="shared" si="287"/>
        <v>0</v>
      </c>
      <c r="LX76" s="13">
        <f t="shared" si="288"/>
        <v>0</v>
      </c>
      <c r="LY76" s="13">
        <f t="shared" si="289"/>
        <v>0</v>
      </c>
      <c r="LZ76" s="13">
        <f t="shared" si="290"/>
        <v>0</v>
      </c>
      <c r="MA76" s="13">
        <f t="shared" si="291"/>
        <v>0</v>
      </c>
      <c r="MB76" s="13">
        <f t="shared" si="292"/>
        <v>0</v>
      </c>
      <c r="MC76" s="13">
        <f t="shared" si="293"/>
        <v>0</v>
      </c>
      <c r="MD76" s="13">
        <f t="shared" si="294"/>
        <v>0</v>
      </c>
      <c r="ME76" s="13">
        <f t="shared" si="295"/>
        <v>0</v>
      </c>
      <c r="MF76" s="13">
        <f t="shared" si="296"/>
        <v>0</v>
      </c>
      <c r="MG76" s="13">
        <f t="shared" si="297"/>
        <v>0</v>
      </c>
      <c r="MH76" s="13">
        <f t="shared" si="298"/>
        <v>0</v>
      </c>
      <c r="MI76" s="13">
        <f t="shared" si="299"/>
        <v>0</v>
      </c>
      <c r="MJ76" s="13">
        <f t="shared" si="300"/>
        <v>0</v>
      </c>
      <c r="MK76" s="13">
        <f t="shared" si="301"/>
        <v>0</v>
      </c>
      <c r="ML76" s="14">
        <f t="shared" si="302"/>
        <v>0</v>
      </c>
      <c r="MM76" s="14">
        <f t="shared" si="303"/>
        <v>0</v>
      </c>
      <c r="MN76" s="14">
        <f t="shared" si="304"/>
        <v>0</v>
      </c>
      <c r="MO76" s="14">
        <f t="shared" si="305"/>
        <v>0</v>
      </c>
      <c r="MP76" s="14">
        <f t="shared" si="306"/>
        <v>0</v>
      </c>
      <c r="MQ76" s="14">
        <f t="shared" si="307"/>
        <v>0</v>
      </c>
      <c r="MR76" s="14">
        <f t="shared" si="308"/>
        <v>0</v>
      </c>
      <c r="MS76" s="14">
        <f t="shared" si="309"/>
        <v>0</v>
      </c>
      <c r="MT76" s="14">
        <f t="shared" si="310"/>
        <v>0</v>
      </c>
      <c r="MU76" s="14">
        <f t="shared" si="311"/>
        <v>0</v>
      </c>
      <c r="MV76" s="14">
        <f t="shared" si="312"/>
        <v>0</v>
      </c>
      <c r="MW76" s="14">
        <f t="shared" si="313"/>
        <v>0</v>
      </c>
      <c r="MX76" s="14">
        <f t="shared" si="314"/>
        <v>0</v>
      </c>
      <c r="MY76" s="14">
        <f t="shared" si="315"/>
        <v>0</v>
      </c>
      <c r="MZ76" s="14">
        <f t="shared" si="316"/>
        <v>0</v>
      </c>
      <c r="NA76" s="14">
        <f t="shared" si="317"/>
        <v>0</v>
      </c>
      <c r="NB76" s="14">
        <f t="shared" si="318"/>
        <v>0</v>
      </c>
    </row>
    <row r="77" ht="15.75" customHeight="1">
      <c r="A77" s="2">
        <v>376.0</v>
      </c>
      <c r="B77" s="2" t="s">
        <v>1694</v>
      </c>
      <c r="C77" s="2" t="s">
        <v>1695</v>
      </c>
      <c r="D77" s="2" t="s">
        <v>1696</v>
      </c>
      <c r="E77" s="2">
        <v>2016.0</v>
      </c>
      <c r="F77" s="2" t="s">
        <v>1697</v>
      </c>
      <c r="G77" s="2" t="s">
        <v>1698</v>
      </c>
      <c r="J77" s="2" t="s">
        <v>1699</v>
      </c>
      <c r="K77" s="2" t="s">
        <v>1246</v>
      </c>
      <c r="M77" s="2">
        <v>17.0</v>
      </c>
      <c r="N77" s="2" t="s">
        <v>1700</v>
      </c>
      <c r="O77" s="2" t="s">
        <v>1701</v>
      </c>
      <c r="P77" s="2" t="s">
        <v>1702</v>
      </c>
      <c r="Q77" s="2" t="s">
        <v>1703</v>
      </c>
      <c r="R77" s="2" t="s">
        <v>1704</v>
      </c>
      <c r="S77" s="2" t="s">
        <v>1705</v>
      </c>
      <c r="Y77" s="2" t="s">
        <v>1706</v>
      </c>
      <c r="AB77" s="2" t="s">
        <v>646</v>
      </c>
      <c r="AG77" s="2" t="s">
        <v>1707</v>
      </c>
      <c r="AI77" s="2" t="s">
        <v>1708</v>
      </c>
      <c r="AK77" s="2" t="s">
        <v>1709</v>
      </c>
      <c r="AL77" s="2" t="s">
        <v>384</v>
      </c>
      <c r="AM77" s="2" t="s">
        <v>579</v>
      </c>
      <c r="AN77" s="2" t="s">
        <v>386</v>
      </c>
      <c r="AO77" s="2" t="s">
        <v>1710</v>
      </c>
      <c r="AP77" s="2" t="s">
        <v>386</v>
      </c>
      <c r="AQ77" s="2">
        <v>1481.0</v>
      </c>
      <c r="AR77" s="2" t="s">
        <v>1711</v>
      </c>
      <c r="AS77" s="2" t="b">
        <v>1</v>
      </c>
      <c r="AT77" s="3">
        <v>0.0</v>
      </c>
      <c r="AU77" s="4"/>
      <c r="AV77" s="4"/>
      <c r="AW77" s="5">
        <f t="shared" si="432"/>
        <v>0</v>
      </c>
      <c r="AX77" s="5">
        <f t="shared" si="4"/>
        <v>0</v>
      </c>
      <c r="AY77" s="5">
        <f t="shared" si="5"/>
        <v>0</v>
      </c>
      <c r="AZ77" s="5">
        <f t="shared" si="6"/>
        <v>0</v>
      </c>
      <c r="BA77" s="5">
        <f t="shared" si="7"/>
        <v>0</v>
      </c>
      <c r="BB77" s="5">
        <f t="shared" si="8"/>
        <v>0</v>
      </c>
      <c r="BC77" s="5">
        <f t="shared" si="9"/>
        <v>0</v>
      </c>
      <c r="BD77" s="5">
        <f t="shared" si="10"/>
        <v>0</v>
      </c>
      <c r="BE77" s="5">
        <f t="shared" si="11"/>
        <v>0</v>
      </c>
      <c r="BF77" s="5">
        <f t="shared" si="12"/>
        <v>0</v>
      </c>
      <c r="BG77" s="5">
        <f t="shared" si="13"/>
        <v>0</v>
      </c>
      <c r="BH77" s="5">
        <f t="shared" si="14"/>
        <v>0</v>
      </c>
      <c r="BI77" s="5">
        <f t="shared" si="15"/>
        <v>0</v>
      </c>
      <c r="BJ77" s="5">
        <f t="shared" si="16"/>
        <v>0</v>
      </c>
      <c r="BK77" s="5">
        <f t="shared" si="17"/>
        <v>0</v>
      </c>
      <c r="BL77" s="5">
        <f t="shared" si="18"/>
        <v>0</v>
      </c>
      <c r="BM77" s="5">
        <f t="shared" si="19"/>
        <v>0</v>
      </c>
      <c r="BN77" s="5">
        <f t="shared" si="20"/>
        <v>0</v>
      </c>
      <c r="BO77" s="5">
        <f t="shared" si="21"/>
        <v>0</v>
      </c>
      <c r="BP77" s="5">
        <f t="shared" si="22"/>
        <v>0</v>
      </c>
      <c r="BQ77" s="5">
        <f t="shared" si="23"/>
        <v>0</v>
      </c>
      <c r="BR77" s="5">
        <f t="shared" si="24"/>
        <v>0</v>
      </c>
      <c r="BS77" s="5">
        <f t="shared" si="25"/>
        <v>0</v>
      </c>
      <c r="BT77" s="5">
        <f t="shared" si="26"/>
        <v>0</v>
      </c>
      <c r="BU77" s="5">
        <f t="shared" si="27"/>
        <v>0</v>
      </c>
      <c r="BV77" s="5">
        <f t="shared" ref="BV77:BW77" si="485">IF(OR(ISNUMBER(SEARCH("grit",$D77)),ISNUMBER(SEARCH("grit",$T77)),ISNUMBER(SEARCH("grit",$R77)),ISNUMBER(SEARCH("grit",$S77)),
ISNUMBER(SEARCH("determination",$D77)),ISNUMBER(SEARCH("determination",$T77)),ISNUMBER(SEARCH("determination",$R77)),ISNUMBER(SEARCH("determination",$S77)),
ISNUMBER(SEARCH("tenacity",$D77)),ISNUMBER(SEARCH("tenacity",$T77)),ISNUMBER(SEARCH("tenacity",$R77)),ISNUMBER(SEARCH("tenacity",$S77)),
ISNUMBER(SEARCH("endurance",$D77)),ISNUMBER(SEARCH("endurance",$T77)),ISNUMBER(SEARCH("endurance",$R77)),ISNUMBER(SEARCH("endurance",$S77)),
ISNUMBER(SEARCH("fortitude",$D77)),ISNUMBER(SEARCH("fortitude",$T77)),ISNUMBER(SEARCH("fortitude",$R77)),ISNUMBER(SEARCH("fortitude",$S77)),
ISNUMBER(SEARCH("resolve",$D77)),ISNUMBER(SEARCH("resolve",$T77)),ISNUMBER(SEARCH("resolve",$R77)),ISNUMBER(SEARCH("resolve",$S77)),
ISNUMBER(SEARCH("stamina",$D77)),ISNUMBER(SEARCH("stamina",$T77)),ISNUMBER(SEARCH("stamina",$R77)),ISNUMBER(SEARCH("stamina",$S77)),
ISNUMBER(SEARCH("guts",$D77)),ISNUMBER(SEARCH("guts",$T77)),ISNUMBER(SEARCH("guts",$R77)),ISNUMBER(SEARCH("guts",$S77)),
ISNUMBER(SEARCH("spunk",$D77)),ISNUMBER(SEARCH("spunk",$T77)),ISNUMBER(SEARCH("spunk",$R77)),ISNUMBER(SEARCH("spunk",$S77))), 1, 0)</f>
        <v>0</v>
      </c>
      <c r="BW77" s="5">
        <f t="shared" si="485"/>
        <v>0</v>
      </c>
      <c r="BX77" s="5">
        <f t="shared" si="29"/>
        <v>0</v>
      </c>
      <c r="BY77" s="5">
        <f t="shared" si="30"/>
        <v>0</v>
      </c>
      <c r="BZ77" s="5">
        <f t="shared" si="31"/>
        <v>0</v>
      </c>
      <c r="CA77" s="5">
        <f t="shared" si="32"/>
        <v>0</v>
      </c>
      <c r="CB77" s="5">
        <f t="shared" si="33"/>
        <v>0</v>
      </c>
      <c r="CC77" s="5">
        <f t="shared" si="34"/>
        <v>0</v>
      </c>
      <c r="CD77" s="5">
        <f t="shared" si="35"/>
        <v>0</v>
      </c>
      <c r="CE77" s="5">
        <f t="shared" si="36"/>
        <v>0</v>
      </c>
      <c r="CF77" s="5">
        <f t="shared" si="37"/>
        <v>0</v>
      </c>
      <c r="CG77" s="5">
        <f t="shared" si="38"/>
        <v>0</v>
      </c>
      <c r="CH77" s="5">
        <f t="shared" si="39"/>
        <v>0</v>
      </c>
      <c r="CI77" s="5">
        <f t="shared" si="40"/>
        <v>0</v>
      </c>
      <c r="CJ77" s="5">
        <f t="shared" si="41"/>
        <v>0</v>
      </c>
      <c r="CK77" s="5">
        <f t="shared" si="42"/>
        <v>0</v>
      </c>
      <c r="CL77" s="5">
        <f t="shared" si="43"/>
        <v>0</v>
      </c>
      <c r="CM77" s="5">
        <f t="shared" si="44"/>
        <v>0</v>
      </c>
      <c r="CN77" s="5">
        <f t="shared" si="45"/>
        <v>0</v>
      </c>
      <c r="CO77" s="5">
        <f t="shared" si="46"/>
        <v>0</v>
      </c>
      <c r="CP77" s="6">
        <f t="shared" si="47"/>
        <v>0</v>
      </c>
      <c r="CQ77" s="6">
        <f t="shared" si="48"/>
        <v>0</v>
      </c>
      <c r="CR77" s="6">
        <f t="shared" si="49"/>
        <v>0</v>
      </c>
      <c r="CS77" s="6">
        <f t="shared" si="50"/>
        <v>0</v>
      </c>
      <c r="CT77" s="6">
        <f t="shared" si="51"/>
        <v>0</v>
      </c>
      <c r="CU77" s="6">
        <f t="shared" si="52"/>
        <v>0</v>
      </c>
      <c r="CV77" s="6">
        <f t="shared" si="53"/>
        <v>0</v>
      </c>
      <c r="CW77" s="6">
        <f t="shared" si="54"/>
        <v>0</v>
      </c>
      <c r="CX77" s="6">
        <f t="shared" si="55"/>
        <v>0</v>
      </c>
      <c r="CY77" s="6">
        <f t="shared" si="56"/>
        <v>0</v>
      </c>
      <c r="CZ77" s="6">
        <f t="shared" si="57"/>
        <v>0</v>
      </c>
      <c r="DA77" s="6">
        <f t="shared" si="58"/>
        <v>0</v>
      </c>
      <c r="DB77" s="6">
        <f t="shared" si="59"/>
        <v>0</v>
      </c>
      <c r="DC77" s="6">
        <f t="shared" si="60"/>
        <v>0</v>
      </c>
      <c r="DD77" s="6">
        <f t="shared" si="61"/>
        <v>0</v>
      </c>
      <c r="DE77" s="6">
        <f t="shared" si="62"/>
        <v>0</v>
      </c>
      <c r="DF77" s="6">
        <f t="shared" si="63"/>
        <v>0</v>
      </c>
      <c r="DG77" s="6">
        <f t="shared" si="64"/>
        <v>1</v>
      </c>
      <c r="DH77" s="6">
        <f t="shared" si="486"/>
        <v>0</v>
      </c>
      <c r="DI77" s="6">
        <f t="shared" si="66"/>
        <v>0</v>
      </c>
      <c r="DJ77" s="6">
        <f t="shared" si="487"/>
        <v>0</v>
      </c>
      <c r="DK77" s="7">
        <f t="shared" si="68"/>
        <v>0</v>
      </c>
      <c r="DL77" s="7">
        <f t="shared" si="411"/>
        <v>0</v>
      </c>
      <c r="DM77" s="7">
        <f t="shared" si="70"/>
        <v>0</v>
      </c>
      <c r="DN77" s="7">
        <f t="shared" si="71"/>
        <v>0</v>
      </c>
      <c r="DO77" s="7">
        <f t="shared" si="72"/>
        <v>1</v>
      </c>
      <c r="DP77" s="8">
        <f t="shared" si="73"/>
        <v>0</v>
      </c>
      <c r="DQ77" s="8">
        <f t="shared" si="74"/>
        <v>1</v>
      </c>
      <c r="DR77" s="7">
        <f t="shared" si="75"/>
        <v>0</v>
      </c>
      <c r="DS77" s="7">
        <f t="shared" si="76"/>
        <v>0</v>
      </c>
      <c r="DT77" s="7">
        <f t="shared" si="77"/>
        <v>0</v>
      </c>
      <c r="DU77" s="9">
        <f t="shared" si="78"/>
        <v>0</v>
      </c>
      <c r="DV77" s="9">
        <f t="shared" si="79"/>
        <v>0</v>
      </c>
      <c r="DW77" s="9">
        <f t="shared" si="80"/>
        <v>0</v>
      </c>
      <c r="DX77" s="9">
        <f t="shared" si="81"/>
        <v>0</v>
      </c>
      <c r="DY77" s="9">
        <f t="shared" si="82"/>
        <v>0</v>
      </c>
      <c r="DZ77" s="9">
        <f t="shared" si="83"/>
        <v>0</v>
      </c>
      <c r="EA77" s="9">
        <f t="shared" si="84"/>
        <v>0</v>
      </c>
      <c r="EB77" s="9">
        <f t="shared" si="85"/>
        <v>0</v>
      </c>
      <c r="EC77" s="9">
        <f t="shared" si="86"/>
        <v>0</v>
      </c>
      <c r="ED77" s="9">
        <f t="shared" si="87"/>
        <v>0</v>
      </c>
      <c r="EE77" s="9">
        <f t="shared" si="88"/>
        <v>0</v>
      </c>
      <c r="EF77" s="9">
        <f t="shared" si="89"/>
        <v>0</v>
      </c>
      <c r="EG77" s="9">
        <f t="shared" si="90"/>
        <v>0</v>
      </c>
      <c r="EH77" s="9">
        <f t="shared" si="91"/>
        <v>0</v>
      </c>
      <c r="EI77" s="9">
        <f t="shared" si="92"/>
        <v>0</v>
      </c>
      <c r="EJ77" s="10">
        <f t="shared" si="93"/>
        <v>0</v>
      </c>
      <c r="EK77" s="10">
        <f t="shared" si="94"/>
        <v>0</v>
      </c>
      <c r="EL77" s="10">
        <f t="shared" ref="EL77:EM77" si="488">IF(OR(ISNUMBER(SEARCH("ai software toolkit", $D77)), ISNUMBER(SEARCH("ai software toolkit", $T77)), ISNUMBER(SEARCH("ai software toolkit", $R77)), ISNUMBER(SEARCH("ai software toolkit", $S77))), 1, 0)</f>
        <v>0</v>
      </c>
      <c r="EM77" s="10">
        <f t="shared" si="488"/>
        <v>0</v>
      </c>
      <c r="EN77" s="10">
        <f t="shared" si="96"/>
        <v>0</v>
      </c>
      <c r="EO77" s="10">
        <f t="shared" si="97"/>
        <v>0</v>
      </c>
      <c r="EP77" s="10">
        <f t="shared" si="98"/>
        <v>0</v>
      </c>
      <c r="EQ77" s="10">
        <f t="shared" si="99"/>
        <v>0</v>
      </c>
      <c r="ER77" s="10">
        <f t="shared" si="100"/>
        <v>0</v>
      </c>
      <c r="ES77" s="10">
        <f t="shared" si="101"/>
        <v>0</v>
      </c>
      <c r="ET77" s="10">
        <f t="shared" si="102"/>
        <v>0</v>
      </c>
      <c r="EU77" s="10">
        <f t="shared" si="103"/>
        <v>0</v>
      </c>
      <c r="EV77" s="10">
        <f t="shared" si="104"/>
        <v>0</v>
      </c>
      <c r="EW77" s="10">
        <f t="shared" si="105"/>
        <v>0</v>
      </c>
      <c r="EX77" s="10">
        <f t="shared" si="106"/>
        <v>0</v>
      </c>
      <c r="EY77" s="10">
        <f t="shared" si="107"/>
        <v>0</v>
      </c>
      <c r="EZ77" s="10">
        <f t="shared" si="108"/>
        <v>0</v>
      </c>
      <c r="FA77" s="10">
        <f t="shared" si="109"/>
        <v>0</v>
      </c>
      <c r="FB77" s="10">
        <f t="shared" si="110"/>
        <v>0</v>
      </c>
      <c r="FC77" s="10">
        <f t="shared" si="111"/>
        <v>0</v>
      </c>
      <c r="FD77" s="10">
        <f t="shared" si="112"/>
        <v>0</v>
      </c>
      <c r="FE77" s="10">
        <f t="shared" si="113"/>
        <v>0</v>
      </c>
      <c r="FF77" s="10">
        <f t="shared" si="114"/>
        <v>0</v>
      </c>
      <c r="FG77" s="10">
        <f t="shared" si="115"/>
        <v>0</v>
      </c>
      <c r="FH77" s="10">
        <f t="shared" si="116"/>
        <v>0</v>
      </c>
      <c r="FI77" s="10">
        <f t="shared" si="117"/>
        <v>0</v>
      </c>
      <c r="FJ77" s="10">
        <f t="shared" si="118"/>
        <v>0</v>
      </c>
      <c r="FK77" s="10">
        <f t="shared" si="119"/>
        <v>0</v>
      </c>
      <c r="FL77" s="10">
        <f t="shared" si="120"/>
        <v>0</v>
      </c>
      <c r="FM77" s="10">
        <f t="shared" si="121"/>
        <v>0</v>
      </c>
      <c r="FN77" s="10">
        <f t="shared" si="122"/>
        <v>0</v>
      </c>
      <c r="FO77" s="10">
        <f t="shared" si="123"/>
        <v>0</v>
      </c>
      <c r="FP77" s="10">
        <f t="shared" si="124"/>
        <v>0</v>
      </c>
      <c r="FQ77" s="10">
        <f t="shared" si="125"/>
        <v>0</v>
      </c>
      <c r="FR77" s="11">
        <f t="shared" si="470"/>
        <v>0</v>
      </c>
      <c r="FS77" s="11">
        <f t="shared" si="127"/>
        <v>0</v>
      </c>
      <c r="FT77" s="11">
        <f t="shared" si="128"/>
        <v>0</v>
      </c>
      <c r="FU77" s="11">
        <f t="shared" si="129"/>
        <v>0</v>
      </c>
      <c r="FV77" s="11">
        <f t="shared" si="130"/>
        <v>0</v>
      </c>
      <c r="FW77" s="11">
        <f t="shared" si="131"/>
        <v>0</v>
      </c>
      <c r="FX77" s="11">
        <f t="shared" si="132"/>
        <v>0</v>
      </c>
      <c r="FY77" s="11">
        <f t="shared" si="133"/>
        <v>0</v>
      </c>
      <c r="FZ77" s="11">
        <f t="shared" si="134"/>
        <v>0</v>
      </c>
      <c r="GA77" s="11">
        <f t="shared" si="135"/>
        <v>0</v>
      </c>
      <c r="GB77" s="11">
        <f t="shared" si="136"/>
        <v>0</v>
      </c>
      <c r="GC77" s="11">
        <f t="shared" si="137"/>
        <v>0</v>
      </c>
      <c r="GD77" s="11">
        <f t="shared" si="138"/>
        <v>0</v>
      </c>
      <c r="GE77" s="11">
        <f t="shared" si="139"/>
        <v>0</v>
      </c>
      <c r="GF77" s="11">
        <f t="shared" si="140"/>
        <v>0</v>
      </c>
      <c r="GG77" s="11">
        <f t="shared" si="141"/>
        <v>0</v>
      </c>
      <c r="GH77" s="11">
        <f t="shared" si="142"/>
        <v>0</v>
      </c>
      <c r="GI77" s="11">
        <f t="shared" si="143"/>
        <v>0</v>
      </c>
      <c r="GJ77" s="11">
        <f t="shared" si="144"/>
        <v>0</v>
      </c>
      <c r="GK77" s="11">
        <f t="shared" si="145"/>
        <v>0</v>
      </c>
      <c r="GL77" s="11">
        <f t="shared" si="146"/>
        <v>0</v>
      </c>
      <c r="GM77" s="11">
        <f t="shared" si="147"/>
        <v>0</v>
      </c>
      <c r="GN77" s="11">
        <f t="shared" si="148"/>
        <v>0</v>
      </c>
      <c r="GO77" s="11">
        <f t="shared" si="149"/>
        <v>0</v>
      </c>
      <c r="GP77" s="11">
        <f t="shared" si="150"/>
        <v>0</v>
      </c>
      <c r="GQ77" s="11">
        <f t="shared" si="151"/>
        <v>0</v>
      </c>
      <c r="GR77" s="11">
        <f t="shared" si="152"/>
        <v>0</v>
      </c>
      <c r="GS77" s="11">
        <f t="shared" si="153"/>
        <v>0</v>
      </c>
      <c r="GT77" s="11">
        <f t="shared" si="154"/>
        <v>0</v>
      </c>
      <c r="GU77" s="12">
        <f t="shared" si="155"/>
        <v>0</v>
      </c>
      <c r="GV77" s="12">
        <f t="shared" si="156"/>
        <v>0</v>
      </c>
      <c r="GW77" s="12">
        <f t="shared" si="157"/>
        <v>0</v>
      </c>
      <c r="GX77" s="12">
        <f t="shared" si="158"/>
        <v>0</v>
      </c>
      <c r="GY77" s="12">
        <f t="shared" si="159"/>
        <v>0</v>
      </c>
      <c r="GZ77" s="12">
        <f t="shared" si="160"/>
        <v>0</v>
      </c>
      <c r="HA77" s="12">
        <f t="shared" si="161"/>
        <v>0</v>
      </c>
      <c r="HB77" s="12">
        <f t="shared" si="162"/>
        <v>0</v>
      </c>
      <c r="HC77" s="12">
        <f t="shared" si="163"/>
        <v>0</v>
      </c>
      <c r="HD77" s="12">
        <f t="shared" si="164"/>
        <v>0</v>
      </c>
      <c r="HE77" s="12">
        <f t="shared" si="165"/>
        <v>0</v>
      </c>
      <c r="HF77" s="12">
        <f t="shared" si="166"/>
        <v>0</v>
      </c>
      <c r="HG77" s="12">
        <f t="shared" si="167"/>
        <v>0</v>
      </c>
      <c r="HH77" s="12">
        <f t="shared" si="168"/>
        <v>0</v>
      </c>
      <c r="HI77" s="12">
        <f t="shared" si="169"/>
        <v>0</v>
      </c>
      <c r="HJ77" s="12">
        <f t="shared" si="170"/>
        <v>0</v>
      </c>
      <c r="HK77" s="12">
        <f t="shared" si="171"/>
        <v>0</v>
      </c>
      <c r="HL77" s="12">
        <f t="shared" si="172"/>
        <v>0</v>
      </c>
      <c r="HM77" s="12">
        <f t="shared" si="173"/>
        <v>0</v>
      </c>
      <c r="HN77" s="12">
        <f t="shared" si="174"/>
        <v>0</v>
      </c>
      <c r="HO77" s="12">
        <f t="shared" si="175"/>
        <v>0</v>
      </c>
      <c r="HP77" s="12">
        <f t="shared" si="176"/>
        <v>0</v>
      </c>
      <c r="HQ77" s="12">
        <f t="shared" si="177"/>
        <v>0</v>
      </c>
      <c r="HR77" s="12">
        <f t="shared" si="178"/>
        <v>0</v>
      </c>
      <c r="HS77" s="12">
        <f t="shared" si="179"/>
        <v>0</v>
      </c>
      <c r="HT77" s="12">
        <f t="shared" si="180"/>
        <v>0</v>
      </c>
      <c r="HU77" s="12">
        <f t="shared" si="181"/>
        <v>0</v>
      </c>
      <c r="HV77" s="12">
        <f t="shared" si="182"/>
        <v>0</v>
      </c>
      <c r="HW77" s="12">
        <f t="shared" si="183"/>
        <v>0</v>
      </c>
      <c r="HX77" s="12">
        <f t="shared" si="184"/>
        <v>0</v>
      </c>
      <c r="HY77" s="12">
        <f t="shared" si="185"/>
        <v>0</v>
      </c>
      <c r="HZ77" s="12">
        <f t="shared" si="186"/>
        <v>0</v>
      </c>
      <c r="IA77" s="12">
        <f t="shared" si="187"/>
        <v>0</v>
      </c>
      <c r="IB77" s="12">
        <f t="shared" si="188"/>
        <v>0</v>
      </c>
      <c r="IC77" s="12">
        <f t="shared" si="189"/>
        <v>0</v>
      </c>
      <c r="ID77" s="12">
        <f t="shared" si="190"/>
        <v>0</v>
      </c>
      <c r="IE77" s="12">
        <f t="shared" si="191"/>
        <v>0</v>
      </c>
      <c r="IF77" s="12">
        <f t="shared" si="192"/>
        <v>0</v>
      </c>
      <c r="IG77" s="12">
        <f t="shared" si="193"/>
        <v>0</v>
      </c>
      <c r="IH77" s="12">
        <f t="shared" si="194"/>
        <v>0</v>
      </c>
      <c r="II77" s="12">
        <f t="shared" si="195"/>
        <v>0</v>
      </c>
      <c r="IJ77" s="12">
        <f t="shared" si="196"/>
        <v>0</v>
      </c>
      <c r="IK77" s="12">
        <f t="shared" si="197"/>
        <v>0</v>
      </c>
      <c r="IL77" s="12">
        <f t="shared" si="198"/>
        <v>0</v>
      </c>
      <c r="IM77" s="12">
        <f t="shared" si="199"/>
        <v>0</v>
      </c>
      <c r="IN77" s="12">
        <f t="shared" si="200"/>
        <v>0</v>
      </c>
      <c r="IO77" s="12">
        <f t="shared" si="201"/>
        <v>0</v>
      </c>
      <c r="IP77" s="12">
        <f t="shared" si="202"/>
        <v>0</v>
      </c>
      <c r="IQ77" s="12">
        <f t="shared" si="203"/>
        <v>0</v>
      </c>
      <c r="IR77" s="12">
        <f t="shared" si="204"/>
        <v>0</v>
      </c>
      <c r="IS77" s="12">
        <f t="shared" si="205"/>
        <v>0</v>
      </c>
      <c r="IT77" s="12">
        <f t="shared" si="206"/>
        <v>0</v>
      </c>
      <c r="IU77" s="12">
        <f t="shared" si="207"/>
        <v>0</v>
      </c>
      <c r="IV77" s="12">
        <f t="shared" si="208"/>
        <v>0</v>
      </c>
      <c r="IW77" s="12">
        <f t="shared" si="209"/>
        <v>0</v>
      </c>
      <c r="IX77" s="12">
        <f t="shared" si="210"/>
        <v>0</v>
      </c>
      <c r="IY77" s="12">
        <f t="shared" si="211"/>
        <v>0</v>
      </c>
      <c r="IZ77" s="12">
        <f t="shared" si="212"/>
        <v>0</v>
      </c>
      <c r="JA77" s="13">
        <f t="shared" si="213"/>
        <v>0</v>
      </c>
      <c r="JB77" s="13">
        <f t="shared" si="214"/>
        <v>0</v>
      </c>
      <c r="JC77" s="13">
        <f t="shared" si="215"/>
        <v>0</v>
      </c>
      <c r="JD77" s="13">
        <f t="shared" si="216"/>
        <v>0</v>
      </c>
      <c r="JE77" s="13">
        <f t="shared" si="217"/>
        <v>0</v>
      </c>
      <c r="JF77" s="13">
        <f t="shared" si="218"/>
        <v>0</v>
      </c>
      <c r="JG77" s="13">
        <f t="shared" si="219"/>
        <v>0</v>
      </c>
      <c r="JH77" s="13">
        <f t="shared" si="220"/>
        <v>0</v>
      </c>
      <c r="JI77" s="13">
        <f t="shared" si="221"/>
        <v>0</v>
      </c>
      <c r="JJ77" s="13">
        <f t="shared" si="222"/>
        <v>0</v>
      </c>
      <c r="JK77" s="13">
        <f t="shared" si="223"/>
        <v>0</v>
      </c>
      <c r="JL77" s="13">
        <f t="shared" si="224"/>
        <v>0</v>
      </c>
      <c r="JM77" s="13">
        <f t="shared" si="225"/>
        <v>0</v>
      </c>
      <c r="JN77" s="13">
        <f t="shared" si="226"/>
        <v>0</v>
      </c>
      <c r="JO77" s="13">
        <f t="shared" si="227"/>
        <v>0</v>
      </c>
      <c r="JP77" s="13">
        <f t="shared" si="228"/>
        <v>0</v>
      </c>
      <c r="JQ77" s="13">
        <f t="shared" si="229"/>
        <v>0</v>
      </c>
      <c r="JR77" s="13">
        <f t="shared" si="230"/>
        <v>0</v>
      </c>
      <c r="JS77" s="13">
        <f t="shared" si="231"/>
        <v>0</v>
      </c>
      <c r="JT77" s="13">
        <f t="shared" si="232"/>
        <v>0</v>
      </c>
      <c r="JU77" s="13">
        <f t="shared" si="233"/>
        <v>0</v>
      </c>
      <c r="JV77" s="12">
        <f t="shared" si="234"/>
        <v>0</v>
      </c>
      <c r="JW77" s="12">
        <f t="shared" si="235"/>
        <v>0</v>
      </c>
      <c r="JX77" s="12">
        <f t="shared" si="236"/>
        <v>0</v>
      </c>
      <c r="JY77" s="12">
        <f t="shared" si="237"/>
        <v>0</v>
      </c>
      <c r="JZ77" s="12">
        <f t="shared" si="238"/>
        <v>0</v>
      </c>
      <c r="KA77" s="12">
        <f t="shared" si="239"/>
        <v>0</v>
      </c>
      <c r="KB77" s="12">
        <f t="shared" si="240"/>
        <v>0</v>
      </c>
      <c r="KC77" s="12">
        <f t="shared" si="241"/>
        <v>0</v>
      </c>
      <c r="KD77" s="12">
        <f t="shared" si="242"/>
        <v>0</v>
      </c>
      <c r="KE77" s="12">
        <f t="shared" si="243"/>
        <v>0</v>
      </c>
      <c r="KF77" s="12">
        <f t="shared" si="244"/>
        <v>0</v>
      </c>
      <c r="KG77" s="12">
        <f t="shared" si="245"/>
        <v>0</v>
      </c>
      <c r="KH77" s="12">
        <f t="shared" si="246"/>
        <v>0</v>
      </c>
      <c r="KI77" s="12">
        <f t="shared" si="247"/>
        <v>0</v>
      </c>
      <c r="KJ77" s="12">
        <f t="shared" si="248"/>
        <v>0</v>
      </c>
      <c r="KK77" s="12">
        <f t="shared" si="249"/>
        <v>0</v>
      </c>
      <c r="KL77" s="12">
        <f t="shared" si="250"/>
        <v>0</v>
      </c>
      <c r="KM77" s="12">
        <f t="shared" si="251"/>
        <v>0</v>
      </c>
      <c r="KN77" s="12">
        <f t="shared" si="252"/>
        <v>0</v>
      </c>
      <c r="KO77" s="12">
        <f t="shared" si="253"/>
        <v>0</v>
      </c>
      <c r="KP77" s="12">
        <f t="shared" si="254"/>
        <v>0</v>
      </c>
      <c r="KQ77" s="12">
        <f t="shared" si="255"/>
        <v>0</v>
      </c>
      <c r="KR77" s="12">
        <f t="shared" si="256"/>
        <v>0</v>
      </c>
      <c r="KS77" s="12">
        <f t="shared" si="257"/>
        <v>0</v>
      </c>
      <c r="KT77" s="12">
        <f t="shared" si="258"/>
        <v>0</v>
      </c>
      <c r="KU77" s="12">
        <f t="shared" si="259"/>
        <v>0</v>
      </c>
      <c r="KV77" s="12">
        <f t="shared" si="260"/>
        <v>0</v>
      </c>
      <c r="KW77" s="12">
        <f t="shared" si="261"/>
        <v>0</v>
      </c>
      <c r="KX77" s="12">
        <f t="shared" si="262"/>
        <v>0</v>
      </c>
      <c r="KY77" s="12">
        <f t="shared" si="263"/>
        <v>0</v>
      </c>
      <c r="KZ77" s="12">
        <f t="shared" si="264"/>
        <v>0</v>
      </c>
      <c r="LA77" s="12">
        <f t="shared" si="265"/>
        <v>0</v>
      </c>
      <c r="LB77" s="12">
        <f t="shared" si="266"/>
        <v>0</v>
      </c>
      <c r="LC77" s="12">
        <f t="shared" si="267"/>
        <v>0</v>
      </c>
      <c r="LD77" s="12">
        <f t="shared" si="268"/>
        <v>0</v>
      </c>
      <c r="LE77" s="12">
        <f t="shared" si="269"/>
        <v>0</v>
      </c>
      <c r="LF77" s="12">
        <f t="shared" si="270"/>
        <v>0</v>
      </c>
      <c r="LG77" s="12">
        <f t="shared" si="271"/>
        <v>0</v>
      </c>
      <c r="LH77" s="12">
        <f t="shared" si="272"/>
        <v>0</v>
      </c>
      <c r="LI77" s="12">
        <f t="shared" si="273"/>
        <v>0</v>
      </c>
      <c r="LJ77" s="12">
        <f t="shared" si="274"/>
        <v>0</v>
      </c>
      <c r="LK77" s="12">
        <f t="shared" si="275"/>
        <v>0</v>
      </c>
      <c r="LL77" s="12">
        <f t="shared" si="276"/>
        <v>0</v>
      </c>
      <c r="LM77" s="12">
        <f t="shared" si="277"/>
        <v>0</v>
      </c>
      <c r="LN77" s="12">
        <f t="shared" si="278"/>
        <v>0</v>
      </c>
      <c r="LO77" s="12">
        <f t="shared" si="279"/>
        <v>0</v>
      </c>
      <c r="LP77" s="12">
        <f t="shared" si="280"/>
        <v>0</v>
      </c>
      <c r="LQ77" s="12">
        <f t="shared" si="281"/>
        <v>0</v>
      </c>
      <c r="LR77" s="12">
        <f t="shared" si="282"/>
        <v>0</v>
      </c>
      <c r="LS77" s="12">
        <f t="shared" si="283"/>
        <v>0</v>
      </c>
      <c r="LT77" s="13">
        <f t="shared" si="284"/>
        <v>0</v>
      </c>
      <c r="LU77" s="13">
        <f t="shared" si="285"/>
        <v>0</v>
      </c>
      <c r="LV77" s="13">
        <f t="shared" si="286"/>
        <v>0</v>
      </c>
      <c r="LW77" s="13">
        <f t="shared" si="287"/>
        <v>0</v>
      </c>
      <c r="LX77" s="13">
        <f t="shared" si="288"/>
        <v>0</v>
      </c>
      <c r="LY77" s="13">
        <f t="shared" si="289"/>
        <v>0</v>
      </c>
      <c r="LZ77" s="13">
        <f t="shared" si="290"/>
        <v>0</v>
      </c>
      <c r="MA77" s="13">
        <f t="shared" si="291"/>
        <v>0</v>
      </c>
      <c r="MB77" s="13">
        <f t="shared" si="292"/>
        <v>0</v>
      </c>
      <c r="MC77" s="13">
        <f t="shared" si="293"/>
        <v>0</v>
      </c>
      <c r="MD77" s="13">
        <f t="shared" si="294"/>
        <v>0</v>
      </c>
      <c r="ME77" s="13">
        <f t="shared" si="295"/>
        <v>0</v>
      </c>
      <c r="MF77" s="13">
        <f t="shared" si="296"/>
        <v>0</v>
      </c>
      <c r="MG77" s="13">
        <f t="shared" si="297"/>
        <v>0</v>
      </c>
      <c r="MH77" s="13">
        <f t="shared" si="298"/>
        <v>0</v>
      </c>
      <c r="MI77" s="13">
        <f t="shared" si="299"/>
        <v>0</v>
      </c>
      <c r="MJ77" s="13">
        <f t="shared" si="300"/>
        <v>0</v>
      </c>
      <c r="MK77" s="13">
        <f t="shared" si="301"/>
        <v>0</v>
      </c>
      <c r="ML77" s="14">
        <f t="shared" si="302"/>
        <v>0</v>
      </c>
      <c r="MM77" s="14">
        <f t="shared" si="303"/>
        <v>0</v>
      </c>
      <c r="MN77" s="14">
        <f t="shared" si="304"/>
        <v>0</v>
      </c>
      <c r="MO77" s="14">
        <f t="shared" si="305"/>
        <v>0</v>
      </c>
      <c r="MP77" s="14">
        <f t="shared" si="306"/>
        <v>0</v>
      </c>
      <c r="MQ77" s="14">
        <f t="shared" si="307"/>
        <v>0</v>
      </c>
      <c r="MR77" s="14">
        <f t="shared" si="308"/>
        <v>0</v>
      </c>
      <c r="MS77" s="14">
        <f t="shared" si="309"/>
        <v>0</v>
      </c>
      <c r="MT77" s="14">
        <f t="shared" si="310"/>
        <v>0</v>
      </c>
      <c r="MU77" s="14">
        <f t="shared" si="311"/>
        <v>0</v>
      </c>
      <c r="MV77" s="14">
        <f t="shared" si="312"/>
        <v>0</v>
      </c>
      <c r="MW77" s="14">
        <f t="shared" si="313"/>
        <v>0</v>
      </c>
      <c r="MX77" s="14">
        <f t="shared" si="314"/>
        <v>0</v>
      </c>
      <c r="MY77" s="14">
        <f t="shared" si="315"/>
        <v>0</v>
      </c>
      <c r="MZ77" s="14">
        <f t="shared" si="316"/>
        <v>0</v>
      </c>
      <c r="NA77" s="14">
        <f t="shared" si="317"/>
        <v>0</v>
      </c>
      <c r="NB77" s="14">
        <f t="shared" si="318"/>
        <v>0</v>
      </c>
    </row>
    <row r="78" ht="15.75" customHeight="1">
      <c r="A78" s="2">
        <v>446.0</v>
      </c>
      <c r="B78" s="2" t="s">
        <v>1712</v>
      </c>
      <c r="C78" s="2" t="s">
        <v>1713</v>
      </c>
      <c r="D78" s="2" t="s">
        <v>1714</v>
      </c>
      <c r="E78" s="2">
        <v>1999.0</v>
      </c>
      <c r="F78" s="2" t="s">
        <v>1715</v>
      </c>
      <c r="G78" s="2" t="s">
        <v>907</v>
      </c>
      <c r="H78" s="2" t="s">
        <v>1716</v>
      </c>
      <c r="J78" s="2" t="s">
        <v>370</v>
      </c>
      <c r="K78" s="2" t="s">
        <v>1717</v>
      </c>
      <c r="M78" s="2">
        <v>17.0</v>
      </c>
      <c r="O78" s="2" t="s">
        <v>1718</v>
      </c>
      <c r="P78" s="2" t="s">
        <v>1719</v>
      </c>
      <c r="Q78" s="2" t="s">
        <v>1720</v>
      </c>
      <c r="R78" s="2" t="s">
        <v>1721</v>
      </c>
      <c r="S78" s="2" t="s">
        <v>1722</v>
      </c>
      <c r="T78" s="2" t="s">
        <v>1723</v>
      </c>
      <c r="Y78" s="2" t="s">
        <v>1724</v>
      </c>
      <c r="AG78" s="2" t="s">
        <v>1725</v>
      </c>
      <c r="AI78" s="2" t="s">
        <v>1726</v>
      </c>
      <c r="AJ78" s="2">
        <v>1.0628443E7</v>
      </c>
      <c r="AK78" s="2" t="s">
        <v>1727</v>
      </c>
      <c r="AL78" s="2" t="s">
        <v>384</v>
      </c>
      <c r="AN78" s="2" t="s">
        <v>386</v>
      </c>
      <c r="AO78" s="2" t="s">
        <v>1728</v>
      </c>
      <c r="AP78" s="2" t="s">
        <v>386</v>
      </c>
      <c r="AQ78" s="2">
        <v>1759.0</v>
      </c>
      <c r="AR78" s="2" t="s">
        <v>1729</v>
      </c>
      <c r="AS78" s="2" t="b">
        <v>0</v>
      </c>
      <c r="AT78" s="3">
        <v>0.0</v>
      </c>
      <c r="AU78" s="4"/>
      <c r="AV78" s="4">
        <v>1.0</v>
      </c>
      <c r="AW78" s="5">
        <f t="shared" si="432"/>
        <v>0</v>
      </c>
      <c r="AX78" s="5">
        <f t="shared" si="4"/>
        <v>0</v>
      </c>
      <c r="AY78" s="5">
        <f t="shared" si="5"/>
        <v>0</v>
      </c>
      <c r="AZ78" s="5">
        <f t="shared" si="6"/>
        <v>0</v>
      </c>
      <c r="BA78" s="5">
        <f t="shared" si="7"/>
        <v>0</v>
      </c>
      <c r="BB78" s="5">
        <f t="shared" si="8"/>
        <v>0</v>
      </c>
      <c r="BC78" s="5">
        <f t="shared" si="9"/>
        <v>0</v>
      </c>
      <c r="BD78" s="5">
        <f t="shared" si="10"/>
        <v>0</v>
      </c>
      <c r="BE78" s="5">
        <f t="shared" si="11"/>
        <v>0</v>
      </c>
      <c r="BF78" s="5">
        <f t="shared" si="12"/>
        <v>0</v>
      </c>
      <c r="BG78" s="5">
        <f t="shared" si="13"/>
        <v>0</v>
      </c>
      <c r="BH78" s="5">
        <f t="shared" si="14"/>
        <v>0</v>
      </c>
      <c r="BI78" s="5">
        <f t="shared" si="15"/>
        <v>0</v>
      </c>
      <c r="BJ78" s="5">
        <f t="shared" si="16"/>
        <v>0</v>
      </c>
      <c r="BK78" s="5">
        <f t="shared" si="17"/>
        <v>0</v>
      </c>
      <c r="BL78" s="5">
        <f t="shared" si="18"/>
        <v>0</v>
      </c>
      <c r="BM78" s="5">
        <f t="shared" si="19"/>
        <v>0</v>
      </c>
      <c r="BN78" s="5">
        <f t="shared" si="20"/>
        <v>0</v>
      </c>
      <c r="BO78" s="5">
        <f t="shared" si="21"/>
        <v>0</v>
      </c>
      <c r="BP78" s="5">
        <f t="shared" si="22"/>
        <v>0</v>
      </c>
      <c r="BQ78" s="5">
        <f t="shared" si="23"/>
        <v>0</v>
      </c>
      <c r="BR78" s="5">
        <f t="shared" si="24"/>
        <v>0</v>
      </c>
      <c r="BS78" s="5">
        <f t="shared" si="25"/>
        <v>0</v>
      </c>
      <c r="BT78" s="5">
        <f t="shared" si="26"/>
        <v>0</v>
      </c>
      <c r="BU78" s="5">
        <f t="shared" si="27"/>
        <v>0</v>
      </c>
      <c r="BV78" s="5">
        <f t="shared" ref="BV78:BW78" si="489">IF(OR(ISNUMBER(SEARCH("grit",$D78)),ISNUMBER(SEARCH("grit",$T78)),ISNUMBER(SEARCH("grit",$R78)),ISNUMBER(SEARCH("grit",$S78)),
ISNUMBER(SEARCH("determination",$D78)),ISNUMBER(SEARCH("determination",$T78)),ISNUMBER(SEARCH("determination",$R78)),ISNUMBER(SEARCH("determination",$S78)),
ISNUMBER(SEARCH("tenacity",$D78)),ISNUMBER(SEARCH("tenacity",$T78)),ISNUMBER(SEARCH("tenacity",$R78)),ISNUMBER(SEARCH("tenacity",$S78)),
ISNUMBER(SEARCH("endurance",$D78)),ISNUMBER(SEARCH("endurance",$T78)),ISNUMBER(SEARCH("endurance",$R78)),ISNUMBER(SEARCH("endurance",$S78)),
ISNUMBER(SEARCH("fortitude",$D78)),ISNUMBER(SEARCH("fortitude",$T78)),ISNUMBER(SEARCH("fortitude",$R78)),ISNUMBER(SEARCH("fortitude",$S78)),
ISNUMBER(SEARCH("resolve",$D78)),ISNUMBER(SEARCH("resolve",$T78)),ISNUMBER(SEARCH("resolve",$R78)),ISNUMBER(SEARCH("resolve",$S78)),
ISNUMBER(SEARCH("stamina",$D78)),ISNUMBER(SEARCH("stamina",$T78)),ISNUMBER(SEARCH("stamina",$R78)),ISNUMBER(SEARCH("stamina",$S78)),
ISNUMBER(SEARCH("guts",$D78)),ISNUMBER(SEARCH("guts",$T78)),ISNUMBER(SEARCH("guts",$R78)),ISNUMBER(SEARCH("guts",$S78)),
ISNUMBER(SEARCH("spunk",$D78)),ISNUMBER(SEARCH("spunk",$T78)),ISNUMBER(SEARCH("spunk",$R78)),ISNUMBER(SEARCH("spunk",$S78))), 1, 0)</f>
        <v>0</v>
      </c>
      <c r="BW78" s="5">
        <f t="shared" si="489"/>
        <v>0</v>
      </c>
      <c r="BX78" s="5">
        <f t="shared" si="29"/>
        <v>0</v>
      </c>
      <c r="BY78" s="5">
        <f t="shared" si="30"/>
        <v>0</v>
      </c>
      <c r="BZ78" s="5">
        <f t="shared" si="31"/>
        <v>0</v>
      </c>
      <c r="CA78" s="5">
        <f t="shared" si="32"/>
        <v>0</v>
      </c>
      <c r="CB78" s="5">
        <f t="shared" si="33"/>
        <v>0</v>
      </c>
      <c r="CC78" s="5">
        <f t="shared" si="34"/>
        <v>0</v>
      </c>
      <c r="CD78" s="5">
        <f t="shared" si="35"/>
        <v>0</v>
      </c>
      <c r="CE78" s="5">
        <f t="shared" si="36"/>
        <v>0</v>
      </c>
      <c r="CF78" s="5">
        <f t="shared" si="37"/>
        <v>0</v>
      </c>
      <c r="CG78" s="5">
        <f t="shared" si="38"/>
        <v>0</v>
      </c>
      <c r="CH78" s="5">
        <f t="shared" si="39"/>
        <v>0</v>
      </c>
      <c r="CI78" s="5">
        <f t="shared" si="40"/>
        <v>0</v>
      </c>
      <c r="CJ78" s="5">
        <f t="shared" si="41"/>
        <v>0</v>
      </c>
      <c r="CK78" s="5">
        <f t="shared" si="42"/>
        <v>0</v>
      </c>
      <c r="CL78" s="5">
        <f t="shared" si="43"/>
        <v>0</v>
      </c>
      <c r="CM78" s="5">
        <f t="shared" si="44"/>
        <v>0</v>
      </c>
      <c r="CN78" s="5">
        <f t="shared" si="45"/>
        <v>0</v>
      </c>
      <c r="CO78" s="5">
        <f t="shared" si="46"/>
        <v>0</v>
      </c>
      <c r="CP78" s="6">
        <f t="shared" si="47"/>
        <v>0</v>
      </c>
      <c r="CQ78" s="6">
        <f t="shared" si="48"/>
        <v>0</v>
      </c>
      <c r="CR78" s="6">
        <f t="shared" si="49"/>
        <v>0</v>
      </c>
      <c r="CS78" s="6">
        <f t="shared" si="50"/>
        <v>0</v>
      </c>
      <c r="CT78" s="6">
        <f t="shared" si="51"/>
        <v>0</v>
      </c>
      <c r="CU78" s="6">
        <f t="shared" si="52"/>
        <v>0</v>
      </c>
      <c r="CV78" s="6">
        <f t="shared" si="53"/>
        <v>0</v>
      </c>
      <c r="CW78" s="6">
        <f t="shared" si="54"/>
        <v>0</v>
      </c>
      <c r="CX78" s="6">
        <f t="shared" si="55"/>
        <v>0</v>
      </c>
      <c r="CY78" s="6">
        <f t="shared" si="56"/>
        <v>0</v>
      </c>
      <c r="CZ78" s="6">
        <f t="shared" si="57"/>
        <v>0</v>
      </c>
      <c r="DA78" s="6">
        <f t="shared" si="58"/>
        <v>0</v>
      </c>
      <c r="DB78" s="6">
        <f t="shared" si="59"/>
        <v>0</v>
      </c>
      <c r="DC78" s="6">
        <f t="shared" si="60"/>
        <v>0</v>
      </c>
      <c r="DD78" s="6">
        <f t="shared" si="61"/>
        <v>0</v>
      </c>
      <c r="DE78" s="6">
        <f t="shared" si="62"/>
        <v>0</v>
      </c>
      <c r="DF78" s="6">
        <f t="shared" si="63"/>
        <v>0</v>
      </c>
      <c r="DG78" s="6">
        <f t="shared" si="64"/>
        <v>0</v>
      </c>
      <c r="DH78" s="6">
        <f t="shared" si="486"/>
        <v>0</v>
      </c>
      <c r="DI78" s="6">
        <f t="shared" si="66"/>
        <v>0</v>
      </c>
      <c r="DJ78" s="6">
        <f t="shared" si="487"/>
        <v>0</v>
      </c>
      <c r="DK78" s="7">
        <f t="shared" si="68"/>
        <v>1</v>
      </c>
      <c r="DL78" s="7">
        <f t="shared" si="411"/>
        <v>0</v>
      </c>
      <c r="DM78" s="7">
        <f t="shared" si="70"/>
        <v>0</v>
      </c>
      <c r="DN78" s="7">
        <f t="shared" si="71"/>
        <v>0</v>
      </c>
      <c r="DO78" s="7">
        <f t="shared" si="72"/>
        <v>1</v>
      </c>
      <c r="DP78" s="8">
        <f t="shared" si="73"/>
        <v>0</v>
      </c>
      <c r="DQ78" s="8">
        <f t="shared" si="74"/>
        <v>0</v>
      </c>
      <c r="DR78" s="7">
        <f t="shared" si="75"/>
        <v>0</v>
      </c>
      <c r="DS78" s="7">
        <f t="shared" si="76"/>
        <v>0</v>
      </c>
      <c r="DT78" s="7">
        <f t="shared" si="77"/>
        <v>0</v>
      </c>
      <c r="DU78" s="9">
        <f t="shared" si="78"/>
        <v>0</v>
      </c>
      <c r="DV78" s="9">
        <f t="shared" si="79"/>
        <v>0</v>
      </c>
      <c r="DW78" s="9">
        <f t="shared" si="80"/>
        <v>0</v>
      </c>
      <c r="DX78" s="9">
        <f t="shared" si="81"/>
        <v>0</v>
      </c>
      <c r="DY78" s="9">
        <f t="shared" si="82"/>
        <v>0</v>
      </c>
      <c r="DZ78" s="9">
        <f t="shared" si="83"/>
        <v>0</v>
      </c>
      <c r="EA78" s="9">
        <f t="shared" si="84"/>
        <v>0</v>
      </c>
      <c r="EB78" s="9">
        <f t="shared" si="85"/>
        <v>0</v>
      </c>
      <c r="EC78" s="9">
        <f t="shared" si="86"/>
        <v>0</v>
      </c>
      <c r="ED78" s="9">
        <f t="shared" si="87"/>
        <v>0</v>
      </c>
      <c r="EE78" s="9">
        <f t="shared" si="88"/>
        <v>0</v>
      </c>
      <c r="EF78" s="9">
        <f t="shared" si="89"/>
        <v>0</v>
      </c>
      <c r="EG78" s="9">
        <f t="shared" si="90"/>
        <v>0</v>
      </c>
      <c r="EH78" s="9">
        <f t="shared" si="91"/>
        <v>0</v>
      </c>
      <c r="EI78" s="9">
        <f t="shared" si="92"/>
        <v>0</v>
      </c>
      <c r="EJ78" s="10">
        <f t="shared" si="93"/>
        <v>0</v>
      </c>
      <c r="EK78" s="10">
        <f t="shared" si="94"/>
        <v>0</v>
      </c>
      <c r="EL78" s="10">
        <f t="shared" ref="EL78:EM78" si="490">IF(OR(ISNUMBER(SEARCH("ai software toolkit", $D78)), ISNUMBER(SEARCH("ai software toolkit", $T78)), ISNUMBER(SEARCH("ai software toolkit", $R78)), ISNUMBER(SEARCH("ai software toolkit", $S78))), 1, 0)</f>
        <v>0</v>
      </c>
      <c r="EM78" s="10">
        <f t="shared" si="490"/>
        <v>0</v>
      </c>
      <c r="EN78" s="10">
        <f t="shared" si="96"/>
        <v>0</v>
      </c>
      <c r="EO78" s="10">
        <f t="shared" si="97"/>
        <v>0</v>
      </c>
      <c r="EP78" s="10">
        <f t="shared" si="98"/>
        <v>0</v>
      </c>
      <c r="EQ78" s="10">
        <f t="shared" si="99"/>
        <v>0</v>
      </c>
      <c r="ER78" s="10">
        <f t="shared" si="100"/>
        <v>0</v>
      </c>
      <c r="ES78" s="10">
        <f t="shared" si="101"/>
        <v>0</v>
      </c>
      <c r="ET78" s="10">
        <f t="shared" si="102"/>
        <v>0</v>
      </c>
      <c r="EU78" s="10">
        <f t="shared" si="103"/>
        <v>0</v>
      </c>
      <c r="EV78" s="10">
        <f t="shared" si="104"/>
        <v>0</v>
      </c>
      <c r="EW78" s="10">
        <f t="shared" si="105"/>
        <v>0</v>
      </c>
      <c r="EX78" s="10">
        <f t="shared" si="106"/>
        <v>0</v>
      </c>
      <c r="EY78" s="10">
        <f t="shared" si="107"/>
        <v>0</v>
      </c>
      <c r="EZ78" s="10">
        <f t="shared" si="108"/>
        <v>0</v>
      </c>
      <c r="FA78" s="10">
        <f t="shared" si="109"/>
        <v>0</v>
      </c>
      <c r="FB78" s="10">
        <f t="shared" si="110"/>
        <v>0</v>
      </c>
      <c r="FC78" s="10">
        <f t="shared" si="111"/>
        <v>0</v>
      </c>
      <c r="FD78" s="10">
        <f t="shared" si="112"/>
        <v>0</v>
      </c>
      <c r="FE78" s="10">
        <f t="shared" si="113"/>
        <v>0</v>
      </c>
      <c r="FF78" s="10">
        <f t="shared" si="114"/>
        <v>0</v>
      </c>
      <c r="FG78" s="10">
        <f t="shared" si="115"/>
        <v>0</v>
      </c>
      <c r="FH78" s="10">
        <f t="shared" si="116"/>
        <v>0</v>
      </c>
      <c r="FI78" s="10">
        <f t="shared" si="117"/>
        <v>0</v>
      </c>
      <c r="FJ78" s="10">
        <f t="shared" si="118"/>
        <v>0</v>
      </c>
      <c r="FK78" s="10">
        <f t="shared" si="119"/>
        <v>0</v>
      </c>
      <c r="FL78" s="10">
        <f t="shared" si="120"/>
        <v>0</v>
      </c>
      <c r="FM78" s="10">
        <f t="shared" si="121"/>
        <v>0</v>
      </c>
      <c r="FN78" s="10">
        <f t="shared" si="122"/>
        <v>0</v>
      </c>
      <c r="FO78" s="10">
        <f t="shared" si="123"/>
        <v>0</v>
      </c>
      <c r="FP78" s="10">
        <f t="shared" si="124"/>
        <v>0</v>
      </c>
      <c r="FQ78" s="10">
        <f t="shared" si="125"/>
        <v>0</v>
      </c>
      <c r="FR78" s="11">
        <f t="shared" si="470"/>
        <v>0</v>
      </c>
      <c r="FS78" s="11">
        <f t="shared" si="127"/>
        <v>0</v>
      </c>
      <c r="FT78" s="11">
        <f t="shared" si="128"/>
        <v>0</v>
      </c>
      <c r="FU78" s="11">
        <f t="shared" si="129"/>
        <v>0</v>
      </c>
      <c r="FV78" s="11">
        <f t="shared" si="130"/>
        <v>0</v>
      </c>
      <c r="FW78" s="11">
        <f t="shared" si="131"/>
        <v>0</v>
      </c>
      <c r="FX78" s="11">
        <f t="shared" si="132"/>
        <v>0</v>
      </c>
      <c r="FY78" s="11">
        <f t="shared" si="133"/>
        <v>0</v>
      </c>
      <c r="FZ78" s="11">
        <f t="shared" si="134"/>
        <v>0</v>
      </c>
      <c r="GA78" s="11">
        <f t="shared" si="135"/>
        <v>0</v>
      </c>
      <c r="GB78" s="11">
        <f t="shared" si="136"/>
        <v>0</v>
      </c>
      <c r="GC78" s="11">
        <f t="shared" si="137"/>
        <v>0</v>
      </c>
      <c r="GD78" s="11">
        <f t="shared" si="138"/>
        <v>0</v>
      </c>
      <c r="GE78" s="11">
        <f t="shared" si="139"/>
        <v>0</v>
      </c>
      <c r="GF78" s="11">
        <f t="shared" si="140"/>
        <v>0</v>
      </c>
      <c r="GG78" s="11">
        <f t="shared" si="141"/>
        <v>0</v>
      </c>
      <c r="GH78" s="11">
        <f t="shared" si="142"/>
        <v>0</v>
      </c>
      <c r="GI78" s="11">
        <f t="shared" si="143"/>
        <v>0</v>
      </c>
      <c r="GJ78" s="11">
        <f t="shared" si="144"/>
        <v>0</v>
      </c>
      <c r="GK78" s="11">
        <f t="shared" si="145"/>
        <v>0</v>
      </c>
      <c r="GL78" s="11">
        <f t="shared" si="146"/>
        <v>0</v>
      </c>
      <c r="GM78" s="11">
        <f t="shared" si="147"/>
        <v>0</v>
      </c>
      <c r="GN78" s="11">
        <f t="shared" si="148"/>
        <v>0</v>
      </c>
      <c r="GO78" s="11">
        <f t="shared" si="149"/>
        <v>0</v>
      </c>
      <c r="GP78" s="11">
        <f t="shared" si="150"/>
        <v>0</v>
      </c>
      <c r="GQ78" s="11">
        <f t="shared" si="151"/>
        <v>0</v>
      </c>
      <c r="GR78" s="11">
        <f t="shared" si="152"/>
        <v>0</v>
      </c>
      <c r="GS78" s="11">
        <f t="shared" si="153"/>
        <v>0</v>
      </c>
      <c r="GT78" s="11">
        <f t="shared" si="154"/>
        <v>0</v>
      </c>
      <c r="GU78" s="12">
        <f t="shared" si="155"/>
        <v>0</v>
      </c>
      <c r="GV78" s="12">
        <f t="shared" si="156"/>
        <v>0</v>
      </c>
      <c r="GW78" s="12">
        <f t="shared" si="157"/>
        <v>0</v>
      </c>
      <c r="GX78" s="12">
        <f t="shared" si="158"/>
        <v>0</v>
      </c>
      <c r="GY78" s="12">
        <f t="shared" si="159"/>
        <v>0</v>
      </c>
      <c r="GZ78" s="12">
        <f t="shared" si="160"/>
        <v>0</v>
      </c>
      <c r="HA78" s="12">
        <f t="shared" si="161"/>
        <v>0</v>
      </c>
      <c r="HB78" s="12">
        <f t="shared" si="162"/>
        <v>0</v>
      </c>
      <c r="HC78" s="12">
        <f t="shared" si="163"/>
        <v>0</v>
      </c>
      <c r="HD78" s="12">
        <f t="shared" si="164"/>
        <v>0</v>
      </c>
      <c r="HE78" s="12">
        <f t="shared" si="165"/>
        <v>0</v>
      </c>
      <c r="HF78" s="12">
        <f t="shared" si="166"/>
        <v>0</v>
      </c>
      <c r="HG78" s="12">
        <f t="shared" si="167"/>
        <v>0</v>
      </c>
      <c r="HH78" s="12">
        <f t="shared" si="168"/>
        <v>0</v>
      </c>
      <c r="HI78" s="12">
        <f t="shared" si="169"/>
        <v>0</v>
      </c>
      <c r="HJ78" s="12">
        <f t="shared" si="170"/>
        <v>0</v>
      </c>
      <c r="HK78" s="12">
        <f t="shared" si="171"/>
        <v>0</v>
      </c>
      <c r="HL78" s="12">
        <f t="shared" si="172"/>
        <v>0</v>
      </c>
      <c r="HM78" s="12">
        <f t="shared" si="173"/>
        <v>0</v>
      </c>
      <c r="HN78" s="12">
        <f t="shared" si="174"/>
        <v>0</v>
      </c>
      <c r="HO78" s="12">
        <f t="shared" si="175"/>
        <v>0</v>
      </c>
      <c r="HP78" s="12">
        <f t="shared" si="176"/>
        <v>0</v>
      </c>
      <c r="HQ78" s="12">
        <f t="shared" si="177"/>
        <v>0</v>
      </c>
      <c r="HR78" s="12">
        <f t="shared" si="178"/>
        <v>0</v>
      </c>
      <c r="HS78" s="12">
        <f t="shared" si="179"/>
        <v>0</v>
      </c>
      <c r="HT78" s="12">
        <f t="shared" si="180"/>
        <v>0</v>
      </c>
      <c r="HU78" s="12">
        <f t="shared" si="181"/>
        <v>0</v>
      </c>
      <c r="HV78" s="12">
        <f t="shared" si="182"/>
        <v>0</v>
      </c>
      <c r="HW78" s="12">
        <f t="shared" si="183"/>
        <v>0</v>
      </c>
      <c r="HX78" s="12">
        <f t="shared" si="184"/>
        <v>0</v>
      </c>
      <c r="HY78" s="12">
        <f t="shared" si="185"/>
        <v>0</v>
      </c>
      <c r="HZ78" s="12">
        <f t="shared" si="186"/>
        <v>0</v>
      </c>
      <c r="IA78" s="12">
        <f t="shared" si="187"/>
        <v>0</v>
      </c>
      <c r="IB78" s="12">
        <f t="shared" si="188"/>
        <v>0</v>
      </c>
      <c r="IC78" s="12">
        <f t="shared" si="189"/>
        <v>0</v>
      </c>
      <c r="ID78" s="12">
        <f t="shared" si="190"/>
        <v>0</v>
      </c>
      <c r="IE78" s="12">
        <f t="shared" si="191"/>
        <v>0</v>
      </c>
      <c r="IF78" s="12">
        <f t="shared" si="192"/>
        <v>0</v>
      </c>
      <c r="IG78" s="12">
        <f t="shared" si="193"/>
        <v>0</v>
      </c>
      <c r="IH78" s="12">
        <f t="shared" si="194"/>
        <v>0</v>
      </c>
      <c r="II78" s="12">
        <f t="shared" si="195"/>
        <v>0</v>
      </c>
      <c r="IJ78" s="12">
        <f t="shared" si="196"/>
        <v>0</v>
      </c>
      <c r="IK78" s="12">
        <f t="shared" si="197"/>
        <v>0</v>
      </c>
      <c r="IL78" s="12">
        <f t="shared" si="198"/>
        <v>0</v>
      </c>
      <c r="IM78" s="12">
        <f t="shared" si="199"/>
        <v>0</v>
      </c>
      <c r="IN78" s="12">
        <f t="shared" si="200"/>
        <v>0</v>
      </c>
      <c r="IO78" s="12">
        <f t="shared" si="201"/>
        <v>0</v>
      </c>
      <c r="IP78" s="12">
        <f t="shared" si="202"/>
        <v>0</v>
      </c>
      <c r="IQ78" s="12">
        <f t="shared" si="203"/>
        <v>0</v>
      </c>
      <c r="IR78" s="12">
        <f t="shared" si="204"/>
        <v>0</v>
      </c>
      <c r="IS78" s="12">
        <f t="shared" si="205"/>
        <v>0</v>
      </c>
      <c r="IT78" s="12">
        <f t="shared" si="206"/>
        <v>0</v>
      </c>
      <c r="IU78" s="12">
        <f t="shared" si="207"/>
        <v>0</v>
      </c>
      <c r="IV78" s="12">
        <f t="shared" si="208"/>
        <v>0</v>
      </c>
      <c r="IW78" s="12">
        <f t="shared" si="209"/>
        <v>0</v>
      </c>
      <c r="IX78" s="12">
        <f t="shared" si="210"/>
        <v>0</v>
      </c>
      <c r="IY78" s="12">
        <f t="shared" si="211"/>
        <v>0</v>
      </c>
      <c r="IZ78" s="12">
        <f t="shared" si="212"/>
        <v>1</v>
      </c>
      <c r="JA78" s="13">
        <f t="shared" si="213"/>
        <v>0</v>
      </c>
      <c r="JB78" s="13">
        <f t="shared" si="214"/>
        <v>0</v>
      </c>
      <c r="JC78" s="13">
        <f t="shared" si="215"/>
        <v>0</v>
      </c>
      <c r="JD78" s="13">
        <f t="shared" si="216"/>
        <v>0</v>
      </c>
      <c r="JE78" s="13">
        <f t="shared" si="217"/>
        <v>0</v>
      </c>
      <c r="JF78" s="13">
        <f t="shared" si="218"/>
        <v>0</v>
      </c>
      <c r="JG78" s="13">
        <f t="shared" si="219"/>
        <v>0</v>
      </c>
      <c r="JH78" s="13">
        <f t="shared" si="220"/>
        <v>0</v>
      </c>
      <c r="JI78" s="13">
        <f t="shared" si="221"/>
        <v>0</v>
      </c>
      <c r="JJ78" s="13">
        <f t="shared" si="222"/>
        <v>0</v>
      </c>
      <c r="JK78" s="13">
        <f t="shared" si="223"/>
        <v>0</v>
      </c>
      <c r="JL78" s="13">
        <f t="shared" si="224"/>
        <v>0</v>
      </c>
      <c r="JM78" s="13">
        <f t="shared" si="225"/>
        <v>0</v>
      </c>
      <c r="JN78" s="13">
        <f t="shared" si="226"/>
        <v>0</v>
      </c>
      <c r="JO78" s="13">
        <f t="shared" si="227"/>
        <v>0</v>
      </c>
      <c r="JP78" s="13">
        <f t="shared" si="228"/>
        <v>0</v>
      </c>
      <c r="JQ78" s="13">
        <f t="shared" si="229"/>
        <v>0</v>
      </c>
      <c r="JR78" s="13">
        <f t="shared" si="230"/>
        <v>0</v>
      </c>
      <c r="JS78" s="13">
        <f t="shared" si="231"/>
        <v>0</v>
      </c>
      <c r="JT78" s="13">
        <f t="shared" si="232"/>
        <v>0</v>
      </c>
      <c r="JU78" s="13">
        <f t="shared" si="233"/>
        <v>0</v>
      </c>
      <c r="JV78" s="12">
        <f t="shared" si="234"/>
        <v>0</v>
      </c>
      <c r="JW78" s="12">
        <f t="shared" si="235"/>
        <v>0</v>
      </c>
      <c r="JX78" s="12">
        <f t="shared" si="236"/>
        <v>0</v>
      </c>
      <c r="JY78" s="12">
        <f t="shared" si="237"/>
        <v>0</v>
      </c>
      <c r="JZ78" s="12">
        <f t="shared" si="238"/>
        <v>0</v>
      </c>
      <c r="KA78" s="12">
        <f t="shared" si="239"/>
        <v>0</v>
      </c>
      <c r="KB78" s="12">
        <f t="shared" si="240"/>
        <v>0</v>
      </c>
      <c r="KC78" s="12">
        <f t="shared" si="241"/>
        <v>0</v>
      </c>
      <c r="KD78" s="12">
        <f t="shared" si="242"/>
        <v>0</v>
      </c>
      <c r="KE78" s="12">
        <f t="shared" si="243"/>
        <v>0</v>
      </c>
      <c r="KF78" s="12">
        <f t="shared" si="244"/>
        <v>0</v>
      </c>
      <c r="KG78" s="12">
        <f t="shared" si="245"/>
        <v>0</v>
      </c>
      <c r="KH78" s="12">
        <f t="shared" si="246"/>
        <v>0</v>
      </c>
      <c r="KI78" s="12">
        <f t="shared" si="247"/>
        <v>0</v>
      </c>
      <c r="KJ78" s="12">
        <f t="shared" si="248"/>
        <v>0</v>
      </c>
      <c r="KK78" s="12">
        <f t="shared" si="249"/>
        <v>0</v>
      </c>
      <c r="KL78" s="12">
        <f t="shared" si="250"/>
        <v>0</v>
      </c>
      <c r="KM78" s="12">
        <f t="shared" si="251"/>
        <v>0</v>
      </c>
      <c r="KN78" s="12">
        <f t="shared" si="252"/>
        <v>0</v>
      </c>
      <c r="KO78" s="12">
        <f t="shared" si="253"/>
        <v>0</v>
      </c>
      <c r="KP78" s="12">
        <f t="shared" si="254"/>
        <v>0</v>
      </c>
      <c r="KQ78" s="12">
        <f t="shared" si="255"/>
        <v>0</v>
      </c>
      <c r="KR78" s="12">
        <f t="shared" si="256"/>
        <v>0</v>
      </c>
      <c r="KS78" s="12">
        <f t="shared" si="257"/>
        <v>0</v>
      </c>
      <c r="KT78" s="12">
        <f t="shared" si="258"/>
        <v>0</v>
      </c>
      <c r="KU78" s="12">
        <f t="shared" si="259"/>
        <v>0</v>
      </c>
      <c r="KV78" s="12">
        <f t="shared" si="260"/>
        <v>0</v>
      </c>
      <c r="KW78" s="12">
        <f t="shared" si="261"/>
        <v>0</v>
      </c>
      <c r="KX78" s="12">
        <f t="shared" si="262"/>
        <v>0</v>
      </c>
      <c r="KY78" s="12">
        <f t="shared" si="263"/>
        <v>0</v>
      </c>
      <c r="KZ78" s="12">
        <f t="shared" si="264"/>
        <v>0</v>
      </c>
      <c r="LA78" s="12">
        <f t="shared" si="265"/>
        <v>0</v>
      </c>
      <c r="LB78" s="12">
        <f t="shared" si="266"/>
        <v>0</v>
      </c>
      <c r="LC78" s="12">
        <f t="shared" si="267"/>
        <v>0</v>
      </c>
      <c r="LD78" s="12">
        <f t="shared" si="268"/>
        <v>0</v>
      </c>
      <c r="LE78" s="12">
        <f t="shared" si="269"/>
        <v>0</v>
      </c>
      <c r="LF78" s="12">
        <f t="shared" si="270"/>
        <v>0</v>
      </c>
      <c r="LG78" s="12">
        <f t="shared" si="271"/>
        <v>0</v>
      </c>
      <c r="LH78" s="12">
        <f t="shared" si="272"/>
        <v>0</v>
      </c>
      <c r="LI78" s="12">
        <f t="shared" si="273"/>
        <v>0</v>
      </c>
      <c r="LJ78" s="12">
        <f t="shared" si="274"/>
        <v>0</v>
      </c>
      <c r="LK78" s="12">
        <f t="shared" si="275"/>
        <v>0</v>
      </c>
      <c r="LL78" s="12">
        <f t="shared" si="276"/>
        <v>0</v>
      </c>
      <c r="LM78" s="12">
        <f t="shared" si="277"/>
        <v>0</v>
      </c>
      <c r="LN78" s="12">
        <f t="shared" si="278"/>
        <v>0</v>
      </c>
      <c r="LO78" s="12">
        <f t="shared" si="279"/>
        <v>0</v>
      </c>
      <c r="LP78" s="12">
        <f t="shared" si="280"/>
        <v>0</v>
      </c>
      <c r="LQ78" s="12">
        <f t="shared" si="281"/>
        <v>0</v>
      </c>
      <c r="LR78" s="12">
        <f t="shared" si="282"/>
        <v>0</v>
      </c>
      <c r="LS78" s="12">
        <f t="shared" si="283"/>
        <v>0</v>
      </c>
      <c r="LT78" s="13">
        <f t="shared" si="284"/>
        <v>0</v>
      </c>
      <c r="LU78" s="13">
        <f t="shared" si="285"/>
        <v>0</v>
      </c>
      <c r="LV78" s="13">
        <f t="shared" si="286"/>
        <v>0</v>
      </c>
      <c r="LW78" s="13">
        <f t="shared" si="287"/>
        <v>0</v>
      </c>
      <c r="LX78" s="13">
        <f t="shared" si="288"/>
        <v>0</v>
      </c>
      <c r="LY78" s="13">
        <f t="shared" si="289"/>
        <v>0</v>
      </c>
      <c r="LZ78" s="13">
        <f t="shared" si="290"/>
        <v>0</v>
      </c>
      <c r="MA78" s="13">
        <f t="shared" si="291"/>
        <v>0</v>
      </c>
      <c r="MB78" s="13">
        <f t="shared" si="292"/>
        <v>0</v>
      </c>
      <c r="MC78" s="13">
        <f t="shared" si="293"/>
        <v>0</v>
      </c>
      <c r="MD78" s="13">
        <f t="shared" si="294"/>
        <v>0</v>
      </c>
      <c r="ME78" s="13">
        <f t="shared" si="295"/>
        <v>0</v>
      </c>
      <c r="MF78" s="13">
        <f t="shared" si="296"/>
        <v>0</v>
      </c>
      <c r="MG78" s="13">
        <f t="shared" si="297"/>
        <v>0</v>
      </c>
      <c r="MH78" s="13">
        <f t="shared" si="298"/>
        <v>0</v>
      </c>
      <c r="MI78" s="13">
        <f t="shared" si="299"/>
        <v>0</v>
      </c>
      <c r="MJ78" s="13">
        <f t="shared" si="300"/>
        <v>0</v>
      </c>
      <c r="MK78" s="13">
        <f t="shared" si="301"/>
        <v>0</v>
      </c>
      <c r="ML78" s="14">
        <f t="shared" si="302"/>
        <v>0</v>
      </c>
      <c r="MM78" s="14">
        <f t="shared" si="303"/>
        <v>0</v>
      </c>
      <c r="MN78" s="14">
        <f t="shared" si="304"/>
        <v>0</v>
      </c>
      <c r="MO78" s="14">
        <f t="shared" si="305"/>
        <v>0</v>
      </c>
      <c r="MP78" s="14">
        <f t="shared" si="306"/>
        <v>0</v>
      </c>
      <c r="MQ78" s="14">
        <f t="shared" si="307"/>
        <v>0</v>
      </c>
      <c r="MR78" s="14">
        <f t="shared" si="308"/>
        <v>0</v>
      </c>
      <c r="MS78" s="14">
        <f t="shared" si="309"/>
        <v>0</v>
      </c>
      <c r="MT78" s="14">
        <f t="shared" si="310"/>
        <v>0</v>
      </c>
      <c r="MU78" s="14">
        <f t="shared" si="311"/>
        <v>1</v>
      </c>
      <c r="MV78" s="14">
        <f t="shared" si="312"/>
        <v>0</v>
      </c>
      <c r="MW78" s="14">
        <f t="shared" si="313"/>
        <v>0</v>
      </c>
      <c r="MX78" s="14">
        <f t="shared" si="314"/>
        <v>0</v>
      </c>
      <c r="MY78" s="14">
        <f t="shared" si="315"/>
        <v>0</v>
      </c>
      <c r="MZ78" s="14">
        <f t="shared" si="316"/>
        <v>0</v>
      </c>
      <c r="NA78" s="14">
        <f t="shared" si="317"/>
        <v>0</v>
      </c>
      <c r="NB78" s="14">
        <f t="shared" si="318"/>
        <v>0</v>
      </c>
    </row>
    <row r="79" ht="15.75" customHeight="1">
      <c r="A79" s="2">
        <v>260.0</v>
      </c>
      <c r="B79" s="2" t="s">
        <v>1730</v>
      </c>
      <c r="C79" s="2" t="s">
        <v>1731</v>
      </c>
      <c r="D79" s="2" t="s">
        <v>1732</v>
      </c>
      <c r="E79" s="2">
        <v>2019.0</v>
      </c>
      <c r="F79" s="2" t="s">
        <v>1733</v>
      </c>
      <c r="G79" s="2" t="s">
        <v>1734</v>
      </c>
      <c r="J79" s="2" t="s">
        <v>1735</v>
      </c>
      <c r="K79" s="2" t="s">
        <v>1736</v>
      </c>
      <c r="M79" s="2">
        <v>16.0</v>
      </c>
      <c r="N79" s="2" t="s">
        <v>1737</v>
      </c>
      <c r="O79" s="2" t="s">
        <v>1738</v>
      </c>
      <c r="P79" s="2" t="s">
        <v>1739</v>
      </c>
      <c r="Q79" s="2" t="s">
        <v>1740</v>
      </c>
      <c r="R79" s="2" t="s">
        <v>1741</v>
      </c>
      <c r="S79" s="2" t="s">
        <v>1742</v>
      </c>
      <c r="T79" s="2" t="s">
        <v>1743</v>
      </c>
      <c r="Y79" s="2" t="s">
        <v>1744</v>
      </c>
      <c r="AB79" s="2" t="s">
        <v>646</v>
      </c>
      <c r="AG79" s="2" t="s">
        <v>1745</v>
      </c>
      <c r="AI79" s="2" t="s">
        <v>1746</v>
      </c>
      <c r="AK79" s="2" t="s">
        <v>1747</v>
      </c>
      <c r="AL79" s="2" t="s">
        <v>384</v>
      </c>
      <c r="AM79" s="2" t="s">
        <v>385</v>
      </c>
      <c r="AN79" s="2" t="s">
        <v>386</v>
      </c>
      <c r="AO79" s="2" t="s">
        <v>1748</v>
      </c>
      <c r="AP79" s="2" t="s">
        <v>386</v>
      </c>
      <c r="AQ79" s="2">
        <v>1079.0</v>
      </c>
      <c r="AR79" s="2" t="s">
        <v>1732</v>
      </c>
      <c r="AS79" s="2" t="b">
        <v>0</v>
      </c>
      <c r="AT79" s="3">
        <v>0.0</v>
      </c>
      <c r="AU79" s="4"/>
      <c r="AV79" s="4"/>
      <c r="AW79" s="5">
        <f t="shared" si="432"/>
        <v>0</v>
      </c>
      <c r="AX79" s="5">
        <f t="shared" si="4"/>
        <v>0</v>
      </c>
      <c r="AY79" s="5">
        <f t="shared" si="5"/>
        <v>0</v>
      </c>
      <c r="AZ79" s="5">
        <f t="shared" si="6"/>
        <v>0</v>
      </c>
      <c r="BA79" s="5">
        <f t="shared" si="7"/>
        <v>0</v>
      </c>
      <c r="BB79" s="5">
        <f t="shared" si="8"/>
        <v>0</v>
      </c>
      <c r="BC79" s="5">
        <f t="shared" si="9"/>
        <v>0</v>
      </c>
      <c r="BD79" s="5">
        <f t="shared" si="10"/>
        <v>0</v>
      </c>
      <c r="BE79" s="5">
        <f t="shared" si="11"/>
        <v>0</v>
      </c>
      <c r="BF79" s="5">
        <f t="shared" si="12"/>
        <v>0</v>
      </c>
      <c r="BG79" s="5">
        <f t="shared" si="13"/>
        <v>0</v>
      </c>
      <c r="BH79" s="5">
        <f t="shared" si="14"/>
        <v>0</v>
      </c>
      <c r="BI79" s="5">
        <f t="shared" si="15"/>
        <v>0</v>
      </c>
      <c r="BJ79" s="5">
        <f t="shared" si="16"/>
        <v>0</v>
      </c>
      <c r="BK79" s="5">
        <f t="shared" si="17"/>
        <v>0</v>
      </c>
      <c r="BL79" s="5">
        <f t="shared" si="18"/>
        <v>0</v>
      </c>
      <c r="BM79" s="5">
        <f t="shared" si="19"/>
        <v>0</v>
      </c>
      <c r="BN79" s="5">
        <f t="shared" si="20"/>
        <v>0</v>
      </c>
      <c r="BO79" s="5">
        <f t="shared" si="21"/>
        <v>0</v>
      </c>
      <c r="BP79" s="5">
        <f t="shared" si="22"/>
        <v>0</v>
      </c>
      <c r="BQ79" s="5">
        <f t="shared" si="23"/>
        <v>0</v>
      </c>
      <c r="BR79" s="5">
        <f t="shared" si="24"/>
        <v>0</v>
      </c>
      <c r="BS79" s="5">
        <f t="shared" si="25"/>
        <v>0</v>
      </c>
      <c r="BT79" s="5">
        <f t="shared" si="26"/>
        <v>0</v>
      </c>
      <c r="BU79" s="5">
        <f t="shared" si="27"/>
        <v>0</v>
      </c>
      <c r="BV79" s="5">
        <f t="shared" ref="BV79:BW79" si="491">IF(OR(ISNUMBER(SEARCH("grit",$D79)),ISNUMBER(SEARCH("grit",$T79)),ISNUMBER(SEARCH("grit",$R79)),ISNUMBER(SEARCH("grit",$S79)),
ISNUMBER(SEARCH("determination",$D79)),ISNUMBER(SEARCH("determination",$T79)),ISNUMBER(SEARCH("determination",$R79)),ISNUMBER(SEARCH("determination",$S79)),
ISNUMBER(SEARCH("tenacity",$D79)),ISNUMBER(SEARCH("tenacity",$T79)),ISNUMBER(SEARCH("tenacity",$R79)),ISNUMBER(SEARCH("tenacity",$S79)),
ISNUMBER(SEARCH("endurance",$D79)),ISNUMBER(SEARCH("endurance",$T79)),ISNUMBER(SEARCH("endurance",$R79)),ISNUMBER(SEARCH("endurance",$S79)),
ISNUMBER(SEARCH("fortitude",$D79)),ISNUMBER(SEARCH("fortitude",$T79)),ISNUMBER(SEARCH("fortitude",$R79)),ISNUMBER(SEARCH("fortitude",$S79)),
ISNUMBER(SEARCH("resolve",$D79)),ISNUMBER(SEARCH("resolve",$T79)),ISNUMBER(SEARCH("resolve",$R79)),ISNUMBER(SEARCH("resolve",$S79)),
ISNUMBER(SEARCH("stamina",$D79)),ISNUMBER(SEARCH("stamina",$T79)),ISNUMBER(SEARCH("stamina",$R79)),ISNUMBER(SEARCH("stamina",$S79)),
ISNUMBER(SEARCH("guts",$D79)),ISNUMBER(SEARCH("guts",$T79)),ISNUMBER(SEARCH("guts",$R79)),ISNUMBER(SEARCH("guts",$S79)),
ISNUMBER(SEARCH("spunk",$D79)),ISNUMBER(SEARCH("spunk",$T79)),ISNUMBER(SEARCH("spunk",$R79)),ISNUMBER(SEARCH("spunk",$S79))), 1, 0)</f>
        <v>0</v>
      </c>
      <c r="BW79" s="5">
        <f t="shared" si="491"/>
        <v>0</v>
      </c>
      <c r="BX79" s="5">
        <f t="shared" si="29"/>
        <v>0</v>
      </c>
      <c r="BY79" s="5">
        <f t="shared" si="30"/>
        <v>0</v>
      </c>
      <c r="BZ79" s="5">
        <f t="shared" si="31"/>
        <v>0</v>
      </c>
      <c r="CA79" s="5">
        <f t="shared" si="32"/>
        <v>0</v>
      </c>
      <c r="CB79" s="5">
        <f t="shared" si="33"/>
        <v>0</v>
      </c>
      <c r="CC79" s="5">
        <f t="shared" si="34"/>
        <v>0</v>
      </c>
      <c r="CD79" s="5">
        <f t="shared" si="35"/>
        <v>0</v>
      </c>
      <c r="CE79" s="5">
        <f t="shared" si="36"/>
        <v>0</v>
      </c>
      <c r="CF79" s="5">
        <f t="shared" si="37"/>
        <v>0</v>
      </c>
      <c r="CG79" s="5">
        <f t="shared" si="38"/>
        <v>0</v>
      </c>
      <c r="CH79" s="5">
        <f t="shared" si="39"/>
        <v>0</v>
      </c>
      <c r="CI79" s="5">
        <f t="shared" si="40"/>
        <v>0</v>
      </c>
      <c r="CJ79" s="5">
        <f t="shared" si="41"/>
        <v>0</v>
      </c>
      <c r="CK79" s="5">
        <f t="shared" si="42"/>
        <v>0</v>
      </c>
      <c r="CL79" s="5">
        <f t="shared" si="43"/>
        <v>0</v>
      </c>
      <c r="CM79" s="5">
        <f t="shared" si="44"/>
        <v>0</v>
      </c>
      <c r="CN79" s="5">
        <f t="shared" si="45"/>
        <v>0</v>
      </c>
      <c r="CO79" s="5">
        <f t="shared" si="46"/>
        <v>0</v>
      </c>
      <c r="CP79" s="6">
        <f t="shared" si="47"/>
        <v>0</v>
      </c>
      <c r="CQ79" s="6">
        <f t="shared" si="48"/>
        <v>0</v>
      </c>
      <c r="CR79" s="6">
        <f t="shared" si="49"/>
        <v>0</v>
      </c>
      <c r="CS79" s="6">
        <f t="shared" si="50"/>
        <v>0</v>
      </c>
      <c r="CT79" s="6">
        <f t="shared" si="51"/>
        <v>0</v>
      </c>
      <c r="CU79" s="6">
        <f t="shared" si="52"/>
        <v>0</v>
      </c>
      <c r="CV79" s="6">
        <f t="shared" si="53"/>
        <v>0</v>
      </c>
      <c r="CW79" s="6">
        <f t="shared" si="54"/>
        <v>1</v>
      </c>
      <c r="CX79" s="6">
        <f t="shared" si="55"/>
        <v>0</v>
      </c>
      <c r="CY79" s="6">
        <f t="shared" si="56"/>
        <v>1</v>
      </c>
      <c r="CZ79" s="6">
        <f t="shared" si="57"/>
        <v>0</v>
      </c>
      <c r="DA79" s="6">
        <f t="shared" si="58"/>
        <v>0</v>
      </c>
      <c r="DB79" s="6">
        <f t="shared" si="59"/>
        <v>0</v>
      </c>
      <c r="DC79" s="6">
        <f t="shared" si="60"/>
        <v>0</v>
      </c>
      <c r="DD79" s="6">
        <f t="shared" si="61"/>
        <v>0</v>
      </c>
      <c r="DE79" s="6">
        <f t="shared" si="62"/>
        <v>0</v>
      </c>
      <c r="DF79" s="6">
        <f t="shared" si="63"/>
        <v>0</v>
      </c>
      <c r="DG79" s="6">
        <f t="shared" si="64"/>
        <v>0</v>
      </c>
      <c r="DH79" s="6">
        <f t="shared" si="486"/>
        <v>0</v>
      </c>
      <c r="DI79" s="6">
        <f t="shared" si="66"/>
        <v>0</v>
      </c>
      <c r="DJ79" s="6">
        <f t="shared" si="487"/>
        <v>0</v>
      </c>
      <c r="DK79" s="7">
        <f t="shared" si="68"/>
        <v>0</v>
      </c>
      <c r="DL79" s="7">
        <f t="shared" si="411"/>
        <v>0</v>
      </c>
      <c r="DM79" s="7">
        <f t="shared" si="70"/>
        <v>0</v>
      </c>
      <c r="DN79" s="7">
        <f t="shared" si="71"/>
        <v>0</v>
      </c>
      <c r="DO79" s="7">
        <f t="shared" si="72"/>
        <v>0</v>
      </c>
      <c r="DP79" s="8">
        <f t="shared" si="73"/>
        <v>0</v>
      </c>
      <c r="DQ79" s="8">
        <f t="shared" si="74"/>
        <v>1</v>
      </c>
      <c r="DR79" s="7">
        <f t="shared" si="75"/>
        <v>0</v>
      </c>
      <c r="DS79" s="7">
        <f t="shared" si="76"/>
        <v>0</v>
      </c>
      <c r="DT79" s="7">
        <f t="shared" si="77"/>
        <v>0</v>
      </c>
      <c r="DU79" s="9">
        <f t="shared" si="78"/>
        <v>0</v>
      </c>
      <c r="DV79" s="9">
        <f t="shared" si="79"/>
        <v>0</v>
      </c>
      <c r="DW79" s="9">
        <f t="shared" si="80"/>
        <v>0</v>
      </c>
      <c r="DX79" s="9">
        <f t="shared" si="81"/>
        <v>0</v>
      </c>
      <c r="DY79" s="9">
        <f t="shared" si="82"/>
        <v>0</v>
      </c>
      <c r="DZ79" s="9">
        <f t="shared" si="83"/>
        <v>0</v>
      </c>
      <c r="EA79" s="9">
        <f t="shared" si="84"/>
        <v>0</v>
      </c>
      <c r="EB79" s="9">
        <f t="shared" si="85"/>
        <v>0</v>
      </c>
      <c r="EC79" s="9">
        <f t="shared" si="86"/>
        <v>0</v>
      </c>
      <c r="ED79" s="9">
        <f t="shared" si="87"/>
        <v>0</v>
      </c>
      <c r="EE79" s="9">
        <f t="shared" si="88"/>
        <v>0</v>
      </c>
      <c r="EF79" s="9">
        <f t="shared" si="89"/>
        <v>0</v>
      </c>
      <c r="EG79" s="9">
        <f t="shared" si="90"/>
        <v>0</v>
      </c>
      <c r="EH79" s="9">
        <f t="shared" si="91"/>
        <v>0</v>
      </c>
      <c r="EI79" s="9">
        <f t="shared" si="92"/>
        <v>0</v>
      </c>
      <c r="EJ79" s="10">
        <f t="shared" si="93"/>
        <v>0</v>
      </c>
      <c r="EK79" s="10">
        <f t="shared" si="94"/>
        <v>0</v>
      </c>
      <c r="EL79" s="10">
        <f t="shared" ref="EL79:EM79" si="492">IF(OR(ISNUMBER(SEARCH("ai software toolkit", $D79)), ISNUMBER(SEARCH("ai software toolkit", $T79)), ISNUMBER(SEARCH("ai software toolkit", $R79)), ISNUMBER(SEARCH("ai software toolkit", $S79))), 1, 0)</f>
        <v>0</v>
      </c>
      <c r="EM79" s="10">
        <f t="shared" si="492"/>
        <v>0</v>
      </c>
      <c r="EN79" s="10">
        <f t="shared" si="96"/>
        <v>0</v>
      </c>
      <c r="EO79" s="10">
        <f t="shared" si="97"/>
        <v>0</v>
      </c>
      <c r="EP79" s="10">
        <f t="shared" si="98"/>
        <v>0</v>
      </c>
      <c r="EQ79" s="10">
        <f t="shared" si="99"/>
        <v>0</v>
      </c>
      <c r="ER79" s="10">
        <f t="shared" si="100"/>
        <v>0</v>
      </c>
      <c r="ES79" s="10">
        <f t="shared" si="101"/>
        <v>0</v>
      </c>
      <c r="ET79" s="10">
        <f t="shared" si="102"/>
        <v>0</v>
      </c>
      <c r="EU79" s="10">
        <f t="shared" si="103"/>
        <v>0</v>
      </c>
      <c r="EV79" s="10">
        <f t="shared" si="104"/>
        <v>0</v>
      </c>
      <c r="EW79" s="10">
        <f t="shared" si="105"/>
        <v>0</v>
      </c>
      <c r="EX79" s="10">
        <f t="shared" si="106"/>
        <v>0</v>
      </c>
      <c r="EY79" s="10">
        <f t="shared" si="107"/>
        <v>0</v>
      </c>
      <c r="EZ79" s="10">
        <f t="shared" si="108"/>
        <v>0</v>
      </c>
      <c r="FA79" s="10">
        <f t="shared" si="109"/>
        <v>0</v>
      </c>
      <c r="FB79" s="10">
        <f t="shared" si="110"/>
        <v>0</v>
      </c>
      <c r="FC79" s="10">
        <f t="shared" si="111"/>
        <v>0</v>
      </c>
      <c r="FD79" s="10">
        <f t="shared" si="112"/>
        <v>0</v>
      </c>
      <c r="FE79" s="10">
        <f t="shared" si="113"/>
        <v>1</v>
      </c>
      <c r="FF79" s="10">
        <f t="shared" si="114"/>
        <v>0</v>
      </c>
      <c r="FG79" s="10">
        <f t="shared" si="115"/>
        <v>0</v>
      </c>
      <c r="FH79" s="10">
        <f t="shared" si="116"/>
        <v>0</v>
      </c>
      <c r="FI79" s="10">
        <f t="shared" si="117"/>
        <v>0</v>
      </c>
      <c r="FJ79" s="10">
        <f t="shared" si="118"/>
        <v>0</v>
      </c>
      <c r="FK79" s="10">
        <f t="shared" si="119"/>
        <v>0</v>
      </c>
      <c r="FL79" s="10">
        <f t="shared" si="120"/>
        <v>0</v>
      </c>
      <c r="FM79" s="10">
        <f t="shared" si="121"/>
        <v>0</v>
      </c>
      <c r="FN79" s="10">
        <f t="shared" si="122"/>
        <v>0</v>
      </c>
      <c r="FO79" s="10">
        <f t="shared" si="123"/>
        <v>0</v>
      </c>
      <c r="FP79" s="10">
        <f t="shared" si="124"/>
        <v>0</v>
      </c>
      <c r="FQ79" s="10">
        <f t="shared" si="125"/>
        <v>0</v>
      </c>
      <c r="FR79" s="11">
        <f t="shared" si="470"/>
        <v>0</v>
      </c>
      <c r="FS79" s="11">
        <f t="shared" si="127"/>
        <v>0</v>
      </c>
      <c r="FT79" s="11">
        <f t="shared" si="128"/>
        <v>0</v>
      </c>
      <c r="FU79" s="11">
        <f t="shared" si="129"/>
        <v>0</v>
      </c>
      <c r="FV79" s="11">
        <f t="shared" si="130"/>
        <v>0</v>
      </c>
      <c r="FW79" s="11">
        <f t="shared" si="131"/>
        <v>0</v>
      </c>
      <c r="FX79" s="11">
        <f t="shared" si="132"/>
        <v>0</v>
      </c>
      <c r="FY79" s="11">
        <f t="shared" si="133"/>
        <v>0</v>
      </c>
      <c r="FZ79" s="11">
        <f t="shared" si="134"/>
        <v>0</v>
      </c>
      <c r="GA79" s="11">
        <f t="shared" si="135"/>
        <v>0</v>
      </c>
      <c r="GB79" s="11">
        <f t="shared" si="136"/>
        <v>0</v>
      </c>
      <c r="GC79" s="11">
        <f t="shared" si="137"/>
        <v>0</v>
      </c>
      <c r="GD79" s="11">
        <f t="shared" si="138"/>
        <v>0</v>
      </c>
      <c r="GE79" s="11">
        <f t="shared" si="139"/>
        <v>0</v>
      </c>
      <c r="GF79" s="11">
        <f t="shared" si="140"/>
        <v>0</v>
      </c>
      <c r="GG79" s="11">
        <f t="shared" si="141"/>
        <v>0</v>
      </c>
      <c r="GH79" s="11">
        <f t="shared" si="142"/>
        <v>0</v>
      </c>
      <c r="GI79" s="11">
        <f t="shared" si="143"/>
        <v>0</v>
      </c>
      <c r="GJ79" s="11">
        <f t="shared" si="144"/>
        <v>0</v>
      </c>
      <c r="GK79" s="11">
        <f t="shared" si="145"/>
        <v>0</v>
      </c>
      <c r="GL79" s="11">
        <f t="shared" si="146"/>
        <v>0</v>
      </c>
      <c r="GM79" s="11">
        <f t="shared" si="147"/>
        <v>0</v>
      </c>
      <c r="GN79" s="11">
        <f t="shared" si="148"/>
        <v>0</v>
      </c>
      <c r="GO79" s="11">
        <f t="shared" si="149"/>
        <v>0</v>
      </c>
      <c r="GP79" s="11">
        <f t="shared" si="150"/>
        <v>0</v>
      </c>
      <c r="GQ79" s="11">
        <f t="shared" si="151"/>
        <v>0</v>
      </c>
      <c r="GR79" s="11">
        <f t="shared" si="152"/>
        <v>0</v>
      </c>
      <c r="GS79" s="11">
        <f t="shared" si="153"/>
        <v>0</v>
      </c>
      <c r="GT79" s="11">
        <f t="shared" si="154"/>
        <v>0</v>
      </c>
      <c r="GU79" s="12">
        <f t="shared" si="155"/>
        <v>0</v>
      </c>
      <c r="GV79" s="12">
        <f t="shared" si="156"/>
        <v>0</v>
      </c>
      <c r="GW79" s="12">
        <f t="shared" si="157"/>
        <v>0</v>
      </c>
      <c r="GX79" s="12">
        <f t="shared" si="158"/>
        <v>0</v>
      </c>
      <c r="GY79" s="12">
        <f t="shared" si="159"/>
        <v>0</v>
      </c>
      <c r="GZ79" s="12">
        <f t="shared" si="160"/>
        <v>0</v>
      </c>
      <c r="HA79" s="12">
        <f t="shared" si="161"/>
        <v>0</v>
      </c>
      <c r="HB79" s="12">
        <f t="shared" si="162"/>
        <v>0</v>
      </c>
      <c r="HC79" s="12">
        <f t="shared" si="163"/>
        <v>0</v>
      </c>
      <c r="HD79" s="12">
        <f t="shared" si="164"/>
        <v>0</v>
      </c>
      <c r="HE79" s="12">
        <f t="shared" si="165"/>
        <v>0</v>
      </c>
      <c r="HF79" s="12">
        <f t="shared" si="166"/>
        <v>0</v>
      </c>
      <c r="HG79" s="12">
        <f t="shared" si="167"/>
        <v>0</v>
      </c>
      <c r="HH79" s="12">
        <f t="shared" si="168"/>
        <v>0</v>
      </c>
      <c r="HI79" s="12">
        <f t="shared" si="169"/>
        <v>0</v>
      </c>
      <c r="HJ79" s="12">
        <f t="shared" si="170"/>
        <v>0</v>
      </c>
      <c r="HK79" s="12">
        <f t="shared" si="171"/>
        <v>0</v>
      </c>
      <c r="HL79" s="12">
        <f t="shared" si="172"/>
        <v>0</v>
      </c>
      <c r="HM79" s="12">
        <f t="shared" si="173"/>
        <v>0</v>
      </c>
      <c r="HN79" s="12">
        <f t="shared" si="174"/>
        <v>0</v>
      </c>
      <c r="HO79" s="12">
        <f t="shared" si="175"/>
        <v>0</v>
      </c>
      <c r="HP79" s="12">
        <f t="shared" si="176"/>
        <v>0</v>
      </c>
      <c r="HQ79" s="12">
        <f t="shared" si="177"/>
        <v>0</v>
      </c>
      <c r="HR79" s="12">
        <f t="shared" si="178"/>
        <v>0</v>
      </c>
      <c r="HS79" s="12">
        <f t="shared" si="179"/>
        <v>0</v>
      </c>
      <c r="HT79" s="12">
        <f t="shared" si="180"/>
        <v>0</v>
      </c>
      <c r="HU79" s="12">
        <f t="shared" si="181"/>
        <v>0</v>
      </c>
      <c r="HV79" s="12">
        <f t="shared" si="182"/>
        <v>0</v>
      </c>
      <c r="HW79" s="12">
        <f t="shared" si="183"/>
        <v>0</v>
      </c>
      <c r="HX79" s="12">
        <f t="shared" si="184"/>
        <v>0</v>
      </c>
      <c r="HY79" s="12">
        <f t="shared" si="185"/>
        <v>0</v>
      </c>
      <c r="HZ79" s="12">
        <f t="shared" si="186"/>
        <v>0</v>
      </c>
      <c r="IA79" s="12">
        <f t="shared" si="187"/>
        <v>0</v>
      </c>
      <c r="IB79" s="12">
        <f t="shared" si="188"/>
        <v>0</v>
      </c>
      <c r="IC79" s="12">
        <f t="shared" si="189"/>
        <v>0</v>
      </c>
      <c r="ID79" s="12">
        <f t="shared" si="190"/>
        <v>0</v>
      </c>
      <c r="IE79" s="12">
        <f t="shared" si="191"/>
        <v>0</v>
      </c>
      <c r="IF79" s="12">
        <f t="shared" si="192"/>
        <v>0</v>
      </c>
      <c r="IG79" s="12">
        <f t="shared" si="193"/>
        <v>0</v>
      </c>
      <c r="IH79" s="12">
        <f t="shared" si="194"/>
        <v>0</v>
      </c>
      <c r="II79" s="12">
        <f t="shared" si="195"/>
        <v>0</v>
      </c>
      <c r="IJ79" s="12">
        <f t="shared" si="196"/>
        <v>0</v>
      </c>
      <c r="IK79" s="12">
        <f t="shared" si="197"/>
        <v>0</v>
      </c>
      <c r="IL79" s="12">
        <f t="shared" si="198"/>
        <v>0</v>
      </c>
      <c r="IM79" s="12">
        <f t="shared" si="199"/>
        <v>0</v>
      </c>
      <c r="IN79" s="12">
        <f t="shared" si="200"/>
        <v>0</v>
      </c>
      <c r="IO79" s="12">
        <f t="shared" si="201"/>
        <v>0</v>
      </c>
      <c r="IP79" s="12">
        <f t="shared" si="202"/>
        <v>0</v>
      </c>
      <c r="IQ79" s="12">
        <f t="shared" si="203"/>
        <v>0</v>
      </c>
      <c r="IR79" s="12">
        <f t="shared" si="204"/>
        <v>0</v>
      </c>
      <c r="IS79" s="12">
        <f t="shared" si="205"/>
        <v>0</v>
      </c>
      <c r="IT79" s="12">
        <f t="shared" si="206"/>
        <v>0</v>
      </c>
      <c r="IU79" s="12">
        <f t="shared" si="207"/>
        <v>0</v>
      </c>
      <c r="IV79" s="12">
        <f t="shared" si="208"/>
        <v>0</v>
      </c>
      <c r="IW79" s="12">
        <f t="shared" si="209"/>
        <v>0</v>
      </c>
      <c r="IX79" s="12">
        <f t="shared" si="210"/>
        <v>0</v>
      </c>
      <c r="IY79" s="12">
        <f t="shared" si="211"/>
        <v>0</v>
      </c>
      <c r="IZ79" s="12">
        <f t="shared" si="212"/>
        <v>0</v>
      </c>
      <c r="JA79" s="13">
        <f t="shared" si="213"/>
        <v>0</v>
      </c>
      <c r="JB79" s="13">
        <f t="shared" si="214"/>
        <v>0</v>
      </c>
      <c r="JC79" s="13">
        <f t="shared" si="215"/>
        <v>0</v>
      </c>
      <c r="JD79" s="13">
        <f t="shared" si="216"/>
        <v>0</v>
      </c>
      <c r="JE79" s="13">
        <f t="shared" si="217"/>
        <v>0</v>
      </c>
      <c r="JF79" s="13">
        <f t="shared" si="218"/>
        <v>0</v>
      </c>
      <c r="JG79" s="13">
        <f t="shared" si="219"/>
        <v>0</v>
      </c>
      <c r="JH79" s="13">
        <f t="shared" si="220"/>
        <v>0</v>
      </c>
      <c r="JI79" s="13">
        <f t="shared" si="221"/>
        <v>0</v>
      </c>
      <c r="JJ79" s="13">
        <f t="shared" si="222"/>
        <v>0</v>
      </c>
      <c r="JK79" s="13">
        <f t="shared" si="223"/>
        <v>0</v>
      </c>
      <c r="JL79" s="13">
        <f t="shared" si="224"/>
        <v>0</v>
      </c>
      <c r="JM79" s="13">
        <f t="shared" si="225"/>
        <v>0</v>
      </c>
      <c r="JN79" s="13">
        <f t="shared" si="226"/>
        <v>0</v>
      </c>
      <c r="JO79" s="13">
        <f t="shared" si="227"/>
        <v>0</v>
      </c>
      <c r="JP79" s="13">
        <f t="shared" si="228"/>
        <v>0</v>
      </c>
      <c r="JQ79" s="13">
        <f t="shared" si="229"/>
        <v>0</v>
      </c>
      <c r="JR79" s="13">
        <f t="shared" si="230"/>
        <v>0</v>
      </c>
      <c r="JS79" s="13">
        <f t="shared" si="231"/>
        <v>0</v>
      </c>
      <c r="JT79" s="13">
        <f t="shared" si="232"/>
        <v>0</v>
      </c>
      <c r="JU79" s="13">
        <f t="shared" si="233"/>
        <v>0</v>
      </c>
      <c r="JV79" s="12">
        <f t="shared" si="234"/>
        <v>0</v>
      </c>
      <c r="JW79" s="12">
        <f t="shared" si="235"/>
        <v>0</v>
      </c>
      <c r="JX79" s="12">
        <f t="shared" si="236"/>
        <v>0</v>
      </c>
      <c r="JY79" s="12">
        <f t="shared" si="237"/>
        <v>0</v>
      </c>
      <c r="JZ79" s="12">
        <f t="shared" si="238"/>
        <v>0</v>
      </c>
      <c r="KA79" s="12">
        <f t="shared" si="239"/>
        <v>0</v>
      </c>
      <c r="KB79" s="12">
        <f t="shared" si="240"/>
        <v>0</v>
      </c>
      <c r="KC79" s="12">
        <f t="shared" si="241"/>
        <v>0</v>
      </c>
      <c r="KD79" s="12">
        <f t="shared" si="242"/>
        <v>0</v>
      </c>
      <c r="KE79" s="12">
        <f t="shared" si="243"/>
        <v>0</v>
      </c>
      <c r="KF79" s="12">
        <f t="shared" si="244"/>
        <v>0</v>
      </c>
      <c r="KG79" s="12">
        <f t="shared" si="245"/>
        <v>0</v>
      </c>
      <c r="KH79" s="12">
        <f t="shared" si="246"/>
        <v>0</v>
      </c>
      <c r="KI79" s="12">
        <f t="shared" si="247"/>
        <v>0</v>
      </c>
      <c r="KJ79" s="12">
        <f t="shared" si="248"/>
        <v>0</v>
      </c>
      <c r="KK79" s="12">
        <f t="shared" si="249"/>
        <v>0</v>
      </c>
      <c r="KL79" s="12">
        <f t="shared" si="250"/>
        <v>0</v>
      </c>
      <c r="KM79" s="12">
        <f t="shared" si="251"/>
        <v>0</v>
      </c>
      <c r="KN79" s="12">
        <f t="shared" si="252"/>
        <v>0</v>
      </c>
      <c r="KO79" s="12">
        <f t="shared" si="253"/>
        <v>0</v>
      </c>
      <c r="KP79" s="12">
        <f t="shared" si="254"/>
        <v>0</v>
      </c>
      <c r="KQ79" s="12">
        <f t="shared" si="255"/>
        <v>0</v>
      </c>
      <c r="KR79" s="12">
        <f t="shared" si="256"/>
        <v>0</v>
      </c>
      <c r="KS79" s="12">
        <f t="shared" si="257"/>
        <v>0</v>
      </c>
      <c r="KT79" s="12">
        <f t="shared" si="258"/>
        <v>0</v>
      </c>
      <c r="KU79" s="12">
        <f t="shared" si="259"/>
        <v>0</v>
      </c>
      <c r="KV79" s="12">
        <f t="shared" si="260"/>
        <v>0</v>
      </c>
      <c r="KW79" s="12">
        <f t="shared" si="261"/>
        <v>0</v>
      </c>
      <c r="KX79" s="12">
        <f t="shared" si="262"/>
        <v>0</v>
      </c>
      <c r="KY79" s="12">
        <f t="shared" si="263"/>
        <v>0</v>
      </c>
      <c r="KZ79" s="12">
        <f t="shared" si="264"/>
        <v>0</v>
      </c>
      <c r="LA79" s="12">
        <f t="shared" si="265"/>
        <v>0</v>
      </c>
      <c r="LB79" s="12">
        <f t="shared" si="266"/>
        <v>0</v>
      </c>
      <c r="LC79" s="12">
        <f t="shared" si="267"/>
        <v>0</v>
      </c>
      <c r="LD79" s="12">
        <f t="shared" si="268"/>
        <v>0</v>
      </c>
      <c r="LE79" s="12">
        <f t="shared" si="269"/>
        <v>0</v>
      </c>
      <c r="LF79" s="12">
        <f t="shared" si="270"/>
        <v>0</v>
      </c>
      <c r="LG79" s="12">
        <f t="shared" si="271"/>
        <v>0</v>
      </c>
      <c r="LH79" s="12">
        <f t="shared" si="272"/>
        <v>0</v>
      </c>
      <c r="LI79" s="12">
        <f t="shared" si="273"/>
        <v>0</v>
      </c>
      <c r="LJ79" s="12">
        <f t="shared" si="274"/>
        <v>0</v>
      </c>
      <c r="LK79" s="12">
        <f t="shared" si="275"/>
        <v>0</v>
      </c>
      <c r="LL79" s="12">
        <f t="shared" si="276"/>
        <v>0</v>
      </c>
      <c r="LM79" s="12">
        <f t="shared" si="277"/>
        <v>0</v>
      </c>
      <c r="LN79" s="12">
        <f t="shared" si="278"/>
        <v>0</v>
      </c>
      <c r="LO79" s="12">
        <f t="shared" si="279"/>
        <v>0</v>
      </c>
      <c r="LP79" s="12">
        <f t="shared" si="280"/>
        <v>0</v>
      </c>
      <c r="LQ79" s="12">
        <f t="shared" si="281"/>
        <v>0</v>
      </c>
      <c r="LR79" s="12">
        <f t="shared" si="282"/>
        <v>0</v>
      </c>
      <c r="LS79" s="12">
        <f t="shared" si="283"/>
        <v>0</v>
      </c>
      <c r="LT79" s="13">
        <f t="shared" si="284"/>
        <v>0</v>
      </c>
      <c r="LU79" s="13">
        <f t="shared" si="285"/>
        <v>0</v>
      </c>
      <c r="LV79" s="13">
        <f t="shared" si="286"/>
        <v>0</v>
      </c>
      <c r="LW79" s="13">
        <f t="shared" si="287"/>
        <v>0</v>
      </c>
      <c r="LX79" s="13">
        <f t="shared" si="288"/>
        <v>0</v>
      </c>
      <c r="LY79" s="13">
        <f t="shared" si="289"/>
        <v>0</v>
      </c>
      <c r="LZ79" s="13">
        <f t="shared" si="290"/>
        <v>0</v>
      </c>
      <c r="MA79" s="13">
        <f t="shared" si="291"/>
        <v>0</v>
      </c>
      <c r="MB79" s="13">
        <f t="shared" si="292"/>
        <v>0</v>
      </c>
      <c r="MC79" s="13">
        <f t="shared" si="293"/>
        <v>0</v>
      </c>
      <c r="MD79" s="13">
        <f t="shared" si="294"/>
        <v>0</v>
      </c>
      <c r="ME79" s="13">
        <f t="shared" si="295"/>
        <v>0</v>
      </c>
      <c r="MF79" s="13">
        <f t="shared" si="296"/>
        <v>0</v>
      </c>
      <c r="MG79" s="13">
        <f t="shared" si="297"/>
        <v>0</v>
      </c>
      <c r="MH79" s="13">
        <f t="shared" si="298"/>
        <v>0</v>
      </c>
      <c r="MI79" s="13">
        <f t="shared" si="299"/>
        <v>0</v>
      </c>
      <c r="MJ79" s="13">
        <f t="shared" si="300"/>
        <v>0</v>
      </c>
      <c r="MK79" s="13">
        <f t="shared" si="301"/>
        <v>0</v>
      </c>
      <c r="ML79" s="14">
        <f t="shared" si="302"/>
        <v>0</v>
      </c>
      <c r="MM79" s="14">
        <f t="shared" si="303"/>
        <v>0</v>
      </c>
      <c r="MN79" s="14">
        <f t="shared" si="304"/>
        <v>0</v>
      </c>
      <c r="MO79" s="14">
        <f t="shared" si="305"/>
        <v>0</v>
      </c>
      <c r="MP79" s="14">
        <f t="shared" si="306"/>
        <v>0</v>
      </c>
      <c r="MQ79" s="14">
        <f t="shared" si="307"/>
        <v>0</v>
      </c>
      <c r="MR79" s="14">
        <f t="shared" si="308"/>
        <v>0</v>
      </c>
      <c r="MS79" s="14">
        <f t="shared" si="309"/>
        <v>0</v>
      </c>
      <c r="MT79" s="14">
        <f t="shared" si="310"/>
        <v>0</v>
      </c>
      <c r="MU79" s="14">
        <f t="shared" si="311"/>
        <v>0</v>
      </c>
      <c r="MV79" s="14">
        <f t="shared" si="312"/>
        <v>0</v>
      </c>
      <c r="MW79" s="14">
        <f t="shared" si="313"/>
        <v>0</v>
      </c>
      <c r="MX79" s="14">
        <f t="shared" si="314"/>
        <v>0</v>
      </c>
      <c r="MY79" s="14">
        <f t="shared" si="315"/>
        <v>0</v>
      </c>
      <c r="MZ79" s="14">
        <f t="shared" si="316"/>
        <v>0</v>
      </c>
      <c r="NA79" s="14">
        <f t="shared" si="317"/>
        <v>0</v>
      </c>
      <c r="NB79" s="14">
        <f t="shared" si="318"/>
        <v>0</v>
      </c>
    </row>
    <row r="80" ht="15.75" customHeight="1">
      <c r="A80" s="2">
        <v>66.0</v>
      </c>
      <c r="B80" s="2" t="s">
        <v>1749</v>
      </c>
      <c r="C80" s="2" t="s">
        <v>1750</v>
      </c>
      <c r="D80" s="2" t="s">
        <v>1751</v>
      </c>
      <c r="E80" s="2">
        <v>2021.0</v>
      </c>
      <c r="F80" s="2" t="s">
        <v>1752</v>
      </c>
      <c r="G80" s="2" t="s">
        <v>831</v>
      </c>
      <c r="H80" s="2" t="s">
        <v>471</v>
      </c>
      <c r="I80" s="2" t="s">
        <v>1753</v>
      </c>
      <c r="J80" s="2" t="s">
        <v>1048</v>
      </c>
      <c r="K80" s="2" t="s">
        <v>1717</v>
      </c>
      <c r="M80" s="2">
        <v>15.0</v>
      </c>
      <c r="N80" s="2" t="s">
        <v>1754</v>
      </c>
      <c r="O80" s="2" t="s">
        <v>1755</v>
      </c>
      <c r="P80" s="2" t="s">
        <v>1756</v>
      </c>
      <c r="Q80" s="2" t="s">
        <v>1757</v>
      </c>
      <c r="R80" s="2" t="s">
        <v>1758</v>
      </c>
      <c r="T80" s="2" t="s">
        <v>1759</v>
      </c>
      <c r="Y80" s="2" t="s">
        <v>1760</v>
      </c>
      <c r="AB80" s="2" t="s">
        <v>668</v>
      </c>
      <c r="AG80" s="2" t="s">
        <v>1761</v>
      </c>
      <c r="AI80" s="2" t="s">
        <v>1762</v>
      </c>
      <c r="AK80" s="2" t="s">
        <v>1763</v>
      </c>
      <c r="AL80" s="2" t="s">
        <v>384</v>
      </c>
      <c r="AN80" s="2" t="s">
        <v>386</v>
      </c>
      <c r="AO80" s="2" t="s">
        <v>1764</v>
      </c>
      <c r="AP80" s="2" t="s">
        <v>386</v>
      </c>
      <c r="AQ80" s="2">
        <v>199.0</v>
      </c>
      <c r="AR80" s="2" t="s">
        <v>1765</v>
      </c>
      <c r="AS80" s="2" t="b">
        <v>0</v>
      </c>
      <c r="AT80" s="3">
        <v>0.0</v>
      </c>
      <c r="AU80" s="4"/>
      <c r="AV80" s="4">
        <v>1.0</v>
      </c>
      <c r="AW80" s="5">
        <f t="shared" si="432"/>
        <v>0</v>
      </c>
      <c r="AX80" s="5">
        <f t="shared" si="4"/>
        <v>0</v>
      </c>
      <c r="AY80" s="5">
        <f t="shared" si="5"/>
        <v>0</v>
      </c>
      <c r="AZ80" s="5">
        <f t="shared" si="6"/>
        <v>0</v>
      </c>
      <c r="BA80" s="5">
        <f t="shared" si="7"/>
        <v>0</v>
      </c>
      <c r="BB80" s="5">
        <f t="shared" si="8"/>
        <v>0</v>
      </c>
      <c r="BC80" s="5">
        <f t="shared" si="9"/>
        <v>0</v>
      </c>
      <c r="BD80" s="5">
        <f t="shared" si="10"/>
        <v>0</v>
      </c>
      <c r="BE80" s="5">
        <f t="shared" si="11"/>
        <v>0</v>
      </c>
      <c r="BF80" s="5">
        <f t="shared" si="12"/>
        <v>0</v>
      </c>
      <c r="BG80" s="5">
        <f t="shared" si="13"/>
        <v>0</v>
      </c>
      <c r="BH80" s="5">
        <f t="shared" si="14"/>
        <v>0</v>
      </c>
      <c r="BI80" s="5">
        <f t="shared" si="15"/>
        <v>0</v>
      </c>
      <c r="BJ80" s="5">
        <f t="shared" si="16"/>
        <v>0</v>
      </c>
      <c r="BK80" s="5">
        <f t="shared" si="17"/>
        <v>0</v>
      </c>
      <c r="BL80" s="5">
        <f t="shared" si="18"/>
        <v>0</v>
      </c>
      <c r="BM80" s="5">
        <f t="shared" si="19"/>
        <v>0</v>
      </c>
      <c r="BN80" s="5">
        <f t="shared" si="20"/>
        <v>0</v>
      </c>
      <c r="BO80" s="5">
        <f t="shared" si="21"/>
        <v>0</v>
      </c>
      <c r="BP80" s="5">
        <f t="shared" si="22"/>
        <v>0</v>
      </c>
      <c r="BQ80" s="5">
        <f t="shared" si="23"/>
        <v>0</v>
      </c>
      <c r="BR80" s="5">
        <f t="shared" si="24"/>
        <v>0</v>
      </c>
      <c r="BS80" s="5">
        <f t="shared" si="25"/>
        <v>0</v>
      </c>
      <c r="BT80" s="5">
        <f t="shared" si="26"/>
        <v>0</v>
      </c>
      <c r="BU80" s="5">
        <f t="shared" si="27"/>
        <v>0</v>
      </c>
      <c r="BV80" s="5">
        <f t="shared" ref="BV80:BW80" si="493">IF(OR(ISNUMBER(SEARCH("grit",$D80)),ISNUMBER(SEARCH("grit",$T80)),ISNUMBER(SEARCH("grit",$R80)),ISNUMBER(SEARCH("grit",$S80)),
ISNUMBER(SEARCH("determination",$D80)),ISNUMBER(SEARCH("determination",$T80)),ISNUMBER(SEARCH("determination",$R80)),ISNUMBER(SEARCH("determination",$S80)),
ISNUMBER(SEARCH("tenacity",$D80)),ISNUMBER(SEARCH("tenacity",$T80)),ISNUMBER(SEARCH("tenacity",$R80)),ISNUMBER(SEARCH("tenacity",$S80)),
ISNUMBER(SEARCH("endurance",$D80)),ISNUMBER(SEARCH("endurance",$T80)),ISNUMBER(SEARCH("endurance",$R80)),ISNUMBER(SEARCH("endurance",$S80)),
ISNUMBER(SEARCH("fortitude",$D80)),ISNUMBER(SEARCH("fortitude",$T80)),ISNUMBER(SEARCH("fortitude",$R80)),ISNUMBER(SEARCH("fortitude",$S80)),
ISNUMBER(SEARCH("resolve",$D80)),ISNUMBER(SEARCH("resolve",$T80)),ISNUMBER(SEARCH("resolve",$R80)),ISNUMBER(SEARCH("resolve",$S80)),
ISNUMBER(SEARCH("stamina",$D80)),ISNUMBER(SEARCH("stamina",$T80)),ISNUMBER(SEARCH("stamina",$R80)),ISNUMBER(SEARCH("stamina",$S80)),
ISNUMBER(SEARCH("guts",$D80)),ISNUMBER(SEARCH("guts",$T80)),ISNUMBER(SEARCH("guts",$R80)),ISNUMBER(SEARCH("guts",$S80)),
ISNUMBER(SEARCH("spunk",$D80)),ISNUMBER(SEARCH("spunk",$T80)),ISNUMBER(SEARCH("spunk",$R80)),ISNUMBER(SEARCH("spunk",$S80))), 1, 0)</f>
        <v>0</v>
      </c>
      <c r="BW80" s="5">
        <f t="shared" si="493"/>
        <v>0</v>
      </c>
      <c r="BX80" s="5">
        <f t="shared" si="29"/>
        <v>0</v>
      </c>
      <c r="BY80" s="5">
        <f t="shared" si="30"/>
        <v>0</v>
      </c>
      <c r="BZ80" s="5">
        <f t="shared" si="31"/>
        <v>0</v>
      </c>
      <c r="CA80" s="5">
        <f t="shared" si="32"/>
        <v>0</v>
      </c>
      <c r="CB80" s="5">
        <f t="shared" si="33"/>
        <v>0</v>
      </c>
      <c r="CC80" s="5">
        <f t="shared" si="34"/>
        <v>0</v>
      </c>
      <c r="CD80" s="5">
        <f t="shared" si="35"/>
        <v>0</v>
      </c>
      <c r="CE80" s="5">
        <f t="shared" si="36"/>
        <v>0</v>
      </c>
      <c r="CF80" s="5">
        <f t="shared" si="37"/>
        <v>0</v>
      </c>
      <c r="CG80" s="5">
        <f t="shared" si="38"/>
        <v>0</v>
      </c>
      <c r="CH80" s="5">
        <f t="shared" si="39"/>
        <v>0</v>
      </c>
      <c r="CI80" s="5">
        <f t="shared" si="40"/>
        <v>0</v>
      </c>
      <c r="CJ80" s="5">
        <f t="shared" si="41"/>
        <v>0</v>
      </c>
      <c r="CK80" s="5">
        <f t="shared" si="42"/>
        <v>0</v>
      </c>
      <c r="CL80" s="5">
        <f t="shared" si="43"/>
        <v>0</v>
      </c>
      <c r="CM80" s="5">
        <f t="shared" si="44"/>
        <v>0</v>
      </c>
      <c r="CN80" s="5">
        <f t="shared" si="45"/>
        <v>0</v>
      </c>
      <c r="CO80" s="5">
        <f t="shared" si="46"/>
        <v>0</v>
      </c>
      <c r="CP80" s="6">
        <f t="shared" si="47"/>
        <v>0</v>
      </c>
      <c r="CQ80" s="6">
        <f t="shared" si="48"/>
        <v>0</v>
      </c>
      <c r="CR80" s="6">
        <f t="shared" si="49"/>
        <v>0</v>
      </c>
      <c r="CS80" s="6">
        <f t="shared" si="50"/>
        <v>0</v>
      </c>
      <c r="CT80" s="6">
        <f t="shared" si="51"/>
        <v>0</v>
      </c>
      <c r="CU80" s="6">
        <f t="shared" si="52"/>
        <v>0</v>
      </c>
      <c r="CV80" s="6">
        <f t="shared" si="53"/>
        <v>0</v>
      </c>
      <c r="CW80" s="6">
        <f t="shared" si="54"/>
        <v>0</v>
      </c>
      <c r="CX80" s="6">
        <f t="shared" si="55"/>
        <v>0</v>
      </c>
      <c r="CY80" s="6">
        <f t="shared" si="56"/>
        <v>0</v>
      </c>
      <c r="CZ80" s="6">
        <f t="shared" si="57"/>
        <v>0</v>
      </c>
      <c r="DA80" s="6">
        <f t="shared" si="58"/>
        <v>0</v>
      </c>
      <c r="DB80" s="6">
        <f t="shared" si="59"/>
        <v>0</v>
      </c>
      <c r="DC80" s="6">
        <f t="shared" si="60"/>
        <v>1</v>
      </c>
      <c r="DD80" s="6">
        <f t="shared" si="61"/>
        <v>0</v>
      </c>
      <c r="DE80" s="6">
        <f t="shared" si="62"/>
        <v>0</v>
      </c>
      <c r="DF80" s="6">
        <f t="shared" si="63"/>
        <v>0</v>
      </c>
      <c r="DG80" s="6">
        <f t="shared" si="64"/>
        <v>0</v>
      </c>
      <c r="DH80" s="6">
        <f t="shared" si="486"/>
        <v>0</v>
      </c>
      <c r="DI80" s="6">
        <f t="shared" si="66"/>
        <v>0</v>
      </c>
      <c r="DJ80" s="6">
        <f t="shared" si="487"/>
        <v>0</v>
      </c>
      <c r="DK80" s="7">
        <f t="shared" si="68"/>
        <v>0</v>
      </c>
      <c r="DL80" s="7">
        <f>IF(
OR(
ISNUMBER(SEARCH("common-sense reasoning",$D80)),ISNUMBER(SEARCH("common-sense reasoning",$T80)),ISNUMBER(SEARCH("common-sense reasoning",$R78)),ISNUMBER(SEARCH("common-sense reasoning",$S80)),
ISNUMBER(SEARCH("religio",$D80)),ISNUMBER(SEARCH("religio",$T80)),ISNUMBER(SEARCH("religio",$R80)),ISNUMBER(SEARCH("religio",$S80))), 1, 0)</f>
        <v>0</v>
      </c>
      <c r="DM80" s="7">
        <f t="shared" si="70"/>
        <v>0</v>
      </c>
      <c r="DN80" s="7">
        <f t="shared" si="71"/>
        <v>0</v>
      </c>
      <c r="DO80" s="7">
        <f t="shared" si="72"/>
        <v>0</v>
      </c>
      <c r="DP80" s="8">
        <f t="shared" si="73"/>
        <v>0</v>
      </c>
      <c r="DQ80" s="8">
        <f t="shared" si="74"/>
        <v>0</v>
      </c>
      <c r="DR80" s="7">
        <f t="shared" si="75"/>
        <v>0</v>
      </c>
      <c r="DS80" s="7">
        <f t="shared" si="76"/>
        <v>0</v>
      </c>
      <c r="DT80" s="7">
        <f t="shared" si="77"/>
        <v>0</v>
      </c>
      <c r="DU80" s="9">
        <f t="shared" si="78"/>
        <v>0</v>
      </c>
      <c r="DV80" s="9">
        <f t="shared" si="79"/>
        <v>0</v>
      </c>
      <c r="DW80" s="9">
        <f t="shared" si="80"/>
        <v>0</v>
      </c>
      <c r="DX80" s="9">
        <f t="shared" si="81"/>
        <v>0</v>
      </c>
      <c r="DY80" s="9">
        <f t="shared" si="82"/>
        <v>0</v>
      </c>
      <c r="DZ80" s="9">
        <f t="shared" si="83"/>
        <v>0</v>
      </c>
      <c r="EA80" s="9">
        <f t="shared" si="84"/>
        <v>0</v>
      </c>
      <c r="EB80" s="9">
        <f t="shared" si="85"/>
        <v>0</v>
      </c>
      <c r="EC80" s="9">
        <f t="shared" si="86"/>
        <v>0</v>
      </c>
      <c r="ED80" s="9">
        <f t="shared" si="87"/>
        <v>0</v>
      </c>
      <c r="EE80" s="9">
        <f t="shared" si="88"/>
        <v>0</v>
      </c>
      <c r="EF80" s="9">
        <f t="shared" si="89"/>
        <v>0</v>
      </c>
      <c r="EG80" s="9">
        <f t="shared" si="90"/>
        <v>0</v>
      </c>
      <c r="EH80" s="9">
        <f t="shared" si="91"/>
        <v>0</v>
      </c>
      <c r="EI80" s="9">
        <f t="shared" si="92"/>
        <v>0</v>
      </c>
      <c r="EJ80" s="10">
        <f t="shared" si="93"/>
        <v>0</v>
      </c>
      <c r="EK80" s="10">
        <f t="shared" si="94"/>
        <v>0</v>
      </c>
      <c r="EL80" s="10">
        <f t="shared" ref="EL80:EM80" si="494">IF(OR(ISNUMBER(SEARCH("ai software toolkit", $D80)), ISNUMBER(SEARCH("ai software toolkit", $T80)), ISNUMBER(SEARCH("ai software toolkit", $R80)), ISNUMBER(SEARCH("ai software toolkit", $S80))), 1, 0)</f>
        <v>0</v>
      </c>
      <c r="EM80" s="10">
        <f t="shared" si="494"/>
        <v>0</v>
      </c>
      <c r="EN80" s="10">
        <f t="shared" si="96"/>
        <v>0</v>
      </c>
      <c r="EO80" s="10">
        <f t="shared" si="97"/>
        <v>0</v>
      </c>
      <c r="EP80" s="10">
        <f t="shared" si="98"/>
        <v>0</v>
      </c>
      <c r="EQ80" s="10">
        <f t="shared" si="99"/>
        <v>0</v>
      </c>
      <c r="ER80" s="10">
        <f t="shared" si="100"/>
        <v>0</v>
      </c>
      <c r="ES80" s="10">
        <f t="shared" si="101"/>
        <v>0</v>
      </c>
      <c r="ET80" s="10">
        <f t="shared" si="102"/>
        <v>0</v>
      </c>
      <c r="EU80" s="10">
        <f t="shared" si="103"/>
        <v>0</v>
      </c>
      <c r="EV80" s="10">
        <f t="shared" si="104"/>
        <v>0</v>
      </c>
      <c r="EW80" s="10">
        <f t="shared" si="105"/>
        <v>0</v>
      </c>
      <c r="EX80" s="10">
        <f t="shared" si="106"/>
        <v>0</v>
      </c>
      <c r="EY80" s="10">
        <f t="shared" si="107"/>
        <v>0</v>
      </c>
      <c r="EZ80" s="10">
        <f t="shared" si="108"/>
        <v>0</v>
      </c>
      <c r="FA80" s="10">
        <f t="shared" si="109"/>
        <v>0</v>
      </c>
      <c r="FB80" s="10">
        <f t="shared" si="110"/>
        <v>0</v>
      </c>
      <c r="FC80" s="10">
        <f t="shared" si="111"/>
        <v>0</v>
      </c>
      <c r="FD80" s="10">
        <f t="shared" si="112"/>
        <v>0</v>
      </c>
      <c r="FE80" s="10">
        <f t="shared" si="113"/>
        <v>0</v>
      </c>
      <c r="FF80" s="10">
        <f t="shared" si="114"/>
        <v>0</v>
      </c>
      <c r="FG80" s="10">
        <f t="shared" si="115"/>
        <v>0</v>
      </c>
      <c r="FH80" s="10">
        <f t="shared" si="116"/>
        <v>0</v>
      </c>
      <c r="FI80" s="10">
        <f t="shared" si="117"/>
        <v>0</v>
      </c>
      <c r="FJ80" s="10">
        <f t="shared" si="118"/>
        <v>0</v>
      </c>
      <c r="FK80" s="10">
        <f t="shared" si="119"/>
        <v>0</v>
      </c>
      <c r="FL80" s="10">
        <f t="shared" si="120"/>
        <v>0</v>
      </c>
      <c r="FM80" s="10">
        <f t="shared" si="121"/>
        <v>0</v>
      </c>
      <c r="FN80" s="10">
        <f t="shared" si="122"/>
        <v>0</v>
      </c>
      <c r="FO80" s="10">
        <f t="shared" si="123"/>
        <v>0</v>
      </c>
      <c r="FP80" s="10">
        <f t="shared" si="124"/>
        <v>0</v>
      </c>
      <c r="FQ80" s="10">
        <f t="shared" si="125"/>
        <v>0</v>
      </c>
      <c r="FR80" s="11">
        <f t="shared" si="470"/>
        <v>0</v>
      </c>
      <c r="FS80" s="11">
        <f t="shared" si="127"/>
        <v>0</v>
      </c>
      <c r="FT80" s="11">
        <f t="shared" si="128"/>
        <v>0</v>
      </c>
      <c r="FU80" s="11">
        <f t="shared" si="129"/>
        <v>0</v>
      </c>
      <c r="FV80" s="11">
        <f t="shared" si="130"/>
        <v>0</v>
      </c>
      <c r="FW80" s="11">
        <f t="shared" si="131"/>
        <v>0</v>
      </c>
      <c r="FX80" s="11">
        <f t="shared" si="132"/>
        <v>0</v>
      </c>
      <c r="FY80" s="11">
        <f t="shared" si="133"/>
        <v>0</v>
      </c>
      <c r="FZ80" s="11">
        <f t="shared" si="134"/>
        <v>0</v>
      </c>
      <c r="GA80" s="11">
        <f t="shared" si="135"/>
        <v>0</v>
      </c>
      <c r="GB80" s="11">
        <f t="shared" si="136"/>
        <v>0</v>
      </c>
      <c r="GC80" s="11">
        <f t="shared" si="137"/>
        <v>0</v>
      </c>
      <c r="GD80" s="11">
        <f t="shared" si="138"/>
        <v>0</v>
      </c>
      <c r="GE80" s="11">
        <f t="shared" si="139"/>
        <v>0</v>
      </c>
      <c r="GF80" s="11">
        <f t="shared" si="140"/>
        <v>0</v>
      </c>
      <c r="GG80" s="11">
        <f t="shared" si="141"/>
        <v>0</v>
      </c>
      <c r="GH80" s="11">
        <f t="shared" si="142"/>
        <v>0</v>
      </c>
      <c r="GI80" s="11">
        <f t="shared" si="143"/>
        <v>0</v>
      </c>
      <c r="GJ80" s="11">
        <f t="shared" si="144"/>
        <v>0</v>
      </c>
      <c r="GK80" s="11">
        <f t="shared" si="145"/>
        <v>0</v>
      </c>
      <c r="GL80" s="11">
        <f t="shared" si="146"/>
        <v>0</v>
      </c>
      <c r="GM80" s="11">
        <f t="shared" si="147"/>
        <v>0</v>
      </c>
      <c r="GN80" s="11">
        <f t="shared" si="148"/>
        <v>0</v>
      </c>
      <c r="GO80" s="11">
        <f t="shared" si="149"/>
        <v>0</v>
      </c>
      <c r="GP80" s="11">
        <f t="shared" si="150"/>
        <v>0</v>
      </c>
      <c r="GQ80" s="11">
        <f t="shared" si="151"/>
        <v>0</v>
      </c>
      <c r="GR80" s="11">
        <f t="shared" si="152"/>
        <v>0</v>
      </c>
      <c r="GS80" s="11">
        <f t="shared" si="153"/>
        <v>0</v>
      </c>
      <c r="GT80" s="11">
        <f t="shared" si="154"/>
        <v>0</v>
      </c>
      <c r="GU80" s="12">
        <f t="shared" si="155"/>
        <v>0</v>
      </c>
      <c r="GV80" s="12">
        <f t="shared" si="156"/>
        <v>0</v>
      </c>
      <c r="GW80" s="12">
        <f t="shared" si="157"/>
        <v>0</v>
      </c>
      <c r="GX80" s="12">
        <f t="shared" si="158"/>
        <v>0</v>
      </c>
      <c r="GY80" s="12">
        <f t="shared" si="159"/>
        <v>0</v>
      </c>
      <c r="GZ80" s="12">
        <f t="shared" si="160"/>
        <v>0</v>
      </c>
      <c r="HA80" s="12">
        <f t="shared" si="161"/>
        <v>0</v>
      </c>
      <c r="HB80" s="12">
        <f t="shared" si="162"/>
        <v>0</v>
      </c>
      <c r="HC80" s="12">
        <f t="shared" si="163"/>
        <v>0</v>
      </c>
      <c r="HD80" s="12">
        <f t="shared" si="164"/>
        <v>0</v>
      </c>
      <c r="HE80" s="12">
        <f t="shared" si="165"/>
        <v>0</v>
      </c>
      <c r="HF80" s="12">
        <f t="shared" si="166"/>
        <v>0</v>
      </c>
      <c r="HG80" s="12">
        <f t="shared" si="167"/>
        <v>0</v>
      </c>
      <c r="HH80" s="12">
        <f t="shared" si="168"/>
        <v>0</v>
      </c>
      <c r="HI80" s="12">
        <f t="shared" si="169"/>
        <v>0</v>
      </c>
      <c r="HJ80" s="12">
        <f t="shared" si="170"/>
        <v>0</v>
      </c>
      <c r="HK80" s="12">
        <f t="shared" si="171"/>
        <v>0</v>
      </c>
      <c r="HL80" s="12">
        <f t="shared" si="172"/>
        <v>0</v>
      </c>
      <c r="HM80" s="12">
        <f t="shared" si="173"/>
        <v>0</v>
      </c>
      <c r="HN80" s="12">
        <f t="shared" si="174"/>
        <v>0</v>
      </c>
      <c r="HO80" s="12">
        <f t="shared" si="175"/>
        <v>0</v>
      </c>
      <c r="HP80" s="12">
        <f t="shared" si="176"/>
        <v>0</v>
      </c>
      <c r="HQ80" s="12">
        <f t="shared" si="177"/>
        <v>0</v>
      </c>
      <c r="HR80" s="12">
        <f t="shared" si="178"/>
        <v>0</v>
      </c>
      <c r="HS80" s="12">
        <f t="shared" si="179"/>
        <v>0</v>
      </c>
      <c r="HT80" s="12">
        <f t="shared" si="180"/>
        <v>0</v>
      </c>
      <c r="HU80" s="12">
        <f t="shared" si="181"/>
        <v>0</v>
      </c>
      <c r="HV80" s="12">
        <f t="shared" si="182"/>
        <v>0</v>
      </c>
      <c r="HW80" s="12">
        <f t="shared" si="183"/>
        <v>0</v>
      </c>
      <c r="HX80" s="12">
        <f t="shared" si="184"/>
        <v>0</v>
      </c>
      <c r="HY80" s="12">
        <f t="shared" si="185"/>
        <v>0</v>
      </c>
      <c r="HZ80" s="12">
        <f t="shared" si="186"/>
        <v>0</v>
      </c>
      <c r="IA80" s="12">
        <f t="shared" si="187"/>
        <v>0</v>
      </c>
      <c r="IB80" s="12">
        <f t="shared" si="188"/>
        <v>0</v>
      </c>
      <c r="IC80" s="12">
        <f t="shared" si="189"/>
        <v>0</v>
      </c>
      <c r="ID80" s="12">
        <f t="shared" si="190"/>
        <v>0</v>
      </c>
      <c r="IE80" s="12">
        <f t="shared" si="191"/>
        <v>0</v>
      </c>
      <c r="IF80" s="12">
        <f t="shared" si="192"/>
        <v>0</v>
      </c>
      <c r="IG80" s="12">
        <f t="shared" si="193"/>
        <v>0</v>
      </c>
      <c r="IH80" s="12">
        <f t="shared" si="194"/>
        <v>0</v>
      </c>
      <c r="II80" s="12">
        <f t="shared" si="195"/>
        <v>0</v>
      </c>
      <c r="IJ80" s="12">
        <f t="shared" si="196"/>
        <v>0</v>
      </c>
      <c r="IK80" s="12">
        <f t="shared" si="197"/>
        <v>0</v>
      </c>
      <c r="IL80" s="12">
        <f t="shared" si="198"/>
        <v>0</v>
      </c>
      <c r="IM80" s="12">
        <f t="shared" si="199"/>
        <v>0</v>
      </c>
      <c r="IN80" s="12">
        <f t="shared" si="200"/>
        <v>0</v>
      </c>
      <c r="IO80" s="12">
        <f t="shared" si="201"/>
        <v>0</v>
      </c>
      <c r="IP80" s="12">
        <f t="shared" si="202"/>
        <v>0</v>
      </c>
      <c r="IQ80" s="12">
        <f t="shared" si="203"/>
        <v>0</v>
      </c>
      <c r="IR80" s="12">
        <f t="shared" si="204"/>
        <v>0</v>
      </c>
      <c r="IS80" s="12">
        <f t="shared" si="205"/>
        <v>0</v>
      </c>
      <c r="IT80" s="12">
        <f t="shared" si="206"/>
        <v>0</v>
      </c>
      <c r="IU80" s="12">
        <f t="shared" si="207"/>
        <v>0</v>
      </c>
      <c r="IV80" s="12">
        <f t="shared" si="208"/>
        <v>0</v>
      </c>
      <c r="IW80" s="12">
        <f t="shared" si="209"/>
        <v>0</v>
      </c>
      <c r="IX80" s="12">
        <f t="shared" si="210"/>
        <v>0</v>
      </c>
      <c r="IY80" s="12">
        <f t="shared" si="211"/>
        <v>0</v>
      </c>
      <c r="IZ80" s="12">
        <f t="shared" si="212"/>
        <v>1</v>
      </c>
      <c r="JA80" s="13">
        <f t="shared" si="213"/>
        <v>0</v>
      </c>
      <c r="JB80" s="13">
        <f t="shared" si="214"/>
        <v>0</v>
      </c>
      <c r="JC80" s="13">
        <f t="shared" si="215"/>
        <v>0</v>
      </c>
      <c r="JD80" s="13">
        <f t="shared" si="216"/>
        <v>0</v>
      </c>
      <c r="JE80" s="13">
        <f t="shared" si="217"/>
        <v>0</v>
      </c>
      <c r="JF80" s="13">
        <f t="shared" si="218"/>
        <v>0</v>
      </c>
      <c r="JG80" s="13">
        <f t="shared" si="219"/>
        <v>0</v>
      </c>
      <c r="JH80" s="13">
        <f t="shared" si="220"/>
        <v>0</v>
      </c>
      <c r="JI80" s="13">
        <f t="shared" si="221"/>
        <v>0</v>
      </c>
      <c r="JJ80" s="13">
        <f t="shared" si="222"/>
        <v>0</v>
      </c>
      <c r="JK80" s="13">
        <f t="shared" si="223"/>
        <v>0</v>
      </c>
      <c r="JL80" s="13">
        <f t="shared" si="224"/>
        <v>0</v>
      </c>
      <c r="JM80" s="13">
        <f t="shared" si="225"/>
        <v>0</v>
      </c>
      <c r="JN80" s="13">
        <f t="shared" si="226"/>
        <v>0</v>
      </c>
      <c r="JO80" s="13">
        <f t="shared" si="227"/>
        <v>0</v>
      </c>
      <c r="JP80" s="13">
        <f t="shared" si="228"/>
        <v>0</v>
      </c>
      <c r="JQ80" s="13">
        <f t="shared" si="229"/>
        <v>0</v>
      </c>
      <c r="JR80" s="13">
        <f t="shared" si="230"/>
        <v>0</v>
      </c>
      <c r="JS80" s="13">
        <f t="shared" si="231"/>
        <v>0</v>
      </c>
      <c r="JT80" s="13">
        <f t="shared" si="232"/>
        <v>0</v>
      </c>
      <c r="JU80" s="13">
        <f t="shared" si="233"/>
        <v>0</v>
      </c>
      <c r="JV80" s="12">
        <f t="shared" si="234"/>
        <v>0</v>
      </c>
      <c r="JW80" s="12">
        <f t="shared" si="235"/>
        <v>0</v>
      </c>
      <c r="JX80" s="12">
        <f t="shared" si="236"/>
        <v>0</v>
      </c>
      <c r="JY80" s="12">
        <f t="shared" si="237"/>
        <v>0</v>
      </c>
      <c r="JZ80" s="12">
        <f t="shared" si="238"/>
        <v>0</v>
      </c>
      <c r="KA80" s="12">
        <f t="shared" si="239"/>
        <v>0</v>
      </c>
      <c r="KB80" s="12">
        <f t="shared" si="240"/>
        <v>0</v>
      </c>
      <c r="KC80" s="12">
        <f t="shared" si="241"/>
        <v>0</v>
      </c>
      <c r="KD80" s="12">
        <f t="shared" si="242"/>
        <v>0</v>
      </c>
      <c r="KE80" s="12">
        <f t="shared" si="243"/>
        <v>0</v>
      </c>
      <c r="KF80" s="12">
        <f t="shared" si="244"/>
        <v>0</v>
      </c>
      <c r="KG80" s="12">
        <f t="shared" si="245"/>
        <v>0</v>
      </c>
      <c r="KH80" s="12">
        <f t="shared" si="246"/>
        <v>0</v>
      </c>
      <c r="KI80" s="12">
        <f t="shared" si="247"/>
        <v>0</v>
      </c>
      <c r="KJ80" s="12">
        <f t="shared" si="248"/>
        <v>0</v>
      </c>
      <c r="KK80" s="12">
        <f t="shared" si="249"/>
        <v>0</v>
      </c>
      <c r="KL80" s="12">
        <f t="shared" si="250"/>
        <v>0</v>
      </c>
      <c r="KM80" s="12">
        <f t="shared" si="251"/>
        <v>0</v>
      </c>
      <c r="KN80" s="12">
        <f t="shared" si="252"/>
        <v>0</v>
      </c>
      <c r="KO80" s="12">
        <f t="shared" si="253"/>
        <v>0</v>
      </c>
      <c r="KP80" s="12">
        <f t="shared" si="254"/>
        <v>0</v>
      </c>
      <c r="KQ80" s="12">
        <f t="shared" si="255"/>
        <v>0</v>
      </c>
      <c r="KR80" s="12">
        <f t="shared" si="256"/>
        <v>0</v>
      </c>
      <c r="KS80" s="12">
        <f t="shared" si="257"/>
        <v>0</v>
      </c>
      <c r="KT80" s="12">
        <f t="shared" si="258"/>
        <v>0</v>
      </c>
      <c r="KU80" s="12">
        <f t="shared" si="259"/>
        <v>0</v>
      </c>
      <c r="KV80" s="12">
        <f t="shared" si="260"/>
        <v>0</v>
      </c>
      <c r="KW80" s="12">
        <f t="shared" si="261"/>
        <v>0</v>
      </c>
      <c r="KX80" s="12">
        <f t="shared" si="262"/>
        <v>0</v>
      </c>
      <c r="KY80" s="12">
        <f t="shared" si="263"/>
        <v>0</v>
      </c>
      <c r="KZ80" s="12">
        <f t="shared" si="264"/>
        <v>0</v>
      </c>
      <c r="LA80" s="12">
        <f t="shared" si="265"/>
        <v>0</v>
      </c>
      <c r="LB80" s="12">
        <f t="shared" si="266"/>
        <v>0</v>
      </c>
      <c r="LC80" s="12">
        <f t="shared" si="267"/>
        <v>0</v>
      </c>
      <c r="LD80" s="12">
        <f t="shared" si="268"/>
        <v>0</v>
      </c>
      <c r="LE80" s="12">
        <f t="shared" si="269"/>
        <v>0</v>
      </c>
      <c r="LF80" s="12">
        <f t="shared" si="270"/>
        <v>0</v>
      </c>
      <c r="LG80" s="12">
        <f t="shared" si="271"/>
        <v>0</v>
      </c>
      <c r="LH80" s="12">
        <f t="shared" si="272"/>
        <v>0</v>
      </c>
      <c r="LI80" s="12">
        <f t="shared" si="273"/>
        <v>0</v>
      </c>
      <c r="LJ80" s="12">
        <f t="shared" si="274"/>
        <v>0</v>
      </c>
      <c r="LK80" s="12">
        <f t="shared" si="275"/>
        <v>0</v>
      </c>
      <c r="LL80" s="12">
        <f t="shared" si="276"/>
        <v>0</v>
      </c>
      <c r="LM80" s="12">
        <f t="shared" si="277"/>
        <v>0</v>
      </c>
      <c r="LN80" s="12">
        <f t="shared" si="278"/>
        <v>0</v>
      </c>
      <c r="LO80" s="12">
        <f t="shared" si="279"/>
        <v>0</v>
      </c>
      <c r="LP80" s="12">
        <f t="shared" si="280"/>
        <v>0</v>
      </c>
      <c r="LQ80" s="12">
        <f t="shared" si="281"/>
        <v>0</v>
      </c>
      <c r="LR80" s="12">
        <f t="shared" si="282"/>
        <v>0</v>
      </c>
      <c r="LS80" s="12">
        <f t="shared" si="283"/>
        <v>0</v>
      </c>
      <c r="LT80" s="13">
        <f t="shared" si="284"/>
        <v>0</v>
      </c>
      <c r="LU80" s="13">
        <f t="shared" si="285"/>
        <v>0</v>
      </c>
      <c r="LV80" s="13">
        <f t="shared" si="286"/>
        <v>0</v>
      </c>
      <c r="LW80" s="13">
        <f t="shared" si="287"/>
        <v>0</v>
      </c>
      <c r="LX80" s="13">
        <f t="shared" si="288"/>
        <v>0</v>
      </c>
      <c r="LY80" s="13">
        <f t="shared" si="289"/>
        <v>0</v>
      </c>
      <c r="LZ80" s="13">
        <f t="shared" si="290"/>
        <v>0</v>
      </c>
      <c r="MA80" s="13">
        <f t="shared" si="291"/>
        <v>0</v>
      </c>
      <c r="MB80" s="13">
        <f t="shared" si="292"/>
        <v>0</v>
      </c>
      <c r="MC80" s="13">
        <f t="shared" si="293"/>
        <v>0</v>
      </c>
      <c r="MD80" s="13">
        <f t="shared" si="294"/>
        <v>0</v>
      </c>
      <c r="ME80" s="13">
        <f t="shared" si="295"/>
        <v>0</v>
      </c>
      <c r="MF80" s="13">
        <f t="shared" si="296"/>
        <v>0</v>
      </c>
      <c r="MG80" s="13">
        <f t="shared" si="297"/>
        <v>0</v>
      </c>
      <c r="MH80" s="13">
        <f t="shared" si="298"/>
        <v>0</v>
      </c>
      <c r="MI80" s="13">
        <f t="shared" si="299"/>
        <v>0</v>
      </c>
      <c r="MJ80" s="13">
        <f t="shared" si="300"/>
        <v>0</v>
      </c>
      <c r="MK80" s="13">
        <f t="shared" si="301"/>
        <v>0</v>
      </c>
      <c r="ML80" s="14">
        <f t="shared" si="302"/>
        <v>0</v>
      </c>
      <c r="MM80" s="14">
        <f t="shared" si="303"/>
        <v>0</v>
      </c>
      <c r="MN80" s="14">
        <f t="shared" si="304"/>
        <v>0</v>
      </c>
      <c r="MO80" s="14">
        <f t="shared" si="305"/>
        <v>0</v>
      </c>
      <c r="MP80" s="14">
        <f t="shared" si="306"/>
        <v>0</v>
      </c>
      <c r="MQ80" s="14">
        <f t="shared" si="307"/>
        <v>0</v>
      </c>
      <c r="MR80" s="14">
        <f t="shared" si="308"/>
        <v>0</v>
      </c>
      <c r="MS80" s="14">
        <f t="shared" si="309"/>
        <v>0</v>
      </c>
      <c r="MT80" s="14">
        <f t="shared" si="310"/>
        <v>0</v>
      </c>
      <c r="MU80" s="14">
        <f t="shared" si="311"/>
        <v>0</v>
      </c>
      <c r="MV80" s="14">
        <f t="shared" si="312"/>
        <v>0</v>
      </c>
      <c r="MW80" s="14">
        <f t="shared" si="313"/>
        <v>0</v>
      </c>
      <c r="MX80" s="14">
        <f t="shared" si="314"/>
        <v>0</v>
      </c>
      <c r="MY80" s="14">
        <f t="shared" si="315"/>
        <v>0</v>
      </c>
      <c r="MZ80" s="14">
        <f t="shared" si="316"/>
        <v>0</v>
      </c>
      <c r="NA80" s="14">
        <f t="shared" si="317"/>
        <v>0</v>
      </c>
      <c r="NB80" s="14">
        <f t="shared" si="318"/>
        <v>0</v>
      </c>
    </row>
    <row r="81" ht="15.75" customHeight="1">
      <c r="A81" s="2">
        <v>211.0</v>
      </c>
      <c r="B81" s="2" t="s">
        <v>1766</v>
      </c>
      <c r="C81" s="2" t="s">
        <v>1767</v>
      </c>
      <c r="D81" s="2" t="s">
        <v>1768</v>
      </c>
      <c r="E81" s="2">
        <v>2020.0</v>
      </c>
      <c r="F81" s="2" t="s">
        <v>1769</v>
      </c>
      <c r="G81" s="2" t="s">
        <v>603</v>
      </c>
      <c r="H81" s="2" t="s">
        <v>432</v>
      </c>
      <c r="I81" s="2" t="s">
        <v>1770</v>
      </c>
      <c r="J81" s="2" t="s">
        <v>1771</v>
      </c>
      <c r="K81" s="2" t="s">
        <v>1772</v>
      </c>
      <c r="M81" s="2">
        <v>15.0</v>
      </c>
      <c r="N81" s="2" t="s">
        <v>1773</v>
      </c>
      <c r="O81" s="2" t="s">
        <v>1774</v>
      </c>
      <c r="P81" s="2" t="s">
        <v>1775</v>
      </c>
      <c r="Q81" s="2" t="s">
        <v>1776</v>
      </c>
      <c r="R81" s="2" t="s">
        <v>1777</v>
      </c>
      <c r="S81" s="2" t="s">
        <v>1778</v>
      </c>
      <c r="T81" s="2" t="s">
        <v>1779</v>
      </c>
      <c r="Y81" s="2" t="s">
        <v>1780</v>
      </c>
      <c r="AB81" s="2" t="s">
        <v>668</v>
      </c>
      <c r="AG81" s="2" t="s">
        <v>1781</v>
      </c>
      <c r="AK81" s="2" t="s">
        <v>1782</v>
      </c>
      <c r="AL81" s="2" t="s">
        <v>384</v>
      </c>
      <c r="AN81" s="2" t="s">
        <v>386</v>
      </c>
      <c r="AO81" s="2" t="s">
        <v>1783</v>
      </c>
      <c r="AP81" s="2" t="s">
        <v>386</v>
      </c>
      <c r="AQ81" s="2">
        <v>876.0</v>
      </c>
      <c r="AR81" s="2" t="s">
        <v>1784</v>
      </c>
      <c r="AS81" s="2" t="b">
        <v>1</v>
      </c>
      <c r="AT81" s="3">
        <v>0.0</v>
      </c>
      <c r="AU81" s="4"/>
      <c r="AV81" s="4"/>
      <c r="AW81" s="5">
        <f t="shared" si="432"/>
        <v>0</v>
      </c>
      <c r="AX81" s="5">
        <f t="shared" si="4"/>
        <v>0</v>
      </c>
      <c r="AY81" s="5">
        <f t="shared" si="5"/>
        <v>0</v>
      </c>
      <c r="AZ81" s="5">
        <f t="shared" si="6"/>
        <v>0</v>
      </c>
      <c r="BA81" s="5">
        <f t="shared" si="7"/>
        <v>0</v>
      </c>
      <c r="BB81" s="5">
        <f t="shared" si="8"/>
        <v>0</v>
      </c>
      <c r="BC81" s="5">
        <f t="shared" si="9"/>
        <v>0</v>
      </c>
      <c r="BD81" s="5">
        <f t="shared" si="10"/>
        <v>0</v>
      </c>
      <c r="BE81" s="5">
        <f t="shared" si="11"/>
        <v>0</v>
      </c>
      <c r="BF81" s="5">
        <f t="shared" si="12"/>
        <v>0</v>
      </c>
      <c r="BG81" s="5">
        <f t="shared" si="13"/>
        <v>0</v>
      </c>
      <c r="BH81" s="5">
        <f t="shared" si="14"/>
        <v>0</v>
      </c>
      <c r="BI81" s="5">
        <f t="shared" si="15"/>
        <v>0</v>
      </c>
      <c r="BJ81" s="5">
        <f t="shared" si="16"/>
        <v>0</v>
      </c>
      <c r="BK81" s="5">
        <f t="shared" si="17"/>
        <v>0</v>
      </c>
      <c r="BL81" s="5">
        <f t="shared" si="18"/>
        <v>0</v>
      </c>
      <c r="BM81" s="5">
        <f t="shared" si="19"/>
        <v>0</v>
      </c>
      <c r="BN81" s="5">
        <f t="shared" si="20"/>
        <v>0</v>
      </c>
      <c r="BO81" s="5">
        <f t="shared" si="21"/>
        <v>0</v>
      </c>
      <c r="BP81" s="5">
        <f t="shared" si="22"/>
        <v>0</v>
      </c>
      <c r="BQ81" s="5">
        <f t="shared" si="23"/>
        <v>0</v>
      </c>
      <c r="BR81" s="5">
        <f t="shared" si="24"/>
        <v>0</v>
      </c>
      <c r="BS81" s="5">
        <f t="shared" si="25"/>
        <v>0</v>
      </c>
      <c r="BT81" s="5">
        <f t="shared" si="26"/>
        <v>0</v>
      </c>
      <c r="BU81" s="5">
        <f t="shared" si="27"/>
        <v>0</v>
      </c>
      <c r="BV81" s="5">
        <f t="shared" ref="BV81:BW81" si="495">IF(OR(ISNUMBER(SEARCH("grit",$D81)),ISNUMBER(SEARCH("grit",$T81)),ISNUMBER(SEARCH("grit",$R81)),ISNUMBER(SEARCH("grit",$S81)),
ISNUMBER(SEARCH("determination",$D81)),ISNUMBER(SEARCH("determination",$T81)),ISNUMBER(SEARCH("determination",$R81)),ISNUMBER(SEARCH("determination",$S81)),
ISNUMBER(SEARCH("tenacity",$D81)),ISNUMBER(SEARCH("tenacity",$T81)),ISNUMBER(SEARCH("tenacity",$R81)),ISNUMBER(SEARCH("tenacity",$S81)),
ISNUMBER(SEARCH("endurance",$D81)),ISNUMBER(SEARCH("endurance",$T81)),ISNUMBER(SEARCH("endurance",$R81)),ISNUMBER(SEARCH("endurance",$S81)),
ISNUMBER(SEARCH("fortitude",$D81)),ISNUMBER(SEARCH("fortitude",$T81)),ISNUMBER(SEARCH("fortitude",$R81)),ISNUMBER(SEARCH("fortitude",$S81)),
ISNUMBER(SEARCH("resolve",$D81)),ISNUMBER(SEARCH("resolve",$T81)),ISNUMBER(SEARCH("resolve",$R81)),ISNUMBER(SEARCH("resolve",$S81)),
ISNUMBER(SEARCH("stamina",$D81)),ISNUMBER(SEARCH("stamina",$T81)),ISNUMBER(SEARCH("stamina",$R81)),ISNUMBER(SEARCH("stamina",$S81)),
ISNUMBER(SEARCH("guts",$D81)),ISNUMBER(SEARCH("guts",$T81)),ISNUMBER(SEARCH("guts",$R81)),ISNUMBER(SEARCH("guts",$S81)),
ISNUMBER(SEARCH("spunk",$D81)),ISNUMBER(SEARCH("spunk",$T81)),ISNUMBER(SEARCH("spunk",$R81)),ISNUMBER(SEARCH("spunk",$S81))), 1, 0)</f>
        <v>0</v>
      </c>
      <c r="BW81" s="5">
        <f t="shared" si="495"/>
        <v>0</v>
      </c>
      <c r="BX81" s="5">
        <f t="shared" si="29"/>
        <v>0</v>
      </c>
      <c r="BY81" s="5">
        <f t="shared" si="30"/>
        <v>0</v>
      </c>
      <c r="BZ81" s="5">
        <f t="shared" si="31"/>
        <v>0</v>
      </c>
      <c r="CA81" s="5">
        <f t="shared" si="32"/>
        <v>0</v>
      </c>
      <c r="CB81" s="5">
        <f t="shared" si="33"/>
        <v>0</v>
      </c>
      <c r="CC81" s="5">
        <f t="shared" si="34"/>
        <v>0</v>
      </c>
      <c r="CD81" s="5">
        <f t="shared" si="35"/>
        <v>0</v>
      </c>
      <c r="CE81" s="5">
        <f t="shared" si="36"/>
        <v>0</v>
      </c>
      <c r="CF81" s="5">
        <f t="shared" si="37"/>
        <v>0</v>
      </c>
      <c r="CG81" s="5">
        <f t="shared" si="38"/>
        <v>0</v>
      </c>
      <c r="CH81" s="5">
        <f t="shared" si="39"/>
        <v>0</v>
      </c>
      <c r="CI81" s="5">
        <f t="shared" si="40"/>
        <v>0</v>
      </c>
      <c r="CJ81" s="5">
        <f t="shared" si="41"/>
        <v>0</v>
      </c>
      <c r="CK81" s="5">
        <f t="shared" si="42"/>
        <v>0</v>
      </c>
      <c r="CL81" s="5">
        <f t="shared" si="43"/>
        <v>0</v>
      </c>
      <c r="CM81" s="5">
        <f t="shared" si="44"/>
        <v>0</v>
      </c>
      <c r="CN81" s="5">
        <f t="shared" si="45"/>
        <v>0</v>
      </c>
      <c r="CO81" s="5">
        <f t="shared" si="46"/>
        <v>0</v>
      </c>
      <c r="CP81" s="6">
        <f t="shared" si="47"/>
        <v>0</v>
      </c>
      <c r="CQ81" s="6">
        <f t="shared" si="48"/>
        <v>0</v>
      </c>
      <c r="CR81" s="6">
        <f t="shared" si="49"/>
        <v>0</v>
      </c>
      <c r="CS81" s="6">
        <f t="shared" si="50"/>
        <v>0</v>
      </c>
      <c r="CT81" s="6">
        <f t="shared" si="51"/>
        <v>0</v>
      </c>
      <c r="CU81" s="6">
        <f t="shared" si="52"/>
        <v>0</v>
      </c>
      <c r="CV81" s="6">
        <f t="shared" si="53"/>
        <v>0</v>
      </c>
      <c r="CW81" s="6">
        <f t="shared" si="54"/>
        <v>0</v>
      </c>
      <c r="CX81" s="6">
        <f t="shared" si="55"/>
        <v>0</v>
      </c>
      <c r="CY81" s="6">
        <f t="shared" si="56"/>
        <v>0</v>
      </c>
      <c r="CZ81" s="6">
        <f t="shared" si="57"/>
        <v>0</v>
      </c>
      <c r="DA81" s="6">
        <f t="shared" si="58"/>
        <v>0</v>
      </c>
      <c r="DB81" s="6">
        <f t="shared" si="59"/>
        <v>0</v>
      </c>
      <c r="DC81" s="6">
        <f t="shared" si="60"/>
        <v>0</v>
      </c>
      <c r="DD81" s="6">
        <f t="shared" si="61"/>
        <v>0</v>
      </c>
      <c r="DE81" s="6">
        <f t="shared" si="62"/>
        <v>0</v>
      </c>
      <c r="DF81" s="6">
        <f t="shared" si="63"/>
        <v>0</v>
      </c>
      <c r="DG81" s="6">
        <f t="shared" si="64"/>
        <v>0</v>
      </c>
      <c r="DH81" s="6">
        <f t="shared" si="486"/>
        <v>0</v>
      </c>
      <c r="DI81" s="6">
        <f t="shared" si="66"/>
        <v>0</v>
      </c>
      <c r="DJ81" s="6">
        <f t="shared" si="487"/>
        <v>0</v>
      </c>
      <c r="DK81" s="7">
        <f t="shared" si="68"/>
        <v>1</v>
      </c>
      <c r="DL81" s="7">
        <f t="shared" ref="DL81:DL264" si="498">IF(
OR(
ISNUMBER(SEARCH("common-sense reasoning",$D81)),ISNUMBER(SEARCH("common-sense reasoning",$T81)),ISNUMBER(SEARCH("common-sense reasoning",$R79)),ISNUMBER(SEARCH("common-sense reasoning",$S81)),
ISNUMBER(SEARCH("latent variable models",$D81)),ISNUMBER(SEARCH("latent variable models",$T81)),ISNUMBER(SEARCH("latent variable models",$R81)),ISNUMBER(SEARCH("latent variable models",$S81))), 1, 0)</f>
        <v>0</v>
      </c>
      <c r="DM81" s="7">
        <f t="shared" si="70"/>
        <v>0</v>
      </c>
      <c r="DN81" s="7">
        <f t="shared" si="71"/>
        <v>0</v>
      </c>
      <c r="DO81" s="7">
        <f t="shared" si="72"/>
        <v>1</v>
      </c>
      <c r="DP81" s="8">
        <f t="shared" si="73"/>
        <v>0</v>
      </c>
      <c r="DQ81" s="8">
        <f t="shared" si="74"/>
        <v>1</v>
      </c>
      <c r="DR81" s="7">
        <f t="shared" si="75"/>
        <v>0</v>
      </c>
      <c r="DS81" s="7">
        <f t="shared" si="76"/>
        <v>0</v>
      </c>
      <c r="DT81" s="7">
        <f t="shared" si="77"/>
        <v>0</v>
      </c>
      <c r="DU81" s="9">
        <f t="shared" si="78"/>
        <v>0</v>
      </c>
      <c r="DV81" s="9">
        <f t="shared" si="79"/>
        <v>0</v>
      </c>
      <c r="DW81" s="9">
        <f t="shared" si="80"/>
        <v>0</v>
      </c>
      <c r="DX81" s="9">
        <f t="shared" si="81"/>
        <v>0</v>
      </c>
      <c r="DY81" s="9">
        <f t="shared" si="82"/>
        <v>0</v>
      </c>
      <c r="DZ81" s="9">
        <f t="shared" si="83"/>
        <v>0</v>
      </c>
      <c r="EA81" s="9">
        <f t="shared" si="84"/>
        <v>0</v>
      </c>
      <c r="EB81" s="9">
        <f t="shared" si="85"/>
        <v>0</v>
      </c>
      <c r="EC81" s="9">
        <f t="shared" si="86"/>
        <v>0</v>
      </c>
      <c r="ED81" s="9">
        <f t="shared" si="87"/>
        <v>0</v>
      </c>
      <c r="EE81" s="9">
        <f t="shared" si="88"/>
        <v>0</v>
      </c>
      <c r="EF81" s="9">
        <f t="shared" si="89"/>
        <v>0</v>
      </c>
      <c r="EG81" s="9">
        <f t="shared" si="90"/>
        <v>0</v>
      </c>
      <c r="EH81" s="9">
        <f t="shared" si="91"/>
        <v>0</v>
      </c>
      <c r="EI81" s="9">
        <f t="shared" si="92"/>
        <v>0</v>
      </c>
      <c r="EJ81" s="10">
        <f t="shared" si="93"/>
        <v>0</v>
      </c>
      <c r="EK81" s="10">
        <f t="shared" si="94"/>
        <v>0</v>
      </c>
      <c r="EL81" s="10">
        <f t="shared" ref="EL81:EM81" si="496">IF(OR(ISNUMBER(SEARCH("ai software toolkit", $D81)), ISNUMBER(SEARCH("ai software toolkit", $T81)), ISNUMBER(SEARCH("ai software toolkit", $R81)), ISNUMBER(SEARCH("ai software toolkit", $S81))), 1, 0)</f>
        <v>0</v>
      </c>
      <c r="EM81" s="10">
        <f t="shared" si="496"/>
        <v>0</v>
      </c>
      <c r="EN81" s="10">
        <f t="shared" si="96"/>
        <v>0</v>
      </c>
      <c r="EO81" s="10">
        <f t="shared" si="97"/>
        <v>0</v>
      </c>
      <c r="EP81" s="10">
        <f t="shared" si="98"/>
        <v>0</v>
      </c>
      <c r="EQ81" s="10">
        <f t="shared" si="99"/>
        <v>0</v>
      </c>
      <c r="ER81" s="10">
        <f t="shared" si="100"/>
        <v>0</v>
      </c>
      <c r="ES81" s="10">
        <f t="shared" si="101"/>
        <v>0</v>
      </c>
      <c r="ET81" s="10">
        <f t="shared" si="102"/>
        <v>0</v>
      </c>
      <c r="EU81" s="10">
        <f t="shared" si="103"/>
        <v>0</v>
      </c>
      <c r="EV81" s="10">
        <f t="shared" si="104"/>
        <v>0</v>
      </c>
      <c r="EW81" s="10">
        <f t="shared" si="105"/>
        <v>0</v>
      </c>
      <c r="EX81" s="10">
        <f t="shared" si="106"/>
        <v>0</v>
      </c>
      <c r="EY81" s="10">
        <f t="shared" si="107"/>
        <v>0</v>
      </c>
      <c r="EZ81" s="10">
        <f t="shared" si="108"/>
        <v>0</v>
      </c>
      <c r="FA81" s="10">
        <f t="shared" si="109"/>
        <v>0</v>
      </c>
      <c r="FB81" s="10">
        <f t="shared" si="110"/>
        <v>0</v>
      </c>
      <c r="FC81" s="10">
        <f t="shared" si="111"/>
        <v>0</v>
      </c>
      <c r="FD81" s="10">
        <f t="shared" si="112"/>
        <v>0</v>
      </c>
      <c r="FE81" s="10">
        <f t="shared" si="113"/>
        <v>0</v>
      </c>
      <c r="FF81" s="10">
        <f t="shared" si="114"/>
        <v>0</v>
      </c>
      <c r="FG81" s="10">
        <f t="shared" si="115"/>
        <v>0</v>
      </c>
      <c r="FH81" s="10">
        <f t="shared" si="116"/>
        <v>0</v>
      </c>
      <c r="FI81" s="10">
        <f t="shared" si="117"/>
        <v>0</v>
      </c>
      <c r="FJ81" s="10">
        <f t="shared" si="118"/>
        <v>0</v>
      </c>
      <c r="FK81" s="10">
        <f t="shared" si="119"/>
        <v>0</v>
      </c>
      <c r="FL81" s="10">
        <f t="shared" si="120"/>
        <v>0</v>
      </c>
      <c r="FM81" s="10">
        <f t="shared" si="121"/>
        <v>0</v>
      </c>
      <c r="FN81" s="10">
        <f t="shared" si="122"/>
        <v>0</v>
      </c>
      <c r="FO81" s="10">
        <f t="shared" si="123"/>
        <v>0</v>
      </c>
      <c r="FP81" s="10">
        <f t="shared" si="124"/>
        <v>0</v>
      </c>
      <c r="FQ81" s="10">
        <f t="shared" si="125"/>
        <v>0</v>
      </c>
      <c r="FR81" s="11">
        <f t="shared" si="470"/>
        <v>0</v>
      </c>
      <c r="FS81" s="11">
        <f t="shared" si="127"/>
        <v>0</v>
      </c>
      <c r="FT81" s="11">
        <f t="shared" si="128"/>
        <v>0</v>
      </c>
      <c r="FU81" s="11">
        <f t="shared" si="129"/>
        <v>0</v>
      </c>
      <c r="FV81" s="11">
        <f t="shared" si="130"/>
        <v>0</v>
      </c>
      <c r="FW81" s="11">
        <f t="shared" si="131"/>
        <v>0</v>
      </c>
      <c r="FX81" s="11">
        <f t="shared" si="132"/>
        <v>0</v>
      </c>
      <c r="FY81" s="11">
        <f t="shared" si="133"/>
        <v>0</v>
      </c>
      <c r="FZ81" s="11">
        <f t="shared" si="134"/>
        <v>0</v>
      </c>
      <c r="GA81" s="11">
        <f t="shared" si="135"/>
        <v>0</v>
      </c>
      <c r="GB81" s="11">
        <f t="shared" si="136"/>
        <v>0</v>
      </c>
      <c r="GC81" s="11">
        <f t="shared" si="137"/>
        <v>0</v>
      </c>
      <c r="GD81" s="11">
        <f t="shared" si="138"/>
        <v>0</v>
      </c>
      <c r="GE81" s="11">
        <f t="shared" si="139"/>
        <v>0</v>
      </c>
      <c r="GF81" s="11">
        <f t="shared" si="140"/>
        <v>0</v>
      </c>
      <c r="GG81" s="11">
        <f t="shared" si="141"/>
        <v>0</v>
      </c>
      <c r="GH81" s="11">
        <f t="shared" si="142"/>
        <v>0</v>
      </c>
      <c r="GI81" s="11">
        <f t="shared" si="143"/>
        <v>0</v>
      </c>
      <c r="GJ81" s="11">
        <f t="shared" si="144"/>
        <v>0</v>
      </c>
      <c r="GK81" s="11">
        <f t="shared" si="145"/>
        <v>1</v>
      </c>
      <c r="GL81" s="11">
        <f t="shared" si="146"/>
        <v>0</v>
      </c>
      <c r="GM81" s="11">
        <f t="shared" si="147"/>
        <v>0</v>
      </c>
      <c r="GN81" s="11">
        <f t="shared" si="148"/>
        <v>0</v>
      </c>
      <c r="GO81" s="11">
        <f t="shared" si="149"/>
        <v>0</v>
      </c>
      <c r="GP81" s="11">
        <f t="shared" si="150"/>
        <v>0</v>
      </c>
      <c r="GQ81" s="11">
        <f t="shared" si="151"/>
        <v>0</v>
      </c>
      <c r="GR81" s="11">
        <f t="shared" si="152"/>
        <v>0</v>
      </c>
      <c r="GS81" s="11">
        <f t="shared" si="153"/>
        <v>0</v>
      </c>
      <c r="GT81" s="11">
        <f t="shared" si="154"/>
        <v>0</v>
      </c>
      <c r="GU81" s="12">
        <f t="shared" si="155"/>
        <v>0</v>
      </c>
      <c r="GV81" s="12">
        <f t="shared" si="156"/>
        <v>0</v>
      </c>
      <c r="GW81" s="12">
        <f t="shared" si="157"/>
        <v>0</v>
      </c>
      <c r="GX81" s="12">
        <f t="shared" si="158"/>
        <v>0</v>
      </c>
      <c r="GY81" s="12">
        <f t="shared" si="159"/>
        <v>0</v>
      </c>
      <c r="GZ81" s="12">
        <f t="shared" si="160"/>
        <v>0</v>
      </c>
      <c r="HA81" s="12">
        <f t="shared" si="161"/>
        <v>0</v>
      </c>
      <c r="HB81" s="12">
        <f t="shared" si="162"/>
        <v>0</v>
      </c>
      <c r="HC81" s="12">
        <f t="shared" si="163"/>
        <v>0</v>
      </c>
      <c r="HD81" s="12">
        <f t="shared" si="164"/>
        <v>0</v>
      </c>
      <c r="HE81" s="12">
        <f t="shared" si="165"/>
        <v>0</v>
      </c>
      <c r="HF81" s="12">
        <f t="shared" si="166"/>
        <v>0</v>
      </c>
      <c r="HG81" s="12">
        <f t="shared" si="167"/>
        <v>0</v>
      </c>
      <c r="HH81" s="12">
        <f t="shared" si="168"/>
        <v>0</v>
      </c>
      <c r="HI81" s="12">
        <f t="shared" si="169"/>
        <v>0</v>
      </c>
      <c r="HJ81" s="12">
        <f t="shared" si="170"/>
        <v>0</v>
      </c>
      <c r="HK81" s="12">
        <f t="shared" si="171"/>
        <v>0</v>
      </c>
      <c r="HL81" s="12">
        <f t="shared" si="172"/>
        <v>0</v>
      </c>
      <c r="HM81" s="12">
        <f t="shared" si="173"/>
        <v>0</v>
      </c>
      <c r="HN81" s="12">
        <f t="shared" si="174"/>
        <v>0</v>
      </c>
      <c r="HO81" s="12">
        <f t="shared" si="175"/>
        <v>0</v>
      </c>
      <c r="HP81" s="12">
        <f t="shared" si="176"/>
        <v>0</v>
      </c>
      <c r="HQ81" s="12">
        <f t="shared" si="177"/>
        <v>0</v>
      </c>
      <c r="HR81" s="12">
        <f t="shared" si="178"/>
        <v>0</v>
      </c>
      <c r="HS81" s="12">
        <f t="shared" si="179"/>
        <v>0</v>
      </c>
      <c r="HT81" s="12">
        <f t="shared" si="180"/>
        <v>0</v>
      </c>
      <c r="HU81" s="12">
        <f t="shared" si="181"/>
        <v>0</v>
      </c>
      <c r="HV81" s="12">
        <f t="shared" si="182"/>
        <v>0</v>
      </c>
      <c r="HW81" s="12">
        <f t="shared" si="183"/>
        <v>0</v>
      </c>
      <c r="HX81" s="12">
        <f t="shared" si="184"/>
        <v>0</v>
      </c>
      <c r="HY81" s="12">
        <f t="shared" si="185"/>
        <v>0</v>
      </c>
      <c r="HZ81" s="12">
        <f t="shared" si="186"/>
        <v>0</v>
      </c>
      <c r="IA81" s="12">
        <f t="shared" si="187"/>
        <v>0</v>
      </c>
      <c r="IB81" s="12">
        <f t="shared" si="188"/>
        <v>0</v>
      </c>
      <c r="IC81" s="12">
        <f t="shared" si="189"/>
        <v>0</v>
      </c>
      <c r="ID81" s="12">
        <f t="shared" si="190"/>
        <v>0</v>
      </c>
      <c r="IE81" s="12">
        <f t="shared" si="191"/>
        <v>0</v>
      </c>
      <c r="IF81" s="12">
        <f t="shared" si="192"/>
        <v>0</v>
      </c>
      <c r="IG81" s="12">
        <f t="shared" si="193"/>
        <v>0</v>
      </c>
      <c r="IH81" s="12">
        <f t="shared" si="194"/>
        <v>0</v>
      </c>
      <c r="II81" s="12">
        <f t="shared" si="195"/>
        <v>0</v>
      </c>
      <c r="IJ81" s="12">
        <f t="shared" si="196"/>
        <v>0</v>
      </c>
      <c r="IK81" s="12">
        <f t="shared" si="197"/>
        <v>0</v>
      </c>
      <c r="IL81" s="12">
        <f t="shared" si="198"/>
        <v>0</v>
      </c>
      <c r="IM81" s="12">
        <f t="shared" si="199"/>
        <v>0</v>
      </c>
      <c r="IN81" s="12">
        <f t="shared" si="200"/>
        <v>0</v>
      </c>
      <c r="IO81" s="12">
        <f t="shared" si="201"/>
        <v>0</v>
      </c>
      <c r="IP81" s="12">
        <f t="shared" si="202"/>
        <v>0</v>
      </c>
      <c r="IQ81" s="12">
        <f t="shared" si="203"/>
        <v>0</v>
      </c>
      <c r="IR81" s="12">
        <f t="shared" si="204"/>
        <v>0</v>
      </c>
      <c r="IS81" s="12">
        <f t="shared" si="205"/>
        <v>0</v>
      </c>
      <c r="IT81" s="12">
        <f t="shared" si="206"/>
        <v>0</v>
      </c>
      <c r="IU81" s="12">
        <f t="shared" si="207"/>
        <v>0</v>
      </c>
      <c r="IV81" s="12">
        <f t="shared" si="208"/>
        <v>0</v>
      </c>
      <c r="IW81" s="12">
        <f t="shared" si="209"/>
        <v>0</v>
      </c>
      <c r="IX81" s="12">
        <f t="shared" si="210"/>
        <v>0</v>
      </c>
      <c r="IY81" s="12">
        <f t="shared" si="211"/>
        <v>0</v>
      </c>
      <c r="IZ81" s="12">
        <f t="shared" si="212"/>
        <v>0</v>
      </c>
      <c r="JA81" s="13">
        <f t="shared" si="213"/>
        <v>0</v>
      </c>
      <c r="JB81" s="13">
        <f t="shared" si="214"/>
        <v>0</v>
      </c>
      <c r="JC81" s="13">
        <f t="shared" si="215"/>
        <v>0</v>
      </c>
      <c r="JD81" s="13">
        <f t="shared" si="216"/>
        <v>0</v>
      </c>
      <c r="JE81" s="13">
        <f t="shared" si="217"/>
        <v>0</v>
      </c>
      <c r="JF81" s="13">
        <f t="shared" si="218"/>
        <v>0</v>
      </c>
      <c r="JG81" s="13">
        <f t="shared" si="219"/>
        <v>0</v>
      </c>
      <c r="JH81" s="13">
        <f t="shared" si="220"/>
        <v>0</v>
      </c>
      <c r="JI81" s="13">
        <f t="shared" si="221"/>
        <v>0</v>
      </c>
      <c r="JJ81" s="13">
        <f t="shared" si="222"/>
        <v>0</v>
      </c>
      <c r="JK81" s="13">
        <f t="shared" si="223"/>
        <v>0</v>
      </c>
      <c r="JL81" s="13">
        <f t="shared" si="224"/>
        <v>0</v>
      </c>
      <c r="JM81" s="13">
        <f t="shared" si="225"/>
        <v>0</v>
      </c>
      <c r="JN81" s="13">
        <f t="shared" si="226"/>
        <v>0</v>
      </c>
      <c r="JO81" s="13">
        <f t="shared" si="227"/>
        <v>0</v>
      </c>
      <c r="JP81" s="13">
        <f t="shared" si="228"/>
        <v>0</v>
      </c>
      <c r="JQ81" s="13">
        <f t="shared" si="229"/>
        <v>0</v>
      </c>
      <c r="JR81" s="13">
        <f t="shared" si="230"/>
        <v>0</v>
      </c>
      <c r="JS81" s="13">
        <f t="shared" si="231"/>
        <v>0</v>
      </c>
      <c r="JT81" s="13">
        <f t="shared" si="232"/>
        <v>0</v>
      </c>
      <c r="JU81" s="13">
        <f t="shared" si="233"/>
        <v>0</v>
      </c>
      <c r="JV81" s="12">
        <f t="shared" si="234"/>
        <v>0</v>
      </c>
      <c r="JW81" s="12">
        <f t="shared" si="235"/>
        <v>0</v>
      </c>
      <c r="JX81" s="12">
        <f t="shared" si="236"/>
        <v>0</v>
      </c>
      <c r="JY81" s="12">
        <f t="shared" si="237"/>
        <v>0</v>
      </c>
      <c r="JZ81" s="12">
        <f t="shared" si="238"/>
        <v>0</v>
      </c>
      <c r="KA81" s="12">
        <f t="shared" si="239"/>
        <v>0</v>
      </c>
      <c r="KB81" s="12">
        <f t="shared" si="240"/>
        <v>0</v>
      </c>
      <c r="KC81" s="12">
        <f t="shared" si="241"/>
        <v>0</v>
      </c>
      <c r="KD81" s="12">
        <f t="shared" si="242"/>
        <v>0</v>
      </c>
      <c r="KE81" s="12">
        <f t="shared" si="243"/>
        <v>0</v>
      </c>
      <c r="KF81" s="12">
        <f t="shared" si="244"/>
        <v>0</v>
      </c>
      <c r="KG81" s="12">
        <f t="shared" si="245"/>
        <v>0</v>
      </c>
      <c r="KH81" s="12">
        <f t="shared" si="246"/>
        <v>0</v>
      </c>
      <c r="KI81" s="12">
        <f t="shared" si="247"/>
        <v>0</v>
      </c>
      <c r="KJ81" s="12">
        <f t="shared" si="248"/>
        <v>0</v>
      </c>
      <c r="KK81" s="12">
        <f t="shared" si="249"/>
        <v>0</v>
      </c>
      <c r="KL81" s="12">
        <f t="shared" si="250"/>
        <v>0</v>
      </c>
      <c r="KM81" s="12">
        <f t="shared" si="251"/>
        <v>0</v>
      </c>
      <c r="KN81" s="12">
        <f t="shared" si="252"/>
        <v>0</v>
      </c>
      <c r="KO81" s="12">
        <f t="shared" si="253"/>
        <v>0</v>
      </c>
      <c r="KP81" s="12">
        <f t="shared" si="254"/>
        <v>0</v>
      </c>
      <c r="KQ81" s="12">
        <f t="shared" si="255"/>
        <v>0</v>
      </c>
      <c r="KR81" s="12">
        <f t="shared" si="256"/>
        <v>0</v>
      </c>
      <c r="KS81" s="12">
        <f t="shared" si="257"/>
        <v>0</v>
      </c>
      <c r="KT81" s="12">
        <f t="shared" si="258"/>
        <v>0</v>
      </c>
      <c r="KU81" s="12">
        <f t="shared" si="259"/>
        <v>0</v>
      </c>
      <c r="KV81" s="12">
        <f t="shared" si="260"/>
        <v>0</v>
      </c>
      <c r="KW81" s="12">
        <f t="shared" si="261"/>
        <v>0</v>
      </c>
      <c r="KX81" s="12">
        <f t="shared" si="262"/>
        <v>0</v>
      </c>
      <c r="KY81" s="12">
        <f t="shared" si="263"/>
        <v>0</v>
      </c>
      <c r="KZ81" s="12">
        <f t="shared" si="264"/>
        <v>0</v>
      </c>
      <c r="LA81" s="12">
        <f t="shared" si="265"/>
        <v>0</v>
      </c>
      <c r="LB81" s="12">
        <f t="shared" si="266"/>
        <v>0</v>
      </c>
      <c r="LC81" s="12">
        <f t="shared" si="267"/>
        <v>0</v>
      </c>
      <c r="LD81" s="12">
        <f t="shared" si="268"/>
        <v>0</v>
      </c>
      <c r="LE81" s="12">
        <f t="shared" si="269"/>
        <v>0</v>
      </c>
      <c r="LF81" s="12">
        <f t="shared" si="270"/>
        <v>0</v>
      </c>
      <c r="LG81" s="12">
        <f t="shared" si="271"/>
        <v>0</v>
      </c>
      <c r="LH81" s="12">
        <f t="shared" si="272"/>
        <v>0</v>
      </c>
      <c r="LI81" s="12">
        <f t="shared" si="273"/>
        <v>0</v>
      </c>
      <c r="LJ81" s="12">
        <f t="shared" si="274"/>
        <v>0</v>
      </c>
      <c r="LK81" s="12">
        <f t="shared" si="275"/>
        <v>0</v>
      </c>
      <c r="LL81" s="12">
        <f t="shared" si="276"/>
        <v>0</v>
      </c>
      <c r="LM81" s="12">
        <f t="shared" si="277"/>
        <v>0</v>
      </c>
      <c r="LN81" s="12">
        <f t="shared" si="278"/>
        <v>0</v>
      </c>
      <c r="LO81" s="12">
        <f t="shared" si="279"/>
        <v>0</v>
      </c>
      <c r="LP81" s="12">
        <f t="shared" si="280"/>
        <v>0</v>
      </c>
      <c r="LQ81" s="12">
        <f t="shared" si="281"/>
        <v>0</v>
      </c>
      <c r="LR81" s="12">
        <f t="shared" si="282"/>
        <v>0</v>
      </c>
      <c r="LS81" s="12">
        <f t="shared" si="283"/>
        <v>0</v>
      </c>
      <c r="LT81" s="13">
        <f t="shared" si="284"/>
        <v>0</v>
      </c>
      <c r="LU81" s="13">
        <f t="shared" si="285"/>
        <v>0</v>
      </c>
      <c r="LV81" s="13">
        <f t="shared" si="286"/>
        <v>0</v>
      </c>
      <c r="LW81" s="13">
        <f t="shared" si="287"/>
        <v>0</v>
      </c>
      <c r="LX81" s="13">
        <f t="shared" si="288"/>
        <v>0</v>
      </c>
      <c r="LY81" s="13">
        <f t="shared" si="289"/>
        <v>0</v>
      </c>
      <c r="LZ81" s="13">
        <f t="shared" si="290"/>
        <v>0</v>
      </c>
      <c r="MA81" s="13">
        <f t="shared" si="291"/>
        <v>0</v>
      </c>
      <c r="MB81" s="13">
        <f t="shared" si="292"/>
        <v>0</v>
      </c>
      <c r="MC81" s="13">
        <f t="shared" si="293"/>
        <v>0</v>
      </c>
      <c r="MD81" s="13">
        <f t="shared" si="294"/>
        <v>0</v>
      </c>
      <c r="ME81" s="13">
        <f t="shared" si="295"/>
        <v>0</v>
      </c>
      <c r="MF81" s="13">
        <f t="shared" si="296"/>
        <v>0</v>
      </c>
      <c r="MG81" s="13">
        <f t="shared" si="297"/>
        <v>0</v>
      </c>
      <c r="MH81" s="13">
        <f t="shared" si="298"/>
        <v>0</v>
      </c>
      <c r="MI81" s="13">
        <f t="shared" si="299"/>
        <v>0</v>
      </c>
      <c r="MJ81" s="13">
        <f t="shared" si="300"/>
        <v>0</v>
      </c>
      <c r="MK81" s="13">
        <f t="shared" si="301"/>
        <v>0</v>
      </c>
      <c r="ML81" s="14">
        <f t="shared" si="302"/>
        <v>0</v>
      </c>
      <c r="MM81" s="14">
        <f t="shared" si="303"/>
        <v>0</v>
      </c>
      <c r="MN81" s="14">
        <f t="shared" si="304"/>
        <v>0</v>
      </c>
      <c r="MO81" s="14">
        <f t="shared" si="305"/>
        <v>0</v>
      </c>
      <c r="MP81" s="14">
        <f t="shared" si="306"/>
        <v>0</v>
      </c>
      <c r="MQ81" s="14">
        <f t="shared" si="307"/>
        <v>0</v>
      </c>
      <c r="MR81" s="14">
        <f t="shared" si="308"/>
        <v>0</v>
      </c>
      <c r="MS81" s="14">
        <f t="shared" si="309"/>
        <v>0</v>
      </c>
      <c r="MT81" s="14">
        <f t="shared" si="310"/>
        <v>0</v>
      </c>
      <c r="MU81" s="14">
        <f t="shared" si="311"/>
        <v>0</v>
      </c>
      <c r="MV81" s="14">
        <f t="shared" si="312"/>
        <v>0</v>
      </c>
      <c r="MW81" s="14">
        <f t="shared" si="313"/>
        <v>0</v>
      </c>
      <c r="MX81" s="14">
        <f t="shared" si="314"/>
        <v>0</v>
      </c>
      <c r="MY81" s="14">
        <f t="shared" si="315"/>
        <v>0</v>
      </c>
      <c r="MZ81" s="14">
        <f t="shared" si="316"/>
        <v>0</v>
      </c>
      <c r="NA81" s="14">
        <f t="shared" si="317"/>
        <v>0</v>
      </c>
      <c r="NB81" s="14">
        <f t="shared" si="318"/>
        <v>0</v>
      </c>
    </row>
    <row r="82" ht="15.75" customHeight="1">
      <c r="A82" s="2">
        <v>683.0</v>
      </c>
      <c r="B82" s="2" t="s">
        <v>1785</v>
      </c>
      <c r="C82" s="2" t="s">
        <v>1786</v>
      </c>
      <c r="D82" s="2" t="s">
        <v>1787</v>
      </c>
      <c r="E82" s="2">
        <v>2022.0</v>
      </c>
      <c r="F82" s="2" t="s">
        <v>1788</v>
      </c>
      <c r="G82" s="2">
        <v>79.0</v>
      </c>
      <c r="J82" s="2" t="s">
        <v>1789</v>
      </c>
      <c r="K82" s="2" t="s">
        <v>1790</v>
      </c>
      <c r="M82" s="2">
        <v>14.0</v>
      </c>
      <c r="N82" s="2" t="s">
        <v>1791</v>
      </c>
      <c r="O82" s="2" t="s">
        <v>1792</v>
      </c>
      <c r="P82" s="2" t="s">
        <v>1793</v>
      </c>
      <c r="Q82" s="2" t="s">
        <v>1794</v>
      </c>
      <c r="R82" s="2" t="s">
        <v>1795</v>
      </c>
      <c r="S82" s="2" t="s">
        <v>1796</v>
      </c>
      <c r="T82" s="2" t="s">
        <v>1797</v>
      </c>
      <c r="Y82" s="2" t="s">
        <v>1798</v>
      </c>
      <c r="AB82" s="2" t="s">
        <v>862</v>
      </c>
      <c r="AG82" s="2" t="s">
        <v>1799</v>
      </c>
      <c r="AK82" s="2" t="s">
        <v>1800</v>
      </c>
      <c r="AL82" s="2" t="s">
        <v>384</v>
      </c>
      <c r="AN82" s="2" t="s">
        <v>386</v>
      </c>
      <c r="AO82" s="2" t="s">
        <v>1801</v>
      </c>
      <c r="AP82" s="2" t="s">
        <v>386</v>
      </c>
      <c r="AQ82" s="2">
        <v>2687.0</v>
      </c>
      <c r="AR82" s="2" t="s">
        <v>1802</v>
      </c>
      <c r="AS82" s="2" t="b">
        <v>0</v>
      </c>
      <c r="AT82" s="3">
        <v>0.0</v>
      </c>
      <c r="AU82" s="4"/>
      <c r="AV82" s="4"/>
      <c r="AW82" s="5">
        <f t="shared" si="432"/>
        <v>0</v>
      </c>
      <c r="AX82" s="5">
        <f t="shared" si="4"/>
        <v>0</v>
      </c>
      <c r="AY82" s="5">
        <f t="shared" si="5"/>
        <v>0</v>
      </c>
      <c r="AZ82" s="5">
        <f t="shared" si="6"/>
        <v>0</v>
      </c>
      <c r="BA82" s="5">
        <f t="shared" si="7"/>
        <v>0</v>
      </c>
      <c r="BB82" s="5">
        <f t="shared" si="8"/>
        <v>0</v>
      </c>
      <c r="BC82" s="5">
        <f t="shared" si="9"/>
        <v>0</v>
      </c>
      <c r="BD82" s="5">
        <f t="shared" si="10"/>
        <v>0</v>
      </c>
      <c r="BE82" s="5">
        <f t="shared" si="11"/>
        <v>0</v>
      </c>
      <c r="BF82" s="5">
        <f t="shared" si="12"/>
        <v>0</v>
      </c>
      <c r="BG82" s="5">
        <f t="shared" si="13"/>
        <v>0</v>
      </c>
      <c r="BH82" s="5">
        <f t="shared" si="14"/>
        <v>0</v>
      </c>
      <c r="BI82" s="5">
        <f t="shared" si="15"/>
        <v>0</v>
      </c>
      <c r="BJ82" s="5">
        <f t="shared" si="16"/>
        <v>0</v>
      </c>
      <c r="BK82" s="5">
        <f t="shared" si="17"/>
        <v>0</v>
      </c>
      <c r="BL82" s="5">
        <f t="shared" si="18"/>
        <v>0</v>
      </c>
      <c r="BM82" s="5">
        <f t="shared" si="19"/>
        <v>0</v>
      </c>
      <c r="BN82" s="5">
        <f t="shared" si="20"/>
        <v>0</v>
      </c>
      <c r="BO82" s="5">
        <f t="shared" si="21"/>
        <v>0</v>
      </c>
      <c r="BP82" s="5">
        <f t="shared" si="22"/>
        <v>0</v>
      </c>
      <c r="BQ82" s="5">
        <f t="shared" si="23"/>
        <v>0</v>
      </c>
      <c r="BR82" s="5">
        <f t="shared" si="24"/>
        <v>0</v>
      </c>
      <c r="BS82" s="5">
        <f t="shared" si="25"/>
        <v>0</v>
      </c>
      <c r="BT82" s="5">
        <f t="shared" si="26"/>
        <v>0</v>
      </c>
      <c r="BU82" s="5">
        <f t="shared" si="27"/>
        <v>0</v>
      </c>
      <c r="BV82" s="5">
        <f t="shared" ref="BV82:BW82" si="497">IF(OR(ISNUMBER(SEARCH("grit",$D82)),ISNUMBER(SEARCH("grit",$T82)),ISNUMBER(SEARCH("grit",$R82)),ISNUMBER(SEARCH("grit",$S82)),
ISNUMBER(SEARCH("determination",$D82)),ISNUMBER(SEARCH("determination",$T82)),ISNUMBER(SEARCH("determination",$R82)),ISNUMBER(SEARCH("determination",$S82)),
ISNUMBER(SEARCH("tenacity",$D82)),ISNUMBER(SEARCH("tenacity",$T82)),ISNUMBER(SEARCH("tenacity",$R82)),ISNUMBER(SEARCH("tenacity",$S82)),
ISNUMBER(SEARCH("endurance",$D82)),ISNUMBER(SEARCH("endurance",$T82)),ISNUMBER(SEARCH("endurance",$R82)),ISNUMBER(SEARCH("endurance",$S82)),
ISNUMBER(SEARCH("fortitude",$D82)),ISNUMBER(SEARCH("fortitude",$T82)),ISNUMBER(SEARCH("fortitude",$R82)),ISNUMBER(SEARCH("fortitude",$S82)),
ISNUMBER(SEARCH("resolve",$D82)),ISNUMBER(SEARCH("resolve",$T82)),ISNUMBER(SEARCH("resolve",$R82)),ISNUMBER(SEARCH("resolve",$S82)),
ISNUMBER(SEARCH("stamina",$D82)),ISNUMBER(SEARCH("stamina",$T82)),ISNUMBER(SEARCH("stamina",$R82)),ISNUMBER(SEARCH("stamina",$S82)),
ISNUMBER(SEARCH("guts",$D82)),ISNUMBER(SEARCH("guts",$T82)),ISNUMBER(SEARCH("guts",$R82)),ISNUMBER(SEARCH("guts",$S82)),
ISNUMBER(SEARCH("spunk",$D82)),ISNUMBER(SEARCH("spunk",$T82)),ISNUMBER(SEARCH("spunk",$R82)),ISNUMBER(SEARCH("spunk",$S82))), 1, 0)</f>
        <v>0</v>
      </c>
      <c r="BW82" s="5">
        <f t="shared" si="497"/>
        <v>0</v>
      </c>
      <c r="BX82" s="5">
        <f t="shared" si="29"/>
        <v>0</v>
      </c>
      <c r="BY82" s="5">
        <f t="shared" si="30"/>
        <v>0</v>
      </c>
      <c r="BZ82" s="5">
        <f t="shared" si="31"/>
        <v>0</v>
      </c>
      <c r="CA82" s="5">
        <f t="shared" si="32"/>
        <v>0</v>
      </c>
      <c r="CB82" s="5">
        <f t="shared" si="33"/>
        <v>0</v>
      </c>
      <c r="CC82" s="5">
        <f t="shared" si="34"/>
        <v>0</v>
      </c>
      <c r="CD82" s="5">
        <f t="shared" si="35"/>
        <v>0</v>
      </c>
      <c r="CE82" s="5">
        <f t="shared" si="36"/>
        <v>0</v>
      </c>
      <c r="CF82" s="5">
        <f t="shared" si="37"/>
        <v>0</v>
      </c>
      <c r="CG82" s="5">
        <f t="shared" si="38"/>
        <v>0</v>
      </c>
      <c r="CH82" s="5">
        <f t="shared" si="39"/>
        <v>0</v>
      </c>
      <c r="CI82" s="5">
        <f t="shared" si="40"/>
        <v>0</v>
      </c>
      <c r="CJ82" s="5">
        <f t="shared" si="41"/>
        <v>0</v>
      </c>
      <c r="CK82" s="5">
        <f t="shared" si="42"/>
        <v>0</v>
      </c>
      <c r="CL82" s="5">
        <f t="shared" si="43"/>
        <v>0</v>
      </c>
      <c r="CM82" s="5">
        <f t="shared" si="44"/>
        <v>0</v>
      </c>
      <c r="CN82" s="5">
        <f t="shared" si="45"/>
        <v>0</v>
      </c>
      <c r="CO82" s="5">
        <f t="shared" si="46"/>
        <v>0</v>
      </c>
      <c r="CP82" s="6">
        <f t="shared" si="47"/>
        <v>0</v>
      </c>
      <c r="CQ82" s="6">
        <f t="shared" si="48"/>
        <v>0</v>
      </c>
      <c r="CR82" s="6">
        <f t="shared" si="49"/>
        <v>0</v>
      </c>
      <c r="CS82" s="6">
        <f t="shared" si="50"/>
        <v>0</v>
      </c>
      <c r="CT82" s="6">
        <f t="shared" si="51"/>
        <v>0</v>
      </c>
      <c r="CU82" s="6">
        <f t="shared" si="52"/>
        <v>0</v>
      </c>
      <c r="CV82" s="6">
        <f t="shared" si="53"/>
        <v>0</v>
      </c>
      <c r="CW82" s="6">
        <f t="shared" si="54"/>
        <v>0</v>
      </c>
      <c r="CX82" s="6">
        <f t="shared" si="55"/>
        <v>0</v>
      </c>
      <c r="CY82" s="6">
        <f t="shared" si="56"/>
        <v>0</v>
      </c>
      <c r="CZ82" s="6">
        <f t="shared" si="57"/>
        <v>0</v>
      </c>
      <c r="DA82" s="6">
        <f t="shared" si="58"/>
        <v>0</v>
      </c>
      <c r="DB82" s="6">
        <f t="shared" si="59"/>
        <v>0</v>
      </c>
      <c r="DC82" s="6">
        <f t="shared" si="60"/>
        <v>0</v>
      </c>
      <c r="DD82" s="6">
        <f t="shared" si="61"/>
        <v>0</v>
      </c>
      <c r="DE82" s="6">
        <f t="shared" si="62"/>
        <v>0</v>
      </c>
      <c r="DF82" s="6">
        <f t="shared" si="63"/>
        <v>0</v>
      </c>
      <c r="DG82" s="6">
        <f t="shared" si="64"/>
        <v>1</v>
      </c>
      <c r="DH82" s="6">
        <f t="shared" si="486"/>
        <v>0</v>
      </c>
      <c r="DI82" s="6">
        <f t="shared" si="66"/>
        <v>0</v>
      </c>
      <c r="DJ82" s="6">
        <f t="shared" si="487"/>
        <v>0</v>
      </c>
      <c r="DK82" s="7">
        <f t="shared" si="68"/>
        <v>0</v>
      </c>
      <c r="DL82" s="7">
        <f t="shared" si="498"/>
        <v>0</v>
      </c>
      <c r="DM82" s="7">
        <f t="shared" si="70"/>
        <v>0</v>
      </c>
      <c r="DN82" s="7">
        <f t="shared" si="71"/>
        <v>0</v>
      </c>
      <c r="DO82" s="7">
        <f t="shared" si="72"/>
        <v>1</v>
      </c>
      <c r="DP82" s="8">
        <f t="shared" si="73"/>
        <v>0</v>
      </c>
      <c r="DQ82" s="8">
        <f t="shared" si="74"/>
        <v>1</v>
      </c>
      <c r="DR82" s="7">
        <f t="shared" si="75"/>
        <v>0</v>
      </c>
      <c r="DS82" s="7">
        <f t="shared" si="76"/>
        <v>0</v>
      </c>
      <c r="DT82" s="7">
        <f t="shared" si="77"/>
        <v>0</v>
      </c>
      <c r="DU82" s="9">
        <f t="shared" si="78"/>
        <v>0</v>
      </c>
      <c r="DV82" s="9">
        <f t="shared" si="79"/>
        <v>0</v>
      </c>
      <c r="DW82" s="9">
        <f t="shared" si="80"/>
        <v>0</v>
      </c>
      <c r="DX82" s="9">
        <f t="shared" si="81"/>
        <v>0</v>
      </c>
      <c r="DY82" s="9">
        <f t="shared" si="82"/>
        <v>0</v>
      </c>
      <c r="DZ82" s="9">
        <f t="shared" si="83"/>
        <v>0</v>
      </c>
      <c r="EA82" s="9">
        <f t="shared" si="84"/>
        <v>0</v>
      </c>
      <c r="EB82" s="9">
        <f t="shared" si="85"/>
        <v>0</v>
      </c>
      <c r="EC82" s="9">
        <f t="shared" si="86"/>
        <v>0</v>
      </c>
      <c r="ED82" s="9">
        <f t="shared" si="87"/>
        <v>0</v>
      </c>
      <c r="EE82" s="9">
        <f t="shared" si="88"/>
        <v>0</v>
      </c>
      <c r="EF82" s="9">
        <f t="shared" si="89"/>
        <v>0</v>
      </c>
      <c r="EG82" s="9">
        <f t="shared" si="90"/>
        <v>0</v>
      </c>
      <c r="EH82" s="9">
        <f t="shared" si="91"/>
        <v>0</v>
      </c>
      <c r="EI82" s="9">
        <f t="shared" si="92"/>
        <v>0</v>
      </c>
      <c r="EJ82" s="10">
        <f t="shared" si="93"/>
        <v>0</v>
      </c>
      <c r="EK82" s="10">
        <f t="shared" si="94"/>
        <v>0</v>
      </c>
      <c r="EL82" s="10">
        <f t="shared" ref="EL82:EM82" si="499">IF(OR(ISNUMBER(SEARCH("ai software toolkit", $D82)), ISNUMBER(SEARCH("ai software toolkit", $T82)), ISNUMBER(SEARCH("ai software toolkit", $R82)), ISNUMBER(SEARCH("ai software toolkit", $S82))), 1, 0)</f>
        <v>0</v>
      </c>
      <c r="EM82" s="10">
        <f t="shared" si="499"/>
        <v>0</v>
      </c>
      <c r="EN82" s="10">
        <f t="shared" si="96"/>
        <v>0</v>
      </c>
      <c r="EO82" s="10">
        <f t="shared" si="97"/>
        <v>1</v>
      </c>
      <c r="EP82" s="10">
        <f t="shared" si="98"/>
        <v>0</v>
      </c>
      <c r="EQ82" s="10">
        <f t="shared" si="99"/>
        <v>0</v>
      </c>
      <c r="ER82" s="10">
        <f t="shared" si="100"/>
        <v>0</v>
      </c>
      <c r="ES82" s="10">
        <f t="shared" si="101"/>
        <v>0</v>
      </c>
      <c r="ET82" s="10">
        <f t="shared" si="102"/>
        <v>0</v>
      </c>
      <c r="EU82" s="10">
        <f t="shared" si="103"/>
        <v>0</v>
      </c>
      <c r="EV82" s="10">
        <f t="shared" si="104"/>
        <v>0</v>
      </c>
      <c r="EW82" s="10">
        <f t="shared" si="105"/>
        <v>0</v>
      </c>
      <c r="EX82" s="10">
        <f t="shared" si="106"/>
        <v>0</v>
      </c>
      <c r="EY82" s="10">
        <f t="shared" si="107"/>
        <v>0</v>
      </c>
      <c r="EZ82" s="10">
        <f t="shared" si="108"/>
        <v>0</v>
      </c>
      <c r="FA82" s="10">
        <f t="shared" si="109"/>
        <v>0</v>
      </c>
      <c r="FB82" s="10">
        <f t="shared" si="110"/>
        <v>0</v>
      </c>
      <c r="FC82" s="10">
        <f t="shared" si="111"/>
        <v>0</v>
      </c>
      <c r="FD82" s="10">
        <f t="shared" si="112"/>
        <v>0</v>
      </c>
      <c r="FE82" s="10">
        <f t="shared" si="113"/>
        <v>0</v>
      </c>
      <c r="FF82" s="10">
        <f t="shared" si="114"/>
        <v>0</v>
      </c>
      <c r="FG82" s="10">
        <f t="shared" si="115"/>
        <v>0</v>
      </c>
      <c r="FH82" s="10">
        <f t="shared" si="116"/>
        <v>0</v>
      </c>
      <c r="FI82" s="10">
        <f t="shared" si="117"/>
        <v>0</v>
      </c>
      <c r="FJ82" s="10">
        <f t="shared" si="118"/>
        <v>0</v>
      </c>
      <c r="FK82" s="10">
        <f t="shared" si="119"/>
        <v>0</v>
      </c>
      <c r="FL82" s="10">
        <f t="shared" si="120"/>
        <v>0</v>
      </c>
      <c r="FM82" s="10">
        <f t="shared" si="121"/>
        <v>0</v>
      </c>
      <c r="FN82" s="10">
        <f t="shared" si="122"/>
        <v>0</v>
      </c>
      <c r="FO82" s="10">
        <f t="shared" si="123"/>
        <v>0</v>
      </c>
      <c r="FP82" s="10">
        <f t="shared" si="124"/>
        <v>1</v>
      </c>
      <c r="FQ82" s="10">
        <f t="shared" si="125"/>
        <v>0</v>
      </c>
      <c r="FR82" s="11">
        <f t="shared" si="470"/>
        <v>0</v>
      </c>
      <c r="FS82" s="11">
        <f t="shared" si="127"/>
        <v>0</v>
      </c>
      <c r="FT82" s="11">
        <f t="shared" si="128"/>
        <v>0</v>
      </c>
      <c r="FU82" s="11">
        <f t="shared" si="129"/>
        <v>0</v>
      </c>
      <c r="FV82" s="11">
        <f t="shared" si="130"/>
        <v>0</v>
      </c>
      <c r="FW82" s="11">
        <f t="shared" si="131"/>
        <v>0</v>
      </c>
      <c r="FX82" s="11">
        <f t="shared" si="132"/>
        <v>0</v>
      </c>
      <c r="FY82" s="11">
        <f t="shared" si="133"/>
        <v>0</v>
      </c>
      <c r="FZ82" s="11">
        <f t="shared" si="134"/>
        <v>0</v>
      </c>
      <c r="GA82" s="11">
        <f t="shared" si="135"/>
        <v>0</v>
      </c>
      <c r="GB82" s="11">
        <f t="shared" si="136"/>
        <v>0</v>
      </c>
      <c r="GC82" s="11">
        <f t="shared" si="137"/>
        <v>0</v>
      </c>
      <c r="GD82" s="11">
        <f t="shared" si="138"/>
        <v>0</v>
      </c>
      <c r="GE82" s="11">
        <f t="shared" si="139"/>
        <v>0</v>
      </c>
      <c r="GF82" s="11">
        <f t="shared" si="140"/>
        <v>0</v>
      </c>
      <c r="GG82" s="11">
        <f t="shared" si="141"/>
        <v>0</v>
      </c>
      <c r="GH82" s="11">
        <f t="shared" si="142"/>
        <v>0</v>
      </c>
      <c r="GI82" s="11">
        <f t="shared" si="143"/>
        <v>0</v>
      </c>
      <c r="GJ82" s="11">
        <f t="shared" si="144"/>
        <v>0</v>
      </c>
      <c r="GK82" s="11">
        <f t="shared" si="145"/>
        <v>0</v>
      </c>
      <c r="GL82" s="11">
        <f t="shared" si="146"/>
        <v>0</v>
      </c>
      <c r="GM82" s="11">
        <f t="shared" si="147"/>
        <v>0</v>
      </c>
      <c r="GN82" s="11">
        <f t="shared" si="148"/>
        <v>0</v>
      </c>
      <c r="GO82" s="11">
        <f t="shared" si="149"/>
        <v>0</v>
      </c>
      <c r="GP82" s="11">
        <f t="shared" si="150"/>
        <v>0</v>
      </c>
      <c r="GQ82" s="11">
        <f t="shared" si="151"/>
        <v>1</v>
      </c>
      <c r="GR82" s="11">
        <f t="shared" si="152"/>
        <v>0</v>
      </c>
      <c r="GS82" s="11">
        <f t="shared" si="153"/>
        <v>0</v>
      </c>
      <c r="GT82" s="11">
        <f t="shared" si="154"/>
        <v>0</v>
      </c>
      <c r="GU82" s="12">
        <f t="shared" si="155"/>
        <v>0</v>
      </c>
      <c r="GV82" s="12">
        <f t="shared" si="156"/>
        <v>0</v>
      </c>
      <c r="GW82" s="12">
        <f t="shared" si="157"/>
        <v>0</v>
      </c>
      <c r="GX82" s="12">
        <f t="shared" si="158"/>
        <v>0</v>
      </c>
      <c r="GY82" s="12">
        <f t="shared" si="159"/>
        <v>0</v>
      </c>
      <c r="GZ82" s="12">
        <f t="shared" si="160"/>
        <v>0</v>
      </c>
      <c r="HA82" s="12">
        <f t="shared" si="161"/>
        <v>0</v>
      </c>
      <c r="HB82" s="12">
        <f t="shared" si="162"/>
        <v>0</v>
      </c>
      <c r="HC82" s="12">
        <f t="shared" si="163"/>
        <v>0</v>
      </c>
      <c r="HD82" s="12">
        <f t="shared" si="164"/>
        <v>0</v>
      </c>
      <c r="HE82" s="12">
        <f t="shared" si="165"/>
        <v>0</v>
      </c>
      <c r="HF82" s="12">
        <f t="shared" si="166"/>
        <v>0</v>
      </c>
      <c r="HG82" s="12">
        <f t="shared" si="167"/>
        <v>0</v>
      </c>
      <c r="HH82" s="12">
        <f t="shared" si="168"/>
        <v>0</v>
      </c>
      <c r="HI82" s="12">
        <f t="shared" si="169"/>
        <v>0</v>
      </c>
      <c r="HJ82" s="12">
        <f t="shared" si="170"/>
        <v>0</v>
      </c>
      <c r="HK82" s="12">
        <f t="shared" si="171"/>
        <v>0</v>
      </c>
      <c r="HL82" s="12">
        <f t="shared" si="172"/>
        <v>0</v>
      </c>
      <c r="HM82" s="12">
        <f t="shared" si="173"/>
        <v>0</v>
      </c>
      <c r="HN82" s="12">
        <f t="shared" si="174"/>
        <v>0</v>
      </c>
      <c r="HO82" s="12">
        <f t="shared" si="175"/>
        <v>0</v>
      </c>
      <c r="HP82" s="12">
        <f t="shared" si="176"/>
        <v>0</v>
      </c>
      <c r="HQ82" s="12">
        <f t="shared" si="177"/>
        <v>0</v>
      </c>
      <c r="HR82" s="12">
        <f t="shared" si="178"/>
        <v>0</v>
      </c>
      <c r="HS82" s="12">
        <f t="shared" si="179"/>
        <v>0</v>
      </c>
      <c r="HT82" s="12">
        <f t="shared" si="180"/>
        <v>0</v>
      </c>
      <c r="HU82" s="12">
        <f t="shared" si="181"/>
        <v>0</v>
      </c>
      <c r="HV82" s="12">
        <f t="shared" si="182"/>
        <v>0</v>
      </c>
      <c r="HW82" s="12">
        <f t="shared" si="183"/>
        <v>0</v>
      </c>
      <c r="HX82" s="12">
        <f t="shared" si="184"/>
        <v>0</v>
      </c>
      <c r="HY82" s="12">
        <f t="shared" si="185"/>
        <v>0</v>
      </c>
      <c r="HZ82" s="12">
        <f t="shared" si="186"/>
        <v>0</v>
      </c>
      <c r="IA82" s="12">
        <f t="shared" si="187"/>
        <v>0</v>
      </c>
      <c r="IB82" s="12">
        <f t="shared" si="188"/>
        <v>0</v>
      </c>
      <c r="IC82" s="12">
        <f t="shared" si="189"/>
        <v>0</v>
      </c>
      <c r="ID82" s="12">
        <f t="shared" si="190"/>
        <v>0</v>
      </c>
      <c r="IE82" s="12">
        <f t="shared" si="191"/>
        <v>0</v>
      </c>
      <c r="IF82" s="12">
        <f t="shared" si="192"/>
        <v>0</v>
      </c>
      <c r="IG82" s="12">
        <f t="shared" si="193"/>
        <v>0</v>
      </c>
      <c r="IH82" s="12">
        <f t="shared" si="194"/>
        <v>0</v>
      </c>
      <c r="II82" s="12">
        <f t="shared" si="195"/>
        <v>0</v>
      </c>
      <c r="IJ82" s="12">
        <f t="shared" si="196"/>
        <v>0</v>
      </c>
      <c r="IK82" s="12">
        <f t="shared" si="197"/>
        <v>0</v>
      </c>
      <c r="IL82" s="12">
        <f t="shared" si="198"/>
        <v>0</v>
      </c>
      <c r="IM82" s="12">
        <f t="shared" si="199"/>
        <v>0</v>
      </c>
      <c r="IN82" s="12">
        <f t="shared" si="200"/>
        <v>0</v>
      </c>
      <c r="IO82" s="12">
        <f t="shared" si="201"/>
        <v>0</v>
      </c>
      <c r="IP82" s="12">
        <f t="shared" si="202"/>
        <v>0</v>
      </c>
      <c r="IQ82" s="12">
        <f t="shared" si="203"/>
        <v>0</v>
      </c>
      <c r="IR82" s="12">
        <f t="shared" si="204"/>
        <v>0</v>
      </c>
      <c r="IS82" s="12">
        <f t="shared" si="205"/>
        <v>0</v>
      </c>
      <c r="IT82" s="12">
        <f t="shared" si="206"/>
        <v>0</v>
      </c>
      <c r="IU82" s="12">
        <f t="shared" si="207"/>
        <v>0</v>
      </c>
      <c r="IV82" s="12">
        <f t="shared" si="208"/>
        <v>0</v>
      </c>
      <c r="IW82" s="12">
        <f t="shared" si="209"/>
        <v>0</v>
      </c>
      <c r="IX82" s="12">
        <f t="shared" si="210"/>
        <v>0</v>
      </c>
      <c r="IY82" s="12">
        <f t="shared" si="211"/>
        <v>0</v>
      </c>
      <c r="IZ82" s="12">
        <f t="shared" si="212"/>
        <v>0</v>
      </c>
      <c r="JA82" s="13">
        <f t="shared" si="213"/>
        <v>0</v>
      </c>
      <c r="JB82" s="13">
        <f t="shared" si="214"/>
        <v>0</v>
      </c>
      <c r="JC82" s="13">
        <f t="shared" si="215"/>
        <v>0</v>
      </c>
      <c r="JD82" s="13">
        <f t="shared" si="216"/>
        <v>0</v>
      </c>
      <c r="JE82" s="13">
        <f t="shared" si="217"/>
        <v>0</v>
      </c>
      <c r="JF82" s="13">
        <f t="shared" si="218"/>
        <v>0</v>
      </c>
      <c r="JG82" s="13">
        <f t="shared" si="219"/>
        <v>0</v>
      </c>
      <c r="JH82" s="13">
        <f t="shared" si="220"/>
        <v>0</v>
      </c>
      <c r="JI82" s="13">
        <f t="shared" si="221"/>
        <v>0</v>
      </c>
      <c r="JJ82" s="13">
        <f t="shared" si="222"/>
        <v>0</v>
      </c>
      <c r="JK82" s="13">
        <f t="shared" si="223"/>
        <v>0</v>
      </c>
      <c r="JL82" s="13">
        <f t="shared" si="224"/>
        <v>0</v>
      </c>
      <c r="JM82" s="13">
        <f t="shared" si="225"/>
        <v>0</v>
      </c>
      <c r="JN82" s="13">
        <f t="shared" si="226"/>
        <v>0</v>
      </c>
      <c r="JO82" s="13">
        <f t="shared" si="227"/>
        <v>0</v>
      </c>
      <c r="JP82" s="13">
        <f t="shared" si="228"/>
        <v>0</v>
      </c>
      <c r="JQ82" s="13">
        <f t="shared" si="229"/>
        <v>0</v>
      </c>
      <c r="JR82" s="13">
        <f t="shared" si="230"/>
        <v>0</v>
      </c>
      <c r="JS82" s="13">
        <f t="shared" si="231"/>
        <v>0</v>
      </c>
      <c r="JT82" s="13">
        <f t="shared" si="232"/>
        <v>0</v>
      </c>
      <c r="JU82" s="13">
        <f t="shared" si="233"/>
        <v>0</v>
      </c>
      <c r="JV82" s="12">
        <f t="shared" si="234"/>
        <v>0</v>
      </c>
      <c r="JW82" s="12">
        <f t="shared" si="235"/>
        <v>0</v>
      </c>
      <c r="JX82" s="12">
        <f t="shared" si="236"/>
        <v>0</v>
      </c>
      <c r="JY82" s="12">
        <f t="shared" si="237"/>
        <v>0</v>
      </c>
      <c r="JZ82" s="12">
        <f t="shared" si="238"/>
        <v>0</v>
      </c>
      <c r="KA82" s="12">
        <f t="shared" si="239"/>
        <v>0</v>
      </c>
      <c r="KB82" s="12">
        <f t="shared" si="240"/>
        <v>0</v>
      </c>
      <c r="KC82" s="12">
        <f t="shared" si="241"/>
        <v>0</v>
      </c>
      <c r="KD82" s="12">
        <f t="shared" si="242"/>
        <v>0</v>
      </c>
      <c r="KE82" s="12">
        <f t="shared" si="243"/>
        <v>0</v>
      </c>
      <c r="KF82" s="12">
        <f t="shared" si="244"/>
        <v>0</v>
      </c>
      <c r="KG82" s="12">
        <f t="shared" si="245"/>
        <v>0</v>
      </c>
      <c r="KH82" s="12">
        <f t="shared" si="246"/>
        <v>0</v>
      </c>
      <c r="KI82" s="12">
        <f t="shared" si="247"/>
        <v>0</v>
      </c>
      <c r="KJ82" s="12">
        <f t="shared" si="248"/>
        <v>0</v>
      </c>
      <c r="KK82" s="12">
        <f t="shared" si="249"/>
        <v>0</v>
      </c>
      <c r="KL82" s="12">
        <f t="shared" si="250"/>
        <v>0</v>
      </c>
      <c r="KM82" s="12">
        <f t="shared" si="251"/>
        <v>0</v>
      </c>
      <c r="KN82" s="12">
        <f t="shared" si="252"/>
        <v>0</v>
      </c>
      <c r="KO82" s="12">
        <f t="shared" si="253"/>
        <v>0</v>
      </c>
      <c r="KP82" s="12">
        <f t="shared" si="254"/>
        <v>0</v>
      </c>
      <c r="KQ82" s="12">
        <f t="shared" si="255"/>
        <v>0</v>
      </c>
      <c r="KR82" s="12">
        <f t="shared" si="256"/>
        <v>0</v>
      </c>
      <c r="KS82" s="12">
        <f t="shared" si="257"/>
        <v>0</v>
      </c>
      <c r="KT82" s="12">
        <f t="shared" si="258"/>
        <v>0</v>
      </c>
      <c r="KU82" s="12">
        <f t="shared" si="259"/>
        <v>0</v>
      </c>
      <c r="KV82" s="12">
        <f t="shared" si="260"/>
        <v>0</v>
      </c>
      <c r="KW82" s="12">
        <f t="shared" si="261"/>
        <v>0</v>
      </c>
      <c r="KX82" s="12">
        <f t="shared" si="262"/>
        <v>0</v>
      </c>
      <c r="KY82" s="12">
        <f t="shared" si="263"/>
        <v>0</v>
      </c>
      <c r="KZ82" s="12">
        <f t="shared" si="264"/>
        <v>0</v>
      </c>
      <c r="LA82" s="12">
        <f t="shared" si="265"/>
        <v>0</v>
      </c>
      <c r="LB82" s="12">
        <f t="shared" si="266"/>
        <v>0</v>
      </c>
      <c r="LC82" s="12">
        <f t="shared" si="267"/>
        <v>0</v>
      </c>
      <c r="LD82" s="12">
        <f t="shared" si="268"/>
        <v>0</v>
      </c>
      <c r="LE82" s="12">
        <f t="shared" si="269"/>
        <v>0</v>
      </c>
      <c r="LF82" s="12">
        <f t="shared" si="270"/>
        <v>0</v>
      </c>
      <c r="LG82" s="12">
        <f t="shared" si="271"/>
        <v>0</v>
      </c>
      <c r="LH82" s="12">
        <f t="shared" si="272"/>
        <v>0</v>
      </c>
      <c r="LI82" s="12">
        <f t="shared" si="273"/>
        <v>0</v>
      </c>
      <c r="LJ82" s="12">
        <f t="shared" si="274"/>
        <v>0</v>
      </c>
      <c r="LK82" s="12">
        <f t="shared" si="275"/>
        <v>0</v>
      </c>
      <c r="LL82" s="12">
        <f t="shared" si="276"/>
        <v>0</v>
      </c>
      <c r="LM82" s="12">
        <f t="shared" si="277"/>
        <v>0</v>
      </c>
      <c r="LN82" s="12">
        <f t="shared" si="278"/>
        <v>0</v>
      </c>
      <c r="LO82" s="12">
        <f t="shared" si="279"/>
        <v>0</v>
      </c>
      <c r="LP82" s="12">
        <f t="shared" si="280"/>
        <v>0</v>
      </c>
      <c r="LQ82" s="12">
        <f t="shared" si="281"/>
        <v>0</v>
      </c>
      <c r="LR82" s="12">
        <f t="shared" si="282"/>
        <v>0</v>
      </c>
      <c r="LS82" s="12">
        <f t="shared" si="283"/>
        <v>0</v>
      </c>
      <c r="LT82" s="13">
        <f t="shared" si="284"/>
        <v>0</v>
      </c>
      <c r="LU82" s="13">
        <f t="shared" si="285"/>
        <v>0</v>
      </c>
      <c r="LV82" s="13">
        <f t="shared" si="286"/>
        <v>0</v>
      </c>
      <c r="LW82" s="13">
        <f t="shared" si="287"/>
        <v>0</v>
      </c>
      <c r="LX82" s="13">
        <f t="shared" si="288"/>
        <v>0</v>
      </c>
      <c r="LY82" s="13">
        <f t="shared" si="289"/>
        <v>0</v>
      </c>
      <c r="LZ82" s="13">
        <f t="shared" si="290"/>
        <v>0</v>
      </c>
      <c r="MA82" s="13">
        <f t="shared" si="291"/>
        <v>0</v>
      </c>
      <c r="MB82" s="13">
        <f t="shared" si="292"/>
        <v>0</v>
      </c>
      <c r="MC82" s="13">
        <f t="shared" si="293"/>
        <v>0</v>
      </c>
      <c r="MD82" s="13">
        <f t="shared" si="294"/>
        <v>0</v>
      </c>
      <c r="ME82" s="13">
        <f t="shared" si="295"/>
        <v>0</v>
      </c>
      <c r="MF82" s="13">
        <f t="shared" si="296"/>
        <v>0</v>
      </c>
      <c r="MG82" s="13">
        <f t="shared" si="297"/>
        <v>0</v>
      </c>
      <c r="MH82" s="13">
        <f t="shared" si="298"/>
        <v>0</v>
      </c>
      <c r="MI82" s="13">
        <f t="shared" si="299"/>
        <v>0</v>
      </c>
      <c r="MJ82" s="13">
        <f t="shared" si="300"/>
        <v>0</v>
      </c>
      <c r="MK82" s="13">
        <f t="shared" si="301"/>
        <v>0</v>
      </c>
      <c r="ML82" s="14">
        <f t="shared" si="302"/>
        <v>0</v>
      </c>
      <c r="MM82" s="14">
        <f t="shared" si="303"/>
        <v>0</v>
      </c>
      <c r="MN82" s="14">
        <f t="shared" si="304"/>
        <v>0</v>
      </c>
      <c r="MO82" s="14">
        <f t="shared" si="305"/>
        <v>0</v>
      </c>
      <c r="MP82" s="14">
        <f t="shared" si="306"/>
        <v>0</v>
      </c>
      <c r="MQ82" s="14">
        <f t="shared" si="307"/>
        <v>0</v>
      </c>
      <c r="MR82" s="14">
        <f t="shared" si="308"/>
        <v>0</v>
      </c>
      <c r="MS82" s="14">
        <f t="shared" si="309"/>
        <v>0</v>
      </c>
      <c r="MT82" s="14">
        <f t="shared" si="310"/>
        <v>0</v>
      </c>
      <c r="MU82" s="14">
        <f t="shared" si="311"/>
        <v>0</v>
      </c>
      <c r="MV82" s="14">
        <f t="shared" si="312"/>
        <v>0</v>
      </c>
      <c r="MW82" s="14">
        <f t="shared" si="313"/>
        <v>0</v>
      </c>
      <c r="MX82" s="14">
        <f t="shared" si="314"/>
        <v>0</v>
      </c>
      <c r="MY82" s="14">
        <f t="shared" si="315"/>
        <v>0</v>
      </c>
      <c r="MZ82" s="14">
        <f t="shared" si="316"/>
        <v>0</v>
      </c>
      <c r="NA82" s="14">
        <f t="shared" si="317"/>
        <v>0</v>
      </c>
      <c r="NB82" s="14">
        <f t="shared" si="318"/>
        <v>0</v>
      </c>
    </row>
    <row r="83" ht="15.75" customHeight="1">
      <c r="A83" s="2">
        <v>291.0</v>
      </c>
      <c r="B83" s="2" t="s">
        <v>1803</v>
      </c>
      <c r="C83" s="2" t="s">
        <v>1804</v>
      </c>
      <c r="D83" s="2" t="s">
        <v>1805</v>
      </c>
      <c r="E83" s="2">
        <v>2019.0</v>
      </c>
      <c r="F83" s="2" t="s">
        <v>1459</v>
      </c>
      <c r="G83" s="2" t="s">
        <v>472</v>
      </c>
      <c r="H83" s="2" t="s">
        <v>656</v>
      </c>
      <c r="I83" s="2" t="s">
        <v>1806</v>
      </c>
      <c r="M83" s="2">
        <v>14.0</v>
      </c>
      <c r="N83" s="2" t="s">
        <v>1807</v>
      </c>
      <c r="O83" s="2" t="s">
        <v>1808</v>
      </c>
      <c r="P83" s="2" t="s">
        <v>1809</v>
      </c>
      <c r="Q83" s="2" t="s">
        <v>1810</v>
      </c>
      <c r="R83" s="2" t="s">
        <v>1811</v>
      </c>
      <c r="S83" s="2" t="s">
        <v>1812</v>
      </c>
      <c r="T83" s="2" t="s">
        <v>1813</v>
      </c>
      <c r="Y83" s="2" t="s">
        <v>1814</v>
      </c>
      <c r="AB83" s="2" t="s">
        <v>1303</v>
      </c>
      <c r="AG83" s="2" t="s">
        <v>1469</v>
      </c>
      <c r="AK83" s="2" t="s">
        <v>1470</v>
      </c>
      <c r="AL83" s="2" t="s">
        <v>384</v>
      </c>
      <c r="AM83" s="2" t="s">
        <v>484</v>
      </c>
      <c r="AN83" s="2" t="s">
        <v>386</v>
      </c>
      <c r="AO83" s="2" t="s">
        <v>1815</v>
      </c>
      <c r="AP83" s="2" t="s">
        <v>386</v>
      </c>
      <c r="AQ83" s="2">
        <v>1162.0</v>
      </c>
      <c r="AR83" s="2" t="s">
        <v>1805</v>
      </c>
      <c r="AS83" s="2" t="b">
        <v>0</v>
      </c>
      <c r="AT83" s="3">
        <v>0.0</v>
      </c>
      <c r="AU83" s="4"/>
      <c r="AV83" s="4"/>
      <c r="AW83" s="5">
        <f t="shared" si="432"/>
        <v>0</v>
      </c>
      <c r="AX83" s="5">
        <f t="shared" si="4"/>
        <v>0</v>
      </c>
      <c r="AY83" s="5">
        <f t="shared" si="5"/>
        <v>0</v>
      </c>
      <c r="AZ83" s="5">
        <f t="shared" si="6"/>
        <v>0</v>
      </c>
      <c r="BA83" s="5">
        <f t="shared" si="7"/>
        <v>0</v>
      </c>
      <c r="BB83" s="5">
        <f t="shared" si="8"/>
        <v>0</v>
      </c>
      <c r="BC83" s="5">
        <f t="shared" si="9"/>
        <v>0</v>
      </c>
      <c r="BD83" s="5">
        <f t="shared" si="10"/>
        <v>0</v>
      </c>
      <c r="BE83" s="5">
        <f t="shared" si="11"/>
        <v>0</v>
      </c>
      <c r="BF83" s="5">
        <f t="shared" si="12"/>
        <v>0</v>
      </c>
      <c r="BG83" s="5">
        <f t="shared" si="13"/>
        <v>0</v>
      </c>
      <c r="BH83" s="5">
        <f t="shared" si="14"/>
        <v>0</v>
      </c>
      <c r="BI83" s="5">
        <f t="shared" si="15"/>
        <v>0</v>
      </c>
      <c r="BJ83" s="5">
        <f t="shared" si="16"/>
        <v>0</v>
      </c>
      <c r="BK83" s="5">
        <f t="shared" si="17"/>
        <v>0</v>
      </c>
      <c r="BL83" s="5">
        <f t="shared" si="18"/>
        <v>0</v>
      </c>
      <c r="BM83" s="5">
        <f t="shared" si="19"/>
        <v>0</v>
      </c>
      <c r="BN83" s="5">
        <f t="shared" si="20"/>
        <v>0</v>
      </c>
      <c r="BO83" s="5">
        <f t="shared" si="21"/>
        <v>0</v>
      </c>
      <c r="BP83" s="5">
        <f t="shared" si="22"/>
        <v>0</v>
      </c>
      <c r="BQ83" s="5">
        <f t="shared" si="23"/>
        <v>0</v>
      </c>
      <c r="BR83" s="5">
        <f t="shared" si="24"/>
        <v>0</v>
      </c>
      <c r="BS83" s="5">
        <f t="shared" si="25"/>
        <v>1</v>
      </c>
      <c r="BT83" s="5">
        <f t="shared" si="26"/>
        <v>0</v>
      </c>
      <c r="BU83" s="5">
        <f t="shared" si="27"/>
        <v>0</v>
      </c>
      <c r="BV83" s="5">
        <f t="shared" ref="BV83:BW83" si="500">IF(OR(ISNUMBER(SEARCH("grit",$D83)),ISNUMBER(SEARCH("grit",$T83)),ISNUMBER(SEARCH("grit",$R83)),ISNUMBER(SEARCH("grit",$S83)),
ISNUMBER(SEARCH("determination",$D83)),ISNUMBER(SEARCH("determination",$T83)),ISNUMBER(SEARCH("determination",$R83)),ISNUMBER(SEARCH("determination",$S83)),
ISNUMBER(SEARCH("tenacity",$D83)),ISNUMBER(SEARCH("tenacity",$T83)),ISNUMBER(SEARCH("tenacity",$R83)),ISNUMBER(SEARCH("tenacity",$S83)),
ISNUMBER(SEARCH("endurance",$D83)),ISNUMBER(SEARCH("endurance",$T83)),ISNUMBER(SEARCH("endurance",$R83)),ISNUMBER(SEARCH("endurance",$S83)),
ISNUMBER(SEARCH("fortitude",$D83)),ISNUMBER(SEARCH("fortitude",$T83)),ISNUMBER(SEARCH("fortitude",$R83)),ISNUMBER(SEARCH("fortitude",$S83)),
ISNUMBER(SEARCH("resolve",$D83)),ISNUMBER(SEARCH("resolve",$T83)),ISNUMBER(SEARCH("resolve",$R83)),ISNUMBER(SEARCH("resolve",$S83)),
ISNUMBER(SEARCH("stamina",$D83)),ISNUMBER(SEARCH("stamina",$T83)),ISNUMBER(SEARCH("stamina",$R83)),ISNUMBER(SEARCH("stamina",$S83)),
ISNUMBER(SEARCH("guts",$D83)),ISNUMBER(SEARCH("guts",$T83)),ISNUMBER(SEARCH("guts",$R83)),ISNUMBER(SEARCH("guts",$S83)),
ISNUMBER(SEARCH("spunk",$D83)),ISNUMBER(SEARCH("spunk",$T83)),ISNUMBER(SEARCH("spunk",$R83)),ISNUMBER(SEARCH("spunk",$S83))), 1, 0)</f>
        <v>0</v>
      </c>
      <c r="BW83" s="5">
        <f t="shared" si="500"/>
        <v>0</v>
      </c>
      <c r="BX83" s="5">
        <f t="shared" si="29"/>
        <v>0</v>
      </c>
      <c r="BY83" s="5">
        <f t="shared" si="30"/>
        <v>0</v>
      </c>
      <c r="BZ83" s="5">
        <f t="shared" si="31"/>
        <v>0</v>
      </c>
      <c r="CA83" s="5">
        <f t="shared" si="32"/>
        <v>0</v>
      </c>
      <c r="CB83" s="5">
        <f t="shared" si="33"/>
        <v>0</v>
      </c>
      <c r="CC83" s="5">
        <f t="shared" si="34"/>
        <v>0</v>
      </c>
      <c r="CD83" s="5">
        <f t="shared" si="35"/>
        <v>0</v>
      </c>
      <c r="CE83" s="5">
        <f t="shared" si="36"/>
        <v>0</v>
      </c>
      <c r="CF83" s="5">
        <f t="shared" si="37"/>
        <v>0</v>
      </c>
      <c r="CG83" s="5">
        <f t="shared" si="38"/>
        <v>0</v>
      </c>
      <c r="CH83" s="5">
        <f t="shared" si="39"/>
        <v>0</v>
      </c>
      <c r="CI83" s="5">
        <f t="shared" si="40"/>
        <v>0</v>
      </c>
      <c r="CJ83" s="5">
        <f t="shared" si="41"/>
        <v>0</v>
      </c>
      <c r="CK83" s="5">
        <f t="shared" si="42"/>
        <v>0</v>
      </c>
      <c r="CL83" s="5">
        <f t="shared" si="43"/>
        <v>0</v>
      </c>
      <c r="CM83" s="5">
        <f t="shared" si="44"/>
        <v>0</v>
      </c>
      <c r="CN83" s="5">
        <f t="shared" si="45"/>
        <v>0</v>
      </c>
      <c r="CO83" s="5">
        <f t="shared" si="46"/>
        <v>0</v>
      </c>
      <c r="CP83" s="6">
        <f t="shared" si="47"/>
        <v>0</v>
      </c>
      <c r="CQ83" s="6">
        <f t="shared" si="48"/>
        <v>0</v>
      </c>
      <c r="CR83" s="6">
        <f t="shared" si="49"/>
        <v>0</v>
      </c>
      <c r="CS83" s="6">
        <f t="shared" si="50"/>
        <v>0</v>
      </c>
      <c r="CT83" s="6">
        <f t="shared" si="51"/>
        <v>0</v>
      </c>
      <c r="CU83" s="6">
        <f t="shared" si="52"/>
        <v>0</v>
      </c>
      <c r="CV83" s="6">
        <f t="shared" si="53"/>
        <v>0</v>
      </c>
      <c r="CW83" s="6">
        <f t="shared" si="54"/>
        <v>0</v>
      </c>
      <c r="CX83" s="6">
        <f t="shared" si="55"/>
        <v>0</v>
      </c>
      <c r="CY83" s="6">
        <f t="shared" si="56"/>
        <v>0</v>
      </c>
      <c r="CZ83" s="6">
        <f t="shared" si="57"/>
        <v>0</v>
      </c>
      <c r="DA83" s="6">
        <f t="shared" si="58"/>
        <v>0</v>
      </c>
      <c r="DB83" s="6">
        <f t="shared" si="59"/>
        <v>0</v>
      </c>
      <c r="DC83" s="6">
        <f t="shared" si="60"/>
        <v>0</v>
      </c>
      <c r="DD83" s="6">
        <f t="shared" si="61"/>
        <v>0</v>
      </c>
      <c r="DE83" s="6">
        <f t="shared" si="62"/>
        <v>0</v>
      </c>
      <c r="DF83" s="6">
        <f t="shared" si="63"/>
        <v>0</v>
      </c>
      <c r="DG83" s="6">
        <f t="shared" si="64"/>
        <v>0</v>
      </c>
      <c r="DH83" s="6">
        <f t="shared" si="486"/>
        <v>0</v>
      </c>
      <c r="DI83" s="6">
        <f t="shared" si="66"/>
        <v>0</v>
      </c>
      <c r="DJ83" s="6">
        <f t="shared" si="487"/>
        <v>0</v>
      </c>
      <c r="DK83" s="7">
        <f t="shared" si="68"/>
        <v>0</v>
      </c>
      <c r="DL83" s="7">
        <f t="shared" si="498"/>
        <v>0</v>
      </c>
      <c r="DM83" s="7">
        <f t="shared" si="70"/>
        <v>0</v>
      </c>
      <c r="DN83" s="7">
        <f t="shared" si="71"/>
        <v>0</v>
      </c>
      <c r="DO83" s="7">
        <f t="shared" si="72"/>
        <v>1</v>
      </c>
      <c r="DP83" s="8">
        <f t="shared" si="73"/>
        <v>0</v>
      </c>
      <c r="DQ83" s="8">
        <f t="shared" si="74"/>
        <v>0</v>
      </c>
      <c r="DR83" s="7">
        <f t="shared" si="75"/>
        <v>0</v>
      </c>
      <c r="DS83" s="7">
        <f t="shared" si="76"/>
        <v>0</v>
      </c>
      <c r="DT83" s="7">
        <f t="shared" si="77"/>
        <v>0</v>
      </c>
      <c r="DU83" s="9">
        <f t="shared" si="78"/>
        <v>0</v>
      </c>
      <c r="DV83" s="9">
        <f t="shared" si="79"/>
        <v>0</v>
      </c>
      <c r="DW83" s="9">
        <f t="shared" si="80"/>
        <v>0</v>
      </c>
      <c r="DX83" s="9">
        <f t="shared" si="81"/>
        <v>0</v>
      </c>
      <c r="DY83" s="9">
        <f t="shared" si="82"/>
        <v>0</v>
      </c>
      <c r="DZ83" s="9">
        <f t="shared" si="83"/>
        <v>0</v>
      </c>
      <c r="EA83" s="9">
        <f t="shared" si="84"/>
        <v>0</v>
      </c>
      <c r="EB83" s="9">
        <f t="shared" si="85"/>
        <v>0</v>
      </c>
      <c r="EC83" s="9">
        <f t="shared" si="86"/>
        <v>0</v>
      </c>
      <c r="ED83" s="9">
        <f t="shared" si="87"/>
        <v>0</v>
      </c>
      <c r="EE83" s="9">
        <f t="shared" si="88"/>
        <v>0</v>
      </c>
      <c r="EF83" s="9">
        <f t="shared" si="89"/>
        <v>0</v>
      </c>
      <c r="EG83" s="9">
        <f t="shared" si="90"/>
        <v>0</v>
      </c>
      <c r="EH83" s="9">
        <f t="shared" si="91"/>
        <v>0</v>
      </c>
      <c r="EI83" s="9">
        <f t="shared" si="92"/>
        <v>0</v>
      </c>
      <c r="EJ83" s="10">
        <f t="shared" si="93"/>
        <v>0</v>
      </c>
      <c r="EK83" s="10">
        <f t="shared" si="94"/>
        <v>0</v>
      </c>
      <c r="EL83" s="10">
        <f t="shared" ref="EL83:EM83" si="501">IF(OR(ISNUMBER(SEARCH("ai software toolkit", $D83)), ISNUMBER(SEARCH("ai software toolkit", $T83)), ISNUMBER(SEARCH("ai software toolkit", $R83)), ISNUMBER(SEARCH("ai software toolkit", $S83))), 1, 0)</f>
        <v>0</v>
      </c>
      <c r="EM83" s="10">
        <f t="shared" si="501"/>
        <v>0</v>
      </c>
      <c r="EN83" s="10">
        <f t="shared" si="96"/>
        <v>0</v>
      </c>
      <c r="EO83" s="10">
        <f t="shared" si="97"/>
        <v>0</v>
      </c>
      <c r="EP83" s="10">
        <f t="shared" si="98"/>
        <v>0</v>
      </c>
      <c r="EQ83" s="10">
        <f t="shared" si="99"/>
        <v>0</v>
      </c>
      <c r="ER83" s="10">
        <f t="shared" si="100"/>
        <v>0</v>
      </c>
      <c r="ES83" s="10">
        <f t="shared" si="101"/>
        <v>0</v>
      </c>
      <c r="ET83" s="10">
        <f t="shared" si="102"/>
        <v>0</v>
      </c>
      <c r="EU83" s="10">
        <f t="shared" si="103"/>
        <v>0</v>
      </c>
      <c r="EV83" s="10">
        <f t="shared" si="104"/>
        <v>0</v>
      </c>
      <c r="EW83" s="10">
        <f t="shared" si="105"/>
        <v>0</v>
      </c>
      <c r="EX83" s="10">
        <f t="shared" si="106"/>
        <v>0</v>
      </c>
      <c r="EY83" s="10">
        <f t="shared" si="107"/>
        <v>0</v>
      </c>
      <c r="EZ83" s="10">
        <f t="shared" si="108"/>
        <v>0</v>
      </c>
      <c r="FA83" s="10">
        <f t="shared" si="109"/>
        <v>0</v>
      </c>
      <c r="FB83" s="10">
        <f t="shared" si="110"/>
        <v>0</v>
      </c>
      <c r="FC83" s="10">
        <f t="shared" si="111"/>
        <v>0</v>
      </c>
      <c r="FD83" s="10">
        <f t="shared" si="112"/>
        <v>0</v>
      </c>
      <c r="FE83" s="10">
        <f t="shared" si="113"/>
        <v>0</v>
      </c>
      <c r="FF83" s="10">
        <f t="shared" si="114"/>
        <v>0</v>
      </c>
      <c r="FG83" s="10">
        <f t="shared" si="115"/>
        <v>0</v>
      </c>
      <c r="FH83" s="10">
        <f t="shared" si="116"/>
        <v>0</v>
      </c>
      <c r="FI83" s="10">
        <f t="shared" si="117"/>
        <v>0</v>
      </c>
      <c r="FJ83" s="10">
        <f t="shared" si="118"/>
        <v>0</v>
      </c>
      <c r="FK83" s="10">
        <f t="shared" si="119"/>
        <v>0</v>
      </c>
      <c r="FL83" s="10">
        <f t="shared" si="120"/>
        <v>0</v>
      </c>
      <c r="FM83" s="10">
        <f t="shared" si="121"/>
        <v>0</v>
      </c>
      <c r="FN83" s="10">
        <f t="shared" si="122"/>
        <v>0</v>
      </c>
      <c r="FO83" s="10">
        <f t="shared" si="123"/>
        <v>0</v>
      </c>
      <c r="FP83" s="10">
        <f t="shared" si="124"/>
        <v>0</v>
      </c>
      <c r="FQ83" s="10">
        <f t="shared" si="125"/>
        <v>0</v>
      </c>
      <c r="FR83" s="11">
        <f>IF(
OR(
ISNUMBER(SEARCH("chatbot",$D83)),ISNUMBER(SEARCH("chatbot",$T83)),ISNUMBER(SEARCH("chatbot",$R82)),ISNUMBER(SEARCH("chatbot",$S83)),
ISNUMBER(SEARCH("virtual assistance",$D83)),ISNUMBER(SEARCH("virtual assistance",$T83)),ISNUMBER(SEARCH("virtual assistance",$R83)),ISNUMBER(SEARCH("virtual assistance",$S83))), 1, 0)</f>
        <v>0</v>
      </c>
      <c r="FS83" s="11">
        <f t="shared" si="127"/>
        <v>0</v>
      </c>
      <c r="FT83" s="11">
        <f t="shared" si="128"/>
        <v>0</v>
      </c>
      <c r="FU83" s="11">
        <f t="shared" si="129"/>
        <v>0</v>
      </c>
      <c r="FV83" s="11">
        <f t="shared" si="130"/>
        <v>0</v>
      </c>
      <c r="FW83" s="11">
        <f t="shared" si="131"/>
        <v>0</v>
      </c>
      <c r="FX83" s="11">
        <f t="shared" si="132"/>
        <v>0</v>
      </c>
      <c r="FY83" s="11">
        <f t="shared" si="133"/>
        <v>0</v>
      </c>
      <c r="FZ83" s="11">
        <f t="shared" si="134"/>
        <v>0</v>
      </c>
      <c r="GA83" s="11">
        <f t="shared" si="135"/>
        <v>0</v>
      </c>
      <c r="GB83" s="11">
        <f t="shared" si="136"/>
        <v>0</v>
      </c>
      <c r="GC83" s="11">
        <f t="shared" si="137"/>
        <v>0</v>
      </c>
      <c r="GD83" s="11">
        <f t="shared" si="138"/>
        <v>0</v>
      </c>
      <c r="GE83" s="11">
        <f t="shared" si="139"/>
        <v>0</v>
      </c>
      <c r="GF83" s="11">
        <f t="shared" si="140"/>
        <v>0</v>
      </c>
      <c r="GG83" s="11">
        <f t="shared" si="141"/>
        <v>0</v>
      </c>
      <c r="GH83" s="11">
        <f t="shared" si="142"/>
        <v>0</v>
      </c>
      <c r="GI83" s="11">
        <f t="shared" si="143"/>
        <v>0</v>
      </c>
      <c r="GJ83" s="11">
        <f t="shared" si="144"/>
        <v>0</v>
      </c>
      <c r="GK83" s="11">
        <f t="shared" si="145"/>
        <v>0</v>
      </c>
      <c r="GL83" s="11">
        <f t="shared" si="146"/>
        <v>0</v>
      </c>
      <c r="GM83" s="11">
        <f t="shared" si="147"/>
        <v>0</v>
      </c>
      <c r="GN83" s="11">
        <f t="shared" si="148"/>
        <v>0</v>
      </c>
      <c r="GO83" s="11">
        <f t="shared" si="149"/>
        <v>0</v>
      </c>
      <c r="GP83" s="11">
        <f t="shared" si="150"/>
        <v>0</v>
      </c>
      <c r="GQ83" s="11">
        <f t="shared" si="151"/>
        <v>0</v>
      </c>
      <c r="GR83" s="11">
        <f t="shared" si="152"/>
        <v>0</v>
      </c>
      <c r="GS83" s="11">
        <f t="shared" si="153"/>
        <v>0</v>
      </c>
      <c r="GT83" s="11">
        <f t="shared" si="154"/>
        <v>0</v>
      </c>
      <c r="GU83" s="12">
        <f t="shared" si="155"/>
        <v>0</v>
      </c>
      <c r="GV83" s="12">
        <f t="shared" si="156"/>
        <v>0</v>
      </c>
      <c r="GW83" s="12">
        <f t="shared" si="157"/>
        <v>0</v>
      </c>
      <c r="GX83" s="12">
        <f t="shared" si="158"/>
        <v>0</v>
      </c>
      <c r="GY83" s="12">
        <f t="shared" si="159"/>
        <v>0</v>
      </c>
      <c r="GZ83" s="12">
        <f t="shared" si="160"/>
        <v>0</v>
      </c>
      <c r="HA83" s="12">
        <f t="shared" si="161"/>
        <v>0</v>
      </c>
      <c r="HB83" s="12">
        <f t="shared" si="162"/>
        <v>0</v>
      </c>
      <c r="HC83" s="12">
        <f t="shared" si="163"/>
        <v>0</v>
      </c>
      <c r="HD83" s="12">
        <f t="shared" si="164"/>
        <v>0</v>
      </c>
      <c r="HE83" s="12">
        <f t="shared" si="165"/>
        <v>0</v>
      </c>
      <c r="HF83" s="12">
        <f t="shared" si="166"/>
        <v>0</v>
      </c>
      <c r="HG83" s="12">
        <f t="shared" si="167"/>
        <v>0</v>
      </c>
      <c r="HH83" s="12">
        <f t="shared" si="168"/>
        <v>0</v>
      </c>
      <c r="HI83" s="12">
        <f t="shared" si="169"/>
        <v>0</v>
      </c>
      <c r="HJ83" s="12">
        <f t="shared" si="170"/>
        <v>1</v>
      </c>
      <c r="HK83" s="12">
        <f t="shared" si="171"/>
        <v>0</v>
      </c>
      <c r="HL83" s="12">
        <f t="shared" si="172"/>
        <v>0</v>
      </c>
      <c r="HM83" s="12">
        <f t="shared" si="173"/>
        <v>0</v>
      </c>
      <c r="HN83" s="12">
        <f t="shared" si="174"/>
        <v>0</v>
      </c>
      <c r="HO83" s="12">
        <f t="shared" si="175"/>
        <v>0</v>
      </c>
      <c r="HP83" s="12">
        <f t="shared" si="176"/>
        <v>0</v>
      </c>
      <c r="HQ83" s="12">
        <f t="shared" si="177"/>
        <v>0</v>
      </c>
      <c r="HR83" s="12">
        <f t="shared" si="178"/>
        <v>0</v>
      </c>
      <c r="HS83" s="12">
        <f t="shared" si="179"/>
        <v>0</v>
      </c>
      <c r="HT83" s="12">
        <f t="shared" si="180"/>
        <v>0</v>
      </c>
      <c r="HU83" s="12">
        <f t="shared" si="181"/>
        <v>0</v>
      </c>
      <c r="HV83" s="12">
        <f t="shared" si="182"/>
        <v>1</v>
      </c>
      <c r="HW83" s="12">
        <f t="shared" si="183"/>
        <v>0</v>
      </c>
      <c r="HX83" s="12">
        <f t="shared" si="184"/>
        <v>0</v>
      </c>
      <c r="HY83" s="12">
        <f t="shared" si="185"/>
        <v>0</v>
      </c>
      <c r="HZ83" s="12">
        <f t="shared" si="186"/>
        <v>0</v>
      </c>
      <c r="IA83" s="12">
        <f t="shared" si="187"/>
        <v>0</v>
      </c>
      <c r="IB83" s="12">
        <f t="shared" si="188"/>
        <v>0</v>
      </c>
      <c r="IC83" s="12">
        <f t="shared" si="189"/>
        <v>0</v>
      </c>
      <c r="ID83" s="12">
        <f t="shared" si="190"/>
        <v>0</v>
      </c>
      <c r="IE83" s="12">
        <f t="shared" si="191"/>
        <v>0</v>
      </c>
      <c r="IF83" s="12">
        <f t="shared" si="192"/>
        <v>0</v>
      </c>
      <c r="IG83" s="12">
        <f t="shared" si="193"/>
        <v>0</v>
      </c>
      <c r="IH83" s="12">
        <f t="shared" si="194"/>
        <v>0</v>
      </c>
      <c r="II83" s="12">
        <f t="shared" si="195"/>
        <v>0</v>
      </c>
      <c r="IJ83" s="12">
        <f t="shared" si="196"/>
        <v>0</v>
      </c>
      <c r="IK83" s="12">
        <f t="shared" si="197"/>
        <v>0</v>
      </c>
      <c r="IL83" s="12">
        <f t="shared" si="198"/>
        <v>0</v>
      </c>
      <c r="IM83" s="12">
        <f t="shared" si="199"/>
        <v>0</v>
      </c>
      <c r="IN83" s="12">
        <f t="shared" si="200"/>
        <v>0</v>
      </c>
      <c r="IO83" s="12">
        <f t="shared" si="201"/>
        <v>0</v>
      </c>
      <c r="IP83" s="12">
        <f t="shared" si="202"/>
        <v>0</v>
      </c>
      <c r="IQ83" s="12">
        <f t="shared" si="203"/>
        <v>0</v>
      </c>
      <c r="IR83" s="12">
        <f t="shared" si="204"/>
        <v>0</v>
      </c>
      <c r="IS83" s="12">
        <f t="shared" si="205"/>
        <v>0</v>
      </c>
      <c r="IT83" s="12">
        <f t="shared" si="206"/>
        <v>0</v>
      </c>
      <c r="IU83" s="12">
        <f t="shared" si="207"/>
        <v>0</v>
      </c>
      <c r="IV83" s="12">
        <f t="shared" si="208"/>
        <v>0</v>
      </c>
      <c r="IW83" s="12">
        <f t="shared" si="209"/>
        <v>0</v>
      </c>
      <c r="IX83" s="12">
        <f t="shared" si="210"/>
        <v>0</v>
      </c>
      <c r="IY83" s="12">
        <f t="shared" si="211"/>
        <v>0</v>
      </c>
      <c r="IZ83" s="12">
        <f t="shared" si="212"/>
        <v>1</v>
      </c>
      <c r="JA83" s="13">
        <f t="shared" si="213"/>
        <v>0</v>
      </c>
      <c r="JB83" s="13">
        <f t="shared" si="214"/>
        <v>0</v>
      </c>
      <c r="JC83" s="13">
        <f t="shared" si="215"/>
        <v>0</v>
      </c>
      <c r="JD83" s="13">
        <f t="shared" si="216"/>
        <v>0</v>
      </c>
      <c r="JE83" s="13">
        <f t="shared" si="217"/>
        <v>0</v>
      </c>
      <c r="JF83" s="13">
        <f t="shared" si="218"/>
        <v>0</v>
      </c>
      <c r="JG83" s="13">
        <f t="shared" si="219"/>
        <v>0</v>
      </c>
      <c r="JH83" s="13">
        <f t="shared" si="220"/>
        <v>0</v>
      </c>
      <c r="JI83" s="13">
        <f t="shared" si="221"/>
        <v>0</v>
      </c>
      <c r="JJ83" s="13">
        <f t="shared" si="222"/>
        <v>0</v>
      </c>
      <c r="JK83" s="13">
        <f t="shared" si="223"/>
        <v>0</v>
      </c>
      <c r="JL83" s="13">
        <f t="shared" si="224"/>
        <v>0</v>
      </c>
      <c r="JM83" s="13">
        <f t="shared" si="225"/>
        <v>0</v>
      </c>
      <c r="JN83" s="13">
        <f t="shared" si="226"/>
        <v>0</v>
      </c>
      <c r="JO83" s="13">
        <f t="shared" si="227"/>
        <v>0</v>
      </c>
      <c r="JP83" s="13">
        <f t="shared" si="228"/>
        <v>0</v>
      </c>
      <c r="JQ83" s="13">
        <f t="shared" si="229"/>
        <v>0</v>
      </c>
      <c r="JR83" s="13">
        <f t="shared" si="230"/>
        <v>0</v>
      </c>
      <c r="JS83" s="13">
        <f t="shared" si="231"/>
        <v>0</v>
      </c>
      <c r="JT83" s="13">
        <f t="shared" si="232"/>
        <v>0</v>
      </c>
      <c r="JU83" s="13">
        <f t="shared" si="233"/>
        <v>0</v>
      </c>
      <c r="JV83" s="12">
        <f t="shared" si="234"/>
        <v>0</v>
      </c>
      <c r="JW83" s="12">
        <f t="shared" si="235"/>
        <v>0</v>
      </c>
      <c r="JX83" s="12">
        <f t="shared" si="236"/>
        <v>0</v>
      </c>
      <c r="JY83" s="12">
        <f t="shared" si="237"/>
        <v>0</v>
      </c>
      <c r="JZ83" s="12">
        <f t="shared" si="238"/>
        <v>0</v>
      </c>
      <c r="KA83" s="12">
        <f t="shared" si="239"/>
        <v>0</v>
      </c>
      <c r="KB83" s="12">
        <f t="shared" si="240"/>
        <v>0</v>
      </c>
      <c r="KC83" s="12">
        <f t="shared" si="241"/>
        <v>0</v>
      </c>
      <c r="KD83" s="12">
        <f t="shared" si="242"/>
        <v>0</v>
      </c>
      <c r="KE83" s="12">
        <f t="shared" si="243"/>
        <v>0</v>
      </c>
      <c r="KF83" s="12">
        <f t="shared" si="244"/>
        <v>0</v>
      </c>
      <c r="KG83" s="12">
        <f t="shared" si="245"/>
        <v>0</v>
      </c>
      <c r="KH83" s="12">
        <f t="shared" si="246"/>
        <v>0</v>
      </c>
      <c r="KI83" s="12">
        <f t="shared" si="247"/>
        <v>0</v>
      </c>
      <c r="KJ83" s="12">
        <f t="shared" si="248"/>
        <v>0</v>
      </c>
      <c r="KK83" s="12">
        <f t="shared" si="249"/>
        <v>0</v>
      </c>
      <c r="KL83" s="12">
        <f t="shared" si="250"/>
        <v>0</v>
      </c>
      <c r="KM83" s="12">
        <f t="shared" si="251"/>
        <v>0</v>
      </c>
      <c r="KN83" s="12">
        <f t="shared" si="252"/>
        <v>0</v>
      </c>
      <c r="KO83" s="12">
        <f t="shared" si="253"/>
        <v>0</v>
      </c>
      <c r="KP83" s="12">
        <f t="shared" si="254"/>
        <v>0</v>
      </c>
      <c r="KQ83" s="12">
        <f t="shared" si="255"/>
        <v>0</v>
      </c>
      <c r="KR83" s="12">
        <f t="shared" si="256"/>
        <v>0</v>
      </c>
      <c r="KS83" s="12">
        <f t="shared" si="257"/>
        <v>0</v>
      </c>
      <c r="KT83" s="12">
        <f t="shared" si="258"/>
        <v>0</v>
      </c>
      <c r="KU83" s="12">
        <f t="shared" si="259"/>
        <v>0</v>
      </c>
      <c r="KV83" s="12">
        <f t="shared" si="260"/>
        <v>0</v>
      </c>
      <c r="KW83" s="12">
        <f t="shared" si="261"/>
        <v>0</v>
      </c>
      <c r="KX83" s="12">
        <f t="shared" si="262"/>
        <v>0</v>
      </c>
      <c r="KY83" s="12">
        <f t="shared" si="263"/>
        <v>0</v>
      </c>
      <c r="KZ83" s="12">
        <f t="shared" si="264"/>
        <v>0</v>
      </c>
      <c r="LA83" s="12">
        <f t="shared" si="265"/>
        <v>0</v>
      </c>
      <c r="LB83" s="12">
        <f t="shared" si="266"/>
        <v>0</v>
      </c>
      <c r="LC83" s="12">
        <f t="shared" si="267"/>
        <v>0</v>
      </c>
      <c r="LD83" s="12">
        <f t="shared" si="268"/>
        <v>0</v>
      </c>
      <c r="LE83" s="12">
        <f t="shared" si="269"/>
        <v>0</v>
      </c>
      <c r="LF83" s="12">
        <f t="shared" si="270"/>
        <v>0</v>
      </c>
      <c r="LG83" s="12">
        <f t="shared" si="271"/>
        <v>0</v>
      </c>
      <c r="LH83" s="12">
        <f t="shared" si="272"/>
        <v>0</v>
      </c>
      <c r="LI83" s="12">
        <f t="shared" si="273"/>
        <v>0</v>
      </c>
      <c r="LJ83" s="12">
        <f t="shared" si="274"/>
        <v>0</v>
      </c>
      <c r="LK83" s="12">
        <f t="shared" si="275"/>
        <v>0</v>
      </c>
      <c r="LL83" s="12">
        <f t="shared" si="276"/>
        <v>0</v>
      </c>
      <c r="LM83" s="12">
        <f t="shared" si="277"/>
        <v>0</v>
      </c>
      <c r="LN83" s="12">
        <f t="shared" si="278"/>
        <v>0</v>
      </c>
      <c r="LO83" s="12">
        <f t="shared" si="279"/>
        <v>0</v>
      </c>
      <c r="LP83" s="12">
        <f t="shared" si="280"/>
        <v>0</v>
      </c>
      <c r="LQ83" s="12">
        <f t="shared" si="281"/>
        <v>0</v>
      </c>
      <c r="LR83" s="12">
        <f t="shared" si="282"/>
        <v>0</v>
      </c>
      <c r="LS83" s="12">
        <f t="shared" si="283"/>
        <v>0</v>
      </c>
      <c r="LT83" s="13">
        <f t="shared" si="284"/>
        <v>0</v>
      </c>
      <c r="LU83" s="13">
        <f t="shared" si="285"/>
        <v>0</v>
      </c>
      <c r="LV83" s="13">
        <f t="shared" si="286"/>
        <v>0</v>
      </c>
      <c r="LW83" s="13">
        <f t="shared" si="287"/>
        <v>0</v>
      </c>
      <c r="LX83" s="13">
        <f t="shared" si="288"/>
        <v>0</v>
      </c>
      <c r="LY83" s="13">
        <f t="shared" si="289"/>
        <v>0</v>
      </c>
      <c r="LZ83" s="13">
        <f t="shared" si="290"/>
        <v>0</v>
      </c>
      <c r="MA83" s="13">
        <f t="shared" si="291"/>
        <v>0</v>
      </c>
      <c r="MB83" s="13">
        <f t="shared" si="292"/>
        <v>0</v>
      </c>
      <c r="MC83" s="13">
        <f t="shared" si="293"/>
        <v>0</v>
      </c>
      <c r="MD83" s="13">
        <f t="shared" si="294"/>
        <v>0</v>
      </c>
      <c r="ME83" s="13">
        <f t="shared" si="295"/>
        <v>0</v>
      </c>
      <c r="MF83" s="13">
        <f t="shared" si="296"/>
        <v>0</v>
      </c>
      <c r="MG83" s="13">
        <f t="shared" si="297"/>
        <v>0</v>
      </c>
      <c r="MH83" s="13">
        <f t="shared" si="298"/>
        <v>0</v>
      </c>
      <c r="MI83" s="13">
        <f t="shared" si="299"/>
        <v>0</v>
      </c>
      <c r="MJ83" s="13">
        <f t="shared" si="300"/>
        <v>0</v>
      </c>
      <c r="MK83" s="13">
        <f t="shared" si="301"/>
        <v>0</v>
      </c>
      <c r="ML83" s="14">
        <f t="shared" si="302"/>
        <v>0</v>
      </c>
      <c r="MM83" s="14">
        <f t="shared" si="303"/>
        <v>0</v>
      </c>
      <c r="MN83" s="14">
        <f t="shared" si="304"/>
        <v>0</v>
      </c>
      <c r="MO83" s="14">
        <f t="shared" si="305"/>
        <v>0</v>
      </c>
      <c r="MP83" s="14">
        <f t="shared" si="306"/>
        <v>0</v>
      </c>
      <c r="MQ83" s="14">
        <f t="shared" si="307"/>
        <v>0</v>
      </c>
      <c r="MR83" s="14">
        <f t="shared" si="308"/>
        <v>0</v>
      </c>
      <c r="MS83" s="14">
        <f t="shared" si="309"/>
        <v>0</v>
      </c>
      <c r="MT83" s="14">
        <f t="shared" si="310"/>
        <v>0</v>
      </c>
      <c r="MU83" s="14">
        <f t="shared" si="311"/>
        <v>0</v>
      </c>
      <c r="MV83" s="14">
        <f t="shared" si="312"/>
        <v>0</v>
      </c>
      <c r="MW83" s="14">
        <f t="shared" si="313"/>
        <v>0</v>
      </c>
      <c r="MX83" s="14">
        <f t="shared" si="314"/>
        <v>0</v>
      </c>
      <c r="MY83" s="14">
        <f t="shared" si="315"/>
        <v>0</v>
      </c>
      <c r="MZ83" s="14">
        <f t="shared" si="316"/>
        <v>0</v>
      </c>
      <c r="NA83" s="14">
        <f t="shared" si="317"/>
        <v>0</v>
      </c>
      <c r="NB83" s="14">
        <f t="shared" si="318"/>
        <v>0</v>
      </c>
    </row>
    <row r="84" ht="15.75" customHeight="1">
      <c r="A84" s="2">
        <v>24.0</v>
      </c>
      <c r="B84" s="2" t="s">
        <v>1816</v>
      </c>
      <c r="C84" s="2" t="s">
        <v>1817</v>
      </c>
      <c r="D84" s="2" t="s">
        <v>1818</v>
      </c>
      <c r="E84" s="2">
        <v>2021.0</v>
      </c>
      <c r="F84" s="2" t="s">
        <v>1819</v>
      </c>
      <c r="G84" s="2" t="s">
        <v>1365</v>
      </c>
      <c r="H84" s="2" t="s">
        <v>392</v>
      </c>
      <c r="I84" s="2" t="s">
        <v>1820</v>
      </c>
      <c r="M84" s="2">
        <v>13.0</v>
      </c>
      <c r="N84" s="2" t="s">
        <v>1821</v>
      </c>
      <c r="O84" s="2" t="s">
        <v>1822</v>
      </c>
      <c r="P84" s="2" t="s">
        <v>1823</v>
      </c>
      <c r="Q84" s="2" t="s">
        <v>1824</v>
      </c>
      <c r="R84" s="2" t="s">
        <v>1825</v>
      </c>
      <c r="S84" s="2" t="s">
        <v>1826</v>
      </c>
      <c r="T84" s="2" t="s">
        <v>1827</v>
      </c>
      <c r="Y84" s="2" t="s">
        <v>1828</v>
      </c>
      <c r="AB84" s="2" t="s">
        <v>1829</v>
      </c>
      <c r="AG84" s="2" t="s">
        <v>1830</v>
      </c>
      <c r="AJ84" s="2">
        <v>3.4391424E7</v>
      </c>
      <c r="AK84" s="2" t="s">
        <v>1831</v>
      </c>
      <c r="AL84" s="2" t="s">
        <v>384</v>
      </c>
      <c r="AM84" s="2" t="s">
        <v>484</v>
      </c>
      <c r="AN84" s="2" t="s">
        <v>386</v>
      </c>
      <c r="AO84" s="2" t="s">
        <v>1832</v>
      </c>
      <c r="AP84" s="2" t="s">
        <v>386</v>
      </c>
      <c r="AQ84" s="2">
        <v>51.0</v>
      </c>
      <c r="AR84" s="2" t="s">
        <v>1833</v>
      </c>
      <c r="AS84" s="2" t="b">
        <v>1</v>
      </c>
      <c r="AT84" s="3">
        <v>0.0</v>
      </c>
      <c r="AU84" s="4"/>
      <c r="AV84" s="4">
        <v>1.0</v>
      </c>
      <c r="AW84" s="5">
        <f t="shared" si="432"/>
        <v>0</v>
      </c>
      <c r="AX84" s="5">
        <f t="shared" si="4"/>
        <v>0</v>
      </c>
      <c r="AY84" s="5">
        <f t="shared" si="5"/>
        <v>0</v>
      </c>
      <c r="AZ84" s="5">
        <f t="shared" si="6"/>
        <v>0</v>
      </c>
      <c r="BA84" s="5">
        <f t="shared" si="7"/>
        <v>0</v>
      </c>
      <c r="BB84" s="5">
        <f t="shared" si="8"/>
        <v>0</v>
      </c>
      <c r="BC84" s="5">
        <f t="shared" si="9"/>
        <v>0</v>
      </c>
      <c r="BD84" s="5">
        <f t="shared" si="10"/>
        <v>0</v>
      </c>
      <c r="BE84" s="5">
        <f t="shared" si="11"/>
        <v>0</v>
      </c>
      <c r="BF84" s="5">
        <f t="shared" si="12"/>
        <v>0</v>
      </c>
      <c r="BG84" s="5">
        <f t="shared" si="13"/>
        <v>0</v>
      </c>
      <c r="BH84" s="5">
        <f t="shared" si="14"/>
        <v>0</v>
      </c>
      <c r="BI84" s="5">
        <f t="shared" si="15"/>
        <v>0</v>
      </c>
      <c r="BJ84" s="5">
        <f t="shared" si="16"/>
        <v>0</v>
      </c>
      <c r="BK84" s="5">
        <f t="shared" si="17"/>
        <v>0</v>
      </c>
      <c r="BL84" s="5">
        <f t="shared" si="18"/>
        <v>0</v>
      </c>
      <c r="BM84" s="5">
        <f t="shared" si="19"/>
        <v>0</v>
      </c>
      <c r="BN84" s="5">
        <f t="shared" si="20"/>
        <v>0</v>
      </c>
      <c r="BO84" s="5">
        <f t="shared" si="21"/>
        <v>0</v>
      </c>
      <c r="BP84" s="5">
        <f t="shared" si="22"/>
        <v>0</v>
      </c>
      <c r="BQ84" s="5">
        <f t="shared" si="23"/>
        <v>0</v>
      </c>
      <c r="BR84" s="5">
        <f t="shared" si="24"/>
        <v>0</v>
      </c>
      <c r="BS84" s="5">
        <f t="shared" si="25"/>
        <v>0</v>
      </c>
      <c r="BT84" s="5">
        <f t="shared" si="26"/>
        <v>0</v>
      </c>
      <c r="BU84" s="5">
        <f t="shared" si="27"/>
        <v>0</v>
      </c>
      <c r="BV84" s="5">
        <f t="shared" ref="BV84:BW84" si="502">IF(OR(ISNUMBER(SEARCH("grit",$D84)),ISNUMBER(SEARCH("grit",$T84)),ISNUMBER(SEARCH("grit",$R84)),ISNUMBER(SEARCH("grit",$S84)),
ISNUMBER(SEARCH("determination",$D84)),ISNUMBER(SEARCH("determination",$T84)),ISNUMBER(SEARCH("determination",$R84)),ISNUMBER(SEARCH("determination",$S84)),
ISNUMBER(SEARCH("tenacity",$D84)),ISNUMBER(SEARCH("tenacity",$T84)),ISNUMBER(SEARCH("tenacity",$R84)),ISNUMBER(SEARCH("tenacity",$S84)),
ISNUMBER(SEARCH("endurance",$D84)),ISNUMBER(SEARCH("endurance",$T84)),ISNUMBER(SEARCH("endurance",$R84)),ISNUMBER(SEARCH("endurance",$S84)),
ISNUMBER(SEARCH("fortitude",$D84)),ISNUMBER(SEARCH("fortitude",$T84)),ISNUMBER(SEARCH("fortitude",$R84)),ISNUMBER(SEARCH("fortitude",$S84)),
ISNUMBER(SEARCH("resolve",$D84)),ISNUMBER(SEARCH("resolve",$T84)),ISNUMBER(SEARCH("resolve",$R84)),ISNUMBER(SEARCH("resolve",$S84)),
ISNUMBER(SEARCH("stamina",$D84)),ISNUMBER(SEARCH("stamina",$T84)),ISNUMBER(SEARCH("stamina",$R84)),ISNUMBER(SEARCH("stamina",$S84)),
ISNUMBER(SEARCH("guts",$D84)),ISNUMBER(SEARCH("guts",$T84)),ISNUMBER(SEARCH("guts",$R84)),ISNUMBER(SEARCH("guts",$S84)),
ISNUMBER(SEARCH("spunk",$D84)),ISNUMBER(SEARCH("spunk",$T84)),ISNUMBER(SEARCH("spunk",$R84)),ISNUMBER(SEARCH("spunk",$S84))), 1, 0)</f>
        <v>0</v>
      </c>
      <c r="BW84" s="5">
        <f t="shared" si="502"/>
        <v>0</v>
      </c>
      <c r="BX84" s="5">
        <f t="shared" si="29"/>
        <v>0</v>
      </c>
      <c r="BY84" s="5">
        <f t="shared" si="30"/>
        <v>0</v>
      </c>
      <c r="BZ84" s="5">
        <f t="shared" si="31"/>
        <v>0</v>
      </c>
      <c r="CA84" s="5">
        <f t="shared" si="32"/>
        <v>0</v>
      </c>
      <c r="CB84" s="5">
        <f t="shared" si="33"/>
        <v>0</v>
      </c>
      <c r="CC84" s="5">
        <f t="shared" si="34"/>
        <v>0</v>
      </c>
      <c r="CD84" s="5">
        <f t="shared" si="35"/>
        <v>0</v>
      </c>
      <c r="CE84" s="5">
        <f t="shared" si="36"/>
        <v>0</v>
      </c>
      <c r="CF84" s="5">
        <f t="shared" si="37"/>
        <v>0</v>
      </c>
      <c r="CG84" s="5">
        <f t="shared" si="38"/>
        <v>1</v>
      </c>
      <c r="CH84" s="5">
        <f t="shared" si="39"/>
        <v>0</v>
      </c>
      <c r="CI84" s="5">
        <f t="shared" si="40"/>
        <v>0</v>
      </c>
      <c r="CJ84" s="5">
        <f t="shared" si="41"/>
        <v>0</v>
      </c>
      <c r="CK84" s="5">
        <f t="shared" si="42"/>
        <v>0</v>
      </c>
      <c r="CL84" s="5">
        <f t="shared" si="43"/>
        <v>0</v>
      </c>
      <c r="CM84" s="5">
        <f t="shared" si="44"/>
        <v>0</v>
      </c>
      <c r="CN84" s="5">
        <f t="shared" si="45"/>
        <v>0</v>
      </c>
      <c r="CO84" s="5">
        <f t="shared" si="46"/>
        <v>0</v>
      </c>
      <c r="CP84" s="6">
        <f t="shared" si="47"/>
        <v>0</v>
      </c>
      <c r="CQ84" s="6">
        <f t="shared" si="48"/>
        <v>0</v>
      </c>
      <c r="CR84" s="6">
        <f t="shared" si="49"/>
        <v>0</v>
      </c>
      <c r="CS84" s="6">
        <f t="shared" si="50"/>
        <v>0</v>
      </c>
      <c r="CT84" s="6">
        <v>0.0</v>
      </c>
      <c r="CU84" s="6">
        <f t="shared" si="52"/>
        <v>0</v>
      </c>
      <c r="CV84" s="6">
        <f t="shared" si="53"/>
        <v>0</v>
      </c>
      <c r="CW84" s="6">
        <f t="shared" si="54"/>
        <v>0</v>
      </c>
      <c r="CX84" s="6">
        <f t="shared" si="55"/>
        <v>0</v>
      </c>
      <c r="CY84" s="6">
        <f t="shared" si="56"/>
        <v>0</v>
      </c>
      <c r="CZ84" s="6">
        <f t="shared" si="57"/>
        <v>0</v>
      </c>
      <c r="DA84" s="6">
        <f t="shared" si="58"/>
        <v>0</v>
      </c>
      <c r="DB84" s="6">
        <f t="shared" si="59"/>
        <v>0</v>
      </c>
      <c r="DC84" s="6">
        <f t="shared" si="60"/>
        <v>0</v>
      </c>
      <c r="DD84" s="6">
        <f t="shared" si="61"/>
        <v>0</v>
      </c>
      <c r="DE84" s="6">
        <f t="shared" si="62"/>
        <v>0</v>
      </c>
      <c r="DF84" s="6">
        <f t="shared" si="63"/>
        <v>0</v>
      </c>
      <c r="DG84" s="6">
        <f t="shared" si="64"/>
        <v>0</v>
      </c>
      <c r="DH84" s="6">
        <f>IF(
OR(
ISNUMBER(SEARCH("Spirituality",$D84)),ISNUMBER(SEARCH("Spirituality",$T84)),ISNUMBER(SEARCH("Spirituality",$R82)),ISNUMBER(SEARCH("Spirituality",$S84)),
ISNUMBER(SEARCH("religiosity",$D84)),ISNUMBER(SEARCH("religiosity",$T84)),ISNUMBER(SEARCH("religiosity",$R84)),ISNUMBER(SEARCH("religiosity",$S84))), 1, 0)</f>
        <v>0</v>
      </c>
      <c r="DI84" s="6">
        <f t="shared" si="66"/>
        <v>0</v>
      </c>
      <c r="DJ84" s="6">
        <f>IF(OR(ISNUMBER(SEARCH("Emotional Balance", $D84)), ISNUMBER(SEARCH("Emotional Balance", $T84)), ISNUMBER(SEARCH("Emotional Balance", $R84)), ISNUMBER(SEARCH("Emotional Balance", $S84))), 1, 0)</f>
        <v>0</v>
      </c>
      <c r="DK84" s="7">
        <f t="shared" si="68"/>
        <v>0</v>
      </c>
      <c r="DL84" s="7">
        <f t="shared" si="498"/>
        <v>0</v>
      </c>
      <c r="DM84" s="7">
        <f t="shared" si="70"/>
        <v>0</v>
      </c>
      <c r="DN84" s="7">
        <f t="shared" si="71"/>
        <v>0</v>
      </c>
      <c r="DO84" s="7">
        <f t="shared" si="72"/>
        <v>0</v>
      </c>
      <c r="DP84" s="8">
        <f t="shared" si="73"/>
        <v>0</v>
      </c>
      <c r="DQ84" s="8">
        <f t="shared" si="74"/>
        <v>1</v>
      </c>
      <c r="DR84" s="7">
        <f t="shared" si="75"/>
        <v>0</v>
      </c>
      <c r="DS84" s="7">
        <f t="shared" si="76"/>
        <v>0</v>
      </c>
      <c r="DT84" s="7">
        <f t="shared" si="77"/>
        <v>0</v>
      </c>
      <c r="DU84" s="9">
        <f t="shared" si="78"/>
        <v>0</v>
      </c>
      <c r="DV84" s="9">
        <f t="shared" si="79"/>
        <v>0</v>
      </c>
      <c r="DW84" s="9">
        <f t="shared" si="80"/>
        <v>0</v>
      </c>
      <c r="DX84" s="9">
        <f t="shared" si="81"/>
        <v>0</v>
      </c>
      <c r="DY84" s="9">
        <f t="shared" si="82"/>
        <v>0</v>
      </c>
      <c r="DZ84" s="9">
        <f t="shared" si="83"/>
        <v>0</v>
      </c>
      <c r="EA84" s="9">
        <f t="shared" si="84"/>
        <v>0</v>
      </c>
      <c r="EB84" s="9">
        <f t="shared" si="85"/>
        <v>0</v>
      </c>
      <c r="EC84" s="9">
        <f t="shared" si="86"/>
        <v>0</v>
      </c>
      <c r="ED84" s="9">
        <f t="shared" si="87"/>
        <v>0</v>
      </c>
      <c r="EE84" s="9">
        <f t="shared" si="88"/>
        <v>0</v>
      </c>
      <c r="EF84" s="9">
        <f t="shared" si="89"/>
        <v>0</v>
      </c>
      <c r="EG84" s="9">
        <f t="shared" si="90"/>
        <v>0</v>
      </c>
      <c r="EH84" s="9">
        <f t="shared" si="91"/>
        <v>0</v>
      </c>
      <c r="EI84" s="9">
        <f t="shared" si="92"/>
        <v>0</v>
      </c>
      <c r="EJ84" s="10">
        <f t="shared" si="93"/>
        <v>0</v>
      </c>
      <c r="EK84" s="10">
        <f t="shared" si="94"/>
        <v>0</v>
      </c>
      <c r="EL84" s="10">
        <f t="shared" ref="EL84:EM84" si="503">IF(OR(ISNUMBER(SEARCH("ai software toolkit", $D84)), ISNUMBER(SEARCH("ai software toolkit", $T84)), ISNUMBER(SEARCH("ai software toolkit", $R84)), ISNUMBER(SEARCH("ai software toolkit", $S84))), 1, 0)</f>
        <v>0</v>
      </c>
      <c r="EM84" s="10">
        <f t="shared" si="503"/>
        <v>0</v>
      </c>
      <c r="EN84" s="10">
        <f t="shared" si="96"/>
        <v>0</v>
      </c>
      <c r="EO84" s="10">
        <f t="shared" si="97"/>
        <v>0</v>
      </c>
      <c r="EP84" s="10">
        <f t="shared" si="98"/>
        <v>0</v>
      </c>
      <c r="EQ84" s="10">
        <f t="shared" si="99"/>
        <v>0</v>
      </c>
      <c r="ER84" s="10">
        <f t="shared" si="100"/>
        <v>0</v>
      </c>
      <c r="ES84" s="10">
        <f t="shared" si="101"/>
        <v>0</v>
      </c>
      <c r="ET84" s="10">
        <f t="shared" si="102"/>
        <v>0</v>
      </c>
      <c r="EU84" s="10">
        <f t="shared" si="103"/>
        <v>0</v>
      </c>
      <c r="EV84" s="10">
        <f t="shared" si="104"/>
        <v>0</v>
      </c>
      <c r="EW84" s="10">
        <f t="shared" si="105"/>
        <v>0</v>
      </c>
      <c r="EX84" s="10">
        <f t="shared" si="106"/>
        <v>0</v>
      </c>
      <c r="EY84" s="10">
        <f t="shared" si="107"/>
        <v>0</v>
      </c>
      <c r="EZ84" s="10">
        <f t="shared" si="108"/>
        <v>0</v>
      </c>
      <c r="FA84" s="10">
        <f t="shared" si="109"/>
        <v>0</v>
      </c>
      <c r="FB84" s="10">
        <f t="shared" si="110"/>
        <v>0</v>
      </c>
      <c r="FC84" s="10">
        <f t="shared" si="111"/>
        <v>0</v>
      </c>
      <c r="FD84" s="10">
        <f t="shared" si="112"/>
        <v>0</v>
      </c>
      <c r="FE84" s="10">
        <f t="shared" si="113"/>
        <v>0</v>
      </c>
      <c r="FF84" s="10">
        <f t="shared" si="114"/>
        <v>0</v>
      </c>
      <c r="FG84" s="10">
        <f t="shared" si="115"/>
        <v>0</v>
      </c>
      <c r="FH84" s="10">
        <f t="shared" si="116"/>
        <v>0</v>
      </c>
      <c r="FI84" s="10">
        <f t="shared" si="117"/>
        <v>0</v>
      </c>
      <c r="FJ84" s="10">
        <f t="shared" si="118"/>
        <v>0</v>
      </c>
      <c r="FK84" s="10">
        <f t="shared" si="119"/>
        <v>0</v>
      </c>
      <c r="FL84" s="10">
        <f t="shared" si="120"/>
        <v>0</v>
      </c>
      <c r="FM84" s="10">
        <f t="shared" si="121"/>
        <v>0</v>
      </c>
      <c r="FN84" s="10">
        <f t="shared" si="122"/>
        <v>0</v>
      </c>
      <c r="FO84" s="10">
        <f t="shared" si="123"/>
        <v>0</v>
      </c>
      <c r="FP84" s="10">
        <f t="shared" si="124"/>
        <v>0</v>
      </c>
      <c r="FQ84" s="10">
        <f t="shared" si="125"/>
        <v>0</v>
      </c>
      <c r="FR84" s="11">
        <f t="shared" ref="FR84:FR94" si="506">IF(
OR(
ISNUMBER(SEARCH("chatbot",$D84)),ISNUMBER(SEARCH("chatbot",$T84)),ISNUMBER(SEARCH("chatbot",#REF!)),ISNUMBER(SEARCH("chatbot",$S84)),
ISNUMBER(SEARCH("virtual assistance",$D84)),ISNUMBER(SEARCH("virtual assistance",$T84)),ISNUMBER(SEARCH("virtual assistance",$R84)),ISNUMBER(SEARCH("virtual assistance",$S84))), 1, 0)</f>
        <v>0</v>
      </c>
      <c r="FS84" s="11">
        <f t="shared" si="127"/>
        <v>0</v>
      </c>
      <c r="FT84" s="11">
        <f t="shared" si="128"/>
        <v>0</v>
      </c>
      <c r="FU84" s="11">
        <f t="shared" si="129"/>
        <v>0</v>
      </c>
      <c r="FV84" s="11">
        <f t="shared" si="130"/>
        <v>0</v>
      </c>
      <c r="FW84" s="11">
        <f t="shared" si="131"/>
        <v>0</v>
      </c>
      <c r="FX84" s="11">
        <f t="shared" si="132"/>
        <v>0</v>
      </c>
      <c r="FY84" s="11">
        <f t="shared" si="133"/>
        <v>0</v>
      </c>
      <c r="FZ84" s="11">
        <f t="shared" si="134"/>
        <v>0</v>
      </c>
      <c r="GA84" s="11">
        <f t="shared" si="135"/>
        <v>0</v>
      </c>
      <c r="GB84" s="11">
        <f t="shared" si="136"/>
        <v>0</v>
      </c>
      <c r="GC84" s="11">
        <f t="shared" si="137"/>
        <v>0</v>
      </c>
      <c r="GD84" s="11">
        <f t="shared" si="138"/>
        <v>0</v>
      </c>
      <c r="GE84" s="11">
        <f t="shared" si="139"/>
        <v>0</v>
      </c>
      <c r="GF84" s="11">
        <f t="shared" si="140"/>
        <v>0</v>
      </c>
      <c r="GG84" s="11">
        <f t="shared" si="141"/>
        <v>0</v>
      </c>
      <c r="GH84" s="11">
        <f t="shared" si="142"/>
        <v>0</v>
      </c>
      <c r="GI84" s="11">
        <f t="shared" si="143"/>
        <v>0</v>
      </c>
      <c r="GJ84" s="11">
        <f t="shared" si="144"/>
        <v>0</v>
      </c>
      <c r="GK84" s="11">
        <f t="shared" si="145"/>
        <v>0</v>
      </c>
      <c r="GL84" s="11">
        <f t="shared" si="146"/>
        <v>0</v>
      </c>
      <c r="GM84" s="11">
        <f t="shared" si="147"/>
        <v>0</v>
      </c>
      <c r="GN84" s="11">
        <f t="shared" si="148"/>
        <v>0</v>
      </c>
      <c r="GO84" s="11">
        <f t="shared" si="149"/>
        <v>0</v>
      </c>
      <c r="GP84" s="11">
        <f t="shared" si="150"/>
        <v>0</v>
      </c>
      <c r="GQ84" s="11">
        <f t="shared" si="151"/>
        <v>0</v>
      </c>
      <c r="GR84" s="11">
        <f t="shared" si="152"/>
        <v>0</v>
      </c>
      <c r="GS84" s="11">
        <f t="shared" si="153"/>
        <v>0</v>
      </c>
      <c r="GT84" s="11">
        <f t="shared" si="154"/>
        <v>0</v>
      </c>
      <c r="GU84" s="12">
        <f t="shared" si="155"/>
        <v>0</v>
      </c>
      <c r="GV84" s="12">
        <f t="shared" si="156"/>
        <v>0</v>
      </c>
      <c r="GW84" s="12">
        <f t="shared" si="157"/>
        <v>0</v>
      </c>
      <c r="GX84" s="12">
        <f t="shared" si="158"/>
        <v>0</v>
      </c>
      <c r="GY84" s="12">
        <f t="shared" si="159"/>
        <v>0</v>
      </c>
      <c r="GZ84" s="12">
        <f t="shared" si="160"/>
        <v>0</v>
      </c>
      <c r="HA84" s="12">
        <f t="shared" si="161"/>
        <v>0</v>
      </c>
      <c r="HB84" s="12">
        <f t="shared" si="162"/>
        <v>0</v>
      </c>
      <c r="HC84" s="12">
        <f t="shared" si="163"/>
        <v>0</v>
      </c>
      <c r="HD84" s="12">
        <f t="shared" si="164"/>
        <v>0</v>
      </c>
      <c r="HE84" s="12">
        <f t="shared" si="165"/>
        <v>0</v>
      </c>
      <c r="HF84" s="12">
        <f t="shared" si="166"/>
        <v>0</v>
      </c>
      <c r="HG84" s="12">
        <f t="shared" si="167"/>
        <v>0</v>
      </c>
      <c r="HH84" s="12">
        <f t="shared" si="168"/>
        <v>0</v>
      </c>
      <c r="HI84" s="12">
        <f t="shared" si="169"/>
        <v>0</v>
      </c>
      <c r="HJ84" s="12">
        <f t="shared" si="170"/>
        <v>0</v>
      </c>
      <c r="HK84" s="12">
        <f t="shared" si="171"/>
        <v>0</v>
      </c>
      <c r="HL84" s="12">
        <f t="shared" si="172"/>
        <v>0</v>
      </c>
      <c r="HM84" s="12">
        <f t="shared" si="173"/>
        <v>0</v>
      </c>
      <c r="HN84" s="12">
        <f t="shared" si="174"/>
        <v>0</v>
      </c>
      <c r="HO84" s="12">
        <f t="shared" si="175"/>
        <v>0</v>
      </c>
      <c r="HP84" s="12">
        <f t="shared" si="176"/>
        <v>0</v>
      </c>
      <c r="HQ84" s="12">
        <f t="shared" si="177"/>
        <v>0</v>
      </c>
      <c r="HR84" s="12">
        <f t="shared" si="178"/>
        <v>0</v>
      </c>
      <c r="HS84" s="12">
        <f t="shared" si="179"/>
        <v>0</v>
      </c>
      <c r="HT84" s="12">
        <f t="shared" si="180"/>
        <v>0</v>
      </c>
      <c r="HU84" s="12">
        <f t="shared" si="181"/>
        <v>0</v>
      </c>
      <c r="HV84" s="12">
        <f t="shared" si="182"/>
        <v>0</v>
      </c>
      <c r="HW84" s="12">
        <f t="shared" si="183"/>
        <v>0</v>
      </c>
      <c r="HX84" s="12">
        <f t="shared" si="184"/>
        <v>0</v>
      </c>
      <c r="HY84" s="12">
        <f t="shared" si="185"/>
        <v>0</v>
      </c>
      <c r="HZ84" s="12">
        <f t="shared" si="186"/>
        <v>0</v>
      </c>
      <c r="IA84" s="12">
        <f t="shared" si="187"/>
        <v>0</v>
      </c>
      <c r="IB84" s="12">
        <f t="shared" si="188"/>
        <v>0</v>
      </c>
      <c r="IC84" s="12">
        <f t="shared" si="189"/>
        <v>0</v>
      </c>
      <c r="ID84" s="12">
        <f t="shared" si="190"/>
        <v>0</v>
      </c>
      <c r="IE84" s="12">
        <f t="shared" si="191"/>
        <v>0</v>
      </c>
      <c r="IF84" s="12">
        <f t="shared" si="192"/>
        <v>0</v>
      </c>
      <c r="IG84" s="12">
        <f t="shared" si="193"/>
        <v>0</v>
      </c>
      <c r="IH84" s="12">
        <f t="shared" si="194"/>
        <v>0</v>
      </c>
      <c r="II84" s="12">
        <f t="shared" si="195"/>
        <v>0</v>
      </c>
      <c r="IJ84" s="12">
        <f t="shared" si="196"/>
        <v>0</v>
      </c>
      <c r="IK84" s="12">
        <f t="shared" si="197"/>
        <v>0</v>
      </c>
      <c r="IL84" s="12">
        <f t="shared" si="198"/>
        <v>0</v>
      </c>
      <c r="IM84" s="12">
        <f t="shared" si="199"/>
        <v>0</v>
      </c>
      <c r="IN84" s="12">
        <f t="shared" si="200"/>
        <v>0</v>
      </c>
      <c r="IO84" s="12">
        <f t="shared" si="201"/>
        <v>0</v>
      </c>
      <c r="IP84" s="12">
        <f t="shared" si="202"/>
        <v>0</v>
      </c>
      <c r="IQ84" s="12">
        <f t="shared" si="203"/>
        <v>0</v>
      </c>
      <c r="IR84" s="12">
        <f t="shared" si="204"/>
        <v>0</v>
      </c>
      <c r="IS84" s="12">
        <f t="shared" si="205"/>
        <v>0</v>
      </c>
      <c r="IT84" s="12">
        <f t="shared" si="206"/>
        <v>0</v>
      </c>
      <c r="IU84" s="12">
        <f t="shared" si="207"/>
        <v>0</v>
      </c>
      <c r="IV84" s="12">
        <f t="shared" si="208"/>
        <v>0</v>
      </c>
      <c r="IW84" s="12">
        <f t="shared" si="209"/>
        <v>0</v>
      </c>
      <c r="IX84" s="12">
        <f t="shared" si="210"/>
        <v>0</v>
      </c>
      <c r="IY84" s="12">
        <f t="shared" si="211"/>
        <v>0</v>
      </c>
      <c r="IZ84" s="12">
        <f t="shared" si="212"/>
        <v>1</v>
      </c>
      <c r="JA84" s="13">
        <f t="shared" si="213"/>
        <v>0</v>
      </c>
      <c r="JB84" s="13">
        <f t="shared" si="214"/>
        <v>0</v>
      </c>
      <c r="JC84" s="13">
        <f t="shared" si="215"/>
        <v>0</v>
      </c>
      <c r="JD84" s="13">
        <f t="shared" si="216"/>
        <v>0</v>
      </c>
      <c r="JE84" s="13">
        <f t="shared" si="217"/>
        <v>0</v>
      </c>
      <c r="JF84" s="13">
        <f t="shared" si="218"/>
        <v>0</v>
      </c>
      <c r="JG84" s="13">
        <f t="shared" si="219"/>
        <v>0</v>
      </c>
      <c r="JH84" s="13">
        <f t="shared" si="220"/>
        <v>0</v>
      </c>
      <c r="JI84" s="13">
        <f t="shared" si="221"/>
        <v>0</v>
      </c>
      <c r="JJ84" s="13">
        <f t="shared" si="222"/>
        <v>0</v>
      </c>
      <c r="JK84" s="13">
        <f t="shared" si="223"/>
        <v>0</v>
      </c>
      <c r="JL84" s="13">
        <f t="shared" si="224"/>
        <v>0</v>
      </c>
      <c r="JM84" s="13">
        <f t="shared" si="225"/>
        <v>0</v>
      </c>
      <c r="JN84" s="13">
        <f t="shared" si="226"/>
        <v>0</v>
      </c>
      <c r="JO84" s="13">
        <f t="shared" si="227"/>
        <v>0</v>
      </c>
      <c r="JP84" s="13">
        <f t="shared" si="228"/>
        <v>0</v>
      </c>
      <c r="JQ84" s="13">
        <f t="shared" si="229"/>
        <v>0</v>
      </c>
      <c r="JR84" s="13">
        <f t="shared" si="230"/>
        <v>0</v>
      </c>
      <c r="JS84" s="13">
        <f t="shared" si="231"/>
        <v>0</v>
      </c>
      <c r="JT84" s="13">
        <f t="shared" si="232"/>
        <v>0</v>
      </c>
      <c r="JU84" s="13">
        <f t="shared" si="233"/>
        <v>0</v>
      </c>
      <c r="JV84" s="12">
        <f t="shared" si="234"/>
        <v>0</v>
      </c>
      <c r="JW84" s="12">
        <f t="shared" si="235"/>
        <v>0</v>
      </c>
      <c r="JX84" s="12">
        <f t="shared" si="236"/>
        <v>0</v>
      </c>
      <c r="JY84" s="12">
        <f t="shared" si="237"/>
        <v>0</v>
      </c>
      <c r="JZ84" s="12">
        <f t="shared" si="238"/>
        <v>0</v>
      </c>
      <c r="KA84" s="12">
        <f t="shared" si="239"/>
        <v>0</v>
      </c>
      <c r="KB84" s="12">
        <f t="shared" si="240"/>
        <v>0</v>
      </c>
      <c r="KC84" s="12">
        <f t="shared" si="241"/>
        <v>0</v>
      </c>
      <c r="KD84" s="12">
        <f t="shared" si="242"/>
        <v>0</v>
      </c>
      <c r="KE84" s="12">
        <f t="shared" si="243"/>
        <v>0</v>
      </c>
      <c r="KF84" s="12">
        <f t="shared" si="244"/>
        <v>0</v>
      </c>
      <c r="KG84" s="12">
        <f t="shared" si="245"/>
        <v>0</v>
      </c>
      <c r="KH84" s="12">
        <f t="shared" si="246"/>
        <v>0</v>
      </c>
      <c r="KI84" s="12">
        <f t="shared" si="247"/>
        <v>0</v>
      </c>
      <c r="KJ84" s="12">
        <f t="shared" si="248"/>
        <v>0</v>
      </c>
      <c r="KK84" s="12">
        <f t="shared" si="249"/>
        <v>0</v>
      </c>
      <c r="KL84" s="12">
        <f t="shared" si="250"/>
        <v>0</v>
      </c>
      <c r="KM84" s="12">
        <f t="shared" si="251"/>
        <v>0</v>
      </c>
      <c r="KN84" s="12">
        <f t="shared" si="252"/>
        <v>0</v>
      </c>
      <c r="KO84" s="12">
        <f t="shared" si="253"/>
        <v>0</v>
      </c>
      <c r="KP84" s="12">
        <f t="shared" si="254"/>
        <v>0</v>
      </c>
      <c r="KQ84" s="12">
        <f t="shared" si="255"/>
        <v>0</v>
      </c>
      <c r="KR84" s="12">
        <f t="shared" si="256"/>
        <v>0</v>
      </c>
      <c r="KS84" s="12">
        <f t="shared" si="257"/>
        <v>0</v>
      </c>
      <c r="KT84" s="12">
        <f t="shared" si="258"/>
        <v>0</v>
      </c>
      <c r="KU84" s="12">
        <f t="shared" si="259"/>
        <v>0</v>
      </c>
      <c r="KV84" s="12">
        <f t="shared" si="260"/>
        <v>0</v>
      </c>
      <c r="KW84" s="12">
        <f t="shared" si="261"/>
        <v>0</v>
      </c>
      <c r="KX84" s="12">
        <f t="shared" si="262"/>
        <v>0</v>
      </c>
      <c r="KY84" s="12">
        <f t="shared" si="263"/>
        <v>0</v>
      </c>
      <c r="KZ84" s="12">
        <f t="shared" si="264"/>
        <v>0</v>
      </c>
      <c r="LA84" s="12">
        <f t="shared" si="265"/>
        <v>0</v>
      </c>
      <c r="LB84" s="12">
        <f t="shared" si="266"/>
        <v>0</v>
      </c>
      <c r="LC84" s="12">
        <f t="shared" si="267"/>
        <v>0</v>
      </c>
      <c r="LD84" s="12">
        <f t="shared" si="268"/>
        <v>0</v>
      </c>
      <c r="LE84" s="12">
        <f t="shared" si="269"/>
        <v>0</v>
      </c>
      <c r="LF84" s="12">
        <f t="shared" si="270"/>
        <v>0</v>
      </c>
      <c r="LG84" s="12">
        <f t="shared" si="271"/>
        <v>0</v>
      </c>
      <c r="LH84" s="12">
        <f t="shared" si="272"/>
        <v>0</v>
      </c>
      <c r="LI84" s="12">
        <f t="shared" si="273"/>
        <v>0</v>
      </c>
      <c r="LJ84" s="12">
        <f t="shared" si="274"/>
        <v>0</v>
      </c>
      <c r="LK84" s="12">
        <f t="shared" si="275"/>
        <v>0</v>
      </c>
      <c r="LL84" s="12">
        <f t="shared" si="276"/>
        <v>0</v>
      </c>
      <c r="LM84" s="12">
        <f t="shared" si="277"/>
        <v>0</v>
      </c>
      <c r="LN84" s="12">
        <f t="shared" si="278"/>
        <v>0</v>
      </c>
      <c r="LO84" s="12">
        <f t="shared" si="279"/>
        <v>0</v>
      </c>
      <c r="LP84" s="12">
        <f t="shared" si="280"/>
        <v>0</v>
      </c>
      <c r="LQ84" s="12">
        <f t="shared" si="281"/>
        <v>0</v>
      </c>
      <c r="LR84" s="12">
        <f t="shared" si="282"/>
        <v>0</v>
      </c>
      <c r="LS84" s="12">
        <f t="shared" si="283"/>
        <v>0</v>
      </c>
      <c r="LT84" s="13">
        <f t="shared" si="284"/>
        <v>0</v>
      </c>
      <c r="LU84" s="13">
        <f t="shared" si="285"/>
        <v>0</v>
      </c>
      <c r="LV84" s="13">
        <f t="shared" si="286"/>
        <v>0</v>
      </c>
      <c r="LW84" s="13">
        <f t="shared" si="287"/>
        <v>0</v>
      </c>
      <c r="LX84" s="13">
        <f t="shared" si="288"/>
        <v>0</v>
      </c>
      <c r="LY84" s="13">
        <f t="shared" si="289"/>
        <v>0</v>
      </c>
      <c r="LZ84" s="13">
        <f t="shared" si="290"/>
        <v>0</v>
      </c>
      <c r="MA84" s="13">
        <f t="shared" si="291"/>
        <v>0</v>
      </c>
      <c r="MB84" s="13">
        <f t="shared" si="292"/>
        <v>0</v>
      </c>
      <c r="MC84" s="13">
        <f t="shared" si="293"/>
        <v>0</v>
      </c>
      <c r="MD84" s="13">
        <f t="shared" si="294"/>
        <v>0</v>
      </c>
      <c r="ME84" s="13">
        <f t="shared" si="295"/>
        <v>0</v>
      </c>
      <c r="MF84" s="13">
        <f t="shared" si="296"/>
        <v>0</v>
      </c>
      <c r="MG84" s="13">
        <f t="shared" si="297"/>
        <v>0</v>
      </c>
      <c r="MH84" s="13">
        <f t="shared" si="298"/>
        <v>0</v>
      </c>
      <c r="MI84" s="13">
        <f t="shared" si="299"/>
        <v>0</v>
      </c>
      <c r="MJ84" s="13">
        <f t="shared" si="300"/>
        <v>0</v>
      </c>
      <c r="MK84" s="13">
        <f t="shared" si="301"/>
        <v>0</v>
      </c>
      <c r="ML84" s="14">
        <f t="shared" si="302"/>
        <v>0</v>
      </c>
      <c r="MM84" s="14">
        <f t="shared" si="303"/>
        <v>0</v>
      </c>
      <c r="MN84" s="14">
        <f t="shared" si="304"/>
        <v>0</v>
      </c>
      <c r="MO84" s="14">
        <f t="shared" si="305"/>
        <v>0</v>
      </c>
      <c r="MP84" s="14">
        <f t="shared" si="306"/>
        <v>0</v>
      </c>
      <c r="MQ84" s="14">
        <f t="shared" si="307"/>
        <v>0</v>
      </c>
      <c r="MR84" s="14">
        <f t="shared" si="308"/>
        <v>0</v>
      </c>
      <c r="MS84" s="14">
        <f t="shared" si="309"/>
        <v>0</v>
      </c>
      <c r="MT84" s="14">
        <f t="shared" si="310"/>
        <v>0</v>
      </c>
      <c r="MU84" s="14">
        <f t="shared" si="311"/>
        <v>0</v>
      </c>
      <c r="MV84" s="14">
        <f t="shared" si="312"/>
        <v>0</v>
      </c>
      <c r="MW84" s="14">
        <f t="shared" si="313"/>
        <v>0</v>
      </c>
      <c r="MX84" s="14">
        <f t="shared" si="314"/>
        <v>0</v>
      </c>
      <c r="MY84" s="14">
        <f t="shared" si="315"/>
        <v>0</v>
      </c>
      <c r="MZ84" s="14">
        <f t="shared" si="316"/>
        <v>0</v>
      </c>
      <c r="NA84" s="14">
        <f t="shared" si="317"/>
        <v>0</v>
      </c>
      <c r="NB84" s="14">
        <f t="shared" si="318"/>
        <v>0</v>
      </c>
    </row>
    <row r="85" ht="15.75" customHeight="1">
      <c r="A85" s="2">
        <v>687.0</v>
      </c>
      <c r="B85" s="2" t="s">
        <v>1834</v>
      </c>
      <c r="C85" s="2" t="s">
        <v>1835</v>
      </c>
      <c r="D85" s="2" t="s">
        <v>1836</v>
      </c>
      <c r="E85" s="2">
        <v>2022.0</v>
      </c>
      <c r="F85" s="2" t="s">
        <v>1837</v>
      </c>
      <c r="G85" s="2">
        <v>11.0</v>
      </c>
      <c r="H85" s="2" t="s">
        <v>510</v>
      </c>
      <c r="I85" s="2" t="s">
        <v>1838</v>
      </c>
      <c r="M85" s="2">
        <v>13.0</v>
      </c>
      <c r="N85" s="2" t="s">
        <v>1839</v>
      </c>
      <c r="O85" s="2" t="s">
        <v>1840</v>
      </c>
      <c r="P85" s="2" t="s">
        <v>1841</v>
      </c>
      <c r="Q85" s="2" t="s">
        <v>1842</v>
      </c>
      <c r="R85" s="2" t="s">
        <v>1843</v>
      </c>
      <c r="S85" s="2" t="s">
        <v>1844</v>
      </c>
      <c r="Y85" s="2" t="s">
        <v>1845</v>
      </c>
      <c r="AB85" s="2" t="s">
        <v>1303</v>
      </c>
      <c r="AG85" s="2" t="s">
        <v>1846</v>
      </c>
      <c r="AK85" s="2" t="s">
        <v>1837</v>
      </c>
      <c r="AL85" s="2" t="s">
        <v>384</v>
      </c>
      <c r="AM85" s="2" t="s">
        <v>1306</v>
      </c>
      <c r="AN85" s="2" t="s">
        <v>386</v>
      </c>
      <c r="AO85" s="2" t="s">
        <v>1847</v>
      </c>
      <c r="AP85" s="2" t="s">
        <v>386</v>
      </c>
      <c r="AQ85" s="2">
        <v>2711.0</v>
      </c>
      <c r="AR85" s="2" t="s">
        <v>1848</v>
      </c>
      <c r="AS85" s="2" t="b">
        <v>1</v>
      </c>
      <c r="AT85" s="3">
        <v>0.0</v>
      </c>
      <c r="AU85" s="4"/>
      <c r="AV85" s="4"/>
      <c r="AW85" s="5">
        <f t="shared" si="432"/>
        <v>0</v>
      </c>
      <c r="AX85" s="5">
        <f t="shared" si="4"/>
        <v>0</v>
      </c>
      <c r="AY85" s="5">
        <f t="shared" si="5"/>
        <v>0</v>
      </c>
      <c r="AZ85" s="5">
        <f t="shared" si="6"/>
        <v>0</v>
      </c>
      <c r="BA85" s="5">
        <f t="shared" si="7"/>
        <v>0</v>
      </c>
      <c r="BB85" s="5">
        <f t="shared" si="8"/>
        <v>0</v>
      </c>
      <c r="BC85" s="5">
        <f t="shared" si="9"/>
        <v>0</v>
      </c>
      <c r="BD85" s="5">
        <f t="shared" si="10"/>
        <v>0</v>
      </c>
      <c r="BE85" s="5">
        <f t="shared" si="11"/>
        <v>0</v>
      </c>
      <c r="BF85" s="5">
        <f t="shared" si="12"/>
        <v>0</v>
      </c>
      <c r="BG85" s="5">
        <f t="shared" si="13"/>
        <v>0</v>
      </c>
      <c r="BH85" s="5">
        <f t="shared" si="14"/>
        <v>0</v>
      </c>
      <c r="BI85" s="5">
        <f t="shared" si="15"/>
        <v>0</v>
      </c>
      <c r="BJ85" s="5">
        <f t="shared" si="16"/>
        <v>0</v>
      </c>
      <c r="BK85" s="5">
        <f t="shared" si="17"/>
        <v>0</v>
      </c>
      <c r="BL85" s="5">
        <f t="shared" si="18"/>
        <v>0</v>
      </c>
      <c r="BM85" s="5">
        <f t="shared" si="19"/>
        <v>0</v>
      </c>
      <c r="BN85" s="5">
        <f t="shared" si="20"/>
        <v>0</v>
      </c>
      <c r="BO85" s="5">
        <f t="shared" si="21"/>
        <v>0</v>
      </c>
      <c r="BP85" s="5">
        <f t="shared" si="22"/>
        <v>0</v>
      </c>
      <c r="BQ85" s="5">
        <f t="shared" si="23"/>
        <v>0</v>
      </c>
      <c r="BR85" s="5">
        <f t="shared" si="24"/>
        <v>0</v>
      </c>
      <c r="BS85" s="5">
        <f t="shared" si="25"/>
        <v>0</v>
      </c>
      <c r="BT85" s="5">
        <f t="shared" si="26"/>
        <v>0</v>
      </c>
      <c r="BU85" s="5">
        <f t="shared" si="27"/>
        <v>0</v>
      </c>
      <c r="BV85" s="5">
        <f t="shared" ref="BV85:BW85" si="504">IF(OR(ISNUMBER(SEARCH("grit",$D85)),ISNUMBER(SEARCH("grit",$T85)),ISNUMBER(SEARCH("grit",$R85)),ISNUMBER(SEARCH("grit",$S85)),
ISNUMBER(SEARCH("determination",$D85)),ISNUMBER(SEARCH("determination",$T85)),ISNUMBER(SEARCH("determination",$R85)),ISNUMBER(SEARCH("determination",$S85)),
ISNUMBER(SEARCH("tenacity",$D85)),ISNUMBER(SEARCH("tenacity",$T85)),ISNUMBER(SEARCH("tenacity",$R85)),ISNUMBER(SEARCH("tenacity",$S85)),
ISNUMBER(SEARCH("endurance",$D85)),ISNUMBER(SEARCH("endurance",$T85)),ISNUMBER(SEARCH("endurance",$R85)),ISNUMBER(SEARCH("endurance",$S85)),
ISNUMBER(SEARCH("fortitude",$D85)),ISNUMBER(SEARCH("fortitude",$T85)),ISNUMBER(SEARCH("fortitude",$R85)),ISNUMBER(SEARCH("fortitude",$S85)),
ISNUMBER(SEARCH("resolve",$D85)),ISNUMBER(SEARCH("resolve",$T85)),ISNUMBER(SEARCH("resolve",$R85)),ISNUMBER(SEARCH("resolve",$S85)),
ISNUMBER(SEARCH("stamina",$D85)),ISNUMBER(SEARCH("stamina",$T85)),ISNUMBER(SEARCH("stamina",$R85)),ISNUMBER(SEARCH("stamina",$S85)),
ISNUMBER(SEARCH("guts",$D85)),ISNUMBER(SEARCH("guts",$T85)),ISNUMBER(SEARCH("guts",$R85)),ISNUMBER(SEARCH("guts",$S85)),
ISNUMBER(SEARCH("spunk",$D85)),ISNUMBER(SEARCH("spunk",$T85)),ISNUMBER(SEARCH("spunk",$R85)),ISNUMBER(SEARCH("spunk",$S85))), 1, 0)</f>
        <v>0</v>
      </c>
      <c r="BW85" s="5">
        <f t="shared" si="504"/>
        <v>0</v>
      </c>
      <c r="BX85" s="5">
        <f t="shared" si="29"/>
        <v>0</v>
      </c>
      <c r="BY85" s="5">
        <f t="shared" si="30"/>
        <v>0</v>
      </c>
      <c r="BZ85" s="5">
        <f t="shared" si="31"/>
        <v>0</v>
      </c>
      <c r="CA85" s="5">
        <f t="shared" si="32"/>
        <v>0</v>
      </c>
      <c r="CB85" s="5">
        <f t="shared" si="33"/>
        <v>0</v>
      </c>
      <c r="CC85" s="5">
        <f t="shared" si="34"/>
        <v>0</v>
      </c>
      <c r="CD85" s="5">
        <f t="shared" si="35"/>
        <v>0</v>
      </c>
      <c r="CE85" s="5">
        <f t="shared" si="36"/>
        <v>0</v>
      </c>
      <c r="CF85" s="5">
        <f t="shared" si="37"/>
        <v>0</v>
      </c>
      <c r="CG85" s="5">
        <f t="shared" si="38"/>
        <v>0</v>
      </c>
      <c r="CH85" s="5">
        <f t="shared" si="39"/>
        <v>0</v>
      </c>
      <c r="CI85" s="5">
        <f t="shared" si="40"/>
        <v>0</v>
      </c>
      <c r="CJ85" s="5">
        <f t="shared" si="41"/>
        <v>0</v>
      </c>
      <c r="CK85" s="5">
        <f t="shared" si="42"/>
        <v>0</v>
      </c>
      <c r="CL85" s="5">
        <f t="shared" si="43"/>
        <v>0</v>
      </c>
      <c r="CM85" s="5">
        <f t="shared" si="44"/>
        <v>0</v>
      </c>
      <c r="CN85" s="5">
        <f t="shared" si="45"/>
        <v>0</v>
      </c>
      <c r="CO85" s="5">
        <f t="shared" si="46"/>
        <v>0</v>
      </c>
      <c r="CP85" s="6">
        <f t="shared" si="47"/>
        <v>0</v>
      </c>
      <c r="CQ85" s="6">
        <f t="shared" si="48"/>
        <v>0</v>
      </c>
      <c r="CR85" s="6">
        <f t="shared" si="49"/>
        <v>0</v>
      </c>
      <c r="CS85" s="6">
        <f t="shared" si="50"/>
        <v>0</v>
      </c>
      <c r="CT85" s="6">
        <f t="shared" ref="CT85:CT87" si="508">IF(OR(ISNUMBER(SEARCH("optimism", $D85)), ISNUMBER(SEARCH("optimism", $T85)), ISNUMBER(SEARCH("optimism", $R85)), ISNUMBER(SEARCH("optimism", $S85))), 1, 0)</f>
        <v>0</v>
      </c>
      <c r="CU85" s="6">
        <f t="shared" si="52"/>
        <v>0</v>
      </c>
      <c r="CV85" s="6">
        <f t="shared" si="53"/>
        <v>0</v>
      </c>
      <c r="CW85" s="6">
        <f t="shared" si="54"/>
        <v>0</v>
      </c>
      <c r="CX85" s="6">
        <f t="shared" si="55"/>
        <v>0</v>
      </c>
      <c r="CY85" s="6">
        <f t="shared" si="56"/>
        <v>0</v>
      </c>
      <c r="CZ85" s="6">
        <f t="shared" si="57"/>
        <v>0</v>
      </c>
      <c r="DA85" s="6">
        <f t="shared" si="58"/>
        <v>0</v>
      </c>
      <c r="DB85" s="6">
        <f t="shared" si="59"/>
        <v>0</v>
      </c>
      <c r="DC85" s="6">
        <f t="shared" si="60"/>
        <v>0</v>
      </c>
      <c r="DD85" s="6">
        <f t="shared" si="61"/>
        <v>0</v>
      </c>
      <c r="DE85" s="6">
        <f t="shared" si="62"/>
        <v>0</v>
      </c>
      <c r="DF85" s="6">
        <f t="shared" si="63"/>
        <v>0</v>
      </c>
      <c r="DG85" s="6">
        <f t="shared" si="64"/>
        <v>0</v>
      </c>
      <c r="DH85" s="6">
        <f t="shared" ref="DH85:DH112" si="509">IF(
OR(
ISNUMBER(SEARCH("Spirituality",$D85)),ISNUMBER(SEARCH("Spirituality",$T85)),ISNUMBER(SEARCH("Spirituality",$R83)),ISNUMBER(SEARCH("Spirituality",$S85)),
ISNUMBER(SEARCH("religio",$D85)),ISNUMBER(SEARCH("religio",$T85)),ISNUMBER(SEARCH("religio",$R85)),ISNUMBER(SEARCH("religio",$S85))), 1, 0)</f>
        <v>0</v>
      </c>
      <c r="DI85" s="6">
        <f t="shared" si="66"/>
        <v>0</v>
      </c>
      <c r="DJ85" s="6">
        <f t="shared" ref="DJ85:DJ112" si="510">IF(OR(ISNUMBER(SEARCH("Emotional stability", $D85)), ISNUMBER(SEARCH("Emotional stability", $T85)), ISNUMBER(SEARCH("Emotional stability", $R85)), ISNUMBER(SEARCH("Emotional stability", $S85))), 1, 0)</f>
        <v>0</v>
      </c>
      <c r="DK85" s="7">
        <f t="shared" si="68"/>
        <v>0</v>
      </c>
      <c r="DL85" s="7">
        <f t="shared" si="498"/>
        <v>0</v>
      </c>
      <c r="DM85" s="7">
        <f t="shared" si="70"/>
        <v>0</v>
      </c>
      <c r="DN85" s="7">
        <f t="shared" si="71"/>
        <v>0</v>
      </c>
      <c r="DO85" s="7">
        <f t="shared" si="72"/>
        <v>1</v>
      </c>
      <c r="DP85" s="8">
        <f t="shared" si="73"/>
        <v>0</v>
      </c>
      <c r="DQ85" s="8">
        <f t="shared" si="74"/>
        <v>1</v>
      </c>
      <c r="DR85" s="7">
        <f t="shared" si="75"/>
        <v>0</v>
      </c>
      <c r="DS85" s="7">
        <f t="shared" si="76"/>
        <v>0</v>
      </c>
      <c r="DT85" s="7">
        <f t="shared" si="77"/>
        <v>0</v>
      </c>
      <c r="DU85" s="9">
        <f t="shared" si="78"/>
        <v>0</v>
      </c>
      <c r="DV85" s="9">
        <f t="shared" si="79"/>
        <v>0</v>
      </c>
      <c r="DW85" s="9">
        <f t="shared" si="80"/>
        <v>0</v>
      </c>
      <c r="DX85" s="9">
        <f t="shared" si="81"/>
        <v>0</v>
      </c>
      <c r="DY85" s="9">
        <f t="shared" si="82"/>
        <v>0</v>
      </c>
      <c r="DZ85" s="9">
        <f t="shared" si="83"/>
        <v>0</v>
      </c>
      <c r="EA85" s="9">
        <f t="shared" si="84"/>
        <v>0</v>
      </c>
      <c r="EB85" s="9">
        <f t="shared" si="85"/>
        <v>0</v>
      </c>
      <c r="EC85" s="9">
        <f t="shared" si="86"/>
        <v>0</v>
      </c>
      <c r="ED85" s="9">
        <f t="shared" si="87"/>
        <v>0</v>
      </c>
      <c r="EE85" s="9">
        <f t="shared" si="88"/>
        <v>0</v>
      </c>
      <c r="EF85" s="9">
        <f t="shared" si="89"/>
        <v>0</v>
      </c>
      <c r="EG85" s="9">
        <f t="shared" si="90"/>
        <v>0</v>
      </c>
      <c r="EH85" s="9">
        <f t="shared" si="91"/>
        <v>0</v>
      </c>
      <c r="EI85" s="9">
        <f t="shared" si="92"/>
        <v>0</v>
      </c>
      <c r="EJ85" s="10">
        <f t="shared" si="93"/>
        <v>0</v>
      </c>
      <c r="EK85" s="10">
        <f t="shared" si="94"/>
        <v>0</v>
      </c>
      <c r="EL85" s="10">
        <f t="shared" ref="EL85:EM85" si="505">IF(OR(ISNUMBER(SEARCH("ai software toolkit", $D85)), ISNUMBER(SEARCH("ai software toolkit", $T85)), ISNUMBER(SEARCH("ai software toolkit", $R85)), ISNUMBER(SEARCH("ai software toolkit", $S85))), 1, 0)</f>
        <v>0</v>
      </c>
      <c r="EM85" s="10">
        <f t="shared" si="505"/>
        <v>0</v>
      </c>
      <c r="EN85" s="10">
        <f t="shared" si="96"/>
        <v>0</v>
      </c>
      <c r="EO85" s="10">
        <f t="shared" si="97"/>
        <v>0</v>
      </c>
      <c r="EP85" s="10">
        <f t="shared" si="98"/>
        <v>0</v>
      </c>
      <c r="EQ85" s="10">
        <f t="shared" si="99"/>
        <v>0</v>
      </c>
      <c r="ER85" s="10">
        <f t="shared" si="100"/>
        <v>0</v>
      </c>
      <c r="ES85" s="10">
        <f t="shared" si="101"/>
        <v>0</v>
      </c>
      <c r="ET85" s="10">
        <f t="shared" si="102"/>
        <v>0</v>
      </c>
      <c r="EU85" s="10">
        <f t="shared" si="103"/>
        <v>0</v>
      </c>
      <c r="EV85" s="10">
        <f t="shared" si="104"/>
        <v>0</v>
      </c>
      <c r="EW85" s="10">
        <f t="shared" si="105"/>
        <v>0</v>
      </c>
      <c r="EX85" s="10">
        <f t="shared" si="106"/>
        <v>0</v>
      </c>
      <c r="EY85" s="10">
        <f t="shared" si="107"/>
        <v>0</v>
      </c>
      <c r="EZ85" s="10">
        <f t="shared" si="108"/>
        <v>0</v>
      </c>
      <c r="FA85" s="10">
        <f t="shared" si="109"/>
        <v>0</v>
      </c>
      <c r="FB85" s="10">
        <f t="shared" si="110"/>
        <v>0</v>
      </c>
      <c r="FC85" s="10">
        <f t="shared" si="111"/>
        <v>0</v>
      </c>
      <c r="FD85" s="10">
        <f t="shared" si="112"/>
        <v>0</v>
      </c>
      <c r="FE85" s="10">
        <f t="shared" si="113"/>
        <v>0</v>
      </c>
      <c r="FF85" s="10">
        <f t="shared" si="114"/>
        <v>0</v>
      </c>
      <c r="FG85" s="10">
        <f t="shared" si="115"/>
        <v>0</v>
      </c>
      <c r="FH85" s="10">
        <f t="shared" si="116"/>
        <v>0</v>
      </c>
      <c r="FI85" s="10">
        <f t="shared" si="117"/>
        <v>0</v>
      </c>
      <c r="FJ85" s="10">
        <f t="shared" si="118"/>
        <v>0</v>
      </c>
      <c r="FK85" s="10">
        <f t="shared" si="119"/>
        <v>0</v>
      </c>
      <c r="FL85" s="10">
        <f t="shared" si="120"/>
        <v>0</v>
      </c>
      <c r="FM85" s="10">
        <f t="shared" si="121"/>
        <v>0</v>
      </c>
      <c r="FN85" s="10">
        <f t="shared" si="122"/>
        <v>0</v>
      </c>
      <c r="FO85" s="10">
        <f t="shared" si="123"/>
        <v>0</v>
      </c>
      <c r="FP85" s="10">
        <f t="shared" si="124"/>
        <v>0</v>
      </c>
      <c r="FQ85" s="10">
        <f t="shared" si="125"/>
        <v>1</v>
      </c>
      <c r="FR85" s="11">
        <f t="shared" si="506"/>
        <v>0</v>
      </c>
      <c r="FS85" s="11">
        <f t="shared" si="127"/>
        <v>0</v>
      </c>
      <c r="FT85" s="11">
        <f t="shared" si="128"/>
        <v>0</v>
      </c>
      <c r="FU85" s="11">
        <f t="shared" si="129"/>
        <v>0</v>
      </c>
      <c r="FV85" s="11">
        <f t="shared" si="130"/>
        <v>0</v>
      </c>
      <c r="FW85" s="11">
        <f t="shared" si="131"/>
        <v>0</v>
      </c>
      <c r="FX85" s="11">
        <f t="shared" si="132"/>
        <v>0</v>
      </c>
      <c r="FY85" s="11">
        <f t="shared" si="133"/>
        <v>0</v>
      </c>
      <c r="FZ85" s="11">
        <f t="shared" si="134"/>
        <v>0</v>
      </c>
      <c r="GA85" s="11">
        <f t="shared" si="135"/>
        <v>0</v>
      </c>
      <c r="GB85" s="11">
        <f t="shared" si="136"/>
        <v>0</v>
      </c>
      <c r="GC85" s="11">
        <f t="shared" si="137"/>
        <v>0</v>
      </c>
      <c r="GD85" s="11">
        <f t="shared" si="138"/>
        <v>0</v>
      </c>
      <c r="GE85" s="11">
        <f t="shared" si="139"/>
        <v>0</v>
      </c>
      <c r="GF85" s="11">
        <f t="shared" si="140"/>
        <v>0</v>
      </c>
      <c r="GG85" s="11">
        <f t="shared" si="141"/>
        <v>0</v>
      </c>
      <c r="GH85" s="11">
        <f t="shared" si="142"/>
        <v>0</v>
      </c>
      <c r="GI85" s="11">
        <f t="shared" si="143"/>
        <v>0</v>
      </c>
      <c r="GJ85" s="11">
        <f t="shared" si="144"/>
        <v>0</v>
      </c>
      <c r="GK85" s="11">
        <f t="shared" si="145"/>
        <v>0</v>
      </c>
      <c r="GL85" s="11">
        <f t="shared" si="146"/>
        <v>0</v>
      </c>
      <c r="GM85" s="11">
        <f t="shared" si="147"/>
        <v>0</v>
      </c>
      <c r="GN85" s="11">
        <f t="shared" si="148"/>
        <v>0</v>
      </c>
      <c r="GO85" s="11">
        <f t="shared" si="149"/>
        <v>0</v>
      </c>
      <c r="GP85" s="11">
        <f t="shared" si="150"/>
        <v>0</v>
      </c>
      <c r="GQ85" s="11">
        <f t="shared" si="151"/>
        <v>0</v>
      </c>
      <c r="GR85" s="11">
        <f t="shared" si="152"/>
        <v>1</v>
      </c>
      <c r="GS85" s="11">
        <f t="shared" si="153"/>
        <v>0</v>
      </c>
      <c r="GT85" s="11">
        <f t="shared" si="154"/>
        <v>0</v>
      </c>
      <c r="GU85" s="12">
        <f t="shared" si="155"/>
        <v>0</v>
      </c>
      <c r="GV85" s="12">
        <f t="shared" si="156"/>
        <v>0</v>
      </c>
      <c r="GW85" s="12">
        <f t="shared" si="157"/>
        <v>0</v>
      </c>
      <c r="GX85" s="12">
        <f t="shared" si="158"/>
        <v>0</v>
      </c>
      <c r="GY85" s="12">
        <f t="shared" si="159"/>
        <v>0</v>
      </c>
      <c r="GZ85" s="12">
        <f t="shared" si="160"/>
        <v>0</v>
      </c>
      <c r="HA85" s="12">
        <f t="shared" si="161"/>
        <v>0</v>
      </c>
      <c r="HB85" s="12">
        <f t="shared" si="162"/>
        <v>0</v>
      </c>
      <c r="HC85" s="12">
        <f t="shared" si="163"/>
        <v>0</v>
      </c>
      <c r="HD85" s="12">
        <f t="shared" si="164"/>
        <v>0</v>
      </c>
      <c r="HE85" s="12">
        <f t="shared" si="165"/>
        <v>0</v>
      </c>
      <c r="HF85" s="12">
        <f t="shared" si="166"/>
        <v>0</v>
      </c>
      <c r="HG85" s="12">
        <f t="shared" si="167"/>
        <v>0</v>
      </c>
      <c r="HH85" s="12">
        <f t="shared" si="168"/>
        <v>0</v>
      </c>
      <c r="HI85" s="12">
        <f t="shared" si="169"/>
        <v>0</v>
      </c>
      <c r="HJ85" s="12">
        <f t="shared" si="170"/>
        <v>0</v>
      </c>
      <c r="HK85" s="12">
        <f t="shared" si="171"/>
        <v>0</v>
      </c>
      <c r="HL85" s="12">
        <f t="shared" si="172"/>
        <v>0</v>
      </c>
      <c r="HM85" s="12">
        <f t="shared" si="173"/>
        <v>0</v>
      </c>
      <c r="HN85" s="12">
        <f t="shared" si="174"/>
        <v>0</v>
      </c>
      <c r="HO85" s="12">
        <f t="shared" si="175"/>
        <v>0</v>
      </c>
      <c r="HP85" s="12">
        <f t="shared" si="176"/>
        <v>0</v>
      </c>
      <c r="HQ85" s="12">
        <f t="shared" si="177"/>
        <v>0</v>
      </c>
      <c r="HR85" s="12">
        <f t="shared" si="178"/>
        <v>0</v>
      </c>
      <c r="HS85" s="12">
        <f t="shared" si="179"/>
        <v>0</v>
      </c>
      <c r="HT85" s="12">
        <f t="shared" si="180"/>
        <v>0</v>
      </c>
      <c r="HU85" s="12">
        <f t="shared" si="181"/>
        <v>0</v>
      </c>
      <c r="HV85" s="12">
        <f t="shared" si="182"/>
        <v>0</v>
      </c>
      <c r="HW85" s="12">
        <f t="shared" si="183"/>
        <v>0</v>
      </c>
      <c r="HX85" s="12">
        <f t="shared" si="184"/>
        <v>0</v>
      </c>
      <c r="HY85" s="12">
        <f t="shared" si="185"/>
        <v>0</v>
      </c>
      <c r="HZ85" s="12">
        <f t="shared" si="186"/>
        <v>0</v>
      </c>
      <c r="IA85" s="12">
        <f t="shared" si="187"/>
        <v>0</v>
      </c>
      <c r="IB85" s="12">
        <f t="shared" si="188"/>
        <v>0</v>
      </c>
      <c r="IC85" s="12">
        <f t="shared" si="189"/>
        <v>0</v>
      </c>
      <c r="ID85" s="12">
        <f t="shared" si="190"/>
        <v>0</v>
      </c>
      <c r="IE85" s="12">
        <f t="shared" si="191"/>
        <v>0</v>
      </c>
      <c r="IF85" s="12">
        <f t="shared" si="192"/>
        <v>0</v>
      </c>
      <c r="IG85" s="12">
        <f t="shared" si="193"/>
        <v>0</v>
      </c>
      <c r="IH85" s="12">
        <f t="shared" si="194"/>
        <v>0</v>
      </c>
      <c r="II85" s="12">
        <f t="shared" si="195"/>
        <v>0</v>
      </c>
      <c r="IJ85" s="12">
        <f t="shared" si="196"/>
        <v>0</v>
      </c>
      <c r="IK85" s="12">
        <f t="shared" si="197"/>
        <v>0</v>
      </c>
      <c r="IL85" s="12">
        <f t="shared" si="198"/>
        <v>0</v>
      </c>
      <c r="IM85" s="12">
        <f t="shared" si="199"/>
        <v>0</v>
      </c>
      <c r="IN85" s="12">
        <f t="shared" si="200"/>
        <v>0</v>
      </c>
      <c r="IO85" s="12">
        <f t="shared" si="201"/>
        <v>0</v>
      </c>
      <c r="IP85" s="12">
        <f t="shared" si="202"/>
        <v>0</v>
      </c>
      <c r="IQ85" s="12">
        <f t="shared" si="203"/>
        <v>0</v>
      </c>
      <c r="IR85" s="12">
        <f t="shared" si="204"/>
        <v>0</v>
      </c>
      <c r="IS85" s="12">
        <f t="shared" si="205"/>
        <v>0</v>
      </c>
      <c r="IT85" s="12">
        <f t="shared" si="206"/>
        <v>0</v>
      </c>
      <c r="IU85" s="12">
        <f t="shared" si="207"/>
        <v>0</v>
      </c>
      <c r="IV85" s="12">
        <f t="shared" si="208"/>
        <v>0</v>
      </c>
      <c r="IW85" s="12">
        <f t="shared" si="209"/>
        <v>0</v>
      </c>
      <c r="IX85" s="12">
        <f t="shared" si="210"/>
        <v>0</v>
      </c>
      <c r="IY85" s="12">
        <f t="shared" si="211"/>
        <v>0</v>
      </c>
      <c r="IZ85" s="12">
        <f t="shared" si="212"/>
        <v>0</v>
      </c>
      <c r="JA85" s="13">
        <f t="shared" si="213"/>
        <v>0</v>
      </c>
      <c r="JB85" s="13">
        <f t="shared" si="214"/>
        <v>0</v>
      </c>
      <c r="JC85" s="13">
        <f t="shared" si="215"/>
        <v>0</v>
      </c>
      <c r="JD85" s="13">
        <f t="shared" si="216"/>
        <v>0</v>
      </c>
      <c r="JE85" s="13">
        <f t="shared" si="217"/>
        <v>0</v>
      </c>
      <c r="JF85" s="13">
        <f t="shared" si="218"/>
        <v>0</v>
      </c>
      <c r="JG85" s="13">
        <f t="shared" si="219"/>
        <v>0</v>
      </c>
      <c r="JH85" s="13">
        <f t="shared" si="220"/>
        <v>0</v>
      </c>
      <c r="JI85" s="13">
        <f t="shared" si="221"/>
        <v>0</v>
      </c>
      <c r="JJ85" s="13">
        <f t="shared" si="222"/>
        <v>0</v>
      </c>
      <c r="JK85" s="13">
        <f t="shared" si="223"/>
        <v>0</v>
      </c>
      <c r="JL85" s="13">
        <f t="shared" si="224"/>
        <v>0</v>
      </c>
      <c r="JM85" s="13">
        <f t="shared" si="225"/>
        <v>0</v>
      </c>
      <c r="JN85" s="13">
        <f t="shared" si="226"/>
        <v>0</v>
      </c>
      <c r="JO85" s="13">
        <f t="shared" si="227"/>
        <v>0</v>
      </c>
      <c r="JP85" s="13">
        <f t="shared" si="228"/>
        <v>0</v>
      </c>
      <c r="JQ85" s="13">
        <f t="shared" si="229"/>
        <v>0</v>
      </c>
      <c r="JR85" s="13">
        <f t="shared" si="230"/>
        <v>0</v>
      </c>
      <c r="JS85" s="13">
        <f t="shared" si="231"/>
        <v>0</v>
      </c>
      <c r="JT85" s="13">
        <f t="shared" si="232"/>
        <v>0</v>
      </c>
      <c r="JU85" s="13">
        <f t="shared" si="233"/>
        <v>0</v>
      </c>
      <c r="JV85" s="12">
        <f t="shared" si="234"/>
        <v>0</v>
      </c>
      <c r="JW85" s="12">
        <f t="shared" si="235"/>
        <v>0</v>
      </c>
      <c r="JX85" s="12">
        <f t="shared" si="236"/>
        <v>0</v>
      </c>
      <c r="JY85" s="12">
        <f t="shared" si="237"/>
        <v>0</v>
      </c>
      <c r="JZ85" s="12">
        <f t="shared" si="238"/>
        <v>0</v>
      </c>
      <c r="KA85" s="12">
        <f t="shared" si="239"/>
        <v>0</v>
      </c>
      <c r="KB85" s="12">
        <f t="shared" si="240"/>
        <v>0</v>
      </c>
      <c r="KC85" s="12">
        <f t="shared" si="241"/>
        <v>0</v>
      </c>
      <c r="KD85" s="12">
        <f t="shared" si="242"/>
        <v>0</v>
      </c>
      <c r="KE85" s="12">
        <f t="shared" si="243"/>
        <v>0</v>
      </c>
      <c r="KF85" s="12">
        <f t="shared" si="244"/>
        <v>0</v>
      </c>
      <c r="KG85" s="12">
        <f t="shared" si="245"/>
        <v>0</v>
      </c>
      <c r="KH85" s="12">
        <f t="shared" si="246"/>
        <v>0</v>
      </c>
      <c r="KI85" s="12">
        <f t="shared" si="247"/>
        <v>0</v>
      </c>
      <c r="KJ85" s="12">
        <f t="shared" si="248"/>
        <v>0</v>
      </c>
      <c r="KK85" s="12">
        <f t="shared" si="249"/>
        <v>0</v>
      </c>
      <c r="KL85" s="12">
        <f t="shared" si="250"/>
        <v>0</v>
      </c>
      <c r="KM85" s="12">
        <f t="shared" si="251"/>
        <v>0</v>
      </c>
      <c r="KN85" s="12">
        <f t="shared" si="252"/>
        <v>0</v>
      </c>
      <c r="KO85" s="12">
        <f t="shared" si="253"/>
        <v>0</v>
      </c>
      <c r="KP85" s="12">
        <f t="shared" si="254"/>
        <v>0</v>
      </c>
      <c r="KQ85" s="12">
        <f t="shared" si="255"/>
        <v>0</v>
      </c>
      <c r="KR85" s="12">
        <f t="shared" si="256"/>
        <v>0</v>
      </c>
      <c r="KS85" s="12">
        <f t="shared" si="257"/>
        <v>0</v>
      </c>
      <c r="KT85" s="12">
        <f t="shared" si="258"/>
        <v>0</v>
      </c>
      <c r="KU85" s="12">
        <f t="shared" si="259"/>
        <v>0</v>
      </c>
      <c r="KV85" s="12">
        <f t="shared" si="260"/>
        <v>0</v>
      </c>
      <c r="KW85" s="12">
        <f t="shared" si="261"/>
        <v>0</v>
      </c>
      <c r="KX85" s="12">
        <f t="shared" si="262"/>
        <v>0</v>
      </c>
      <c r="KY85" s="12">
        <f t="shared" si="263"/>
        <v>0</v>
      </c>
      <c r="KZ85" s="12">
        <f t="shared" si="264"/>
        <v>0</v>
      </c>
      <c r="LA85" s="12">
        <f t="shared" si="265"/>
        <v>0</v>
      </c>
      <c r="LB85" s="12">
        <f t="shared" si="266"/>
        <v>0</v>
      </c>
      <c r="LC85" s="12">
        <f t="shared" si="267"/>
        <v>0</v>
      </c>
      <c r="LD85" s="12">
        <f t="shared" si="268"/>
        <v>0</v>
      </c>
      <c r="LE85" s="12">
        <f t="shared" si="269"/>
        <v>0</v>
      </c>
      <c r="LF85" s="12">
        <f t="shared" si="270"/>
        <v>0</v>
      </c>
      <c r="LG85" s="12">
        <f t="shared" si="271"/>
        <v>0</v>
      </c>
      <c r="LH85" s="12">
        <f t="shared" si="272"/>
        <v>0</v>
      </c>
      <c r="LI85" s="12">
        <f t="shared" si="273"/>
        <v>0</v>
      </c>
      <c r="LJ85" s="12">
        <f t="shared" si="274"/>
        <v>0</v>
      </c>
      <c r="LK85" s="12">
        <f t="shared" si="275"/>
        <v>0</v>
      </c>
      <c r="LL85" s="12">
        <f t="shared" si="276"/>
        <v>0</v>
      </c>
      <c r="LM85" s="12">
        <f t="shared" si="277"/>
        <v>0</v>
      </c>
      <c r="LN85" s="12">
        <f t="shared" si="278"/>
        <v>0</v>
      </c>
      <c r="LO85" s="12">
        <f t="shared" si="279"/>
        <v>0</v>
      </c>
      <c r="LP85" s="12">
        <f t="shared" si="280"/>
        <v>0</v>
      </c>
      <c r="LQ85" s="12">
        <f t="shared" si="281"/>
        <v>0</v>
      </c>
      <c r="LR85" s="12">
        <f t="shared" si="282"/>
        <v>0</v>
      </c>
      <c r="LS85" s="12">
        <f t="shared" si="283"/>
        <v>0</v>
      </c>
      <c r="LT85" s="13">
        <f t="shared" si="284"/>
        <v>0</v>
      </c>
      <c r="LU85" s="13">
        <f t="shared" si="285"/>
        <v>0</v>
      </c>
      <c r="LV85" s="13">
        <f t="shared" si="286"/>
        <v>0</v>
      </c>
      <c r="LW85" s="13">
        <f t="shared" si="287"/>
        <v>0</v>
      </c>
      <c r="LX85" s="13">
        <f t="shared" si="288"/>
        <v>0</v>
      </c>
      <c r="LY85" s="13">
        <f t="shared" si="289"/>
        <v>0</v>
      </c>
      <c r="LZ85" s="13">
        <f t="shared" si="290"/>
        <v>0</v>
      </c>
      <c r="MA85" s="13">
        <f t="shared" si="291"/>
        <v>0</v>
      </c>
      <c r="MB85" s="13">
        <f t="shared" si="292"/>
        <v>0</v>
      </c>
      <c r="MC85" s="13">
        <f t="shared" si="293"/>
        <v>0</v>
      </c>
      <c r="MD85" s="13">
        <f t="shared" si="294"/>
        <v>0</v>
      </c>
      <c r="ME85" s="13">
        <f t="shared" si="295"/>
        <v>0</v>
      </c>
      <c r="MF85" s="13">
        <f t="shared" si="296"/>
        <v>0</v>
      </c>
      <c r="MG85" s="13">
        <f t="shared" si="297"/>
        <v>0</v>
      </c>
      <c r="MH85" s="13">
        <f t="shared" si="298"/>
        <v>0</v>
      </c>
      <c r="MI85" s="13">
        <f t="shared" si="299"/>
        <v>0</v>
      </c>
      <c r="MJ85" s="13">
        <f t="shared" si="300"/>
        <v>0</v>
      </c>
      <c r="MK85" s="13">
        <f t="shared" si="301"/>
        <v>0</v>
      </c>
      <c r="ML85" s="14">
        <f t="shared" si="302"/>
        <v>0</v>
      </c>
      <c r="MM85" s="14">
        <f t="shared" si="303"/>
        <v>0</v>
      </c>
      <c r="MN85" s="14">
        <f t="shared" si="304"/>
        <v>0</v>
      </c>
      <c r="MO85" s="14">
        <f t="shared" si="305"/>
        <v>0</v>
      </c>
      <c r="MP85" s="14">
        <f t="shared" si="306"/>
        <v>0</v>
      </c>
      <c r="MQ85" s="14">
        <f t="shared" si="307"/>
        <v>0</v>
      </c>
      <c r="MR85" s="14">
        <f t="shared" si="308"/>
        <v>0</v>
      </c>
      <c r="MS85" s="14">
        <f t="shared" si="309"/>
        <v>0</v>
      </c>
      <c r="MT85" s="14">
        <f t="shared" si="310"/>
        <v>0</v>
      </c>
      <c r="MU85" s="14">
        <f t="shared" si="311"/>
        <v>0</v>
      </c>
      <c r="MV85" s="14">
        <f t="shared" si="312"/>
        <v>0</v>
      </c>
      <c r="MW85" s="14">
        <f t="shared" si="313"/>
        <v>0</v>
      </c>
      <c r="MX85" s="14">
        <f t="shared" si="314"/>
        <v>0</v>
      </c>
      <c r="MY85" s="14">
        <f t="shared" si="315"/>
        <v>0</v>
      </c>
      <c r="MZ85" s="14">
        <f t="shared" si="316"/>
        <v>0</v>
      </c>
      <c r="NA85" s="14">
        <f t="shared" si="317"/>
        <v>0</v>
      </c>
      <c r="NB85" s="14">
        <f t="shared" si="318"/>
        <v>0</v>
      </c>
    </row>
    <row r="86" ht="15.75" customHeight="1">
      <c r="A86" s="2">
        <v>195.0</v>
      </c>
      <c r="B86" s="2" t="s">
        <v>1849</v>
      </c>
      <c r="C86" s="2" t="s">
        <v>1850</v>
      </c>
      <c r="D86" s="2" t="s">
        <v>1851</v>
      </c>
      <c r="E86" s="2">
        <v>2020.0</v>
      </c>
      <c r="F86" s="2" t="s">
        <v>676</v>
      </c>
      <c r="G86" s="2" t="s">
        <v>393</v>
      </c>
      <c r="H86" s="2" t="s">
        <v>371</v>
      </c>
      <c r="I86" s="2" t="s">
        <v>1852</v>
      </c>
      <c r="J86" s="2" t="s">
        <v>392</v>
      </c>
      <c r="K86" s="2" t="s">
        <v>1029</v>
      </c>
      <c r="M86" s="2">
        <v>13.0</v>
      </c>
      <c r="N86" s="2" t="s">
        <v>1853</v>
      </c>
      <c r="O86" s="2" t="s">
        <v>1854</v>
      </c>
      <c r="P86" s="2" t="s">
        <v>1855</v>
      </c>
      <c r="Q86" s="2" t="s">
        <v>1856</v>
      </c>
      <c r="R86" s="2" t="s">
        <v>1857</v>
      </c>
      <c r="S86" s="2" t="s">
        <v>1858</v>
      </c>
      <c r="T86" s="2" t="s">
        <v>1859</v>
      </c>
      <c r="Y86" s="2" t="s">
        <v>1860</v>
      </c>
      <c r="AB86" s="2" t="s">
        <v>687</v>
      </c>
      <c r="AG86" s="2" t="s">
        <v>688</v>
      </c>
      <c r="AJ86" s="2">
        <v>3.2575894E7</v>
      </c>
      <c r="AK86" s="2" t="s">
        <v>689</v>
      </c>
      <c r="AL86" s="2" t="s">
        <v>384</v>
      </c>
      <c r="AM86" s="2" t="s">
        <v>484</v>
      </c>
      <c r="AN86" s="2" t="s">
        <v>386</v>
      </c>
      <c r="AO86" s="2" t="s">
        <v>1861</v>
      </c>
      <c r="AP86" s="2" t="s">
        <v>386</v>
      </c>
      <c r="AQ86" s="2">
        <v>813.0</v>
      </c>
      <c r="AR86" s="2" t="s">
        <v>1862</v>
      </c>
      <c r="AS86" s="2" t="b">
        <v>1</v>
      </c>
      <c r="AT86" s="3">
        <v>0.0</v>
      </c>
      <c r="AU86" s="4"/>
      <c r="AV86" s="4"/>
      <c r="AW86" s="5">
        <f t="shared" si="432"/>
        <v>0</v>
      </c>
      <c r="AX86" s="5">
        <f t="shared" si="4"/>
        <v>0</v>
      </c>
      <c r="AY86" s="5">
        <f t="shared" si="5"/>
        <v>0</v>
      </c>
      <c r="AZ86" s="5">
        <f t="shared" si="6"/>
        <v>0</v>
      </c>
      <c r="BA86" s="5">
        <f t="shared" si="7"/>
        <v>0</v>
      </c>
      <c r="BB86" s="5">
        <f t="shared" si="8"/>
        <v>0</v>
      </c>
      <c r="BC86" s="5">
        <f t="shared" si="9"/>
        <v>0</v>
      </c>
      <c r="BD86" s="5">
        <f t="shared" si="10"/>
        <v>0</v>
      </c>
      <c r="BE86" s="5">
        <f t="shared" si="11"/>
        <v>0</v>
      </c>
      <c r="BF86" s="5">
        <f t="shared" si="12"/>
        <v>0</v>
      </c>
      <c r="BG86" s="5">
        <f t="shared" si="13"/>
        <v>0</v>
      </c>
      <c r="BH86" s="5">
        <f t="shared" si="14"/>
        <v>0</v>
      </c>
      <c r="BI86" s="5">
        <f t="shared" si="15"/>
        <v>0</v>
      </c>
      <c r="BJ86" s="5">
        <f t="shared" si="16"/>
        <v>0</v>
      </c>
      <c r="BK86" s="5">
        <f t="shared" si="17"/>
        <v>0</v>
      </c>
      <c r="BL86" s="5">
        <f t="shared" si="18"/>
        <v>0</v>
      </c>
      <c r="BM86" s="5">
        <f t="shared" si="19"/>
        <v>0</v>
      </c>
      <c r="BN86" s="5">
        <f t="shared" si="20"/>
        <v>0</v>
      </c>
      <c r="BO86" s="5">
        <f t="shared" si="21"/>
        <v>0</v>
      </c>
      <c r="BP86" s="5">
        <f t="shared" si="22"/>
        <v>0</v>
      </c>
      <c r="BQ86" s="5">
        <f t="shared" si="23"/>
        <v>0</v>
      </c>
      <c r="BR86" s="5">
        <f t="shared" si="24"/>
        <v>0</v>
      </c>
      <c r="BS86" s="5">
        <f t="shared" si="25"/>
        <v>0</v>
      </c>
      <c r="BT86" s="5">
        <f t="shared" si="26"/>
        <v>0</v>
      </c>
      <c r="BU86" s="5">
        <f t="shared" si="27"/>
        <v>0</v>
      </c>
      <c r="BV86" s="5">
        <f t="shared" ref="BV86:BW86" si="507">IF(OR(ISNUMBER(SEARCH("grit",$D86)),ISNUMBER(SEARCH("grit",$T86)),ISNUMBER(SEARCH("grit",$R86)),ISNUMBER(SEARCH("grit",$S86)),
ISNUMBER(SEARCH("determination",$D86)),ISNUMBER(SEARCH("determination",$T86)),ISNUMBER(SEARCH("determination",$R86)),ISNUMBER(SEARCH("determination",$S86)),
ISNUMBER(SEARCH("tenacity",$D86)),ISNUMBER(SEARCH("tenacity",$T86)),ISNUMBER(SEARCH("tenacity",$R86)),ISNUMBER(SEARCH("tenacity",$S86)),
ISNUMBER(SEARCH("endurance",$D86)),ISNUMBER(SEARCH("endurance",$T86)),ISNUMBER(SEARCH("endurance",$R86)),ISNUMBER(SEARCH("endurance",$S86)),
ISNUMBER(SEARCH("fortitude",$D86)),ISNUMBER(SEARCH("fortitude",$T86)),ISNUMBER(SEARCH("fortitude",$R86)),ISNUMBER(SEARCH("fortitude",$S86)),
ISNUMBER(SEARCH("resolve",$D86)),ISNUMBER(SEARCH("resolve",$T86)),ISNUMBER(SEARCH("resolve",$R86)),ISNUMBER(SEARCH("resolve",$S86)),
ISNUMBER(SEARCH("stamina",$D86)),ISNUMBER(SEARCH("stamina",$T86)),ISNUMBER(SEARCH("stamina",$R86)),ISNUMBER(SEARCH("stamina",$S86)),
ISNUMBER(SEARCH("guts",$D86)),ISNUMBER(SEARCH("guts",$T86)),ISNUMBER(SEARCH("guts",$R86)),ISNUMBER(SEARCH("guts",$S86)),
ISNUMBER(SEARCH("spunk",$D86)),ISNUMBER(SEARCH("spunk",$T86)),ISNUMBER(SEARCH("spunk",$R86)),ISNUMBER(SEARCH("spunk",$S86))), 1, 0)</f>
        <v>0</v>
      </c>
      <c r="BW86" s="5">
        <f t="shared" si="507"/>
        <v>0</v>
      </c>
      <c r="BX86" s="5">
        <f t="shared" si="29"/>
        <v>0</v>
      </c>
      <c r="BY86" s="5">
        <f t="shared" si="30"/>
        <v>0</v>
      </c>
      <c r="BZ86" s="5">
        <f t="shared" si="31"/>
        <v>0</v>
      </c>
      <c r="CA86" s="5">
        <f t="shared" si="32"/>
        <v>0</v>
      </c>
      <c r="CB86" s="5">
        <f t="shared" si="33"/>
        <v>0</v>
      </c>
      <c r="CC86" s="5">
        <f t="shared" si="34"/>
        <v>0</v>
      </c>
      <c r="CD86" s="5">
        <f t="shared" si="35"/>
        <v>0</v>
      </c>
      <c r="CE86" s="5">
        <f t="shared" si="36"/>
        <v>0</v>
      </c>
      <c r="CF86" s="5">
        <f t="shared" si="37"/>
        <v>0</v>
      </c>
      <c r="CG86" s="5">
        <f t="shared" si="38"/>
        <v>0</v>
      </c>
      <c r="CH86" s="5">
        <f t="shared" si="39"/>
        <v>0</v>
      </c>
      <c r="CI86" s="5">
        <f t="shared" si="40"/>
        <v>0</v>
      </c>
      <c r="CJ86" s="5">
        <f t="shared" si="41"/>
        <v>0</v>
      </c>
      <c r="CK86" s="5">
        <f t="shared" si="42"/>
        <v>0</v>
      </c>
      <c r="CL86" s="5">
        <f t="shared" si="43"/>
        <v>0</v>
      </c>
      <c r="CM86" s="5">
        <f t="shared" si="44"/>
        <v>0</v>
      </c>
      <c r="CN86" s="5">
        <f t="shared" si="45"/>
        <v>0</v>
      </c>
      <c r="CO86" s="5">
        <f t="shared" si="46"/>
        <v>0</v>
      </c>
      <c r="CP86" s="6">
        <f t="shared" si="47"/>
        <v>0</v>
      </c>
      <c r="CQ86" s="6">
        <f t="shared" si="48"/>
        <v>0</v>
      </c>
      <c r="CR86" s="6">
        <f t="shared" si="49"/>
        <v>0</v>
      </c>
      <c r="CS86" s="6">
        <f t="shared" si="50"/>
        <v>0</v>
      </c>
      <c r="CT86" s="6">
        <f t="shared" si="508"/>
        <v>0</v>
      </c>
      <c r="CU86" s="6">
        <f t="shared" si="52"/>
        <v>0</v>
      </c>
      <c r="CV86" s="6">
        <f t="shared" si="53"/>
        <v>0</v>
      </c>
      <c r="CW86" s="6">
        <f t="shared" si="54"/>
        <v>0</v>
      </c>
      <c r="CX86" s="6">
        <f t="shared" si="55"/>
        <v>0</v>
      </c>
      <c r="CY86" s="6">
        <f t="shared" si="56"/>
        <v>0</v>
      </c>
      <c r="CZ86" s="6">
        <f t="shared" si="57"/>
        <v>0</v>
      </c>
      <c r="DA86" s="6">
        <f t="shared" si="58"/>
        <v>0</v>
      </c>
      <c r="DB86" s="6">
        <f t="shared" si="59"/>
        <v>0</v>
      </c>
      <c r="DC86" s="6">
        <f t="shared" si="60"/>
        <v>0</v>
      </c>
      <c r="DD86" s="6">
        <f t="shared" si="61"/>
        <v>0</v>
      </c>
      <c r="DE86" s="6">
        <f t="shared" si="62"/>
        <v>0</v>
      </c>
      <c r="DF86" s="6">
        <f t="shared" si="63"/>
        <v>0</v>
      </c>
      <c r="DG86" s="6">
        <f t="shared" si="64"/>
        <v>0</v>
      </c>
      <c r="DH86" s="6">
        <f t="shared" si="509"/>
        <v>0</v>
      </c>
      <c r="DI86" s="6">
        <f t="shared" si="66"/>
        <v>0</v>
      </c>
      <c r="DJ86" s="6">
        <f t="shared" si="510"/>
        <v>0</v>
      </c>
      <c r="DK86" s="7">
        <f t="shared" si="68"/>
        <v>0</v>
      </c>
      <c r="DL86" s="7">
        <f t="shared" si="498"/>
        <v>0</v>
      </c>
      <c r="DM86" s="7">
        <f t="shared" si="70"/>
        <v>0</v>
      </c>
      <c r="DN86" s="7">
        <f t="shared" si="71"/>
        <v>0</v>
      </c>
      <c r="DO86" s="7">
        <f t="shared" si="72"/>
        <v>1</v>
      </c>
      <c r="DP86" s="8">
        <f t="shared" si="73"/>
        <v>0</v>
      </c>
      <c r="DQ86" s="8">
        <f t="shared" si="74"/>
        <v>1</v>
      </c>
      <c r="DR86" s="7">
        <f t="shared" si="75"/>
        <v>0</v>
      </c>
      <c r="DS86" s="7">
        <f t="shared" si="76"/>
        <v>0</v>
      </c>
      <c r="DT86" s="7">
        <f t="shared" si="77"/>
        <v>0</v>
      </c>
      <c r="DU86" s="9">
        <f t="shared" si="78"/>
        <v>0</v>
      </c>
      <c r="DV86" s="9">
        <f t="shared" si="79"/>
        <v>0</v>
      </c>
      <c r="DW86" s="9">
        <f t="shared" si="80"/>
        <v>0</v>
      </c>
      <c r="DX86" s="9">
        <f t="shared" si="81"/>
        <v>0</v>
      </c>
      <c r="DY86" s="9">
        <f t="shared" si="82"/>
        <v>0</v>
      </c>
      <c r="DZ86" s="9">
        <f t="shared" si="83"/>
        <v>0</v>
      </c>
      <c r="EA86" s="9">
        <f t="shared" si="84"/>
        <v>0</v>
      </c>
      <c r="EB86" s="9">
        <f t="shared" si="85"/>
        <v>0</v>
      </c>
      <c r="EC86" s="9">
        <f t="shared" si="86"/>
        <v>0</v>
      </c>
      <c r="ED86" s="9">
        <f t="shared" si="87"/>
        <v>0</v>
      </c>
      <c r="EE86" s="9">
        <f t="shared" si="88"/>
        <v>0</v>
      </c>
      <c r="EF86" s="9">
        <f t="shared" si="89"/>
        <v>0</v>
      </c>
      <c r="EG86" s="9">
        <f t="shared" si="90"/>
        <v>0</v>
      </c>
      <c r="EH86" s="9">
        <f t="shared" si="91"/>
        <v>0</v>
      </c>
      <c r="EI86" s="9">
        <f t="shared" si="92"/>
        <v>0</v>
      </c>
      <c r="EJ86" s="10">
        <f t="shared" si="93"/>
        <v>0</v>
      </c>
      <c r="EK86" s="10">
        <f t="shared" si="94"/>
        <v>0</v>
      </c>
      <c r="EL86" s="10">
        <f t="shared" ref="EL86:EM86" si="511">IF(OR(ISNUMBER(SEARCH("ai software toolkit", $D86)), ISNUMBER(SEARCH("ai software toolkit", $T86)), ISNUMBER(SEARCH("ai software toolkit", $R86)), ISNUMBER(SEARCH("ai software toolkit", $S86))), 1, 0)</f>
        <v>0</v>
      </c>
      <c r="EM86" s="10">
        <f t="shared" si="511"/>
        <v>0</v>
      </c>
      <c r="EN86" s="10">
        <f t="shared" si="96"/>
        <v>0</v>
      </c>
      <c r="EO86" s="10">
        <f t="shared" si="97"/>
        <v>0</v>
      </c>
      <c r="EP86" s="10">
        <f t="shared" si="98"/>
        <v>0</v>
      </c>
      <c r="EQ86" s="10">
        <f t="shared" si="99"/>
        <v>0</v>
      </c>
      <c r="ER86" s="10">
        <f t="shared" si="100"/>
        <v>0</v>
      </c>
      <c r="ES86" s="10">
        <f t="shared" si="101"/>
        <v>0</v>
      </c>
      <c r="ET86" s="10">
        <f t="shared" si="102"/>
        <v>0</v>
      </c>
      <c r="EU86" s="10">
        <f t="shared" si="103"/>
        <v>0</v>
      </c>
      <c r="EV86" s="10">
        <f t="shared" si="104"/>
        <v>0</v>
      </c>
      <c r="EW86" s="10">
        <f t="shared" si="105"/>
        <v>0</v>
      </c>
      <c r="EX86" s="10">
        <f t="shared" si="106"/>
        <v>0</v>
      </c>
      <c r="EY86" s="10">
        <f t="shared" si="107"/>
        <v>0</v>
      </c>
      <c r="EZ86" s="10">
        <f t="shared" si="108"/>
        <v>0</v>
      </c>
      <c r="FA86" s="10">
        <f t="shared" si="109"/>
        <v>0</v>
      </c>
      <c r="FB86" s="10">
        <f t="shared" si="110"/>
        <v>0</v>
      </c>
      <c r="FC86" s="10">
        <f t="shared" si="111"/>
        <v>0</v>
      </c>
      <c r="FD86" s="10">
        <f t="shared" si="112"/>
        <v>0</v>
      </c>
      <c r="FE86" s="10">
        <f t="shared" si="113"/>
        <v>0</v>
      </c>
      <c r="FF86" s="10">
        <f t="shared" si="114"/>
        <v>0</v>
      </c>
      <c r="FG86" s="10">
        <f t="shared" si="115"/>
        <v>0</v>
      </c>
      <c r="FH86" s="10">
        <f t="shared" si="116"/>
        <v>0</v>
      </c>
      <c r="FI86" s="10">
        <f t="shared" si="117"/>
        <v>0</v>
      </c>
      <c r="FJ86" s="10">
        <f t="shared" si="118"/>
        <v>0</v>
      </c>
      <c r="FK86" s="10">
        <f t="shared" si="119"/>
        <v>0</v>
      </c>
      <c r="FL86" s="10">
        <f t="shared" si="120"/>
        <v>0</v>
      </c>
      <c r="FM86" s="10">
        <f t="shared" si="121"/>
        <v>0</v>
      </c>
      <c r="FN86" s="10">
        <f t="shared" si="122"/>
        <v>0</v>
      </c>
      <c r="FO86" s="10">
        <f t="shared" si="123"/>
        <v>0</v>
      </c>
      <c r="FP86" s="10">
        <f t="shared" si="124"/>
        <v>0</v>
      </c>
      <c r="FQ86" s="10">
        <f t="shared" si="125"/>
        <v>0</v>
      </c>
      <c r="FR86" s="11">
        <f t="shared" si="506"/>
        <v>0</v>
      </c>
      <c r="FS86" s="11">
        <f t="shared" si="127"/>
        <v>0</v>
      </c>
      <c r="FT86" s="11">
        <f t="shared" si="128"/>
        <v>0</v>
      </c>
      <c r="FU86" s="11">
        <f t="shared" si="129"/>
        <v>0</v>
      </c>
      <c r="FV86" s="11">
        <f t="shared" si="130"/>
        <v>0</v>
      </c>
      <c r="FW86" s="11">
        <f t="shared" si="131"/>
        <v>0</v>
      </c>
      <c r="FX86" s="11">
        <f t="shared" si="132"/>
        <v>0</v>
      </c>
      <c r="FY86" s="11">
        <f t="shared" si="133"/>
        <v>0</v>
      </c>
      <c r="FZ86" s="11">
        <f t="shared" si="134"/>
        <v>0</v>
      </c>
      <c r="GA86" s="11">
        <f t="shared" si="135"/>
        <v>0</v>
      </c>
      <c r="GB86" s="11">
        <f t="shared" si="136"/>
        <v>0</v>
      </c>
      <c r="GC86" s="11">
        <f t="shared" si="137"/>
        <v>0</v>
      </c>
      <c r="GD86" s="11">
        <f t="shared" si="138"/>
        <v>0</v>
      </c>
      <c r="GE86" s="11">
        <f t="shared" si="139"/>
        <v>0</v>
      </c>
      <c r="GF86" s="11">
        <f t="shared" si="140"/>
        <v>0</v>
      </c>
      <c r="GG86" s="11">
        <f t="shared" si="141"/>
        <v>0</v>
      </c>
      <c r="GH86" s="11">
        <f t="shared" si="142"/>
        <v>0</v>
      </c>
      <c r="GI86" s="11">
        <f t="shared" si="143"/>
        <v>0</v>
      </c>
      <c r="GJ86" s="11">
        <f t="shared" si="144"/>
        <v>0</v>
      </c>
      <c r="GK86" s="11">
        <f t="shared" si="145"/>
        <v>0</v>
      </c>
      <c r="GL86" s="11">
        <f t="shared" si="146"/>
        <v>0</v>
      </c>
      <c r="GM86" s="11">
        <f t="shared" si="147"/>
        <v>0</v>
      </c>
      <c r="GN86" s="11">
        <f t="shared" si="148"/>
        <v>0</v>
      </c>
      <c r="GO86" s="11">
        <f t="shared" si="149"/>
        <v>0</v>
      </c>
      <c r="GP86" s="11">
        <f t="shared" si="150"/>
        <v>0</v>
      </c>
      <c r="GQ86" s="11">
        <f t="shared" si="151"/>
        <v>0</v>
      </c>
      <c r="GR86" s="11">
        <f t="shared" si="152"/>
        <v>0</v>
      </c>
      <c r="GS86" s="11">
        <f t="shared" si="153"/>
        <v>0</v>
      </c>
      <c r="GT86" s="11">
        <f t="shared" si="154"/>
        <v>1</v>
      </c>
      <c r="GU86" s="12">
        <f t="shared" si="155"/>
        <v>0</v>
      </c>
      <c r="GV86" s="12">
        <f t="shared" si="156"/>
        <v>0</v>
      </c>
      <c r="GW86" s="12">
        <f t="shared" si="157"/>
        <v>0</v>
      </c>
      <c r="GX86" s="12">
        <f t="shared" si="158"/>
        <v>0</v>
      </c>
      <c r="GY86" s="12">
        <f t="shared" si="159"/>
        <v>0</v>
      </c>
      <c r="GZ86" s="12">
        <f t="shared" si="160"/>
        <v>0</v>
      </c>
      <c r="HA86" s="12">
        <f t="shared" si="161"/>
        <v>0</v>
      </c>
      <c r="HB86" s="12">
        <f t="shared" si="162"/>
        <v>0</v>
      </c>
      <c r="HC86" s="12">
        <f t="shared" si="163"/>
        <v>0</v>
      </c>
      <c r="HD86" s="12">
        <f t="shared" si="164"/>
        <v>0</v>
      </c>
      <c r="HE86" s="12">
        <f t="shared" si="165"/>
        <v>0</v>
      </c>
      <c r="HF86" s="12">
        <f t="shared" si="166"/>
        <v>0</v>
      </c>
      <c r="HG86" s="12">
        <f t="shared" si="167"/>
        <v>0</v>
      </c>
      <c r="HH86" s="12">
        <f t="shared" si="168"/>
        <v>0</v>
      </c>
      <c r="HI86" s="12">
        <f t="shared" si="169"/>
        <v>0</v>
      </c>
      <c r="HJ86" s="12">
        <f t="shared" si="170"/>
        <v>0</v>
      </c>
      <c r="HK86" s="12">
        <f t="shared" si="171"/>
        <v>0</v>
      </c>
      <c r="HL86" s="12">
        <f t="shared" si="172"/>
        <v>0</v>
      </c>
      <c r="HM86" s="12">
        <f t="shared" si="173"/>
        <v>0</v>
      </c>
      <c r="HN86" s="12">
        <f t="shared" si="174"/>
        <v>0</v>
      </c>
      <c r="HO86" s="12">
        <f t="shared" si="175"/>
        <v>0</v>
      </c>
      <c r="HP86" s="12">
        <f t="shared" si="176"/>
        <v>0</v>
      </c>
      <c r="HQ86" s="12">
        <f t="shared" si="177"/>
        <v>0</v>
      </c>
      <c r="HR86" s="12">
        <f t="shared" si="178"/>
        <v>0</v>
      </c>
      <c r="HS86" s="12">
        <f t="shared" si="179"/>
        <v>0</v>
      </c>
      <c r="HT86" s="12">
        <f t="shared" si="180"/>
        <v>0</v>
      </c>
      <c r="HU86" s="12">
        <f t="shared" si="181"/>
        <v>0</v>
      </c>
      <c r="HV86" s="12">
        <f t="shared" si="182"/>
        <v>0</v>
      </c>
      <c r="HW86" s="12">
        <f t="shared" si="183"/>
        <v>0</v>
      </c>
      <c r="HX86" s="12">
        <f t="shared" si="184"/>
        <v>0</v>
      </c>
      <c r="HY86" s="12">
        <f t="shared" si="185"/>
        <v>0</v>
      </c>
      <c r="HZ86" s="12">
        <f t="shared" si="186"/>
        <v>0</v>
      </c>
      <c r="IA86" s="12">
        <f t="shared" si="187"/>
        <v>0</v>
      </c>
      <c r="IB86" s="12">
        <f t="shared" si="188"/>
        <v>0</v>
      </c>
      <c r="IC86" s="12">
        <f t="shared" si="189"/>
        <v>0</v>
      </c>
      <c r="ID86" s="12">
        <f t="shared" si="190"/>
        <v>0</v>
      </c>
      <c r="IE86" s="12">
        <f t="shared" si="191"/>
        <v>0</v>
      </c>
      <c r="IF86" s="12">
        <f t="shared" si="192"/>
        <v>0</v>
      </c>
      <c r="IG86" s="12">
        <f t="shared" si="193"/>
        <v>0</v>
      </c>
      <c r="IH86" s="12">
        <f t="shared" si="194"/>
        <v>0</v>
      </c>
      <c r="II86" s="12">
        <f t="shared" si="195"/>
        <v>0</v>
      </c>
      <c r="IJ86" s="12">
        <f t="shared" si="196"/>
        <v>0</v>
      </c>
      <c r="IK86" s="12">
        <f t="shared" si="197"/>
        <v>0</v>
      </c>
      <c r="IL86" s="12">
        <f t="shared" si="198"/>
        <v>0</v>
      </c>
      <c r="IM86" s="12">
        <f t="shared" si="199"/>
        <v>0</v>
      </c>
      <c r="IN86" s="12">
        <f t="shared" si="200"/>
        <v>0</v>
      </c>
      <c r="IO86" s="12">
        <f t="shared" si="201"/>
        <v>0</v>
      </c>
      <c r="IP86" s="12">
        <f t="shared" si="202"/>
        <v>0</v>
      </c>
      <c r="IQ86" s="12">
        <f t="shared" si="203"/>
        <v>0</v>
      </c>
      <c r="IR86" s="12">
        <f t="shared" si="204"/>
        <v>0</v>
      </c>
      <c r="IS86" s="12">
        <f t="shared" si="205"/>
        <v>0</v>
      </c>
      <c r="IT86" s="12">
        <f t="shared" si="206"/>
        <v>0</v>
      </c>
      <c r="IU86" s="12">
        <f t="shared" si="207"/>
        <v>0</v>
      </c>
      <c r="IV86" s="12">
        <f t="shared" si="208"/>
        <v>0</v>
      </c>
      <c r="IW86" s="12">
        <f t="shared" si="209"/>
        <v>0</v>
      </c>
      <c r="IX86" s="12">
        <f t="shared" si="210"/>
        <v>0</v>
      </c>
      <c r="IY86" s="12">
        <f t="shared" si="211"/>
        <v>0</v>
      </c>
      <c r="IZ86" s="12">
        <f t="shared" si="212"/>
        <v>0</v>
      </c>
      <c r="JA86" s="13">
        <f t="shared" si="213"/>
        <v>0</v>
      </c>
      <c r="JB86" s="13">
        <f t="shared" si="214"/>
        <v>0</v>
      </c>
      <c r="JC86" s="13">
        <f t="shared" si="215"/>
        <v>0</v>
      </c>
      <c r="JD86" s="13">
        <f t="shared" si="216"/>
        <v>1</v>
      </c>
      <c r="JE86" s="13">
        <f t="shared" si="217"/>
        <v>0</v>
      </c>
      <c r="JF86" s="13">
        <f t="shared" si="218"/>
        <v>0</v>
      </c>
      <c r="JG86" s="13">
        <f t="shared" si="219"/>
        <v>0</v>
      </c>
      <c r="JH86" s="13">
        <f t="shared" si="220"/>
        <v>0</v>
      </c>
      <c r="JI86" s="13">
        <f t="shared" si="221"/>
        <v>0</v>
      </c>
      <c r="JJ86" s="13">
        <f t="shared" si="222"/>
        <v>0</v>
      </c>
      <c r="JK86" s="13">
        <f t="shared" si="223"/>
        <v>1</v>
      </c>
      <c r="JL86" s="13">
        <f t="shared" si="224"/>
        <v>0</v>
      </c>
      <c r="JM86" s="13">
        <f t="shared" si="225"/>
        <v>0</v>
      </c>
      <c r="JN86" s="13">
        <f t="shared" si="226"/>
        <v>0</v>
      </c>
      <c r="JO86" s="13">
        <f t="shared" si="227"/>
        <v>0</v>
      </c>
      <c r="JP86" s="13">
        <f t="shared" si="228"/>
        <v>0</v>
      </c>
      <c r="JQ86" s="13">
        <f t="shared" si="229"/>
        <v>0</v>
      </c>
      <c r="JR86" s="13">
        <f t="shared" si="230"/>
        <v>0</v>
      </c>
      <c r="JS86" s="13">
        <f t="shared" si="231"/>
        <v>0</v>
      </c>
      <c r="JT86" s="13">
        <f t="shared" si="232"/>
        <v>0</v>
      </c>
      <c r="JU86" s="13">
        <f t="shared" si="233"/>
        <v>1</v>
      </c>
      <c r="JV86" s="12">
        <f t="shared" si="234"/>
        <v>0</v>
      </c>
      <c r="JW86" s="12">
        <f t="shared" si="235"/>
        <v>0</v>
      </c>
      <c r="JX86" s="12">
        <f t="shared" si="236"/>
        <v>0</v>
      </c>
      <c r="JY86" s="12">
        <f t="shared" si="237"/>
        <v>0</v>
      </c>
      <c r="JZ86" s="12">
        <f t="shared" si="238"/>
        <v>0</v>
      </c>
      <c r="KA86" s="12">
        <f t="shared" si="239"/>
        <v>0</v>
      </c>
      <c r="KB86" s="12">
        <f t="shared" si="240"/>
        <v>0</v>
      </c>
      <c r="KC86" s="12">
        <f t="shared" si="241"/>
        <v>0</v>
      </c>
      <c r="KD86" s="12">
        <f t="shared" si="242"/>
        <v>0</v>
      </c>
      <c r="KE86" s="12">
        <f t="shared" si="243"/>
        <v>0</v>
      </c>
      <c r="KF86" s="12">
        <f t="shared" si="244"/>
        <v>0</v>
      </c>
      <c r="KG86" s="12">
        <f t="shared" si="245"/>
        <v>0</v>
      </c>
      <c r="KH86" s="12">
        <f t="shared" si="246"/>
        <v>0</v>
      </c>
      <c r="KI86" s="12">
        <f t="shared" si="247"/>
        <v>0</v>
      </c>
      <c r="KJ86" s="12">
        <f t="shared" si="248"/>
        <v>0</v>
      </c>
      <c r="KK86" s="12">
        <f t="shared" si="249"/>
        <v>0</v>
      </c>
      <c r="KL86" s="12">
        <f t="shared" si="250"/>
        <v>0</v>
      </c>
      <c r="KM86" s="12">
        <f t="shared" si="251"/>
        <v>0</v>
      </c>
      <c r="KN86" s="12">
        <f t="shared" si="252"/>
        <v>0</v>
      </c>
      <c r="KO86" s="12">
        <f t="shared" si="253"/>
        <v>0</v>
      </c>
      <c r="KP86" s="12">
        <f t="shared" si="254"/>
        <v>0</v>
      </c>
      <c r="KQ86" s="12">
        <f t="shared" si="255"/>
        <v>0</v>
      </c>
      <c r="KR86" s="12">
        <f t="shared" si="256"/>
        <v>0</v>
      </c>
      <c r="KS86" s="12">
        <f t="shared" si="257"/>
        <v>0</v>
      </c>
      <c r="KT86" s="12">
        <f t="shared" si="258"/>
        <v>0</v>
      </c>
      <c r="KU86" s="12">
        <f t="shared" si="259"/>
        <v>0</v>
      </c>
      <c r="KV86" s="12">
        <f t="shared" si="260"/>
        <v>0</v>
      </c>
      <c r="KW86" s="12">
        <f t="shared" si="261"/>
        <v>0</v>
      </c>
      <c r="KX86" s="12">
        <f t="shared" si="262"/>
        <v>0</v>
      </c>
      <c r="KY86" s="12">
        <f t="shared" si="263"/>
        <v>0</v>
      </c>
      <c r="KZ86" s="12">
        <f t="shared" si="264"/>
        <v>0</v>
      </c>
      <c r="LA86" s="12">
        <f t="shared" si="265"/>
        <v>0</v>
      </c>
      <c r="LB86" s="12">
        <f t="shared" si="266"/>
        <v>0</v>
      </c>
      <c r="LC86" s="12">
        <f t="shared" si="267"/>
        <v>0</v>
      </c>
      <c r="LD86" s="12">
        <f t="shared" si="268"/>
        <v>0</v>
      </c>
      <c r="LE86" s="12">
        <f t="shared" si="269"/>
        <v>0</v>
      </c>
      <c r="LF86" s="12">
        <f t="shared" si="270"/>
        <v>0</v>
      </c>
      <c r="LG86" s="12">
        <f t="shared" si="271"/>
        <v>0</v>
      </c>
      <c r="LH86" s="12">
        <f t="shared" si="272"/>
        <v>0</v>
      </c>
      <c r="LI86" s="12">
        <f t="shared" si="273"/>
        <v>0</v>
      </c>
      <c r="LJ86" s="12">
        <f t="shared" si="274"/>
        <v>0</v>
      </c>
      <c r="LK86" s="12">
        <f t="shared" si="275"/>
        <v>0</v>
      </c>
      <c r="LL86" s="12">
        <f t="shared" si="276"/>
        <v>0</v>
      </c>
      <c r="LM86" s="12">
        <f t="shared" si="277"/>
        <v>0</v>
      </c>
      <c r="LN86" s="12">
        <f t="shared" si="278"/>
        <v>0</v>
      </c>
      <c r="LO86" s="12">
        <f t="shared" si="279"/>
        <v>0</v>
      </c>
      <c r="LP86" s="12">
        <f t="shared" si="280"/>
        <v>0</v>
      </c>
      <c r="LQ86" s="12">
        <f t="shared" si="281"/>
        <v>0</v>
      </c>
      <c r="LR86" s="12">
        <f t="shared" si="282"/>
        <v>0</v>
      </c>
      <c r="LS86" s="12">
        <f t="shared" si="283"/>
        <v>0</v>
      </c>
      <c r="LT86" s="13">
        <f t="shared" si="284"/>
        <v>0</v>
      </c>
      <c r="LU86" s="13">
        <f t="shared" si="285"/>
        <v>0</v>
      </c>
      <c r="LV86" s="13">
        <f t="shared" si="286"/>
        <v>0</v>
      </c>
      <c r="LW86" s="13">
        <f t="shared" si="287"/>
        <v>0</v>
      </c>
      <c r="LX86" s="13">
        <f t="shared" si="288"/>
        <v>0</v>
      </c>
      <c r="LY86" s="13">
        <f t="shared" si="289"/>
        <v>0</v>
      </c>
      <c r="LZ86" s="13">
        <f t="shared" si="290"/>
        <v>0</v>
      </c>
      <c r="MA86" s="13">
        <f t="shared" si="291"/>
        <v>0</v>
      </c>
      <c r="MB86" s="13">
        <f t="shared" si="292"/>
        <v>0</v>
      </c>
      <c r="MC86" s="13">
        <f t="shared" si="293"/>
        <v>0</v>
      </c>
      <c r="MD86" s="13">
        <f t="shared" si="294"/>
        <v>0</v>
      </c>
      <c r="ME86" s="13">
        <f t="shared" si="295"/>
        <v>0</v>
      </c>
      <c r="MF86" s="13">
        <f t="shared" si="296"/>
        <v>0</v>
      </c>
      <c r="MG86" s="13">
        <f t="shared" si="297"/>
        <v>0</v>
      </c>
      <c r="MH86" s="13">
        <f t="shared" si="298"/>
        <v>0</v>
      </c>
      <c r="MI86" s="13">
        <f t="shared" si="299"/>
        <v>0</v>
      </c>
      <c r="MJ86" s="13">
        <f t="shared" si="300"/>
        <v>0</v>
      </c>
      <c r="MK86" s="13">
        <f t="shared" si="301"/>
        <v>0</v>
      </c>
      <c r="ML86" s="14">
        <f t="shared" si="302"/>
        <v>0</v>
      </c>
      <c r="MM86" s="14">
        <f t="shared" si="303"/>
        <v>0</v>
      </c>
      <c r="MN86" s="14">
        <f t="shared" si="304"/>
        <v>0</v>
      </c>
      <c r="MO86" s="14">
        <f t="shared" si="305"/>
        <v>0</v>
      </c>
      <c r="MP86" s="14">
        <f t="shared" si="306"/>
        <v>0</v>
      </c>
      <c r="MQ86" s="14">
        <f t="shared" si="307"/>
        <v>0</v>
      </c>
      <c r="MR86" s="14">
        <f t="shared" si="308"/>
        <v>0</v>
      </c>
      <c r="MS86" s="14">
        <f t="shared" si="309"/>
        <v>0</v>
      </c>
      <c r="MT86" s="14">
        <f t="shared" si="310"/>
        <v>0</v>
      </c>
      <c r="MU86" s="14">
        <f t="shared" si="311"/>
        <v>0</v>
      </c>
      <c r="MV86" s="14">
        <f t="shared" si="312"/>
        <v>0</v>
      </c>
      <c r="MW86" s="14">
        <f t="shared" si="313"/>
        <v>0</v>
      </c>
      <c r="MX86" s="14">
        <f t="shared" si="314"/>
        <v>0</v>
      </c>
      <c r="MY86" s="14">
        <f t="shared" si="315"/>
        <v>0</v>
      </c>
      <c r="MZ86" s="14">
        <f t="shared" si="316"/>
        <v>0</v>
      </c>
      <c r="NA86" s="14">
        <f t="shared" si="317"/>
        <v>0</v>
      </c>
      <c r="NB86" s="14">
        <f t="shared" si="318"/>
        <v>0</v>
      </c>
    </row>
    <row r="87" ht="15.75" customHeight="1">
      <c r="A87" s="2">
        <v>426.0</v>
      </c>
      <c r="B87" s="2" t="s">
        <v>1863</v>
      </c>
      <c r="C87" s="2" t="s">
        <v>1864</v>
      </c>
      <c r="D87" s="2" t="s">
        <v>1865</v>
      </c>
      <c r="E87" s="2">
        <v>2012.0</v>
      </c>
      <c r="F87" s="2" t="s">
        <v>1866</v>
      </c>
      <c r="G87" s="2" t="s">
        <v>1013</v>
      </c>
      <c r="H87" s="2" t="s">
        <v>432</v>
      </c>
      <c r="J87" s="2" t="s">
        <v>1867</v>
      </c>
      <c r="K87" s="2" t="s">
        <v>1868</v>
      </c>
      <c r="M87" s="2">
        <v>13.0</v>
      </c>
      <c r="N87" s="2" t="s">
        <v>1869</v>
      </c>
      <c r="O87" s="2" t="s">
        <v>1870</v>
      </c>
      <c r="P87" s="2" t="s">
        <v>1871</v>
      </c>
      <c r="Q87" s="2" t="s">
        <v>1872</v>
      </c>
      <c r="R87" s="2" t="s">
        <v>1873</v>
      </c>
      <c r="S87" s="2" t="s">
        <v>1874</v>
      </c>
      <c r="T87" s="2" t="s">
        <v>1875</v>
      </c>
      <c r="Y87" s="2" t="s">
        <v>1876</v>
      </c>
      <c r="AB87" s="2" t="s">
        <v>1877</v>
      </c>
      <c r="AG87" s="2" t="s">
        <v>1878</v>
      </c>
      <c r="AK87" s="2" t="s">
        <v>1879</v>
      </c>
      <c r="AL87" s="2" t="s">
        <v>384</v>
      </c>
      <c r="AM87" s="2" t="s">
        <v>484</v>
      </c>
      <c r="AN87" s="2" t="s">
        <v>386</v>
      </c>
      <c r="AO87" s="2" t="s">
        <v>1880</v>
      </c>
      <c r="AP87" s="2" t="s">
        <v>386</v>
      </c>
      <c r="AQ87" s="2">
        <v>1669.0</v>
      </c>
      <c r="AR87" s="2" t="s">
        <v>1865</v>
      </c>
      <c r="AS87" s="2" t="b">
        <v>1</v>
      </c>
      <c r="AT87" s="3">
        <v>0.0</v>
      </c>
      <c r="AU87" s="4"/>
      <c r="AV87" s="4"/>
      <c r="AW87" s="5">
        <f t="shared" si="432"/>
        <v>0</v>
      </c>
      <c r="AX87" s="5">
        <f t="shared" si="4"/>
        <v>0</v>
      </c>
      <c r="AY87" s="5">
        <f t="shared" si="5"/>
        <v>0</v>
      </c>
      <c r="AZ87" s="5">
        <f t="shared" si="6"/>
        <v>0</v>
      </c>
      <c r="BA87" s="5">
        <f t="shared" si="7"/>
        <v>0</v>
      </c>
      <c r="BB87" s="5">
        <f t="shared" si="8"/>
        <v>0</v>
      </c>
      <c r="BC87" s="5">
        <f t="shared" si="9"/>
        <v>0</v>
      </c>
      <c r="BD87" s="5">
        <f t="shared" si="10"/>
        <v>0</v>
      </c>
      <c r="BE87" s="5">
        <f t="shared" si="11"/>
        <v>0</v>
      </c>
      <c r="BF87" s="5">
        <f t="shared" si="12"/>
        <v>0</v>
      </c>
      <c r="BG87" s="5">
        <f t="shared" si="13"/>
        <v>0</v>
      </c>
      <c r="BH87" s="5">
        <f t="shared" si="14"/>
        <v>0</v>
      </c>
      <c r="BI87" s="5">
        <f t="shared" si="15"/>
        <v>0</v>
      </c>
      <c r="BJ87" s="5">
        <f t="shared" si="16"/>
        <v>0</v>
      </c>
      <c r="BK87" s="5">
        <f t="shared" si="17"/>
        <v>0</v>
      </c>
      <c r="BL87" s="5">
        <f t="shared" si="18"/>
        <v>0</v>
      </c>
      <c r="BM87" s="5">
        <f t="shared" si="19"/>
        <v>0</v>
      </c>
      <c r="BN87" s="5">
        <f t="shared" si="20"/>
        <v>0</v>
      </c>
      <c r="BO87" s="5">
        <f t="shared" si="21"/>
        <v>0</v>
      </c>
      <c r="BP87" s="5">
        <f t="shared" si="22"/>
        <v>0</v>
      </c>
      <c r="BQ87" s="5">
        <f t="shared" si="23"/>
        <v>0</v>
      </c>
      <c r="BR87" s="5">
        <f t="shared" si="24"/>
        <v>0</v>
      </c>
      <c r="BS87" s="5">
        <f t="shared" si="25"/>
        <v>0</v>
      </c>
      <c r="BT87" s="5">
        <f t="shared" si="26"/>
        <v>0</v>
      </c>
      <c r="BU87" s="5">
        <f t="shared" si="27"/>
        <v>0</v>
      </c>
      <c r="BV87" s="5">
        <f t="shared" ref="BV87:BW87" si="512">IF(OR(ISNUMBER(SEARCH("grit",$D87)),ISNUMBER(SEARCH("grit",$T87)),ISNUMBER(SEARCH("grit",$R87)),ISNUMBER(SEARCH("grit",$S87)),
ISNUMBER(SEARCH("determination",$D87)),ISNUMBER(SEARCH("determination",$T87)),ISNUMBER(SEARCH("determination",$R87)),ISNUMBER(SEARCH("determination",$S87)),
ISNUMBER(SEARCH("tenacity",$D87)),ISNUMBER(SEARCH("tenacity",$T87)),ISNUMBER(SEARCH("tenacity",$R87)),ISNUMBER(SEARCH("tenacity",$S87)),
ISNUMBER(SEARCH("endurance",$D87)),ISNUMBER(SEARCH("endurance",$T87)),ISNUMBER(SEARCH("endurance",$R87)),ISNUMBER(SEARCH("endurance",$S87)),
ISNUMBER(SEARCH("fortitude",$D87)),ISNUMBER(SEARCH("fortitude",$T87)),ISNUMBER(SEARCH("fortitude",$R87)),ISNUMBER(SEARCH("fortitude",$S87)),
ISNUMBER(SEARCH("resolve",$D87)),ISNUMBER(SEARCH("resolve",$T87)),ISNUMBER(SEARCH("resolve",$R87)),ISNUMBER(SEARCH("resolve",$S87)),
ISNUMBER(SEARCH("stamina",$D87)),ISNUMBER(SEARCH("stamina",$T87)),ISNUMBER(SEARCH("stamina",$R87)),ISNUMBER(SEARCH("stamina",$S87)),
ISNUMBER(SEARCH("guts",$D87)),ISNUMBER(SEARCH("guts",$T87)),ISNUMBER(SEARCH("guts",$R87)),ISNUMBER(SEARCH("guts",$S87)),
ISNUMBER(SEARCH("spunk",$D87)),ISNUMBER(SEARCH("spunk",$T87)),ISNUMBER(SEARCH("spunk",$R87)),ISNUMBER(SEARCH("spunk",$S87))), 1, 0)</f>
        <v>0</v>
      </c>
      <c r="BW87" s="5">
        <f t="shared" si="512"/>
        <v>0</v>
      </c>
      <c r="BX87" s="5">
        <f t="shared" si="29"/>
        <v>0</v>
      </c>
      <c r="BY87" s="5">
        <f t="shared" si="30"/>
        <v>0</v>
      </c>
      <c r="BZ87" s="5">
        <f t="shared" si="31"/>
        <v>0</v>
      </c>
      <c r="CA87" s="5">
        <f t="shared" si="32"/>
        <v>0</v>
      </c>
      <c r="CB87" s="5">
        <f t="shared" si="33"/>
        <v>0</v>
      </c>
      <c r="CC87" s="5">
        <f t="shared" si="34"/>
        <v>0</v>
      </c>
      <c r="CD87" s="5">
        <f t="shared" si="35"/>
        <v>0</v>
      </c>
      <c r="CE87" s="5">
        <f t="shared" si="36"/>
        <v>0</v>
      </c>
      <c r="CF87" s="5">
        <f t="shared" si="37"/>
        <v>0</v>
      </c>
      <c r="CG87" s="5">
        <f t="shared" si="38"/>
        <v>0</v>
      </c>
      <c r="CH87" s="5">
        <f t="shared" si="39"/>
        <v>0</v>
      </c>
      <c r="CI87" s="5">
        <f t="shared" si="40"/>
        <v>0</v>
      </c>
      <c r="CJ87" s="5">
        <f t="shared" si="41"/>
        <v>0</v>
      </c>
      <c r="CK87" s="5">
        <f t="shared" si="42"/>
        <v>0</v>
      </c>
      <c r="CL87" s="5">
        <f t="shared" si="43"/>
        <v>0</v>
      </c>
      <c r="CM87" s="5">
        <f t="shared" si="44"/>
        <v>0</v>
      </c>
      <c r="CN87" s="5">
        <f t="shared" si="45"/>
        <v>0</v>
      </c>
      <c r="CO87" s="5">
        <f t="shared" si="46"/>
        <v>0</v>
      </c>
      <c r="CP87" s="6">
        <f t="shared" si="47"/>
        <v>0</v>
      </c>
      <c r="CQ87" s="6">
        <f t="shared" si="48"/>
        <v>0</v>
      </c>
      <c r="CR87" s="6">
        <f t="shared" si="49"/>
        <v>0</v>
      </c>
      <c r="CS87" s="6">
        <f t="shared" si="50"/>
        <v>0</v>
      </c>
      <c r="CT87" s="6">
        <f t="shared" si="508"/>
        <v>0</v>
      </c>
      <c r="CU87" s="6">
        <f t="shared" si="52"/>
        <v>0</v>
      </c>
      <c r="CV87" s="6">
        <f t="shared" si="53"/>
        <v>0</v>
      </c>
      <c r="CW87" s="6">
        <f t="shared" si="54"/>
        <v>0</v>
      </c>
      <c r="CX87" s="6">
        <f t="shared" si="55"/>
        <v>0</v>
      </c>
      <c r="CY87" s="6">
        <f t="shared" si="56"/>
        <v>0</v>
      </c>
      <c r="CZ87" s="6">
        <f t="shared" si="57"/>
        <v>0</v>
      </c>
      <c r="DA87" s="6">
        <f t="shared" si="58"/>
        <v>0</v>
      </c>
      <c r="DB87" s="6">
        <f t="shared" si="59"/>
        <v>0</v>
      </c>
      <c r="DC87" s="6">
        <f t="shared" si="60"/>
        <v>0</v>
      </c>
      <c r="DD87" s="6">
        <f t="shared" si="61"/>
        <v>0</v>
      </c>
      <c r="DE87" s="6">
        <f t="shared" si="62"/>
        <v>0</v>
      </c>
      <c r="DF87" s="6">
        <f t="shared" si="63"/>
        <v>0</v>
      </c>
      <c r="DG87" s="6">
        <f t="shared" si="64"/>
        <v>0</v>
      </c>
      <c r="DH87" s="6">
        <f t="shared" si="509"/>
        <v>0</v>
      </c>
      <c r="DI87" s="6">
        <f t="shared" si="66"/>
        <v>0</v>
      </c>
      <c r="DJ87" s="6">
        <f t="shared" si="510"/>
        <v>0</v>
      </c>
      <c r="DK87" s="7">
        <f t="shared" si="68"/>
        <v>0</v>
      </c>
      <c r="DL87" s="7">
        <f t="shared" si="498"/>
        <v>0</v>
      </c>
      <c r="DM87" s="7">
        <f t="shared" si="70"/>
        <v>0</v>
      </c>
      <c r="DN87" s="7">
        <f t="shared" si="71"/>
        <v>0</v>
      </c>
      <c r="DO87" s="7">
        <f t="shared" si="72"/>
        <v>1</v>
      </c>
      <c r="DP87" s="8">
        <f t="shared" si="73"/>
        <v>0</v>
      </c>
      <c r="DQ87" s="8">
        <f t="shared" si="74"/>
        <v>0</v>
      </c>
      <c r="DR87" s="7">
        <f t="shared" si="75"/>
        <v>0</v>
      </c>
      <c r="DS87" s="7">
        <f t="shared" si="76"/>
        <v>0</v>
      </c>
      <c r="DT87" s="7">
        <f t="shared" si="77"/>
        <v>0</v>
      </c>
      <c r="DU87" s="9">
        <f t="shared" si="78"/>
        <v>0</v>
      </c>
      <c r="DV87" s="9">
        <f t="shared" si="79"/>
        <v>0</v>
      </c>
      <c r="DW87" s="9">
        <f t="shared" si="80"/>
        <v>0</v>
      </c>
      <c r="DX87" s="9">
        <f t="shared" si="81"/>
        <v>0</v>
      </c>
      <c r="DY87" s="9">
        <f t="shared" si="82"/>
        <v>0</v>
      </c>
      <c r="DZ87" s="9">
        <f t="shared" si="83"/>
        <v>0</v>
      </c>
      <c r="EA87" s="9">
        <f t="shared" si="84"/>
        <v>0</v>
      </c>
      <c r="EB87" s="9">
        <f t="shared" si="85"/>
        <v>0</v>
      </c>
      <c r="EC87" s="9">
        <f t="shared" si="86"/>
        <v>0</v>
      </c>
      <c r="ED87" s="9">
        <f t="shared" si="87"/>
        <v>0</v>
      </c>
      <c r="EE87" s="9">
        <f t="shared" si="88"/>
        <v>0</v>
      </c>
      <c r="EF87" s="9">
        <f t="shared" si="89"/>
        <v>0</v>
      </c>
      <c r="EG87" s="9">
        <f t="shared" si="90"/>
        <v>0</v>
      </c>
      <c r="EH87" s="9">
        <f t="shared" si="91"/>
        <v>0</v>
      </c>
      <c r="EI87" s="9">
        <f t="shared" si="92"/>
        <v>0</v>
      </c>
      <c r="EJ87" s="10">
        <f t="shared" si="93"/>
        <v>0</v>
      </c>
      <c r="EK87" s="10">
        <f t="shared" si="94"/>
        <v>0</v>
      </c>
      <c r="EL87" s="10">
        <f t="shared" ref="EL87:EM87" si="513">IF(OR(ISNUMBER(SEARCH("ai software toolkit", $D87)), ISNUMBER(SEARCH("ai software toolkit", $T87)), ISNUMBER(SEARCH("ai software toolkit", $R87)), ISNUMBER(SEARCH("ai software toolkit", $S87))), 1, 0)</f>
        <v>0</v>
      </c>
      <c r="EM87" s="10">
        <f t="shared" si="513"/>
        <v>0</v>
      </c>
      <c r="EN87" s="10">
        <f t="shared" si="96"/>
        <v>0</v>
      </c>
      <c r="EO87" s="10">
        <f t="shared" si="97"/>
        <v>0</v>
      </c>
      <c r="EP87" s="10">
        <f t="shared" si="98"/>
        <v>0</v>
      </c>
      <c r="EQ87" s="10">
        <f t="shared" si="99"/>
        <v>0</v>
      </c>
      <c r="ER87" s="10">
        <f t="shared" si="100"/>
        <v>0</v>
      </c>
      <c r="ES87" s="10">
        <f t="shared" si="101"/>
        <v>0</v>
      </c>
      <c r="ET87" s="10">
        <f t="shared" si="102"/>
        <v>0</v>
      </c>
      <c r="EU87" s="10">
        <f t="shared" si="103"/>
        <v>0</v>
      </c>
      <c r="EV87" s="10">
        <f t="shared" si="104"/>
        <v>0</v>
      </c>
      <c r="EW87" s="10">
        <f t="shared" si="105"/>
        <v>0</v>
      </c>
      <c r="EX87" s="10">
        <f t="shared" si="106"/>
        <v>0</v>
      </c>
      <c r="EY87" s="10">
        <f t="shared" si="107"/>
        <v>0</v>
      </c>
      <c r="EZ87" s="10">
        <f t="shared" si="108"/>
        <v>0</v>
      </c>
      <c r="FA87" s="10">
        <f t="shared" si="109"/>
        <v>0</v>
      </c>
      <c r="FB87" s="10">
        <f t="shared" si="110"/>
        <v>0</v>
      </c>
      <c r="FC87" s="10">
        <f t="shared" si="111"/>
        <v>0</v>
      </c>
      <c r="FD87" s="10">
        <f t="shared" si="112"/>
        <v>0</v>
      </c>
      <c r="FE87" s="10">
        <f t="shared" si="113"/>
        <v>0</v>
      </c>
      <c r="FF87" s="10">
        <f t="shared" si="114"/>
        <v>0</v>
      </c>
      <c r="FG87" s="10">
        <f t="shared" si="115"/>
        <v>0</v>
      </c>
      <c r="FH87" s="10">
        <f t="shared" si="116"/>
        <v>0</v>
      </c>
      <c r="FI87" s="10">
        <f t="shared" si="117"/>
        <v>0</v>
      </c>
      <c r="FJ87" s="10">
        <f t="shared" si="118"/>
        <v>0</v>
      </c>
      <c r="FK87" s="10">
        <f t="shared" si="119"/>
        <v>0</v>
      </c>
      <c r="FL87" s="10">
        <f t="shared" si="120"/>
        <v>0</v>
      </c>
      <c r="FM87" s="10">
        <f t="shared" si="121"/>
        <v>0</v>
      </c>
      <c r="FN87" s="10">
        <f t="shared" si="122"/>
        <v>0</v>
      </c>
      <c r="FO87" s="10">
        <f t="shared" si="123"/>
        <v>0</v>
      </c>
      <c r="FP87" s="10">
        <f t="shared" si="124"/>
        <v>1</v>
      </c>
      <c r="FQ87" s="10">
        <f t="shared" si="125"/>
        <v>0</v>
      </c>
      <c r="FR87" s="11">
        <f t="shared" si="506"/>
        <v>0</v>
      </c>
      <c r="FS87" s="11">
        <f t="shared" si="127"/>
        <v>0</v>
      </c>
      <c r="FT87" s="11">
        <f t="shared" si="128"/>
        <v>0</v>
      </c>
      <c r="FU87" s="11">
        <f t="shared" si="129"/>
        <v>0</v>
      </c>
      <c r="FV87" s="11">
        <f t="shared" si="130"/>
        <v>0</v>
      </c>
      <c r="FW87" s="11">
        <f t="shared" si="131"/>
        <v>0</v>
      </c>
      <c r="FX87" s="11">
        <f t="shared" si="132"/>
        <v>0</v>
      </c>
      <c r="FY87" s="11">
        <f t="shared" si="133"/>
        <v>0</v>
      </c>
      <c r="FZ87" s="11">
        <f t="shared" si="134"/>
        <v>0</v>
      </c>
      <c r="GA87" s="11">
        <f t="shared" si="135"/>
        <v>0</v>
      </c>
      <c r="GB87" s="11">
        <f t="shared" si="136"/>
        <v>0</v>
      </c>
      <c r="GC87" s="11">
        <f t="shared" si="137"/>
        <v>0</v>
      </c>
      <c r="GD87" s="11">
        <f t="shared" si="138"/>
        <v>0</v>
      </c>
      <c r="GE87" s="11">
        <f t="shared" si="139"/>
        <v>0</v>
      </c>
      <c r="GF87" s="11">
        <f t="shared" si="140"/>
        <v>0</v>
      </c>
      <c r="GG87" s="11">
        <f t="shared" si="141"/>
        <v>0</v>
      </c>
      <c r="GH87" s="11">
        <f t="shared" si="142"/>
        <v>0</v>
      </c>
      <c r="GI87" s="11">
        <f t="shared" si="143"/>
        <v>0</v>
      </c>
      <c r="GJ87" s="11">
        <f t="shared" si="144"/>
        <v>0</v>
      </c>
      <c r="GK87" s="11">
        <f t="shared" si="145"/>
        <v>0</v>
      </c>
      <c r="GL87" s="11">
        <f t="shared" si="146"/>
        <v>0</v>
      </c>
      <c r="GM87" s="11">
        <f t="shared" si="147"/>
        <v>0</v>
      </c>
      <c r="GN87" s="11">
        <f t="shared" si="148"/>
        <v>0</v>
      </c>
      <c r="GO87" s="11">
        <f t="shared" si="149"/>
        <v>0</v>
      </c>
      <c r="GP87" s="11">
        <f t="shared" si="150"/>
        <v>0</v>
      </c>
      <c r="GQ87" s="11">
        <f t="shared" si="151"/>
        <v>1</v>
      </c>
      <c r="GR87" s="11">
        <f t="shared" si="152"/>
        <v>0</v>
      </c>
      <c r="GS87" s="11">
        <f t="shared" si="153"/>
        <v>0</v>
      </c>
      <c r="GT87" s="11">
        <f t="shared" si="154"/>
        <v>0</v>
      </c>
      <c r="GU87" s="12">
        <f t="shared" si="155"/>
        <v>0</v>
      </c>
      <c r="GV87" s="12">
        <f t="shared" si="156"/>
        <v>0</v>
      </c>
      <c r="GW87" s="12">
        <f t="shared" si="157"/>
        <v>0</v>
      </c>
      <c r="GX87" s="12">
        <f t="shared" si="158"/>
        <v>0</v>
      </c>
      <c r="GY87" s="12">
        <f t="shared" si="159"/>
        <v>0</v>
      </c>
      <c r="GZ87" s="12">
        <f t="shared" si="160"/>
        <v>0</v>
      </c>
      <c r="HA87" s="12">
        <f t="shared" si="161"/>
        <v>0</v>
      </c>
      <c r="HB87" s="12">
        <f t="shared" si="162"/>
        <v>0</v>
      </c>
      <c r="HC87" s="12">
        <f t="shared" si="163"/>
        <v>0</v>
      </c>
      <c r="HD87" s="12">
        <f t="shared" si="164"/>
        <v>0</v>
      </c>
      <c r="HE87" s="12">
        <f t="shared" si="165"/>
        <v>0</v>
      </c>
      <c r="HF87" s="12">
        <f t="shared" si="166"/>
        <v>0</v>
      </c>
      <c r="HG87" s="12">
        <f t="shared" si="167"/>
        <v>0</v>
      </c>
      <c r="HH87" s="12">
        <f t="shared" si="168"/>
        <v>0</v>
      </c>
      <c r="HI87" s="12">
        <f t="shared" si="169"/>
        <v>0</v>
      </c>
      <c r="HJ87" s="12">
        <f t="shared" si="170"/>
        <v>0</v>
      </c>
      <c r="HK87" s="12">
        <f t="shared" si="171"/>
        <v>0</v>
      </c>
      <c r="HL87" s="12">
        <f t="shared" si="172"/>
        <v>0</v>
      </c>
      <c r="HM87" s="12">
        <f t="shared" si="173"/>
        <v>0</v>
      </c>
      <c r="HN87" s="12">
        <f t="shared" si="174"/>
        <v>0</v>
      </c>
      <c r="HO87" s="12">
        <f t="shared" si="175"/>
        <v>0</v>
      </c>
      <c r="HP87" s="12">
        <f t="shared" si="176"/>
        <v>0</v>
      </c>
      <c r="HQ87" s="12">
        <f t="shared" si="177"/>
        <v>0</v>
      </c>
      <c r="HR87" s="12">
        <f t="shared" si="178"/>
        <v>0</v>
      </c>
      <c r="HS87" s="12">
        <f t="shared" si="179"/>
        <v>0</v>
      </c>
      <c r="HT87" s="12">
        <f t="shared" si="180"/>
        <v>0</v>
      </c>
      <c r="HU87" s="12">
        <f t="shared" si="181"/>
        <v>0</v>
      </c>
      <c r="HV87" s="12">
        <f t="shared" si="182"/>
        <v>0</v>
      </c>
      <c r="HW87" s="12">
        <f t="shared" si="183"/>
        <v>0</v>
      </c>
      <c r="HX87" s="12">
        <f t="shared" si="184"/>
        <v>0</v>
      </c>
      <c r="HY87" s="12">
        <f t="shared" si="185"/>
        <v>0</v>
      </c>
      <c r="HZ87" s="12">
        <f t="shared" si="186"/>
        <v>0</v>
      </c>
      <c r="IA87" s="12">
        <f t="shared" si="187"/>
        <v>0</v>
      </c>
      <c r="IB87" s="12">
        <f t="shared" si="188"/>
        <v>0</v>
      </c>
      <c r="IC87" s="12">
        <f t="shared" si="189"/>
        <v>0</v>
      </c>
      <c r="ID87" s="12">
        <f t="shared" si="190"/>
        <v>0</v>
      </c>
      <c r="IE87" s="12">
        <f t="shared" si="191"/>
        <v>0</v>
      </c>
      <c r="IF87" s="12">
        <f t="shared" si="192"/>
        <v>0</v>
      </c>
      <c r="IG87" s="12">
        <f t="shared" si="193"/>
        <v>0</v>
      </c>
      <c r="IH87" s="12">
        <f t="shared" si="194"/>
        <v>0</v>
      </c>
      <c r="II87" s="12">
        <f t="shared" si="195"/>
        <v>0</v>
      </c>
      <c r="IJ87" s="12">
        <f t="shared" si="196"/>
        <v>0</v>
      </c>
      <c r="IK87" s="12">
        <f t="shared" si="197"/>
        <v>0</v>
      </c>
      <c r="IL87" s="12">
        <f t="shared" si="198"/>
        <v>0</v>
      </c>
      <c r="IM87" s="12">
        <f t="shared" si="199"/>
        <v>0</v>
      </c>
      <c r="IN87" s="12">
        <f t="shared" si="200"/>
        <v>0</v>
      </c>
      <c r="IO87" s="12">
        <f t="shared" si="201"/>
        <v>0</v>
      </c>
      <c r="IP87" s="12">
        <f t="shared" si="202"/>
        <v>0</v>
      </c>
      <c r="IQ87" s="12">
        <f t="shared" si="203"/>
        <v>0</v>
      </c>
      <c r="IR87" s="12">
        <f t="shared" si="204"/>
        <v>0</v>
      </c>
      <c r="IS87" s="12">
        <f t="shared" si="205"/>
        <v>0</v>
      </c>
      <c r="IT87" s="12">
        <f t="shared" si="206"/>
        <v>0</v>
      </c>
      <c r="IU87" s="12">
        <f t="shared" si="207"/>
        <v>0</v>
      </c>
      <c r="IV87" s="12">
        <f t="shared" si="208"/>
        <v>0</v>
      </c>
      <c r="IW87" s="12">
        <f t="shared" si="209"/>
        <v>0</v>
      </c>
      <c r="IX87" s="12">
        <f t="shared" si="210"/>
        <v>0</v>
      </c>
      <c r="IY87" s="12">
        <f t="shared" si="211"/>
        <v>0</v>
      </c>
      <c r="IZ87" s="12">
        <f t="shared" si="212"/>
        <v>0</v>
      </c>
      <c r="JA87" s="13">
        <f t="shared" si="213"/>
        <v>0</v>
      </c>
      <c r="JB87" s="13">
        <f t="shared" si="214"/>
        <v>0</v>
      </c>
      <c r="JC87" s="13">
        <f t="shared" si="215"/>
        <v>0</v>
      </c>
      <c r="JD87" s="13">
        <f t="shared" si="216"/>
        <v>0</v>
      </c>
      <c r="JE87" s="13">
        <f t="shared" si="217"/>
        <v>0</v>
      </c>
      <c r="JF87" s="13">
        <f t="shared" si="218"/>
        <v>0</v>
      </c>
      <c r="JG87" s="13">
        <f t="shared" si="219"/>
        <v>0</v>
      </c>
      <c r="JH87" s="13">
        <f t="shared" si="220"/>
        <v>0</v>
      </c>
      <c r="JI87" s="13">
        <f t="shared" si="221"/>
        <v>0</v>
      </c>
      <c r="JJ87" s="13">
        <f t="shared" si="222"/>
        <v>0</v>
      </c>
      <c r="JK87" s="13">
        <f t="shared" si="223"/>
        <v>0</v>
      </c>
      <c r="JL87" s="13">
        <f t="shared" si="224"/>
        <v>0</v>
      </c>
      <c r="JM87" s="13">
        <f t="shared" si="225"/>
        <v>0</v>
      </c>
      <c r="JN87" s="13">
        <f t="shared" si="226"/>
        <v>0</v>
      </c>
      <c r="JO87" s="13">
        <f t="shared" si="227"/>
        <v>0</v>
      </c>
      <c r="JP87" s="13">
        <f t="shared" si="228"/>
        <v>0</v>
      </c>
      <c r="JQ87" s="13">
        <f t="shared" si="229"/>
        <v>0</v>
      </c>
      <c r="JR87" s="13">
        <f t="shared" si="230"/>
        <v>0</v>
      </c>
      <c r="JS87" s="13">
        <f t="shared" si="231"/>
        <v>0</v>
      </c>
      <c r="JT87" s="13">
        <f t="shared" si="232"/>
        <v>0</v>
      </c>
      <c r="JU87" s="13">
        <f t="shared" si="233"/>
        <v>0</v>
      </c>
      <c r="JV87" s="12">
        <f t="shared" si="234"/>
        <v>0</v>
      </c>
      <c r="JW87" s="12">
        <f t="shared" si="235"/>
        <v>0</v>
      </c>
      <c r="JX87" s="12">
        <f t="shared" si="236"/>
        <v>0</v>
      </c>
      <c r="JY87" s="12">
        <f t="shared" si="237"/>
        <v>0</v>
      </c>
      <c r="JZ87" s="12">
        <f t="shared" si="238"/>
        <v>0</v>
      </c>
      <c r="KA87" s="12">
        <f t="shared" si="239"/>
        <v>0</v>
      </c>
      <c r="KB87" s="12">
        <f t="shared" si="240"/>
        <v>0</v>
      </c>
      <c r="KC87" s="12">
        <f t="shared" si="241"/>
        <v>0</v>
      </c>
      <c r="KD87" s="12">
        <f t="shared" si="242"/>
        <v>0</v>
      </c>
      <c r="KE87" s="12">
        <f t="shared" si="243"/>
        <v>0</v>
      </c>
      <c r="KF87" s="12">
        <f t="shared" si="244"/>
        <v>0</v>
      </c>
      <c r="KG87" s="12">
        <f t="shared" si="245"/>
        <v>0</v>
      </c>
      <c r="KH87" s="12">
        <f t="shared" si="246"/>
        <v>0</v>
      </c>
      <c r="KI87" s="12">
        <f t="shared" si="247"/>
        <v>0</v>
      </c>
      <c r="KJ87" s="12">
        <f t="shared" si="248"/>
        <v>0</v>
      </c>
      <c r="KK87" s="12">
        <f t="shared" si="249"/>
        <v>0</v>
      </c>
      <c r="KL87" s="12">
        <f t="shared" si="250"/>
        <v>0</v>
      </c>
      <c r="KM87" s="12">
        <f t="shared" si="251"/>
        <v>0</v>
      </c>
      <c r="KN87" s="12">
        <f t="shared" si="252"/>
        <v>0</v>
      </c>
      <c r="KO87" s="12">
        <f t="shared" si="253"/>
        <v>0</v>
      </c>
      <c r="KP87" s="12">
        <f t="shared" si="254"/>
        <v>0</v>
      </c>
      <c r="KQ87" s="12">
        <f t="shared" si="255"/>
        <v>0</v>
      </c>
      <c r="KR87" s="12">
        <f t="shared" si="256"/>
        <v>0</v>
      </c>
      <c r="KS87" s="12">
        <f t="shared" si="257"/>
        <v>0</v>
      </c>
      <c r="KT87" s="12">
        <f t="shared" si="258"/>
        <v>0</v>
      </c>
      <c r="KU87" s="12">
        <f t="shared" si="259"/>
        <v>0</v>
      </c>
      <c r="KV87" s="12">
        <f t="shared" si="260"/>
        <v>0</v>
      </c>
      <c r="KW87" s="12">
        <f t="shared" si="261"/>
        <v>0</v>
      </c>
      <c r="KX87" s="12">
        <f t="shared" si="262"/>
        <v>0</v>
      </c>
      <c r="KY87" s="12">
        <f t="shared" si="263"/>
        <v>0</v>
      </c>
      <c r="KZ87" s="12">
        <f t="shared" si="264"/>
        <v>0</v>
      </c>
      <c r="LA87" s="12">
        <f t="shared" si="265"/>
        <v>0</v>
      </c>
      <c r="LB87" s="12">
        <f t="shared" si="266"/>
        <v>0</v>
      </c>
      <c r="LC87" s="12">
        <f t="shared" si="267"/>
        <v>0</v>
      </c>
      <c r="LD87" s="12">
        <f t="shared" si="268"/>
        <v>0</v>
      </c>
      <c r="LE87" s="12">
        <f t="shared" si="269"/>
        <v>0</v>
      </c>
      <c r="LF87" s="12">
        <f t="shared" si="270"/>
        <v>0</v>
      </c>
      <c r="LG87" s="12">
        <f t="shared" si="271"/>
        <v>0</v>
      </c>
      <c r="LH87" s="12">
        <f t="shared" si="272"/>
        <v>0</v>
      </c>
      <c r="LI87" s="12">
        <f t="shared" si="273"/>
        <v>0</v>
      </c>
      <c r="LJ87" s="12">
        <f t="shared" si="274"/>
        <v>0</v>
      </c>
      <c r="LK87" s="12">
        <f t="shared" si="275"/>
        <v>0</v>
      </c>
      <c r="LL87" s="12">
        <f t="shared" si="276"/>
        <v>0</v>
      </c>
      <c r="LM87" s="12">
        <f t="shared" si="277"/>
        <v>0</v>
      </c>
      <c r="LN87" s="12">
        <f t="shared" si="278"/>
        <v>0</v>
      </c>
      <c r="LO87" s="12">
        <f t="shared" si="279"/>
        <v>0</v>
      </c>
      <c r="LP87" s="12">
        <f t="shared" si="280"/>
        <v>0</v>
      </c>
      <c r="LQ87" s="12">
        <f t="shared" si="281"/>
        <v>0</v>
      </c>
      <c r="LR87" s="12">
        <f t="shared" si="282"/>
        <v>0</v>
      </c>
      <c r="LS87" s="12">
        <f t="shared" si="283"/>
        <v>0</v>
      </c>
      <c r="LT87" s="13">
        <f t="shared" si="284"/>
        <v>0</v>
      </c>
      <c r="LU87" s="13">
        <f t="shared" si="285"/>
        <v>0</v>
      </c>
      <c r="LV87" s="13">
        <f t="shared" si="286"/>
        <v>0</v>
      </c>
      <c r="LW87" s="13">
        <f t="shared" si="287"/>
        <v>0</v>
      </c>
      <c r="LX87" s="13">
        <f t="shared" si="288"/>
        <v>0</v>
      </c>
      <c r="LY87" s="13">
        <f t="shared" si="289"/>
        <v>0</v>
      </c>
      <c r="LZ87" s="13">
        <f t="shared" si="290"/>
        <v>0</v>
      </c>
      <c r="MA87" s="13">
        <f t="shared" si="291"/>
        <v>0</v>
      </c>
      <c r="MB87" s="13">
        <f t="shared" si="292"/>
        <v>0</v>
      </c>
      <c r="MC87" s="13">
        <f t="shared" si="293"/>
        <v>0</v>
      </c>
      <c r="MD87" s="13">
        <f t="shared" si="294"/>
        <v>0</v>
      </c>
      <c r="ME87" s="13">
        <f t="shared" si="295"/>
        <v>0</v>
      </c>
      <c r="MF87" s="13">
        <f t="shared" si="296"/>
        <v>0</v>
      </c>
      <c r="MG87" s="13">
        <f t="shared" si="297"/>
        <v>0</v>
      </c>
      <c r="MH87" s="13">
        <f t="shared" si="298"/>
        <v>0</v>
      </c>
      <c r="MI87" s="13">
        <f t="shared" si="299"/>
        <v>0</v>
      </c>
      <c r="MJ87" s="13">
        <f t="shared" si="300"/>
        <v>0</v>
      </c>
      <c r="MK87" s="13">
        <f t="shared" si="301"/>
        <v>0</v>
      </c>
      <c r="ML87" s="14">
        <f t="shared" si="302"/>
        <v>0</v>
      </c>
      <c r="MM87" s="14">
        <f t="shared" si="303"/>
        <v>0</v>
      </c>
      <c r="MN87" s="14">
        <f t="shared" si="304"/>
        <v>0</v>
      </c>
      <c r="MO87" s="14">
        <f t="shared" si="305"/>
        <v>0</v>
      </c>
      <c r="MP87" s="14">
        <f t="shared" si="306"/>
        <v>0</v>
      </c>
      <c r="MQ87" s="14">
        <f t="shared" si="307"/>
        <v>0</v>
      </c>
      <c r="MR87" s="14">
        <f t="shared" si="308"/>
        <v>0</v>
      </c>
      <c r="MS87" s="14">
        <f t="shared" si="309"/>
        <v>0</v>
      </c>
      <c r="MT87" s="14">
        <f t="shared" si="310"/>
        <v>0</v>
      </c>
      <c r="MU87" s="14">
        <f t="shared" si="311"/>
        <v>0</v>
      </c>
      <c r="MV87" s="14">
        <f t="shared" si="312"/>
        <v>0</v>
      </c>
      <c r="MW87" s="14">
        <f t="shared" si="313"/>
        <v>0</v>
      </c>
      <c r="MX87" s="14">
        <f t="shared" si="314"/>
        <v>0</v>
      </c>
      <c r="MY87" s="14">
        <f t="shared" si="315"/>
        <v>0</v>
      </c>
      <c r="MZ87" s="14">
        <f t="shared" si="316"/>
        <v>0</v>
      </c>
      <c r="NA87" s="14">
        <f t="shared" si="317"/>
        <v>0</v>
      </c>
      <c r="NB87" s="14">
        <f t="shared" si="318"/>
        <v>0</v>
      </c>
    </row>
    <row r="88" ht="15.75" customHeight="1">
      <c r="A88" s="2">
        <v>203.0</v>
      </c>
      <c r="B88" s="2" t="s">
        <v>1881</v>
      </c>
      <c r="C88" s="2" t="s">
        <v>1882</v>
      </c>
      <c r="D88" s="2" t="s">
        <v>1883</v>
      </c>
      <c r="E88" s="2">
        <v>2020.0</v>
      </c>
      <c r="F88" s="2" t="s">
        <v>1884</v>
      </c>
      <c r="G88" s="2" t="s">
        <v>393</v>
      </c>
      <c r="H88" s="2" t="s">
        <v>432</v>
      </c>
      <c r="I88" s="2" t="s">
        <v>1885</v>
      </c>
      <c r="M88" s="2">
        <v>12.0</v>
      </c>
      <c r="N88" s="2" t="s">
        <v>1886</v>
      </c>
      <c r="O88" s="2" t="s">
        <v>1887</v>
      </c>
      <c r="P88" s="2" t="s">
        <v>1888</v>
      </c>
      <c r="Q88" s="2" t="s">
        <v>1889</v>
      </c>
      <c r="R88" s="2" t="s">
        <v>1890</v>
      </c>
      <c r="Y88" s="2" t="s">
        <v>1891</v>
      </c>
      <c r="AB88" s="2" t="s">
        <v>1892</v>
      </c>
      <c r="AG88" s="2" t="s">
        <v>1893</v>
      </c>
      <c r="AK88" s="2" t="s">
        <v>1894</v>
      </c>
      <c r="AL88" s="2" t="s">
        <v>384</v>
      </c>
      <c r="AN88" s="2" t="s">
        <v>386</v>
      </c>
      <c r="AO88" s="2" t="s">
        <v>1895</v>
      </c>
      <c r="AP88" s="2" t="s">
        <v>386</v>
      </c>
      <c r="AQ88" s="2">
        <v>845.0</v>
      </c>
      <c r="AR88" s="2" t="s">
        <v>1883</v>
      </c>
      <c r="AS88" s="2" t="b">
        <v>1</v>
      </c>
      <c r="AT88" s="3">
        <v>0.0</v>
      </c>
      <c r="AU88" s="4"/>
      <c r="AV88" s="4"/>
      <c r="AW88" s="5">
        <f t="shared" si="432"/>
        <v>0</v>
      </c>
      <c r="AX88" s="5">
        <f t="shared" si="4"/>
        <v>0</v>
      </c>
      <c r="AY88" s="5">
        <f t="shared" si="5"/>
        <v>0</v>
      </c>
      <c r="AZ88" s="5">
        <f t="shared" si="6"/>
        <v>0</v>
      </c>
      <c r="BA88" s="5">
        <f t="shared" si="7"/>
        <v>0</v>
      </c>
      <c r="BB88" s="5">
        <f t="shared" si="8"/>
        <v>0</v>
      </c>
      <c r="BC88" s="5">
        <f t="shared" si="9"/>
        <v>0</v>
      </c>
      <c r="BD88" s="5">
        <f t="shared" si="10"/>
        <v>0</v>
      </c>
      <c r="BE88" s="5">
        <f t="shared" si="11"/>
        <v>0</v>
      </c>
      <c r="BF88" s="5">
        <f t="shared" si="12"/>
        <v>0</v>
      </c>
      <c r="BG88" s="5">
        <f t="shared" si="13"/>
        <v>0</v>
      </c>
      <c r="BH88" s="5">
        <f t="shared" si="14"/>
        <v>0</v>
      </c>
      <c r="BI88" s="5">
        <f t="shared" si="15"/>
        <v>0</v>
      </c>
      <c r="BJ88" s="5">
        <f t="shared" si="16"/>
        <v>0</v>
      </c>
      <c r="BK88" s="5">
        <f t="shared" si="17"/>
        <v>0</v>
      </c>
      <c r="BL88" s="5">
        <f t="shared" si="18"/>
        <v>0</v>
      </c>
      <c r="BM88" s="5">
        <f t="shared" si="19"/>
        <v>0</v>
      </c>
      <c r="BN88" s="5">
        <f t="shared" si="20"/>
        <v>0</v>
      </c>
      <c r="BO88" s="5">
        <f t="shared" si="21"/>
        <v>0</v>
      </c>
      <c r="BP88" s="5">
        <f t="shared" si="22"/>
        <v>0</v>
      </c>
      <c r="BQ88" s="5">
        <f t="shared" si="23"/>
        <v>0</v>
      </c>
      <c r="BR88" s="5">
        <f t="shared" si="24"/>
        <v>0</v>
      </c>
      <c r="BS88" s="5">
        <f t="shared" si="25"/>
        <v>0</v>
      </c>
      <c r="BT88" s="5">
        <f t="shared" si="26"/>
        <v>1</v>
      </c>
      <c r="BU88" s="5">
        <f t="shared" si="27"/>
        <v>0</v>
      </c>
      <c r="BV88" s="5">
        <f t="shared" ref="BV88:BW88" si="514">IF(OR(ISNUMBER(SEARCH("grit",$D88)),ISNUMBER(SEARCH("grit",$T88)),ISNUMBER(SEARCH("grit",$R88)),ISNUMBER(SEARCH("grit",$S88)),
ISNUMBER(SEARCH("determination",$D88)),ISNUMBER(SEARCH("determination",$T88)),ISNUMBER(SEARCH("determination",$R88)),ISNUMBER(SEARCH("determination",$S88)),
ISNUMBER(SEARCH("tenacity",$D88)),ISNUMBER(SEARCH("tenacity",$T88)),ISNUMBER(SEARCH("tenacity",$R88)),ISNUMBER(SEARCH("tenacity",$S88)),
ISNUMBER(SEARCH("endurance",$D88)),ISNUMBER(SEARCH("endurance",$T88)),ISNUMBER(SEARCH("endurance",$R88)),ISNUMBER(SEARCH("endurance",$S88)),
ISNUMBER(SEARCH("fortitude",$D88)),ISNUMBER(SEARCH("fortitude",$T88)),ISNUMBER(SEARCH("fortitude",$R88)),ISNUMBER(SEARCH("fortitude",$S88)),
ISNUMBER(SEARCH("resolve",$D88)),ISNUMBER(SEARCH("resolve",$T88)),ISNUMBER(SEARCH("resolve",$R88)),ISNUMBER(SEARCH("resolve",$S88)),
ISNUMBER(SEARCH("stamina",$D88)),ISNUMBER(SEARCH("stamina",$T88)),ISNUMBER(SEARCH("stamina",$R88)),ISNUMBER(SEARCH("stamina",$S88)),
ISNUMBER(SEARCH("guts",$D88)),ISNUMBER(SEARCH("guts",$T88)),ISNUMBER(SEARCH("guts",$R88)),ISNUMBER(SEARCH("guts",$S88)),
ISNUMBER(SEARCH("spunk",$D88)),ISNUMBER(SEARCH("spunk",$T88)),ISNUMBER(SEARCH("spunk",$R88)),ISNUMBER(SEARCH("spunk",$S88))), 1, 0)</f>
        <v>0</v>
      </c>
      <c r="BW88" s="5">
        <f t="shared" si="514"/>
        <v>0</v>
      </c>
      <c r="BX88" s="5">
        <f t="shared" si="29"/>
        <v>0</v>
      </c>
      <c r="BY88" s="5">
        <f t="shared" si="30"/>
        <v>0</v>
      </c>
      <c r="BZ88" s="5">
        <f t="shared" si="31"/>
        <v>0</v>
      </c>
      <c r="CA88" s="5">
        <f t="shared" si="32"/>
        <v>0</v>
      </c>
      <c r="CB88" s="5">
        <f t="shared" si="33"/>
        <v>0</v>
      </c>
      <c r="CC88" s="5">
        <f t="shared" si="34"/>
        <v>0</v>
      </c>
      <c r="CD88" s="5">
        <f t="shared" si="35"/>
        <v>0</v>
      </c>
      <c r="CE88" s="5">
        <f t="shared" si="36"/>
        <v>0</v>
      </c>
      <c r="CF88" s="5">
        <f t="shared" si="37"/>
        <v>0</v>
      </c>
      <c r="CG88" s="5">
        <f t="shared" si="38"/>
        <v>1</v>
      </c>
      <c r="CH88" s="5">
        <f t="shared" si="39"/>
        <v>0</v>
      </c>
      <c r="CI88" s="5">
        <f t="shared" si="40"/>
        <v>0</v>
      </c>
      <c r="CJ88" s="5">
        <f t="shared" si="41"/>
        <v>0</v>
      </c>
      <c r="CK88" s="5">
        <f t="shared" si="42"/>
        <v>0</v>
      </c>
      <c r="CL88" s="5">
        <f t="shared" si="43"/>
        <v>1</v>
      </c>
      <c r="CM88" s="5">
        <f t="shared" si="44"/>
        <v>0</v>
      </c>
      <c r="CN88" s="5">
        <f t="shared" si="45"/>
        <v>0</v>
      </c>
      <c r="CO88" s="5">
        <f t="shared" si="46"/>
        <v>0</v>
      </c>
      <c r="CP88" s="6">
        <f t="shared" si="47"/>
        <v>0</v>
      </c>
      <c r="CQ88" s="6">
        <f t="shared" si="48"/>
        <v>0</v>
      </c>
      <c r="CR88" s="6">
        <f t="shared" si="49"/>
        <v>0</v>
      </c>
      <c r="CS88" s="6">
        <f t="shared" si="50"/>
        <v>0</v>
      </c>
      <c r="CT88" s="6">
        <v>0.0</v>
      </c>
      <c r="CU88" s="6">
        <f t="shared" si="52"/>
        <v>0</v>
      </c>
      <c r="CV88" s="6">
        <f t="shared" si="53"/>
        <v>0</v>
      </c>
      <c r="CW88" s="6">
        <f t="shared" si="54"/>
        <v>0</v>
      </c>
      <c r="CX88" s="6">
        <f t="shared" si="55"/>
        <v>1</v>
      </c>
      <c r="CY88" s="6">
        <f t="shared" si="56"/>
        <v>0</v>
      </c>
      <c r="CZ88" s="6">
        <f t="shared" si="57"/>
        <v>0</v>
      </c>
      <c r="DA88" s="6">
        <f t="shared" si="58"/>
        <v>0</v>
      </c>
      <c r="DB88" s="6">
        <f t="shared" si="59"/>
        <v>1</v>
      </c>
      <c r="DC88" s="6">
        <f t="shared" si="60"/>
        <v>0</v>
      </c>
      <c r="DD88" s="6">
        <f t="shared" si="61"/>
        <v>0</v>
      </c>
      <c r="DE88" s="6">
        <f t="shared" si="62"/>
        <v>0</v>
      </c>
      <c r="DF88" s="6">
        <f t="shared" si="63"/>
        <v>0</v>
      </c>
      <c r="DG88" s="6">
        <f t="shared" si="64"/>
        <v>0</v>
      </c>
      <c r="DH88" s="6">
        <f t="shared" si="509"/>
        <v>0</v>
      </c>
      <c r="DI88" s="6">
        <f t="shared" si="66"/>
        <v>0</v>
      </c>
      <c r="DJ88" s="6">
        <f t="shared" si="510"/>
        <v>0</v>
      </c>
      <c r="DK88" s="7">
        <f t="shared" si="68"/>
        <v>0</v>
      </c>
      <c r="DL88" s="7">
        <f t="shared" si="498"/>
        <v>0</v>
      </c>
      <c r="DM88" s="7">
        <f t="shared" si="70"/>
        <v>0</v>
      </c>
      <c r="DN88" s="7">
        <f t="shared" si="71"/>
        <v>0</v>
      </c>
      <c r="DO88" s="7">
        <f t="shared" si="72"/>
        <v>0</v>
      </c>
      <c r="DP88" s="8">
        <f t="shared" si="73"/>
        <v>0</v>
      </c>
      <c r="DQ88" s="8">
        <f t="shared" si="74"/>
        <v>0</v>
      </c>
      <c r="DR88" s="7">
        <f t="shared" si="75"/>
        <v>0</v>
      </c>
      <c r="DS88" s="7">
        <f t="shared" si="76"/>
        <v>0</v>
      </c>
      <c r="DT88" s="7">
        <f t="shared" si="77"/>
        <v>0</v>
      </c>
      <c r="DU88" s="9">
        <f t="shared" si="78"/>
        <v>0</v>
      </c>
      <c r="DV88" s="9">
        <f t="shared" si="79"/>
        <v>0</v>
      </c>
      <c r="DW88" s="9">
        <f t="shared" si="80"/>
        <v>0</v>
      </c>
      <c r="DX88" s="9">
        <f t="shared" si="81"/>
        <v>0</v>
      </c>
      <c r="DY88" s="9">
        <f t="shared" si="82"/>
        <v>0</v>
      </c>
      <c r="DZ88" s="9">
        <f t="shared" si="83"/>
        <v>0</v>
      </c>
      <c r="EA88" s="9">
        <f t="shared" si="84"/>
        <v>0</v>
      </c>
      <c r="EB88" s="9">
        <f t="shared" si="85"/>
        <v>0</v>
      </c>
      <c r="EC88" s="9">
        <f t="shared" si="86"/>
        <v>0</v>
      </c>
      <c r="ED88" s="9">
        <f t="shared" si="87"/>
        <v>0</v>
      </c>
      <c r="EE88" s="9">
        <f t="shared" si="88"/>
        <v>0</v>
      </c>
      <c r="EF88" s="9">
        <f t="shared" si="89"/>
        <v>0</v>
      </c>
      <c r="EG88" s="9">
        <f t="shared" si="90"/>
        <v>0</v>
      </c>
      <c r="EH88" s="9">
        <f t="shared" si="91"/>
        <v>0</v>
      </c>
      <c r="EI88" s="9">
        <f t="shared" si="92"/>
        <v>0</v>
      </c>
      <c r="EJ88" s="10">
        <f t="shared" si="93"/>
        <v>0</v>
      </c>
      <c r="EK88" s="10">
        <f t="shared" si="94"/>
        <v>0</v>
      </c>
      <c r="EL88" s="10">
        <f t="shared" ref="EL88:EM88" si="515">IF(OR(ISNUMBER(SEARCH("ai software toolkit", $D88)), ISNUMBER(SEARCH("ai software toolkit", $T88)), ISNUMBER(SEARCH("ai software toolkit", $R88)), ISNUMBER(SEARCH("ai software toolkit", $S88))), 1, 0)</f>
        <v>0</v>
      </c>
      <c r="EM88" s="10">
        <f t="shared" si="515"/>
        <v>0</v>
      </c>
      <c r="EN88" s="10">
        <f t="shared" si="96"/>
        <v>0</v>
      </c>
      <c r="EO88" s="10">
        <f t="shared" si="97"/>
        <v>0</v>
      </c>
      <c r="EP88" s="10">
        <f t="shared" si="98"/>
        <v>0</v>
      </c>
      <c r="EQ88" s="10">
        <f t="shared" si="99"/>
        <v>0</v>
      </c>
      <c r="ER88" s="10">
        <f t="shared" si="100"/>
        <v>0</v>
      </c>
      <c r="ES88" s="10">
        <f t="shared" si="101"/>
        <v>0</v>
      </c>
      <c r="ET88" s="10">
        <f t="shared" si="102"/>
        <v>0</v>
      </c>
      <c r="EU88" s="10">
        <f t="shared" si="103"/>
        <v>0</v>
      </c>
      <c r="EV88" s="10">
        <f t="shared" si="104"/>
        <v>0</v>
      </c>
      <c r="EW88" s="10">
        <f t="shared" si="105"/>
        <v>0</v>
      </c>
      <c r="EX88" s="10">
        <f t="shared" si="106"/>
        <v>0</v>
      </c>
      <c r="EY88" s="10">
        <f t="shared" si="107"/>
        <v>0</v>
      </c>
      <c r="EZ88" s="10">
        <f t="shared" si="108"/>
        <v>0</v>
      </c>
      <c r="FA88" s="10">
        <f t="shared" si="109"/>
        <v>0</v>
      </c>
      <c r="FB88" s="10">
        <f t="shared" si="110"/>
        <v>0</v>
      </c>
      <c r="FC88" s="10">
        <f t="shared" si="111"/>
        <v>0</v>
      </c>
      <c r="FD88" s="10">
        <f t="shared" si="112"/>
        <v>0</v>
      </c>
      <c r="FE88" s="10">
        <f t="shared" si="113"/>
        <v>0</v>
      </c>
      <c r="FF88" s="10">
        <f t="shared" si="114"/>
        <v>0</v>
      </c>
      <c r="FG88" s="10">
        <f t="shared" si="115"/>
        <v>0</v>
      </c>
      <c r="FH88" s="10">
        <f t="shared" si="116"/>
        <v>0</v>
      </c>
      <c r="FI88" s="10">
        <f t="shared" si="117"/>
        <v>0</v>
      </c>
      <c r="FJ88" s="10">
        <f t="shared" si="118"/>
        <v>0</v>
      </c>
      <c r="FK88" s="10">
        <f t="shared" si="119"/>
        <v>0</v>
      </c>
      <c r="FL88" s="10">
        <f t="shared" si="120"/>
        <v>0</v>
      </c>
      <c r="FM88" s="10">
        <f t="shared" si="121"/>
        <v>0</v>
      </c>
      <c r="FN88" s="10">
        <f t="shared" si="122"/>
        <v>0</v>
      </c>
      <c r="FO88" s="10">
        <f t="shared" si="123"/>
        <v>0</v>
      </c>
      <c r="FP88" s="10">
        <f t="shared" si="124"/>
        <v>1</v>
      </c>
      <c r="FQ88" s="10">
        <f t="shared" si="125"/>
        <v>0</v>
      </c>
      <c r="FR88" s="11">
        <f t="shared" si="506"/>
        <v>0</v>
      </c>
      <c r="FS88" s="11">
        <f t="shared" si="127"/>
        <v>0</v>
      </c>
      <c r="FT88" s="11">
        <f t="shared" si="128"/>
        <v>0</v>
      </c>
      <c r="FU88" s="11">
        <f t="shared" si="129"/>
        <v>0</v>
      </c>
      <c r="FV88" s="11">
        <f t="shared" si="130"/>
        <v>0</v>
      </c>
      <c r="FW88" s="11">
        <f t="shared" si="131"/>
        <v>0</v>
      </c>
      <c r="FX88" s="11">
        <f t="shared" si="132"/>
        <v>0</v>
      </c>
      <c r="FY88" s="11">
        <f t="shared" si="133"/>
        <v>0</v>
      </c>
      <c r="FZ88" s="11">
        <f t="shared" si="134"/>
        <v>0</v>
      </c>
      <c r="GA88" s="11">
        <f t="shared" si="135"/>
        <v>0</v>
      </c>
      <c r="GB88" s="11">
        <f t="shared" si="136"/>
        <v>0</v>
      </c>
      <c r="GC88" s="11">
        <f t="shared" si="137"/>
        <v>0</v>
      </c>
      <c r="GD88" s="11">
        <f t="shared" si="138"/>
        <v>0</v>
      </c>
      <c r="GE88" s="11">
        <f t="shared" si="139"/>
        <v>0</v>
      </c>
      <c r="GF88" s="11">
        <f t="shared" si="140"/>
        <v>0</v>
      </c>
      <c r="GG88" s="11">
        <f t="shared" si="141"/>
        <v>0</v>
      </c>
      <c r="GH88" s="11">
        <f t="shared" si="142"/>
        <v>0</v>
      </c>
      <c r="GI88" s="11">
        <f t="shared" si="143"/>
        <v>0</v>
      </c>
      <c r="GJ88" s="11">
        <f t="shared" si="144"/>
        <v>0</v>
      </c>
      <c r="GK88" s="11">
        <f t="shared" si="145"/>
        <v>0</v>
      </c>
      <c r="GL88" s="11">
        <f t="shared" si="146"/>
        <v>0</v>
      </c>
      <c r="GM88" s="11">
        <f t="shared" si="147"/>
        <v>0</v>
      </c>
      <c r="GN88" s="11">
        <f t="shared" si="148"/>
        <v>0</v>
      </c>
      <c r="GO88" s="11">
        <f t="shared" si="149"/>
        <v>0</v>
      </c>
      <c r="GP88" s="11">
        <f t="shared" si="150"/>
        <v>0</v>
      </c>
      <c r="GQ88" s="11">
        <f t="shared" si="151"/>
        <v>1</v>
      </c>
      <c r="GR88" s="11">
        <f t="shared" si="152"/>
        <v>0</v>
      </c>
      <c r="GS88" s="11">
        <f t="shared" si="153"/>
        <v>0</v>
      </c>
      <c r="GT88" s="11">
        <f t="shared" si="154"/>
        <v>0</v>
      </c>
      <c r="GU88" s="12">
        <f t="shared" si="155"/>
        <v>0</v>
      </c>
      <c r="GV88" s="12">
        <f t="shared" si="156"/>
        <v>0</v>
      </c>
      <c r="GW88" s="12">
        <f t="shared" si="157"/>
        <v>0</v>
      </c>
      <c r="GX88" s="12">
        <f t="shared" si="158"/>
        <v>0</v>
      </c>
      <c r="GY88" s="12">
        <f t="shared" si="159"/>
        <v>0</v>
      </c>
      <c r="GZ88" s="12">
        <f t="shared" si="160"/>
        <v>0</v>
      </c>
      <c r="HA88" s="12">
        <f t="shared" si="161"/>
        <v>0</v>
      </c>
      <c r="HB88" s="12">
        <f t="shared" si="162"/>
        <v>0</v>
      </c>
      <c r="HC88" s="12">
        <f t="shared" si="163"/>
        <v>0</v>
      </c>
      <c r="HD88" s="12">
        <f t="shared" si="164"/>
        <v>0</v>
      </c>
      <c r="HE88" s="12">
        <f t="shared" si="165"/>
        <v>0</v>
      </c>
      <c r="HF88" s="12">
        <f t="shared" si="166"/>
        <v>0</v>
      </c>
      <c r="HG88" s="12">
        <f t="shared" si="167"/>
        <v>0</v>
      </c>
      <c r="HH88" s="12">
        <f t="shared" si="168"/>
        <v>0</v>
      </c>
      <c r="HI88" s="12">
        <f t="shared" si="169"/>
        <v>0</v>
      </c>
      <c r="HJ88" s="12">
        <f t="shared" si="170"/>
        <v>0</v>
      </c>
      <c r="HK88" s="12">
        <f t="shared" si="171"/>
        <v>0</v>
      </c>
      <c r="HL88" s="12">
        <f t="shared" si="172"/>
        <v>0</v>
      </c>
      <c r="HM88" s="12">
        <f t="shared" si="173"/>
        <v>0</v>
      </c>
      <c r="HN88" s="12">
        <f t="shared" si="174"/>
        <v>0</v>
      </c>
      <c r="HO88" s="12">
        <f t="shared" si="175"/>
        <v>0</v>
      </c>
      <c r="HP88" s="12">
        <f t="shared" si="176"/>
        <v>0</v>
      </c>
      <c r="HQ88" s="12">
        <f t="shared" si="177"/>
        <v>0</v>
      </c>
      <c r="HR88" s="12">
        <f t="shared" si="178"/>
        <v>0</v>
      </c>
      <c r="HS88" s="12">
        <f t="shared" si="179"/>
        <v>0</v>
      </c>
      <c r="HT88" s="12">
        <f t="shared" si="180"/>
        <v>0</v>
      </c>
      <c r="HU88" s="12">
        <f t="shared" si="181"/>
        <v>0</v>
      </c>
      <c r="HV88" s="12">
        <f t="shared" si="182"/>
        <v>0</v>
      </c>
      <c r="HW88" s="12">
        <f t="shared" si="183"/>
        <v>0</v>
      </c>
      <c r="HX88" s="12">
        <f t="shared" si="184"/>
        <v>0</v>
      </c>
      <c r="HY88" s="12">
        <f t="shared" si="185"/>
        <v>0</v>
      </c>
      <c r="HZ88" s="12">
        <f t="shared" si="186"/>
        <v>0</v>
      </c>
      <c r="IA88" s="12">
        <f t="shared" si="187"/>
        <v>0</v>
      </c>
      <c r="IB88" s="12">
        <f t="shared" si="188"/>
        <v>0</v>
      </c>
      <c r="IC88" s="12">
        <f t="shared" si="189"/>
        <v>0</v>
      </c>
      <c r="ID88" s="12">
        <f t="shared" si="190"/>
        <v>0</v>
      </c>
      <c r="IE88" s="12">
        <f t="shared" si="191"/>
        <v>0</v>
      </c>
      <c r="IF88" s="12">
        <f t="shared" si="192"/>
        <v>0</v>
      </c>
      <c r="IG88" s="12">
        <f t="shared" si="193"/>
        <v>0</v>
      </c>
      <c r="IH88" s="12">
        <f t="shared" si="194"/>
        <v>0</v>
      </c>
      <c r="II88" s="12">
        <f t="shared" si="195"/>
        <v>0</v>
      </c>
      <c r="IJ88" s="12">
        <f t="shared" si="196"/>
        <v>0</v>
      </c>
      <c r="IK88" s="12">
        <f t="shared" si="197"/>
        <v>0</v>
      </c>
      <c r="IL88" s="12">
        <f t="shared" si="198"/>
        <v>0</v>
      </c>
      <c r="IM88" s="12">
        <f t="shared" si="199"/>
        <v>0</v>
      </c>
      <c r="IN88" s="12">
        <f t="shared" si="200"/>
        <v>0</v>
      </c>
      <c r="IO88" s="12">
        <f t="shared" si="201"/>
        <v>0</v>
      </c>
      <c r="IP88" s="12">
        <f t="shared" si="202"/>
        <v>0</v>
      </c>
      <c r="IQ88" s="12">
        <f t="shared" si="203"/>
        <v>0</v>
      </c>
      <c r="IR88" s="12">
        <f t="shared" si="204"/>
        <v>0</v>
      </c>
      <c r="IS88" s="12">
        <f t="shared" si="205"/>
        <v>0</v>
      </c>
      <c r="IT88" s="12">
        <f t="shared" si="206"/>
        <v>0</v>
      </c>
      <c r="IU88" s="12">
        <f t="shared" si="207"/>
        <v>0</v>
      </c>
      <c r="IV88" s="12">
        <f t="shared" si="208"/>
        <v>0</v>
      </c>
      <c r="IW88" s="12">
        <f t="shared" si="209"/>
        <v>0</v>
      </c>
      <c r="IX88" s="12">
        <f t="shared" si="210"/>
        <v>0</v>
      </c>
      <c r="IY88" s="12">
        <f t="shared" si="211"/>
        <v>0</v>
      </c>
      <c r="IZ88" s="12">
        <f t="shared" si="212"/>
        <v>1</v>
      </c>
      <c r="JA88" s="13">
        <f t="shared" si="213"/>
        <v>0</v>
      </c>
      <c r="JB88" s="13">
        <f t="shared" si="214"/>
        <v>0</v>
      </c>
      <c r="JC88" s="13">
        <f t="shared" si="215"/>
        <v>0</v>
      </c>
      <c r="JD88" s="13">
        <f t="shared" si="216"/>
        <v>0</v>
      </c>
      <c r="JE88" s="13">
        <f t="shared" si="217"/>
        <v>0</v>
      </c>
      <c r="JF88" s="13">
        <f t="shared" si="218"/>
        <v>0</v>
      </c>
      <c r="JG88" s="13">
        <f t="shared" si="219"/>
        <v>0</v>
      </c>
      <c r="JH88" s="13">
        <f t="shared" si="220"/>
        <v>0</v>
      </c>
      <c r="JI88" s="13">
        <f t="shared" si="221"/>
        <v>0</v>
      </c>
      <c r="JJ88" s="13">
        <f t="shared" si="222"/>
        <v>0</v>
      </c>
      <c r="JK88" s="13">
        <f t="shared" si="223"/>
        <v>0</v>
      </c>
      <c r="JL88" s="13">
        <f t="shared" si="224"/>
        <v>0</v>
      </c>
      <c r="JM88" s="13">
        <f t="shared" si="225"/>
        <v>0</v>
      </c>
      <c r="JN88" s="13">
        <f t="shared" si="226"/>
        <v>0</v>
      </c>
      <c r="JO88" s="13">
        <f t="shared" si="227"/>
        <v>0</v>
      </c>
      <c r="JP88" s="13">
        <f t="shared" si="228"/>
        <v>0</v>
      </c>
      <c r="JQ88" s="13">
        <f t="shared" si="229"/>
        <v>0</v>
      </c>
      <c r="JR88" s="13">
        <f t="shared" si="230"/>
        <v>0</v>
      </c>
      <c r="JS88" s="13">
        <f t="shared" si="231"/>
        <v>0</v>
      </c>
      <c r="JT88" s="13">
        <f t="shared" si="232"/>
        <v>0</v>
      </c>
      <c r="JU88" s="13">
        <f t="shared" si="233"/>
        <v>0</v>
      </c>
      <c r="JV88" s="12">
        <f t="shared" si="234"/>
        <v>0</v>
      </c>
      <c r="JW88" s="12">
        <f t="shared" si="235"/>
        <v>0</v>
      </c>
      <c r="JX88" s="12">
        <f t="shared" si="236"/>
        <v>0</v>
      </c>
      <c r="JY88" s="12">
        <f t="shared" si="237"/>
        <v>0</v>
      </c>
      <c r="JZ88" s="12">
        <f t="shared" si="238"/>
        <v>0</v>
      </c>
      <c r="KA88" s="12">
        <f t="shared" si="239"/>
        <v>0</v>
      </c>
      <c r="KB88" s="12">
        <f t="shared" si="240"/>
        <v>0</v>
      </c>
      <c r="KC88" s="12">
        <f t="shared" si="241"/>
        <v>0</v>
      </c>
      <c r="KD88" s="12">
        <f t="shared" si="242"/>
        <v>0</v>
      </c>
      <c r="KE88" s="12">
        <f t="shared" si="243"/>
        <v>0</v>
      </c>
      <c r="KF88" s="12">
        <f t="shared" si="244"/>
        <v>0</v>
      </c>
      <c r="KG88" s="12">
        <f t="shared" si="245"/>
        <v>0</v>
      </c>
      <c r="KH88" s="12">
        <f t="shared" si="246"/>
        <v>0</v>
      </c>
      <c r="KI88" s="12">
        <f t="shared" si="247"/>
        <v>0</v>
      </c>
      <c r="KJ88" s="12">
        <f t="shared" si="248"/>
        <v>0</v>
      </c>
      <c r="KK88" s="12">
        <f t="shared" si="249"/>
        <v>0</v>
      </c>
      <c r="KL88" s="12">
        <f t="shared" si="250"/>
        <v>0</v>
      </c>
      <c r="KM88" s="12">
        <f t="shared" si="251"/>
        <v>0</v>
      </c>
      <c r="KN88" s="12">
        <f t="shared" si="252"/>
        <v>0</v>
      </c>
      <c r="KO88" s="12">
        <f t="shared" si="253"/>
        <v>0</v>
      </c>
      <c r="KP88" s="12">
        <f t="shared" si="254"/>
        <v>0</v>
      </c>
      <c r="KQ88" s="12">
        <f t="shared" si="255"/>
        <v>0</v>
      </c>
      <c r="KR88" s="12">
        <f t="shared" si="256"/>
        <v>0</v>
      </c>
      <c r="KS88" s="12">
        <f t="shared" si="257"/>
        <v>0</v>
      </c>
      <c r="KT88" s="12">
        <f t="shared" si="258"/>
        <v>0</v>
      </c>
      <c r="KU88" s="12">
        <f t="shared" si="259"/>
        <v>0</v>
      </c>
      <c r="KV88" s="12">
        <f t="shared" si="260"/>
        <v>0</v>
      </c>
      <c r="KW88" s="12">
        <f t="shared" si="261"/>
        <v>0</v>
      </c>
      <c r="KX88" s="12">
        <f t="shared" si="262"/>
        <v>0</v>
      </c>
      <c r="KY88" s="12">
        <f t="shared" si="263"/>
        <v>0</v>
      </c>
      <c r="KZ88" s="12">
        <f t="shared" si="264"/>
        <v>0</v>
      </c>
      <c r="LA88" s="12">
        <f t="shared" si="265"/>
        <v>0</v>
      </c>
      <c r="LB88" s="12">
        <f t="shared" si="266"/>
        <v>0</v>
      </c>
      <c r="LC88" s="12">
        <f t="shared" si="267"/>
        <v>0</v>
      </c>
      <c r="LD88" s="12">
        <f t="shared" si="268"/>
        <v>0</v>
      </c>
      <c r="LE88" s="12">
        <f t="shared" si="269"/>
        <v>0</v>
      </c>
      <c r="LF88" s="12">
        <f t="shared" si="270"/>
        <v>0</v>
      </c>
      <c r="LG88" s="12">
        <f t="shared" si="271"/>
        <v>0</v>
      </c>
      <c r="LH88" s="12">
        <f t="shared" si="272"/>
        <v>0</v>
      </c>
      <c r="LI88" s="12">
        <f t="shared" si="273"/>
        <v>0</v>
      </c>
      <c r="LJ88" s="12">
        <f t="shared" si="274"/>
        <v>0</v>
      </c>
      <c r="LK88" s="12">
        <f t="shared" si="275"/>
        <v>0</v>
      </c>
      <c r="LL88" s="12">
        <f t="shared" si="276"/>
        <v>0</v>
      </c>
      <c r="LM88" s="12">
        <f t="shared" si="277"/>
        <v>0</v>
      </c>
      <c r="LN88" s="12">
        <f t="shared" si="278"/>
        <v>0</v>
      </c>
      <c r="LO88" s="12">
        <f t="shared" si="279"/>
        <v>0</v>
      </c>
      <c r="LP88" s="12">
        <f t="shared" si="280"/>
        <v>0</v>
      </c>
      <c r="LQ88" s="12">
        <f t="shared" si="281"/>
        <v>0</v>
      </c>
      <c r="LR88" s="12">
        <f t="shared" si="282"/>
        <v>0</v>
      </c>
      <c r="LS88" s="12">
        <f t="shared" si="283"/>
        <v>0</v>
      </c>
      <c r="LT88" s="13">
        <f t="shared" si="284"/>
        <v>0</v>
      </c>
      <c r="LU88" s="13">
        <f t="shared" si="285"/>
        <v>0</v>
      </c>
      <c r="LV88" s="13">
        <f t="shared" si="286"/>
        <v>0</v>
      </c>
      <c r="LW88" s="13">
        <f t="shared" si="287"/>
        <v>0</v>
      </c>
      <c r="LX88" s="13">
        <f t="shared" si="288"/>
        <v>0</v>
      </c>
      <c r="LY88" s="13">
        <f t="shared" si="289"/>
        <v>0</v>
      </c>
      <c r="LZ88" s="13">
        <f t="shared" si="290"/>
        <v>0</v>
      </c>
      <c r="MA88" s="13">
        <f t="shared" si="291"/>
        <v>0</v>
      </c>
      <c r="MB88" s="13">
        <f t="shared" si="292"/>
        <v>0</v>
      </c>
      <c r="MC88" s="13">
        <f t="shared" si="293"/>
        <v>0</v>
      </c>
      <c r="MD88" s="13">
        <f t="shared" si="294"/>
        <v>0</v>
      </c>
      <c r="ME88" s="13">
        <f t="shared" si="295"/>
        <v>0</v>
      </c>
      <c r="MF88" s="13">
        <f t="shared" si="296"/>
        <v>0</v>
      </c>
      <c r="MG88" s="13">
        <f t="shared" si="297"/>
        <v>0</v>
      </c>
      <c r="MH88" s="13">
        <f t="shared" si="298"/>
        <v>0</v>
      </c>
      <c r="MI88" s="13">
        <f t="shared" si="299"/>
        <v>0</v>
      </c>
      <c r="MJ88" s="13">
        <f t="shared" si="300"/>
        <v>0</v>
      </c>
      <c r="MK88" s="13">
        <f t="shared" si="301"/>
        <v>0</v>
      </c>
      <c r="ML88" s="14">
        <f t="shared" si="302"/>
        <v>0</v>
      </c>
      <c r="MM88" s="14">
        <f t="shared" si="303"/>
        <v>0</v>
      </c>
      <c r="MN88" s="14">
        <f t="shared" si="304"/>
        <v>0</v>
      </c>
      <c r="MO88" s="14">
        <f t="shared" si="305"/>
        <v>0</v>
      </c>
      <c r="MP88" s="14">
        <f t="shared" si="306"/>
        <v>0</v>
      </c>
      <c r="MQ88" s="14">
        <f t="shared" si="307"/>
        <v>0</v>
      </c>
      <c r="MR88" s="14">
        <f t="shared" si="308"/>
        <v>0</v>
      </c>
      <c r="MS88" s="14">
        <f t="shared" si="309"/>
        <v>0</v>
      </c>
      <c r="MT88" s="14">
        <f t="shared" si="310"/>
        <v>0</v>
      </c>
      <c r="MU88" s="14">
        <f t="shared" si="311"/>
        <v>0</v>
      </c>
      <c r="MV88" s="14">
        <f t="shared" si="312"/>
        <v>0</v>
      </c>
      <c r="MW88" s="14">
        <f t="shared" si="313"/>
        <v>0</v>
      </c>
      <c r="MX88" s="14">
        <f t="shared" si="314"/>
        <v>0</v>
      </c>
      <c r="MY88" s="14">
        <f t="shared" si="315"/>
        <v>0</v>
      </c>
      <c r="MZ88" s="14">
        <f t="shared" si="316"/>
        <v>0</v>
      </c>
      <c r="NA88" s="14">
        <f t="shared" si="317"/>
        <v>0</v>
      </c>
      <c r="NB88" s="14">
        <f t="shared" si="318"/>
        <v>0</v>
      </c>
    </row>
    <row r="89" ht="15.75" customHeight="1">
      <c r="A89" s="2">
        <v>277.0</v>
      </c>
      <c r="B89" s="2" t="s">
        <v>1896</v>
      </c>
      <c r="C89" s="2" t="s">
        <v>1897</v>
      </c>
      <c r="D89" s="2" t="s">
        <v>1898</v>
      </c>
      <c r="E89" s="2">
        <v>2019.0</v>
      </c>
      <c r="F89" s="2" t="s">
        <v>1899</v>
      </c>
      <c r="G89" s="2" t="s">
        <v>1900</v>
      </c>
      <c r="I89" s="2" t="s">
        <v>1901</v>
      </c>
      <c r="M89" s="2">
        <v>12.0</v>
      </c>
      <c r="N89" s="2" t="s">
        <v>1902</v>
      </c>
      <c r="O89" s="2" t="s">
        <v>1903</v>
      </c>
      <c r="P89" s="2" t="s">
        <v>1904</v>
      </c>
      <c r="Q89" s="2" t="s">
        <v>1905</v>
      </c>
      <c r="R89" s="2" t="s">
        <v>1906</v>
      </c>
      <c r="S89" s="2" t="s">
        <v>1907</v>
      </c>
      <c r="T89" s="2" t="s">
        <v>1908</v>
      </c>
      <c r="X89" s="2" t="s">
        <v>1909</v>
      </c>
      <c r="Y89" s="2" t="s">
        <v>1910</v>
      </c>
      <c r="AB89" s="2" t="s">
        <v>422</v>
      </c>
      <c r="AG89" s="2" t="s">
        <v>1911</v>
      </c>
      <c r="AI89" s="2" t="s">
        <v>1912</v>
      </c>
      <c r="AJ89" s="2">
        <v>3.1136833E7</v>
      </c>
      <c r="AK89" s="2" t="s">
        <v>1913</v>
      </c>
      <c r="AL89" s="2" t="s">
        <v>384</v>
      </c>
      <c r="AN89" s="2" t="s">
        <v>386</v>
      </c>
      <c r="AO89" s="2" t="s">
        <v>1914</v>
      </c>
      <c r="AP89" s="2" t="s">
        <v>386</v>
      </c>
      <c r="AQ89" s="2">
        <v>1125.0</v>
      </c>
      <c r="AR89" s="2" t="s">
        <v>1915</v>
      </c>
      <c r="AS89" s="2" t="b">
        <v>1</v>
      </c>
      <c r="AT89" s="3">
        <v>0.0</v>
      </c>
      <c r="AU89" s="4"/>
      <c r="AV89" s="4"/>
      <c r="AW89" s="5">
        <f t="shared" si="432"/>
        <v>0</v>
      </c>
      <c r="AX89" s="5">
        <f t="shared" si="4"/>
        <v>0</v>
      </c>
      <c r="AY89" s="5">
        <f t="shared" si="5"/>
        <v>0</v>
      </c>
      <c r="AZ89" s="5">
        <f t="shared" si="6"/>
        <v>0</v>
      </c>
      <c r="BA89" s="5">
        <f t="shared" si="7"/>
        <v>0</v>
      </c>
      <c r="BB89" s="5">
        <f t="shared" si="8"/>
        <v>0</v>
      </c>
      <c r="BC89" s="5">
        <f t="shared" si="9"/>
        <v>0</v>
      </c>
      <c r="BD89" s="5">
        <f t="shared" si="10"/>
        <v>0</v>
      </c>
      <c r="BE89" s="5">
        <f t="shared" si="11"/>
        <v>0</v>
      </c>
      <c r="BF89" s="5">
        <f t="shared" si="12"/>
        <v>0</v>
      </c>
      <c r="BG89" s="5">
        <f t="shared" si="13"/>
        <v>0</v>
      </c>
      <c r="BH89" s="5">
        <f t="shared" si="14"/>
        <v>0</v>
      </c>
      <c r="BI89" s="5">
        <f t="shared" si="15"/>
        <v>0</v>
      </c>
      <c r="BJ89" s="5">
        <f t="shared" si="16"/>
        <v>0</v>
      </c>
      <c r="BK89" s="5">
        <f t="shared" si="17"/>
        <v>0</v>
      </c>
      <c r="BL89" s="5">
        <f t="shared" si="18"/>
        <v>0</v>
      </c>
      <c r="BM89" s="5">
        <f t="shared" si="19"/>
        <v>0</v>
      </c>
      <c r="BN89" s="5">
        <f t="shared" si="20"/>
        <v>0</v>
      </c>
      <c r="BO89" s="5">
        <f t="shared" si="21"/>
        <v>0</v>
      </c>
      <c r="BP89" s="5">
        <f t="shared" si="22"/>
        <v>0</v>
      </c>
      <c r="BQ89" s="5">
        <f t="shared" si="23"/>
        <v>0</v>
      </c>
      <c r="BR89" s="5">
        <f t="shared" si="24"/>
        <v>0</v>
      </c>
      <c r="BS89" s="5">
        <f t="shared" si="25"/>
        <v>0</v>
      </c>
      <c r="BT89" s="5">
        <f t="shared" si="26"/>
        <v>0</v>
      </c>
      <c r="BU89" s="5">
        <f t="shared" si="27"/>
        <v>0</v>
      </c>
      <c r="BV89" s="5">
        <f t="shared" ref="BV89:BW89" si="516">IF(OR(ISNUMBER(SEARCH("grit",$D89)),ISNUMBER(SEARCH("grit",$T89)),ISNUMBER(SEARCH("grit",$R89)),ISNUMBER(SEARCH("grit",$S89)),
ISNUMBER(SEARCH("determination",$D89)),ISNUMBER(SEARCH("determination",$T89)),ISNUMBER(SEARCH("determination",$R89)),ISNUMBER(SEARCH("determination",$S89)),
ISNUMBER(SEARCH("tenacity",$D89)),ISNUMBER(SEARCH("tenacity",$T89)),ISNUMBER(SEARCH("tenacity",$R89)),ISNUMBER(SEARCH("tenacity",$S89)),
ISNUMBER(SEARCH("endurance",$D89)),ISNUMBER(SEARCH("endurance",$T89)),ISNUMBER(SEARCH("endurance",$R89)),ISNUMBER(SEARCH("endurance",$S89)),
ISNUMBER(SEARCH("fortitude",$D89)),ISNUMBER(SEARCH("fortitude",$T89)),ISNUMBER(SEARCH("fortitude",$R89)),ISNUMBER(SEARCH("fortitude",$S89)),
ISNUMBER(SEARCH("resolve",$D89)),ISNUMBER(SEARCH("resolve",$T89)),ISNUMBER(SEARCH("resolve",$R89)),ISNUMBER(SEARCH("resolve",$S89)),
ISNUMBER(SEARCH("stamina",$D89)),ISNUMBER(SEARCH("stamina",$T89)),ISNUMBER(SEARCH("stamina",$R89)),ISNUMBER(SEARCH("stamina",$S89)),
ISNUMBER(SEARCH("guts",$D89)),ISNUMBER(SEARCH("guts",$T89)),ISNUMBER(SEARCH("guts",$R89)),ISNUMBER(SEARCH("guts",$S89)),
ISNUMBER(SEARCH("spunk",$D89)),ISNUMBER(SEARCH("spunk",$T89)),ISNUMBER(SEARCH("spunk",$R89)),ISNUMBER(SEARCH("spunk",$S89))), 1, 0)</f>
        <v>0</v>
      </c>
      <c r="BW89" s="5">
        <f t="shared" si="516"/>
        <v>0</v>
      </c>
      <c r="BX89" s="5">
        <f t="shared" si="29"/>
        <v>0</v>
      </c>
      <c r="BY89" s="5">
        <f t="shared" si="30"/>
        <v>0</v>
      </c>
      <c r="BZ89" s="5">
        <f t="shared" si="31"/>
        <v>0</v>
      </c>
      <c r="CA89" s="5">
        <f t="shared" si="32"/>
        <v>0</v>
      </c>
      <c r="CB89" s="5">
        <f t="shared" si="33"/>
        <v>0</v>
      </c>
      <c r="CC89" s="5">
        <f t="shared" si="34"/>
        <v>0</v>
      </c>
      <c r="CD89" s="5">
        <f t="shared" si="35"/>
        <v>0</v>
      </c>
      <c r="CE89" s="5">
        <f t="shared" si="36"/>
        <v>0</v>
      </c>
      <c r="CF89" s="5">
        <f t="shared" si="37"/>
        <v>0</v>
      </c>
      <c r="CG89" s="5">
        <f t="shared" si="38"/>
        <v>0</v>
      </c>
      <c r="CH89" s="5">
        <f t="shared" si="39"/>
        <v>0</v>
      </c>
      <c r="CI89" s="5">
        <f t="shared" si="40"/>
        <v>0</v>
      </c>
      <c r="CJ89" s="5">
        <f t="shared" si="41"/>
        <v>0</v>
      </c>
      <c r="CK89" s="5">
        <f t="shared" si="42"/>
        <v>0</v>
      </c>
      <c r="CL89" s="5">
        <f t="shared" si="43"/>
        <v>0</v>
      </c>
      <c r="CM89" s="5">
        <f t="shared" si="44"/>
        <v>0</v>
      </c>
      <c r="CN89" s="5">
        <f t="shared" si="45"/>
        <v>0</v>
      </c>
      <c r="CO89" s="5">
        <f t="shared" si="46"/>
        <v>0</v>
      </c>
      <c r="CP89" s="6">
        <f t="shared" si="47"/>
        <v>0</v>
      </c>
      <c r="CQ89" s="6">
        <f t="shared" si="48"/>
        <v>0</v>
      </c>
      <c r="CR89" s="6">
        <f t="shared" si="49"/>
        <v>0</v>
      </c>
      <c r="CS89" s="6">
        <f t="shared" si="50"/>
        <v>0</v>
      </c>
      <c r="CT89" s="6">
        <f t="shared" ref="CT89:CT92" si="519">IF(OR(ISNUMBER(SEARCH("optimism", $D89)), ISNUMBER(SEARCH("optimism", $T89)), ISNUMBER(SEARCH("optimism", $R89)), ISNUMBER(SEARCH("optimism", $S89))), 1, 0)</f>
        <v>0</v>
      </c>
      <c r="CU89" s="6">
        <f t="shared" si="52"/>
        <v>0</v>
      </c>
      <c r="CV89" s="6">
        <f t="shared" si="53"/>
        <v>0</v>
      </c>
      <c r="CW89" s="6">
        <f t="shared" si="54"/>
        <v>0</v>
      </c>
      <c r="CX89" s="6">
        <f t="shared" si="55"/>
        <v>0</v>
      </c>
      <c r="CY89" s="6">
        <f t="shared" si="56"/>
        <v>0</v>
      </c>
      <c r="CZ89" s="6">
        <f t="shared" si="57"/>
        <v>0</v>
      </c>
      <c r="DA89" s="6">
        <f t="shared" si="58"/>
        <v>0</v>
      </c>
      <c r="DB89" s="6">
        <f t="shared" si="59"/>
        <v>0</v>
      </c>
      <c r="DC89" s="6">
        <f t="shared" si="60"/>
        <v>0</v>
      </c>
      <c r="DD89" s="6">
        <f t="shared" si="61"/>
        <v>0</v>
      </c>
      <c r="DE89" s="6">
        <f t="shared" si="62"/>
        <v>0</v>
      </c>
      <c r="DF89" s="6">
        <f t="shared" si="63"/>
        <v>0</v>
      </c>
      <c r="DG89" s="6">
        <f t="shared" si="64"/>
        <v>0</v>
      </c>
      <c r="DH89" s="6">
        <f t="shared" si="509"/>
        <v>0</v>
      </c>
      <c r="DI89" s="6">
        <f t="shared" si="66"/>
        <v>1</v>
      </c>
      <c r="DJ89" s="6">
        <f t="shared" si="510"/>
        <v>0</v>
      </c>
      <c r="DK89" s="7">
        <f t="shared" si="68"/>
        <v>0</v>
      </c>
      <c r="DL89" s="7">
        <f t="shared" si="498"/>
        <v>0</v>
      </c>
      <c r="DM89" s="7">
        <f t="shared" si="70"/>
        <v>0</v>
      </c>
      <c r="DN89" s="7">
        <f t="shared" si="71"/>
        <v>0</v>
      </c>
      <c r="DO89" s="7">
        <f t="shared" si="72"/>
        <v>1</v>
      </c>
      <c r="DP89" s="8">
        <f t="shared" si="73"/>
        <v>0</v>
      </c>
      <c r="DQ89" s="8">
        <f t="shared" si="74"/>
        <v>1</v>
      </c>
      <c r="DR89" s="7">
        <f t="shared" si="75"/>
        <v>0</v>
      </c>
      <c r="DS89" s="7">
        <f t="shared" si="76"/>
        <v>0</v>
      </c>
      <c r="DT89" s="7">
        <f t="shared" si="77"/>
        <v>0</v>
      </c>
      <c r="DU89" s="9">
        <f t="shared" si="78"/>
        <v>0</v>
      </c>
      <c r="DV89" s="9">
        <f t="shared" si="79"/>
        <v>0</v>
      </c>
      <c r="DW89" s="9">
        <f t="shared" si="80"/>
        <v>0</v>
      </c>
      <c r="DX89" s="9">
        <f t="shared" si="81"/>
        <v>0</v>
      </c>
      <c r="DY89" s="9">
        <f t="shared" si="82"/>
        <v>0</v>
      </c>
      <c r="DZ89" s="9">
        <f t="shared" si="83"/>
        <v>0</v>
      </c>
      <c r="EA89" s="9">
        <f t="shared" si="84"/>
        <v>0</v>
      </c>
      <c r="EB89" s="9">
        <f t="shared" si="85"/>
        <v>0</v>
      </c>
      <c r="EC89" s="9">
        <f t="shared" si="86"/>
        <v>0</v>
      </c>
      <c r="ED89" s="9">
        <f t="shared" si="87"/>
        <v>0</v>
      </c>
      <c r="EE89" s="9">
        <f t="shared" si="88"/>
        <v>0</v>
      </c>
      <c r="EF89" s="9">
        <f t="shared" si="89"/>
        <v>0</v>
      </c>
      <c r="EG89" s="9">
        <f t="shared" si="90"/>
        <v>0</v>
      </c>
      <c r="EH89" s="9">
        <f t="shared" si="91"/>
        <v>0</v>
      </c>
      <c r="EI89" s="9">
        <f t="shared" si="92"/>
        <v>0</v>
      </c>
      <c r="EJ89" s="10">
        <f t="shared" si="93"/>
        <v>0</v>
      </c>
      <c r="EK89" s="10">
        <f t="shared" si="94"/>
        <v>0</v>
      </c>
      <c r="EL89" s="10">
        <f t="shared" ref="EL89:EM89" si="517">IF(OR(ISNUMBER(SEARCH("ai software toolkit", $D89)), ISNUMBER(SEARCH("ai software toolkit", $T89)), ISNUMBER(SEARCH("ai software toolkit", $R89)), ISNUMBER(SEARCH("ai software toolkit", $S89))), 1, 0)</f>
        <v>0</v>
      </c>
      <c r="EM89" s="10">
        <f t="shared" si="517"/>
        <v>0</v>
      </c>
      <c r="EN89" s="10">
        <f t="shared" si="96"/>
        <v>0</v>
      </c>
      <c r="EO89" s="10">
        <f t="shared" si="97"/>
        <v>0</v>
      </c>
      <c r="EP89" s="10">
        <f t="shared" si="98"/>
        <v>0</v>
      </c>
      <c r="EQ89" s="10">
        <f t="shared" si="99"/>
        <v>0</v>
      </c>
      <c r="ER89" s="10">
        <f t="shared" si="100"/>
        <v>0</v>
      </c>
      <c r="ES89" s="10">
        <f t="shared" si="101"/>
        <v>0</v>
      </c>
      <c r="ET89" s="10">
        <f t="shared" si="102"/>
        <v>0</v>
      </c>
      <c r="EU89" s="10">
        <f t="shared" si="103"/>
        <v>0</v>
      </c>
      <c r="EV89" s="10">
        <f t="shared" si="104"/>
        <v>0</v>
      </c>
      <c r="EW89" s="10">
        <f t="shared" si="105"/>
        <v>0</v>
      </c>
      <c r="EX89" s="10">
        <f t="shared" si="106"/>
        <v>0</v>
      </c>
      <c r="EY89" s="10">
        <f t="shared" si="107"/>
        <v>0</v>
      </c>
      <c r="EZ89" s="10">
        <f t="shared" si="108"/>
        <v>0</v>
      </c>
      <c r="FA89" s="10">
        <f t="shared" si="109"/>
        <v>0</v>
      </c>
      <c r="FB89" s="10">
        <f t="shared" si="110"/>
        <v>0</v>
      </c>
      <c r="FC89" s="10">
        <f t="shared" si="111"/>
        <v>0</v>
      </c>
      <c r="FD89" s="10">
        <f t="shared" si="112"/>
        <v>0</v>
      </c>
      <c r="FE89" s="10">
        <f t="shared" si="113"/>
        <v>0</v>
      </c>
      <c r="FF89" s="10">
        <f t="shared" si="114"/>
        <v>0</v>
      </c>
      <c r="FG89" s="10">
        <f t="shared" si="115"/>
        <v>0</v>
      </c>
      <c r="FH89" s="10">
        <f t="shared" si="116"/>
        <v>0</v>
      </c>
      <c r="FI89" s="10">
        <f t="shared" si="117"/>
        <v>0</v>
      </c>
      <c r="FJ89" s="10">
        <f t="shared" si="118"/>
        <v>0</v>
      </c>
      <c r="FK89" s="10">
        <f t="shared" si="119"/>
        <v>0</v>
      </c>
      <c r="FL89" s="10">
        <f t="shared" si="120"/>
        <v>0</v>
      </c>
      <c r="FM89" s="10">
        <f t="shared" si="121"/>
        <v>0</v>
      </c>
      <c r="FN89" s="10">
        <f t="shared" si="122"/>
        <v>0</v>
      </c>
      <c r="FO89" s="10">
        <f t="shared" si="123"/>
        <v>0</v>
      </c>
      <c r="FP89" s="10">
        <f t="shared" si="124"/>
        <v>1</v>
      </c>
      <c r="FQ89" s="10">
        <f t="shared" si="125"/>
        <v>1</v>
      </c>
      <c r="FR89" s="11">
        <f t="shared" si="506"/>
        <v>0</v>
      </c>
      <c r="FS89" s="11">
        <f t="shared" si="127"/>
        <v>0</v>
      </c>
      <c r="FT89" s="11">
        <f t="shared" si="128"/>
        <v>0</v>
      </c>
      <c r="FU89" s="11">
        <f t="shared" si="129"/>
        <v>0</v>
      </c>
      <c r="FV89" s="11">
        <f t="shared" si="130"/>
        <v>0</v>
      </c>
      <c r="FW89" s="11">
        <f t="shared" si="131"/>
        <v>0</v>
      </c>
      <c r="FX89" s="11">
        <f t="shared" si="132"/>
        <v>0</v>
      </c>
      <c r="FY89" s="11">
        <f t="shared" si="133"/>
        <v>0</v>
      </c>
      <c r="FZ89" s="11">
        <f t="shared" si="134"/>
        <v>0</v>
      </c>
      <c r="GA89" s="11">
        <f t="shared" si="135"/>
        <v>0</v>
      </c>
      <c r="GB89" s="11">
        <f t="shared" si="136"/>
        <v>0</v>
      </c>
      <c r="GC89" s="11">
        <f t="shared" si="137"/>
        <v>0</v>
      </c>
      <c r="GD89" s="11">
        <f t="shared" si="138"/>
        <v>0</v>
      </c>
      <c r="GE89" s="11">
        <f t="shared" si="139"/>
        <v>0</v>
      </c>
      <c r="GF89" s="11">
        <f t="shared" si="140"/>
        <v>0</v>
      </c>
      <c r="GG89" s="11">
        <f t="shared" si="141"/>
        <v>0</v>
      </c>
      <c r="GH89" s="11">
        <f t="shared" si="142"/>
        <v>0</v>
      </c>
      <c r="GI89" s="11">
        <f t="shared" si="143"/>
        <v>0</v>
      </c>
      <c r="GJ89" s="11">
        <f t="shared" si="144"/>
        <v>0</v>
      </c>
      <c r="GK89" s="11">
        <f t="shared" si="145"/>
        <v>0</v>
      </c>
      <c r="GL89" s="11">
        <f t="shared" si="146"/>
        <v>0</v>
      </c>
      <c r="GM89" s="11">
        <f t="shared" si="147"/>
        <v>0</v>
      </c>
      <c r="GN89" s="11">
        <f t="shared" si="148"/>
        <v>0</v>
      </c>
      <c r="GO89" s="11">
        <f t="shared" si="149"/>
        <v>0</v>
      </c>
      <c r="GP89" s="11">
        <f t="shared" si="150"/>
        <v>0</v>
      </c>
      <c r="GQ89" s="11">
        <f t="shared" si="151"/>
        <v>1</v>
      </c>
      <c r="GR89" s="11">
        <f t="shared" si="152"/>
        <v>1</v>
      </c>
      <c r="GS89" s="11">
        <f t="shared" si="153"/>
        <v>0</v>
      </c>
      <c r="GT89" s="11">
        <f t="shared" si="154"/>
        <v>0</v>
      </c>
      <c r="GU89" s="12">
        <f t="shared" si="155"/>
        <v>0</v>
      </c>
      <c r="GV89" s="12">
        <f t="shared" si="156"/>
        <v>0</v>
      </c>
      <c r="GW89" s="12">
        <f t="shared" si="157"/>
        <v>0</v>
      </c>
      <c r="GX89" s="12">
        <f t="shared" si="158"/>
        <v>0</v>
      </c>
      <c r="GY89" s="12">
        <f t="shared" si="159"/>
        <v>0</v>
      </c>
      <c r="GZ89" s="12">
        <f t="shared" si="160"/>
        <v>0</v>
      </c>
      <c r="HA89" s="12">
        <f t="shared" si="161"/>
        <v>0</v>
      </c>
      <c r="HB89" s="12">
        <f t="shared" si="162"/>
        <v>0</v>
      </c>
      <c r="HC89" s="12">
        <f t="shared" si="163"/>
        <v>0</v>
      </c>
      <c r="HD89" s="12">
        <f t="shared" si="164"/>
        <v>0</v>
      </c>
      <c r="HE89" s="12">
        <f t="shared" si="165"/>
        <v>0</v>
      </c>
      <c r="HF89" s="12">
        <f t="shared" si="166"/>
        <v>0</v>
      </c>
      <c r="HG89" s="12">
        <f t="shared" si="167"/>
        <v>0</v>
      </c>
      <c r="HH89" s="12">
        <f t="shared" si="168"/>
        <v>0</v>
      </c>
      <c r="HI89" s="12">
        <f t="shared" si="169"/>
        <v>0</v>
      </c>
      <c r="HJ89" s="12">
        <f t="shared" si="170"/>
        <v>0</v>
      </c>
      <c r="HK89" s="12">
        <f t="shared" si="171"/>
        <v>0</v>
      </c>
      <c r="HL89" s="12">
        <f t="shared" si="172"/>
        <v>0</v>
      </c>
      <c r="HM89" s="12">
        <f t="shared" si="173"/>
        <v>0</v>
      </c>
      <c r="HN89" s="12">
        <f t="shared" si="174"/>
        <v>0</v>
      </c>
      <c r="HO89" s="12">
        <f t="shared" si="175"/>
        <v>0</v>
      </c>
      <c r="HP89" s="12">
        <f t="shared" si="176"/>
        <v>0</v>
      </c>
      <c r="HQ89" s="12">
        <f t="shared" si="177"/>
        <v>0</v>
      </c>
      <c r="HR89" s="12">
        <f t="shared" si="178"/>
        <v>0</v>
      </c>
      <c r="HS89" s="12">
        <f t="shared" si="179"/>
        <v>0</v>
      </c>
      <c r="HT89" s="12">
        <f t="shared" si="180"/>
        <v>0</v>
      </c>
      <c r="HU89" s="12">
        <f t="shared" si="181"/>
        <v>0</v>
      </c>
      <c r="HV89" s="12">
        <f t="shared" si="182"/>
        <v>0</v>
      </c>
      <c r="HW89" s="12">
        <f t="shared" si="183"/>
        <v>0</v>
      </c>
      <c r="HX89" s="12">
        <f t="shared" si="184"/>
        <v>0</v>
      </c>
      <c r="HY89" s="12">
        <f t="shared" si="185"/>
        <v>0</v>
      </c>
      <c r="HZ89" s="12">
        <f t="shared" si="186"/>
        <v>0</v>
      </c>
      <c r="IA89" s="12">
        <f t="shared" si="187"/>
        <v>0</v>
      </c>
      <c r="IB89" s="12">
        <f t="shared" si="188"/>
        <v>0</v>
      </c>
      <c r="IC89" s="12">
        <f t="shared" si="189"/>
        <v>0</v>
      </c>
      <c r="ID89" s="12">
        <f t="shared" si="190"/>
        <v>0</v>
      </c>
      <c r="IE89" s="12">
        <f t="shared" si="191"/>
        <v>0</v>
      </c>
      <c r="IF89" s="12">
        <f t="shared" si="192"/>
        <v>0</v>
      </c>
      <c r="IG89" s="12">
        <f t="shared" si="193"/>
        <v>0</v>
      </c>
      <c r="IH89" s="12">
        <f t="shared" si="194"/>
        <v>0</v>
      </c>
      <c r="II89" s="12">
        <f t="shared" si="195"/>
        <v>0</v>
      </c>
      <c r="IJ89" s="12">
        <f t="shared" si="196"/>
        <v>0</v>
      </c>
      <c r="IK89" s="12">
        <f t="shared" si="197"/>
        <v>0</v>
      </c>
      <c r="IL89" s="12">
        <f t="shared" si="198"/>
        <v>0</v>
      </c>
      <c r="IM89" s="12">
        <f t="shared" si="199"/>
        <v>0</v>
      </c>
      <c r="IN89" s="12">
        <f t="shared" si="200"/>
        <v>0</v>
      </c>
      <c r="IO89" s="12">
        <f t="shared" si="201"/>
        <v>0</v>
      </c>
      <c r="IP89" s="12">
        <f t="shared" si="202"/>
        <v>0</v>
      </c>
      <c r="IQ89" s="12">
        <f t="shared" si="203"/>
        <v>0</v>
      </c>
      <c r="IR89" s="12">
        <f t="shared" si="204"/>
        <v>0</v>
      </c>
      <c r="IS89" s="12">
        <f t="shared" si="205"/>
        <v>0</v>
      </c>
      <c r="IT89" s="12">
        <f t="shared" si="206"/>
        <v>0</v>
      </c>
      <c r="IU89" s="12">
        <f t="shared" si="207"/>
        <v>0</v>
      </c>
      <c r="IV89" s="12">
        <f t="shared" si="208"/>
        <v>0</v>
      </c>
      <c r="IW89" s="12">
        <f t="shared" si="209"/>
        <v>0</v>
      </c>
      <c r="IX89" s="12">
        <f t="shared" si="210"/>
        <v>0</v>
      </c>
      <c r="IY89" s="12">
        <f t="shared" si="211"/>
        <v>0</v>
      </c>
      <c r="IZ89" s="12">
        <f t="shared" si="212"/>
        <v>0</v>
      </c>
      <c r="JA89" s="13">
        <f t="shared" si="213"/>
        <v>1</v>
      </c>
      <c r="JB89" s="13">
        <f t="shared" si="214"/>
        <v>0</v>
      </c>
      <c r="JC89" s="13">
        <f t="shared" si="215"/>
        <v>0</v>
      </c>
      <c r="JD89" s="13">
        <f t="shared" si="216"/>
        <v>0</v>
      </c>
      <c r="JE89" s="13">
        <f t="shared" si="217"/>
        <v>0</v>
      </c>
      <c r="JF89" s="13">
        <f t="shared" si="218"/>
        <v>0</v>
      </c>
      <c r="JG89" s="13">
        <f t="shared" si="219"/>
        <v>0</v>
      </c>
      <c r="JH89" s="13">
        <f t="shared" si="220"/>
        <v>0</v>
      </c>
      <c r="JI89" s="13">
        <f t="shared" si="221"/>
        <v>0</v>
      </c>
      <c r="JJ89" s="13">
        <f t="shared" si="222"/>
        <v>0</v>
      </c>
      <c r="JK89" s="13">
        <f t="shared" si="223"/>
        <v>0</v>
      </c>
      <c r="JL89" s="13">
        <f t="shared" si="224"/>
        <v>0</v>
      </c>
      <c r="JM89" s="13">
        <f t="shared" si="225"/>
        <v>0</v>
      </c>
      <c r="JN89" s="13">
        <f t="shared" si="226"/>
        <v>0</v>
      </c>
      <c r="JO89" s="13">
        <f t="shared" si="227"/>
        <v>0</v>
      </c>
      <c r="JP89" s="13">
        <f t="shared" si="228"/>
        <v>0</v>
      </c>
      <c r="JQ89" s="13">
        <f t="shared" si="229"/>
        <v>0</v>
      </c>
      <c r="JR89" s="13">
        <f t="shared" si="230"/>
        <v>0</v>
      </c>
      <c r="JS89" s="13">
        <f t="shared" si="231"/>
        <v>0</v>
      </c>
      <c r="JT89" s="13">
        <f t="shared" si="232"/>
        <v>0</v>
      </c>
      <c r="JU89" s="13">
        <f t="shared" si="233"/>
        <v>0</v>
      </c>
      <c r="JV89" s="12">
        <f t="shared" si="234"/>
        <v>0</v>
      </c>
      <c r="JW89" s="12">
        <f t="shared" si="235"/>
        <v>0</v>
      </c>
      <c r="JX89" s="12">
        <f t="shared" si="236"/>
        <v>0</v>
      </c>
      <c r="JY89" s="12">
        <f t="shared" si="237"/>
        <v>0</v>
      </c>
      <c r="JZ89" s="12">
        <f t="shared" si="238"/>
        <v>0</v>
      </c>
      <c r="KA89" s="12">
        <f t="shared" si="239"/>
        <v>0</v>
      </c>
      <c r="KB89" s="12">
        <f t="shared" si="240"/>
        <v>0</v>
      </c>
      <c r="KC89" s="12">
        <f t="shared" si="241"/>
        <v>0</v>
      </c>
      <c r="KD89" s="12">
        <f t="shared" si="242"/>
        <v>0</v>
      </c>
      <c r="KE89" s="12">
        <f t="shared" si="243"/>
        <v>0</v>
      </c>
      <c r="KF89" s="12">
        <f t="shared" si="244"/>
        <v>0</v>
      </c>
      <c r="KG89" s="12">
        <f t="shared" si="245"/>
        <v>0</v>
      </c>
      <c r="KH89" s="12">
        <f t="shared" si="246"/>
        <v>0</v>
      </c>
      <c r="KI89" s="12">
        <f t="shared" si="247"/>
        <v>0</v>
      </c>
      <c r="KJ89" s="12">
        <f t="shared" si="248"/>
        <v>0</v>
      </c>
      <c r="KK89" s="12">
        <f t="shared" si="249"/>
        <v>0</v>
      </c>
      <c r="KL89" s="12">
        <f t="shared" si="250"/>
        <v>0</v>
      </c>
      <c r="KM89" s="12">
        <f t="shared" si="251"/>
        <v>0</v>
      </c>
      <c r="KN89" s="12">
        <f t="shared" si="252"/>
        <v>0</v>
      </c>
      <c r="KO89" s="12">
        <f t="shared" si="253"/>
        <v>0</v>
      </c>
      <c r="KP89" s="12">
        <f t="shared" si="254"/>
        <v>0</v>
      </c>
      <c r="KQ89" s="12">
        <f t="shared" si="255"/>
        <v>0</v>
      </c>
      <c r="KR89" s="12">
        <f t="shared" si="256"/>
        <v>0</v>
      </c>
      <c r="KS89" s="12">
        <f t="shared" si="257"/>
        <v>0</v>
      </c>
      <c r="KT89" s="12">
        <f t="shared" si="258"/>
        <v>0</v>
      </c>
      <c r="KU89" s="12">
        <f t="shared" si="259"/>
        <v>0</v>
      </c>
      <c r="KV89" s="12">
        <f t="shared" si="260"/>
        <v>0</v>
      </c>
      <c r="KW89" s="12">
        <f t="shared" si="261"/>
        <v>0</v>
      </c>
      <c r="KX89" s="12">
        <f t="shared" si="262"/>
        <v>0</v>
      </c>
      <c r="KY89" s="12">
        <f t="shared" si="263"/>
        <v>0</v>
      </c>
      <c r="KZ89" s="12">
        <f t="shared" si="264"/>
        <v>0</v>
      </c>
      <c r="LA89" s="12">
        <f t="shared" si="265"/>
        <v>0</v>
      </c>
      <c r="LB89" s="12">
        <f t="shared" si="266"/>
        <v>0</v>
      </c>
      <c r="LC89" s="12">
        <f t="shared" si="267"/>
        <v>0</v>
      </c>
      <c r="LD89" s="12">
        <f t="shared" si="268"/>
        <v>0</v>
      </c>
      <c r="LE89" s="12">
        <f t="shared" si="269"/>
        <v>0</v>
      </c>
      <c r="LF89" s="12">
        <f t="shared" si="270"/>
        <v>0</v>
      </c>
      <c r="LG89" s="12">
        <f t="shared" si="271"/>
        <v>0</v>
      </c>
      <c r="LH89" s="12">
        <f t="shared" si="272"/>
        <v>0</v>
      </c>
      <c r="LI89" s="12">
        <f t="shared" si="273"/>
        <v>0</v>
      </c>
      <c r="LJ89" s="12">
        <f t="shared" si="274"/>
        <v>0</v>
      </c>
      <c r="LK89" s="12">
        <f t="shared" si="275"/>
        <v>0</v>
      </c>
      <c r="LL89" s="12">
        <f t="shared" si="276"/>
        <v>0</v>
      </c>
      <c r="LM89" s="12">
        <f t="shared" si="277"/>
        <v>0</v>
      </c>
      <c r="LN89" s="12">
        <f t="shared" si="278"/>
        <v>0</v>
      </c>
      <c r="LO89" s="12">
        <f t="shared" si="279"/>
        <v>0</v>
      </c>
      <c r="LP89" s="12">
        <f t="shared" si="280"/>
        <v>0</v>
      </c>
      <c r="LQ89" s="12">
        <f t="shared" si="281"/>
        <v>0</v>
      </c>
      <c r="LR89" s="12">
        <f t="shared" si="282"/>
        <v>0</v>
      </c>
      <c r="LS89" s="12">
        <f t="shared" si="283"/>
        <v>0</v>
      </c>
      <c r="LT89" s="13">
        <f t="shared" si="284"/>
        <v>0</v>
      </c>
      <c r="LU89" s="13">
        <f t="shared" si="285"/>
        <v>0</v>
      </c>
      <c r="LV89" s="13">
        <f t="shared" si="286"/>
        <v>0</v>
      </c>
      <c r="LW89" s="13">
        <f t="shared" si="287"/>
        <v>0</v>
      </c>
      <c r="LX89" s="13">
        <f t="shared" si="288"/>
        <v>0</v>
      </c>
      <c r="LY89" s="13">
        <f t="shared" si="289"/>
        <v>0</v>
      </c>
      <c r="LZ89" s="13">
        <f t="shared" si="290"/>
        <v>0</v>
      </c>
      <c r="MA89" s="13">
        <f t="shared" si="291"/>
        <v>0</v>
      </c>
      <c r="MB89" s="13">
        <f t="shared" si="292"/>
        <v>1</v>
      </c>
      <c r="MC89" s="13">
        <f t="shared" si="293"/>
        <v>0</v>
      </c>
      <c r="MD89" s="13">
        <f t="shared" si="294"/>
        <v>0</v>
      </c>
      <c r="ME89" s="13">
        <f t="shared" si="295"/>
        <v>0</v>
      </c>
      <c r="MF89" s="13">
        <f t="shared" si="296"/>
        <v>0</v>
      </c>
      <c r="MG89" s="13">
        <f t="shared" si="297"/>
        <v>0</v>
      </c>
      <c r="MH89" s="13">
        <f t="shared" si="298"/>
        <v>0</v>
      </c>
      <c r="MI89" s="13">
        <f t="shared" si="299"/>
        <v>0</v>
      </c>
      <c r="MJ89" s="13">
        <f t="shared" si="300"/>
        <v>0</v>
      </c>
      <c r="MK89" s="13">
        <f t="shared" si="301"/>
        <v>0</v>
      </c>
      <c r="ML89" s="14">
        <f t="shared" si="302"/>
        <v>0</v>
      </c>
      <c r="MM89" s="14">
        <f t="shared" si="303"/>
        <v>0</v>
      </c>
      <c r="MN89" s="14">
        <f t="shared" si="304"/>
        <v>0</v>
      </c>
      <c r="MO89" s="14">
        <f t="shared" si="305"/>
        <v>0</v>
      </c>
      <c r="MP89" s="14">
        <f t="shared" si="306"/>
        <v>1</v>
      </c>
      <c r="MQ89" s="14">
        <f t="shared" si="307"/>
        <v>0</v>
      </c>
      <c r="MR89" s="14">
        <f t="shared" si="308"/>
        <v>0</v>
      </c>
      <c r="MS89" s="14">
        <f t="shared" si="309"/>
        <v>0</v>
      </c>
      <c r="MT89" s="14">
        <f t="shared" si="310"/>
        <v>0</v>
      </c>
      <c r="MU89" s="14">
        <f t="shared" si="311"/>
        <v>0</v>
      </c>
      <c r="MV89" s="14">
        <f t="shared" si="312"/>
        <v>0</v>
      </c>
      <c r="MW89" s="14">
        <f t="shared" si="313"/>
        <v>0</v>
      </c>
      <c r="MX89" s="14">
        <f t="shared" si="314"/>
        <v>0</v>
      </c>
      <c r="MY89" s="14">
        <f t="shared" si="315"/>
        <v>0</v>
      </c>
      <c r="MZ89" s="14">
        <f t="shared" si="316"/>
        <v>0</v>
      </c>
      <c r="NA89" s="14">
        <f t="shared" si="317"/>
        <v>0</v>
      </c>
      <c r="NB89" s="14">
        <f t="shared" si="318"/>
        <v>0</v>
      </c>
    </row>
    <row r="90" ht="15.75" customHeight="1">
      <c r="A90" s="2">
        <v>119.0</v>
      </c>
      <c r="B90" s="2" t="s">
        <v>1916</v>
      </c>
      <c r="C90" s="2" t="s">
        <v>1917</v>
      </c>
      <c r="D90" s="2" t="s">
        <v>1918</v>
      </c>
      <c r="E90" s="2">
        <v>2021.0</v>
      </c>
      <c r="F90" s="2" t="s">
        <v>1311</v>
      </c>
      <c r="G90" s="2" t="s">
        <v>603</v>
      </c>
      <c r="H90" s="2" t="s">
        <v>392</v>
      </c>
      <c r="I90" s="2" t="s">
        <v>1919</v>
      </c>
      <c r="M90" s="2">
        <v>12.0</v>
      </c>
      <c r="N90" s="2" t="s">
        <v>1920</v>
      </c>
      <c r="O90" s="2" t="s">
        <v>1921</v>
      </c>
      <c r="P90" s="2" t="s">
        <v>1922</v>
      </c>
      <c r="Q90" s="2" t="s">
        <v>1923</v>
      </c>
      <c r="R90" s="2" t="s">
        <v>1924</v>
      </c>
      <c r="S90" s="2" t="s">
        <v>1925</v>
      </c>
      <c r="T90" s="2" t="s">
        <v>1926</v>
      </c>
      <c r="Y90" s="2" t="s">
        <v>1927</v>
      </c>
      <c r="AB90" s="2" t="s">
        <v>1321</v>
      </c>
      <c r="AG90" s="2" t="s">
        <v>1322</v>
      </c>
      <c r="AK90" s="2" t="s">
        <v>1323</v>
      </c>
      <c r="AL90" s="2" t="s">
        <v>384</v>
      </c>
      <c r="AN90" s="2" t="s">
        <v>386</v>
      </c>
      <c r="AO90" s="2" t="s">
        <v>1928</v>
      </c>
      <c r="AP90" s="2" t="s">
        <v>386</v>
      </c>
      <c r="AQ90" s="2">
        <v>398.0</v>
      </c>
      <c r="AR90" s="2" t="s">
        <v>1929</v>
      </c>
      <c r="AS90" s="2" t="b">
        <v>1</v>
      </c>
      <c r="AT90" s="3">
        <v>0.0</v>
      </c>
      <c r="AU90" s="4"/>
      <c r="AV90" s="4"/>
      <c r="AW90" s="5">
        <f t="shared" si="432"/>
        <v>0</v>
      </c>
      <c r="AX90" s="5">
        <f t="shared" si="4"/>
        <v>0</v>
      </c>
      <c r="AY90" s="5">
        <f t="shared" si="5"/>
        <v>0</v>
      </c>
      <c r="AZ90" s="5">
        <f t="shared" si="6"/>
        <v>0</v>
      </c>
      <c r="BA90" s="5">
        <f t="shared" si="7"/>
        <v>0</v>
      </c>
      <c r="BB90" s="5">
        <f t="shared" si="8"/>
        <v>0</v>
      </c>
      <c r="BC90" s="5">
        <f t="shared" si="9"/>
        <v>0</v>
      </c>
      <c r="BD90" s="5">
        <f t="shared" si="10"/>
        <v>0</v>
      </c>
      <c r="BE90" s="5">
        <f t="shared" si="11"/>
        <v>0</v>
      </c>
      <c r="BF90" s="5">
        <f t="shared" si="12"/>
        <v>0</v>
      </c>
      <c r="BG90" s="5">
        <f t="shared" si="13"/>
        <v>0</v>
      </c>
      <c r="BH90" s="5">
        <f t="shared" si="14"/>
        <v>0</v>
      </c>
      <c r="BI90" s="5">
        <f t="shared" si="15"/>
        <v>0</v>
      </c>
      <c r="BJ90" s="5">
        <f t="shared" si="16"/>
        <v>0</v>
      </c>
      <c r="BK90" s="5">
        <f t="shared" si="17"/>
        <v>0</v>
      </c>
      <c r="BL90" s="5">
        <f t="shared" si="18"/>
        <v>0</v>
      </c>
      <c r="BM90" s="5">
        <f t="shared" si="19"/>
        <v>0</v>
      </c>
      <c r="BN90" s="5">
        <f t="shared" si="20"/>
        <v>0</v>
      </c>
      <c r="BO90" s="5">
        <f t="shared" si="21"/>
        <v>0</v>
      </c>
      <c r="BP90" s="5">
        <f t="shared" si="22"/>
        <v>0</v>
      </c>
      <c r="BQ90" s="5">
        <f t="shared" si="23"/>
        <v>0</v>
      </c>
      <c r="BR90" s="5">
        <f t="shared" si="24"/>
        <v>0</v>
      </c>
      <c r="BS90" s="5">
        <f t="shared" si="25"/>
        <v>0</v>
      </c>
      <c r="BT90" s="5">
        <f t="shared" si="26"/>
        <v>0</v>
      </c>
      <c r="BU90" s="5">
        <f t="shared" si="27"/>
        <v>0</v>
      </c>
      <c r="BV90" s="5">
        <f t="shared" ref="BV90:BW90" si="518">IF(OR(ISNUMBER(SEARCH("grit",$D90)),ISNUMBER(SEARCH("grit",$T90)),ISNUMBER(SEARCH("grit",$R90)),ISNUMBER(SEARCH("grit",$S90)),
ISNUMBER(SEARCH("determination",$D90)),ISNUMBER(SEARCH("determination",$T90)),ISNUMBER(SEARCH("determination",$R90)),ISNUMBER(SEARCH("determination",$S90)),
ISNUMBER(SEARCH("tenacity",$D90)),ISNUMBER(SEARCH("tenacity",$T90)),ISNUMBER(SEARCH("tenacity",$R90)),ISNUMBER(SEARCH("tenacity",$S90)),
ISNUMBER(SEARCH("endurance",$D90)),ISNUMBER(SEARCH("endurance",$T90)),ISNUMBER(SEARCH("endurance",$R90)),ISNUMBER(SEARCH("endurance",$S90)),
ISNUMBER(SEARCH("fortitude",$D90)),ISNUMBER(SEARCH("fortitude",$T90)),ISNUMBER(SEARCH("fortitude",$R90)),ISNUMBER(SEARCH("fortitude",$S90)),
ISNUMBER(SEARCH("resolve",$D90)),ISNUMBER(SEARCH("resolve",$T90)),ISNUMBER(SEARCH("resolve",$R90)),ISNUMBER(SEARCH("resolve",$S90)),
ISNUMBER(SEARCH("stamina",$D90)),ISNUMBER(SEARCH("stamina",$T90)),ISNUMBER(SEARCH("stamina",$R90)),ISNUMBER(SEARCH("stamina",$S90)),
ISNUMBER(SEARCH("guts",$D90)),ISNUMBER(SEARCH("guts",$T90)),ISNUMBER(SEARCH("guts",$R90)),ISNUMBER(SEARCH("guts",$S90)),
ISNUMBER(SEARCH("spunk",$D90)),ISNUMBER(SEARCH("spunk",$T90)),ISNUMBER(SEARCH("spunk",$R90)),ISNUMBER(SEARCH("spunk",$S90))), 1, 0)</f>
        <v>0</v>
      </c>
      <c r="BW90" s="5">
        <f t="shared" si="518"/>
        <v>0</v>
      </c>
      <c r="BX90" s="5">
        <f t="shared" si="29"/>
        <v>0</v>
      </c>
      <c r="BY90" s="5">
        <f t="shared" si="30"/>
        <v>0</v>
      </c>
      <c r="BZ90" s="5">
        <f t="shared" si="31"/>
        <v>0</v>
      </c>
      <c r="CA90" s="5">
        <f t="shared" si="32"/>
        <v>0</v>
      </c>
      <c r="CB90" s="5">
        <f t="shared" si="33"/>
        <v>0</v>
      </c>
      <c r="CC90" s="5">
        <f t="shared" si="34"/>
        <v>0</v>
      </c>
      <c r="CD90" s="5">
        <f t="shared" si="35"/>
        <v>0</v>
      </c>
      <c r="CE90" s="5">
        <f t="shared" si="36"/>
        <v>0</v>
      </c>
      <c r="CF90" s="5">
        <f t="shared" si="37"/>
        <v>0</v>
      </c>
      <c r="CG90" s="5">
        <f t="shared" si="38"/>
        <v>0</v>
      </c>
      <c r="CH90" s="5">
        <f t="shared" si="39"/>
        <v>0</v>
      </c>
      <c r="CI90" s="5">
        <f t="shared" si="40"/>
        <v>0</v>
      </c>
      <c r="CJ90" s="5">
        <f t="shared" si="41"/>
        <v>0</v>
      </c>
      <c r="CK90" s="5">
        <f t="shared" si="42"/>
        <v>0</v>
      </c>
      <c r="CL90" s="5">
        <f t="shared" si="43"/>
        <v>0</v>
      </c>
      <c r="CM90" s="5">
        <f t="shared" si="44"/>
        <v>0</v>
      </c>
      <c r="CN90" s="5">
        <f t="shared" si="45"/>
        <v>0</v>
      </c>
      <c r="CO90" s="5">
        <f t="shared" si="46"/>
        <v>0</v>
      </c>
      <c r="CP90" s="6">
        <f t="shared" si="47"/>
        <v>0</v>
      </c>
      <c r="CQ90" s="6">
        <f t="shared" si="48"/>
        <v>0</v>
      </c>
      <c r="CR90" s="6">
        <f t="shared" si="49"/>
        <v>0</v>
      </c>
      <c r="CS90" s="6">
        <f t="shared" si="50"/>
        <v>0</v>
      </c>
      <c r="CT90" s="6">
        <f t="shared" si="519"/>
        <v>0</v>
      </c>
      <c r="CU90" s="6">
        <f t="shared" si="52"/>
        <v>0</v>
      </c>
      <c r="CV90" s="6">
        <f t="shared" si="53"/>
        <v>0</v>
      </c>
      <c r="CW90" s="6">
        <f t="shared" si="54"/>
        <v>0</v>
      </c>
      <c r="CX90" s="6">
        <f t="shared" si="55"/>
        <v>0</v>
      </c>
      <c r="CY90" s="6">
        <f t="shared" si="56"/>
        <v>0</v>
      </c>
      <c r="CZ90" s="6">
        <f t="shared" si="57"/>
        <v>0</v>
      </c>
      <c r="DA90" s="6">
        <f t="shared" si="58"/>
        <v>0</v>
      </c>
      <c r="DB90" s="6">
        <f t="shared" si="59"/>
        <v>0</v>
      </c>
      <c r="DC90" s="6">
        <f t="shared" si="60"/>
        <v>0</v>
      </c>
      <c r="DD90" s="6">
        <f t="shared" si="61"/>
        <v>0</v>
      </c>
      <c r="DE90" s="6">
        <f t="shared" si="62"/>
        <v>0</v>
      </c>
      <c r="DF90" s="6">
        <f t="shared" si="63"/>
        <v>0</v>
      </c>
      <c r="DG90" s="6">
        <f t="shared" si="64"/>
        <v>0</v>
      </c>
      <c r="DH90" s="6">
        <f t="shared" si="509"/>
        <v>0</v>
      </c>
      <c r="DI90" s="6">
        <f t="shared" si="66"/>
        <v>0</v>
      </c>
      <c r="DJ90" s="6">
        <f t="shared" si="510"/>
        <v>0</v>
      </c>
      <c r="DK90" s="7">
        <f t="shared" si="68"/>
        <v>0</v>
      </c>
      <c r="DL90" s="7">
        <f t="shared" si="498"/>
        <v>0</v>
      </c>
      <c r="DM90" s="7">
        <f t="shared" si="70"/>
        <v>0</v>
      </c>
      <c r="DN90" s="7">
        <f t="shared" si="71"/>
        <v>0</v>
      </c>
      <c r="DO90" s="7">
        <f t="shared" si="72"/>
        <v>1</v>
      </c>
      <c r="DP90" s="8">
        <f t="shared" si="73"/>
        <v>0</v>
      </c>
      <c r="DQ90" s="8">
        <f t="shared" si="74"/>
        <v>1</v>
      </c>
      <c r="DR90" s="7">
        <f t="shared" si="75"/>
        <v>0</v>
      </c>
      <c r="DS90" s="7">
        <f t="shared" si="76"/>
        <v>0</v>
      </c>
      <c r="DT90" s="7">
        <f t="shared" si="77"/>
        <v>0</v>
      </c>
      <c r="DU90" s="9">
        <f t="shared" si="78"/>
        <v>0</v>
      </c>
      <c r="DV90" s="9">
        <f t="shared" si="79"/>
        <v>0</v>
      </c>
      <c r="DW90" s="9">
        <f t="shared" si="80"/>
        <v>0</v>
      </c>
      <c r="DX90" s="9">
        <f t="shared" si="81"/>
        <v>0</v>
      </c>
      <c r="DY90" s="9">
        <f t="shared" si="82"/>
        <v>0</v>
      </c>
      <c r="DZ90" s="9">
        <f t="shared" si="83"/>
        <v>0</v>
      </c>
      <c r="EA90" s="9">
        <f t="shared" si="84"/>
        <v>0</v>
      </c>
      <c r="EB90" s="9">
        <f t="shared" si="85"/>
        <v>0</v>
      </c>
      <c r="EC90" s="9">
        <f t="shared" si="86"/>
        <v>0</v>
      </c>
      <c r="ED90" s="9">
        <f t="shared" si="87"/>
        <v>0</v>
      </c>
      <c r="EE90" s="9">
        <f t="shared" si="88"/>
        <v>0</v>
      </c>
      <c r="EF90" s="9">
        <f t="shared" si="89"/>
        <v>0</v>
      </c>
      <c r="EG90" s="9">
        <f t="shared" si="90"/>
        <v>0</v>
      </c>
      <c r="EH90" s="9">
        <f t="shared" si="91"/>
        <v>0</v>
      </c>
      <c r="EI90" s="9">
        <f t="shared" si="92"/>
        <v>0</v>
      </c>
      <c r="EJ90" s="10">
        <f t="shared" si="93"/>
        <v>0</v>
      </c>
      <c r="EK90" s="10">
        <f t="shared" si="94"/>
        <v>0</v>
      </c>
      <c r="EL90" s="10">
        <f t="shared" ref="EL90:EM90" si="520">IF(OR(ISNUMBER(SEARCH("ai software toolkit", $D90)), ISNUMBER(SEARCH("ai software toolkit", $T90)), ISNUMBER(SEARCH("ai software toolkit", $R90)), ISNUMBER(SEARCH("ai software toolkit", $S90))), 1, 0)</f>
        <v>0</v>
      </c>
      <c r="EM90" s="10">
        <f t="shared" si="520"/>
        <v>0</v>
      </c>
      <c r="EN90" s="10">
        <f t="shared" si="96"/>
        <v>0</v>
      </c>
      <c r="EO90" s="10">
        <f t="shared" si="97"/>
        <v>0</v>
      </c>
      <c r="EP90" s="10">
        <f t="shared" si="98"/>
        <v>0</v>
      </c>
      <c r="EQ90" s="10">
        <f t="shared" si="99"/>
        <v>0</v>
      </c>
      <c r="ER90" s="10">
        <f t="shared" si="100"/>
        <v>0</v>
      </c>
      <c r="ES90" s="10">
        <f t="shared" si="101"/>
        <v>0</v>
      </c>
      <c r="ET90" s="10">
        <f t="shared" si="102"/>
        <v>0</v>
      </c>
      <c r="EU90" s="10">
        <f t="shared" si="103"/>
        <v>0</v>
      </c>
      <c r="EV90" s="10">
        <f t="shared" si="104"/>
        <v>0</v>
      </c>
      <c r="EW90" s="10">
        <f t="shared" si="105"/>
        <v>0</v>
      </c>
      <c r="EX90" s="10">
        <f t="shared" si="106"/>
        <v>0</v>
      </c>
      <c r="EY90" s="10">
        <f t="shared" si="107"/>
        <v>0</v>
      </c>
      <c r="EZ90" s="10">
        <f t="shared" si="108"/>
        <v>0</v>
      </c>
      <c r="FA90" s="10">
        <f t="shared" si="109"/>
        <v>0</v>
      </c>
      <c r="FB90" s="10">
        <f t="shared" si="110"/>
        <v>0</v>
      </c>
      <c r="FC90" s="10">
        <f t="shared" si="111"/>
        <v>0</v>
      </c>
      <c r="FD90" s="10">
        <f t="shared" si="112"/>
        <v>0</v>
      </c>
      <c r="FE90" s="10">
        <f t="shared" si="113"/>
        <v>0</v>
      </c>
      <c r="FF90" s="10">
        <f t="shared" si="114"/>
        <v>0</v>
      </c>
      <c r="FG90" s="10">
        <f t="shared" si="115"/>
        <v>0</v>
      </c>
      <c r="FH90" s="10">
        <f t="shared" si="116"/>
        <v>0</v>
      </c>
      <c r="FI90" s="10">
        <f t="shared" si="117"/>
        <v>0</v>
      </c>
      <c r="FJ90" s="10">
        <f t="shared" si="118"/>
        <v>0</v>
      </c>
      <c r="FK90" s="10">
        <f t="shared" si="119"/>
        <v>0</v>
      </c>
      <c r="FL90" s="10">
        <f t="shared" si="120"/>
        <v>0</v>
      </c>
      <c r="FM90" s="10">
        <f t="shared" si="121"/>
        <v>0</v>
      </c>
      <c r="FN90" s="10">
        <f t="shared" si="122"/>
        <v>0</v>
      </c>
      <c r="FO90" s="10">
        <f t="shared" si="123"/>
        <v>0</v>
      </c>
      <c r="FP90" s="10">
        <f t="shared" si="124"/>
        <v>0</v>
      </c>
      <c r="FQ90" s="10">
        <f t="shared" si="125"/>
        <v>1</v>
      </c>
      <c r="FR90" s="11">
        <f t="shared" si="506"/>
        <v>0</v>
      </c>
      <c r="FS90" s="11">
        <f t="shared" si="127"/>
        <v>0</v>
      </c>
      <c r="FT90" s="11">
        <f t="shared" si="128"/>
        <v>0</v>
      </c>
      <c r="FU90" s="11">
        <f t="shared" si="129"/>
        <v>0</v>
      </c>
      <c r="FV90" s="11">
        <f t="shared" si="130"/>
        <v>0</v>
      </c>
      <c r="FW90" s="11">
        <f t="shared" si="131"/>
        <v>0</v>
      </c>
      <c r="FX90" s="11">
        <f t="shared" si="132"/>
        <v>0</v>
      </c>
      <c r="FY90" s="11">
        <f t="shared" si="133"/>
        <v>0</v>
      </c>
      <c r="FZ90" s="11">
        <f t="shared" si="134"/>
        <v>0</v>
      </c>
      <c r="GA90" s="11">
        <f t="shared" si="135"/>
        <v>0</v>
      </c>
      <c r="GB90" s="11">
        <f t="shared" si="136"/>
        <v>0</v>
      </c>
      <c r="GC90" s="11">
        <f t="shared" si="137"/>
        <v>0</v>
      </c>
      <c r="GD90" s="11">
        <f t="shared" si="138"/>
        <v>0</v>
      </c>
      <c r="GE90" s="11">
        <f t="shared" si="139"/>
        <v>0</v>
      </c>
      <c r="GF90" s="11">
        <f t="shared" si="140"/>
        <v>0</v>
      </c>
      <c r="GG90" s="11">
        <f t="shared" si="141"/>
        <v>0</v>
      </c>
      <c r="GH90" s="11">
        <f t="shared" si="142"/>
        <v>0</v>
      </c>
      <c r="GI90" s="11">
        <f t="shared" si="143"/>
        <v>0</v>
      </c>
      <c r="GJ90" s="11">
        <f t="shared" si="144"/>
        <v>0</v>
      </c>
      <c r="GK90" s="11">
        <f t="shared" si="145"/>
        <v>1</v>
      </c>
      <c r="GL90" s="11">
        <f t="shared" si="146"/>
        <v>0</v>
      </c>
      <c r="GM90" s="11">
        <f t="shared" si="147"/>
        <v>0</v>
      </c>
      <c r="GN90" s="11">
        <f t="shared" si="148"/>
        <v>0</v>
      </c>
      <c r="GO90" s="11">
        <f t="shared" si="149"/>
        <v>0</v>
      </c>
      <c r="GP90" s="11">
        <f t="shared" si="150"/>
        <v>0</v>
      </c>
      <c r="GQ90" s="11">
        <f t="shared" si="151"/>
        <v>0</v>
      </c>
      <c r="GR90" s="11">
        <f t="shared" si="152"/>
        <v>1</v>
      </c>
      <c r="GS90" s="11">
        <f t="shared" si="153"/>
        <v>0</v>
      </c>
      <c r="GT90" s="11">
        <f t="shared" si="154"/>
        <v>0</v>
      </c>
      <c r="GU90" s="12">
        <f t="shared" si="155"/>
        <v>0</v>
      </c>
      <c r="GV90" s="12">
        <f t="shared" si="156"/>
        <v>0</v>
      </c>
      <c r="GW90" s="12">
        <f t="shared" si="157"/>
        <v>0</v>
      </c>
      <c r="GX90" s="12">
        <f t="shared" si="158"/>
        <v>0</v>
      </c>
      <c r="GY90" s="12">
        <f t="shared" si="159"/>
        <v>0</v>
      </c>
      <c r="GZ90" s="12">
        <f t="shared" si="160"/>
        <v>0</v>
      </c>
      <c r="HA90" s="12">
        <f t="shared" si="161"/>
        <v>0</v>
      </c>
      <c r="HB90" s="12">
        <f t="shared" si="162"/>
        <v>0</v>
      </c>
      <c r="HC90" s="12">
        <f t="shared" si="163"/>
        <v>0</v>
      </c>
      <c r="HD90" s="12">
        <f t="shared" si="164"/>
        <v>0</v>
      </c>
      <c r="HE90" s="12">
        <f t="shared" si="165"/>
        <v>0</v>
      </c>
      <c r="HF90" s="12">
        <f t="shared" si="166"/>
        <v>0</v>
      </c>
      <c r="HG90" s="12">
        <f t="shared" si="167"/>
        <v>0</v>
      </c>
      <c r="HH90" s="12">
        <f t="shared" si="168"/>
        <v>0</v>
      </c>
      <c r="HI90" s="12">
        <f t="shared" si="169"/>
        <v>0</v>
      </c>
      <c r="HJ90" s="12">
        <f t="shared" si="170"/>
        <v>0</v>
      </c>
      <c r="HK90" s="12">
        <f t="shared" si="171"/>
        <v>0</v>
      </c>
      <c r="HL90" s="12">
        <f t="shared" si="172"/>
        <v>0</v>
      </c>
      <c r="HM90" s="12">
        <f t="shared" si="173"/>
        <v>0</v>
      </c>
      <c r="HN90" s="12">
        <f t="shared" si="174"/>
        <v>0</v>
      </c>
      <c r="HO90" s="12">
        <f t="shared" si="175"/>
        <v>0</v>
      </c>
      <c r="HP90" s="12">
        <f t="shared" si="176"/>
        <v>0</v>
      </c>
      <c r="HQ90" s="12">
        <f t="shared" si="177"/>
        <v>0</v>
      </c>
      <c r="HR90" s="12">
        <f t="shared" si="178"/>
        <v>0</v>
      </c>
      <c r="HS90" s="12">
        <f t="shared" si="179"/>
        <v>0</v>
      </c>
      <c r="HT90" s="12">
        <f t="shared" si="180"/>
        <v>0</v>
      </c>
      <c r="HU90" s="12">
        <f t="shared" si="181"/>
        <v>0</v>
      </c>
      <c r="HV90" s="12">
        <f t="shared" si="182"/>
        <v>0</v>
      </c>
      <c r="HW90" s="12">
        <f t="shared" si="183"/>
        <v>0</v>
      </c>
      <c r="HX90" s="12">
        <f t="shared" si="184"/>
        <v>0</v>
      </c>
      <c r="HY90" s="12">
        <f t="shared" si="185"/>
        <v>0</v>
      </c>
      <c r="HZ90" s="12">
        <f t="shared" si="186"/>
        <v>0</v>
      </c>
      <c r="IA90" s="12">
        <f t="shared" si="187"/>
        <v>0</v>
      </c>
      <c r="IB90" s="12">
        <f t="shared" si="188"/>
        <v>0</v>
      </c>
      <c r="IC90" s="12">
        <f t="shared" si="189"/>
        <v>0</v>
      </c>
      <c r="ID90" s="12">
        <f t="shared" si="190"/>
        <v>0</v>
      </c>
      <c r="IE90" s="12">
        <f t="shared" si="191"/>
        <v>0</v>
      </c>
      <c r="IF90" s="12">
        <f t="shared" si="192"/>
        <v>0</v>
      </c>
      <c r="IG90" s="12">
        <f t="shared" si="193"/>
        <v>0</v>
      </c>
      <c r="IH90" s="12">
        <f t="shared" si="194"/>
        <v>0</v>
      </c>
      <c r="II90" s="12">
        <f t="shared" si="195"/>
        <v>0</v>
      </c>
      <c r="IJ90" s="12">
        <f t="shared" si="196"/>
        <v>0</v>
      </c>
      <c r="IK90" s="12">
        <f t="shared" si="197"/>
        <v>0</v>
      </c>
      <c r="IL90" s="12">
        <f t="shared" si="198"/>
        <v>0</v>
      </c>
      <c r="IM90" s="12">
        <f t="shared" si="199"/>
        <v>0</v>
      </c>
      <c r="IN90" s="12">
        <f t="shared" si="200"/>
        <v>0</v>
      </c>
      <c r="IO90" s="12">
        <f t="shared" si="201"/>
        <v>0</v>
      </c>
      <c r="IP90" s="12">
        <f t="shared" si="202"/>
        <v>0</v>
      </c>
      <c r="IQ90" s="12">
        <f t="shared" si="203"/>
        <v>0</v>
      </c>
      <c r="IR90" s="12">
        <f t="shared" si="204"/>
        <v>0</v>
      </c>
      <c r="IS90" s="12">
        <f t="shared" si="205"/>
        <v>0</v>
      </c>
      <c r="IT90" s="12">
        <f t="shared" si="206"/>
        <v>0</v>
      </c>
      <c r="IU90" s="12">
        <f t="shared" si="207"/>
        <v>0</v>
      </c>
      <c r="IV90" s="12">
        <f t="shared" si="208"/>
        <v>0</v>
      </c>
      <c r="IW90" s="12">
        <f t="shared" si="209"/>
        <v>0</v>
      </c>
      <c r="IX90" s="12">
        <f t="shared" si="210"/>
        <v>0</v>
      </c>
      <c r="IY90" s="12">
        <f t="shared" si="211"/>
        <v>0</v>
      </c>
      <c r="IZ90" s="12">
        <f t="shared" si="212"/>
        <v>1</v>
      </c>
      <c r="JA90" s="13">
        <f t="shared" si="213"/>
        <v>0</v>
      </c>
      <c r="JB90" s="13">
        <f t="shared" si="214"/>
        <v>0</v>
      </c>
      <c r="JC90" s="13">
        <f t="shared" si="215"/>
        <v>0</v>
      </c>
      <c r="JD90" s="13">
        <f t="shared" si="216"/>
        <v>0</v>
      </c>
      <c r="JE90" s="13">
        <f t="shared" si="217"/>
        <v>0</v>
      </c>
      <c r="JF90" s="13">
        <f t="shared" si="218"/>
        <v>0</v>
      </c>
      <c r="JG90" s="13">
        <f t="shared" si="219"/>
        <v>0</v>
      </c>
      <c r="JH90" s="13">
        <f t="shared" si="220"/>
        <v>0</v>
      </c>
      <c r="JI90" s="13">
        <f t="shared" si="221"/>
        <v>0</v>
      </c>
      <c r="JJ90" s="13">
        <f t="shared" si="222"/>
        <v>0</v>
      </c>
      <c r="JK90" s="13">
        <f t="shared" si="223"/>
        <v>0</v>
      </c>
      <c r="JL90" s="13">
        <f t="shared" si="224"/>
        <v>0</v>
      </c>
      <c r="JM90" s="13">
        <f t="shared" si="225"/>
        <v>0</v>
      </c>
      <c r="JN90" s="13">
        <f t="shared" si="226"/>
        <v>0</v>
      </c>
      <c r="JO90" s="13">
        <f t="shared" si="227"/>
        <v>0</v>
      </c>
      <c r="JP90" s="13">
        <f t="shared" si="228"/>
        <v>0</v>
      </c>
      <c r="JQ90" s="13">
        <f t="shared" si="229"/>
        <v>0</v>
      </c>
      <c r="JR90" s="13">
        <f t="shared" si="230"/>
        <v>0</v>
      </c>
      <c r="JS90" s="13">
        <f t="shared" si="231"/>
        <v>0</v>
      </c>
      <c r="JT90" s="13">
        <f t="shared" si="232"/>
        <v>0</v>
      </c>
      <c r="JU90" s="13">
        <f t="shared" si="233"/>
        <v>0</v>
      </c>
      <c r="JV90" s="12">
        <f t="shared" si="234"/>
        <v>0</v>
      </c>
      <c r="JW90" s="12">
        <f t="shared" si="235"/>
        <v>0</v>
      </c>
      <c r="JX90" s="12">
        <f t="shared" si="236"/>
        <v>0</v>
      </c>
      <c r="JY90" s="12">
        <f t="shared" si="237"/>
        <v>0</v>
      </c>
      <c r="JZ90" s="12">
        <f t="shared" si="238"/>
        <v>0</v>
      </c>
      <c r="KA90" s="12">
        <f t="shared" si="239"/>
        <v>0</v>
      </c>
      <c r="KB90" s="12">
        <f t="shared" si="240"/>
        <v>0</v>
      </c>
      <c r="KC90" s="12">
        <f t="shared" si="241"/>
        <v>0</v>
      </c>
      <c r="KD90" s="12">
        <f t="shared" si="242"/>
        <v>0</v>
      </c>
      <c r="KE90" s="12">
        <f t="shared" si="243"/>
        <v>0</v>
      </c>
      <c r="KF90" s="12">
        <f t="shared" si="244"/>
        <v>0</v>
      </c>
      <c r="KG90" s="12">
        <f t="shared" si="245"/>
        <v>0</v>
      </c>
      <c r="KH90" s="12">
        <f t="shared" si="246"/>
        <v>0</v>
      </c>
      <c r="KI90" s="12">
        <f t="shared" si="247"/>
        <v>0</v>
      </c>
      <c r="KJ90" s="12">
        <f t="shared" si="248"/>
        <v>0</v>
      </c>
      <c r="KK90" s="12">
        <f t="shared" si="249"/>
        <v>0</v>
      </c>
      <c r="KL90" s="12">
        <f t="shared" si="250"/>
        <v>0</v>
      </c>
      <c r="KM90" s="12">
        <f t="shared" si="251"/>
        <v>0</v>
      </c>
      <c r="KN90" s="12">
        <f t="shared" si="252"/>
        <v>0</v>
      </c>
      <c r="KO90" s="12">
        <f t="shared" si="253"/>
        <v>0</v>
      </c>
      <c r="KP90" s="12">
        <f t="shared" si="254"/>
        <v>0</v>
      </c>
      <c r="KQ90" s="12">
        <f t="shared" si="255"/>
        <v>0</v>
      </c>
      <c r="KR90" s="12">
        <f t="shared" si="256"/>
        <v>0</v>
      </c>
      <c r="KS90" s="12">
        <f t="shared" si="257"/>
        <v>0</v>
      </c>
      <c r="KT90" s="12">
        <f t="shared" si="258"/>
        <v>0</v>
      </c>
      <c r="KU90" s="12">
        <f t="shared" si="259"/>
        <v>0</v>
      </c>
      <c r="KV90" s="12">
        <f t="shared" si="260"/>
        <v>0</v>
      </c>
      <c r="KW90" s="12">
        <f t="shared" si="261"/>
        <v>0</v>
      </c>
      <c r="KX90" s="12">
        <f t="shared" si="262"/>
        <v>0</v>
      </c>
      <c r="KY90" s="12">
        <f t="shared" si="263"/>
        <v>0</v>
      </c>
      <c r="KZ90" s="12">
        <f t="shared" si="264"/>
        <v>0</v>
      </c>
      <c r="LA90" s="12">
        <f t="shared" si="265"/>
        <v>0</v>
      </c>
      <c r="LB90" s="12">
        <f t="shared" si="266"/>
        <v>0</v>
      </c>
      <c r="LC90" s="12">
        <f t="shared" si="267"/>
        <v>0</v>
      </c>
      <c r="LD90" s="12">
        <f t="shared" si="268"/>
        <v>0</v>
      </c>
      <c r="LE90" s="12">
        <f t="shared" si="269"/>
        <v>0</v>
      </c>
      <c r="LF90" s="12">
        <f t="shared" si="270"/>
        <v>0</v>
      </c>
      <c r="LG90" s="12">
        <f t="shared" si="271"/>
        <v>0</v>
      </c>
      <c r="LH90" s="12">
        <f t="shared" si="272"/>
        <v>0</v>
      </c>
      <c r="LI90" s="12">
        <f t="shared" si="273"/>
        <v>0</v>
      </c>
      <c r="LJ90" s="12">
        <f t="shared" si="274"/>
        <v>0</v>
      </c>
      <c r="LK90" s="12">
        <f t="shared" si="275"/>
        <v>0</v>
      </c>
      <c r="LL90" s="12">
        <f t="shared" si="276"/>
        <v>0</v>
      </c>
      <c r="LM90" s="12">
        <f t="shared" si="277"/>
        <v>0</v>
      </c>
      <c r="LN90" s="12">
        <f t="shared" si="278"/>
        <v>0</v>
      </c>
      <c r="LO90" s="12">
        <f t="shared" si="279"/>
        <v>0</v>
      </c>
      <c r="LP90" s="12">
        <f t="shared" si="280"/>
        <v>0</v>
      </c>
      <c r="LQ90" s="12">
        <f t="shared" si="281"/>
        <v>0</v>
      </c>
      <c r="LR90" s="12">
        <f t="shared" si="282"/>
        <v>0</v>
      </c>
      <c r="LS90" s="12">
        <f t="shared" si="283"/>
        <v>0</v>
      </c>
      <c r="LT90" s="13">
        <f t="shared" si="284"/>
        <v>0</v>
      </c>
      <c r="LU90" s="13">
        <f t="shared" si="285"/>
        <v>0</v>
      </c>
      <c r="LV90" s="13">
        <f t="shared" si="286"/>
        <v>0</v>
      </c>
      <c r="LW90" s="13">
        <f t="shared" si="287"/>
        <v>0</v>
      </c>
      <c r="LX90" s="13">
        <f t="shared" si="288"/>
        <v>0</v>
      </c>
      <c r="LY90" s="13">
        <f t="shared" si="289"/>
        <v>0</v>
      </c>
      <c r="LZ90" s="13">
        <f t="shared" si="290"/>
        <v>0</v>
      </c>
      <c r="MA90" s="13">
        <f t="shared" si="291"/>
        <v>0</v>
      </c>
      <c r="MB90" s="13">
        <f t="shared" si="292"/>
        <v>0</v>
      </c>
      <c r="MC90" s="13">
        <f t="shared" si="293"/>
        <v>0</v>
      </c>
      <c r="MD90" s="13">
        <f t="shared" si="294"/>
        <v>0</v>
      </c>
      <c r="ME90" s="13">
        <f t="shared" si="295"/>
        <v>0</v>
      </c>
      <c r="MF90" s="13">
        <f t="shared" si="296"/>
        <v>0</v>
      </c>
      <c r="MG90" s="13">
        <f t="shared" si="297"/>
        <v>0</v>
      </c>
      <c r="MH90" s="13">
        <f t="shared" si="298"/>
        <v>0</v>
      </c>
      <c r="MI90" s="13">
        <f t="shared" si="299"/>
        <v>0</v>
      </c>
      <c r="MJ90" s="13">
        <f t="shared" si="300"/>
        <v>0</v>
      </c>
      <c r="MK90" s="13">
        <f t="shared" si="301"/>
        <v>0</v>
      </c>
      <c r="ML90" s="14">
        <f t="shared" si="302"/>
        <v>0</v>
      </c>
      <c r="MM90" s="14">
        <f t="shared" si="303"/>
        <v>0</v>
      </c>
      <c r="MN90" s="14">
        <f t="shared" si="304"/>
        <v>0</v>
      </c>
      <c r="MO90" s="14">
        <f t="shared" si="305"/>
        <v>0</v>
      </c>
      <c r="MP90" s="14">
        <f t="shared" si="306"/>
        <v>1</v>
      </c>
      <c r="MQ90" s="14">
        <f t="shared" si="307"/>
        <v>0</v>
      </c>
      <c r="MR90" s="14">
        <f t="shared" si="308"/>
        <v>0</v>
      </c>
      <c r="MS90" s="14">
        <f t="shared" si="309"/>
        <v>0</v>
      </c>
      <c r="MT90" s="14">
        <f t="shared" si="310"/>
        <v>0</v>
      </c>
      <c r="MU90" s="14">
        <f t="shared" si="311"/>
        <v>0</v>
      </c>
      <c r="MV90" s="14">
        <f t="shared" si="312"/>
        <v>0</v>
      </c>
      <c r="MW90" s="14">
        <f t="shared" si="313"/>
        <v>0</v>
      </c>
      <c r="MX90" s="14">
        <f t="shared" si="314"/>
        <v>0</v>
      </c>
      <c r="MY90" s="14">
        <f t="shared" si="315"/>
        <v>0</v>
      </c>
      <c r="MZ90" s="14">
        <f t="shared" si="316"/>
        <v>0</v>
      </c>
      <c r="NA90" s="14">
        <f t="shared" si="317"/>
        <v>0</v>
      </c>
      <c r="NB90" s="14">
        <f t="shared" si="318"/>
        <v>0</v>
      </c>
    </row>
    <row r="91" ht="15.75" customHeight="1">
      <c r="A91" s="2">
        <v>300.0</v>
      </c>
      <c r="B91" s="2" t="s">
        <v>1930</v>
      </c>
      <c r="C91" s="2" t="s">
        <v>1931</v>
      </c>
      <c r="D91" s="2" t="s">
        <v>1932</v>
      </c>
      <c r="E91" s="2">
        <v>2019.0</v>
      </c>
      <c r="F91" s="2" t="s">
        <v>410</v>
      </c>
      <c r="G91" s="2" t="s">
        <v>1933</v>
      </c>
      <c r="J91" s="2" t="s">
        <v>1934</v>
      </c>
      <c r="K91" s="2" t="s">
        <v>1935</v>
      </c>
      <c r="M91" s="2">
        <v>11.0</v>
      </c>
      <c r="N91" s="2" t="s">
        <v>1936</v>
      </c>
      <c r="O91" s="2" t="s">
        <v>1937</v>
      </c>
      <c r="P91" s="2" t="s">
        <v>1938</v>
      </c>
      <c r="Q91" s="2" t="s">
        <v>1939</v>
      </c>
      <c r="R91" s="2" t="s">
        <v>1940</v>
      </c>
      <c r="S91" s="2" t="s">
        <v>1941</v>
      </c>
      <c r="T91" s="2" t="s">
        <v>1942</v>
      </c>
      <c r="Y91" s="2" t="s">
        <v>1943</v>
      </c>
      <c r="AB91" s="2" t="s">
        <v>422</v>
      </c>
      <c r="AG91" s="2" t="s">
        <v>423</v>
      </c>
      <c r="AI91" s="2" t="s">
        <v>424</v>
      </c>
      <c r="AJ91" s="2">
        <v>3.0317018E7</v>
      </c>
      <c r="AK91" s="2" t="s">
        <v>410</v>
      </c>
      <c r="AL91" s="2" t="s">
        <v>384</v>
      </c>
      <c r="AM91" s="2" t="s">
        <v>385</v>
      </c>
      <c r="AN91" s="2" t="s">
        <v>386</v>
      </c>
      <c r="AO91" s="2" t="s">
        <v>1944</v>
      </c>
      <c r="AP91" s="2" t="s">
        <v>386</v>
      </c>
      <c r="AQ91" s="2">
        <v>1193.0</v>
      </c>
      <c r="AR91" s="2" t="s">
        <v>1945</v>
      </c>
      <c r="AS91" s="2" t="b">
        <v>1</v>
      </c>
      <c r="AT91" s="3">
        <v>0.0</v>
      </c>
      <c r="AU91" s="4"/>
      <c r="AV91" s="4">
        <v>1.0</v>
      </c>
      <c r="AW91" s="5">
        <f t="shared" si="432"/>
        <v>0</v>
      </c>
      <c r="AX91" s="5">
        <f t="shared" si="4"/>
        <v>0</v>
      </c>
      <c r="AY91" s="5">
        <f t="shared" si="5"/>
        <v>0</v>
      </c>
      <c r="AZ91" s="5">
        <f t="shared" si="6"/>
        <v>0</v>
      </c>
      <c r="BA91" s="5">
        <f t="shared" si="7"/>
        <v>0</v>
      </c>
      <c r="BB91" s="5">
        <f t="shared" si="8"/>
        <v>0</v>
      </c>
      <c r="BC91" s="5">
        <f t="shared" si="9"/>
        <v>0</v>
      </c>
      <c r="BD91" s="5">
        <f t="shared" si="10"/>
        <v>0</v>
      </c>
      <c r="BE91" s="5">
        <f t="shared" si="11"/>
        <v>0</v>
      </c>
      <c r="BF91" s="5">
        <f t="shared" si="12"/>
        <v>0</v>
      </c>
      <c r="BG91" s="5">
        <f t="shared" si="13"/>
        <v>0</v>
      </c>
      <c r="BH91" s="5">
        <f t="shared" si="14"/>
        <v>0</v>
      </c>
      <c r="BI91" s="5">
        <f t="shared" si="15"/>
        <v>0</v>
      </c>
      <c r="BJ91" s="5">
        <f t="shared" si="16"/>
        <v>0</v>
      </c>
      <c r="BK91" s="5">
        <f t="shared" si="17"/>
        <v>0</v>
      </c>
      <c r="BL91" s="5">
        <f t="shared" si="18"/>
        <v>0</v>
      </c>
      <c r="BM91" s="5">
        <f t="shared" si="19"/>
        <v>0</v>
      </c>
      <c r="BN91" s="5">
        <f t="shared" si="20"/>
        <v>0</v>
      </c>
      <c r="BO91" s="5">
        <f t="shared" si="21"/>
        <v>0</v>
      </c>
      <c r="BP91" s="5">
        <f t="shared" si="22"/>
        <v>0</v>
      </c>
      <c r="BQ91" s="5">
        <f t="shared" si="23"/>
        <v>0</v>
      </c>
      <c r="BR91" s="5">
        <f t="shared" si="24"/>
        <v>0</v>
      </c>
      <c r="BS91" s="5">
        <f t="shared" si="25"/>
        <v>0</v>
      </c>
      <c r="BT91" s="5">
        <f t="shared" si="26"/>
        <v>0</v>
      </c>
      <c r="BU91" s="5">
        <f t="shared" si="27"/>
        <v>0</v>
      </c>
      <c r="BV91" s="5">
        <f t="shared" ref="BV91:BW91" si="521">IF(OR(ISNUMBER(SEARCH("grit",$D91)),ISNUMBER(SEARCH("grit",$T91)),ISNUMBER(SEARCH("grit",$R91)),ISNUMBER(SEARCH("grit",$S91)),
ISNUMBER(SEARCH("determination",$D91)),ISNUMBER(SEARCH("determination",$T91)),ISNUMBER(SEARCH("determination",$R91)),ISNUMBER(SEARCH("determination",$S91)),
ISNUMBER(SEARCH("tenacity",$D91)),ISNUMBER(SEARCH("tenacity",$T91)),ISNUMBER(SEARCH("tenacity",$R91)),ISNUMBER(SEARCH("tenacity",$S91)),
ISNUMBER(SEARCH("endurance",$D91)),ISNUMBER(SEARCH("endurance",$T91)),ISNUMBER(SEARCH("endurance",$R91)),ISNUMBER(SEARCH("endurance",$S91)),
ISNUMBER(SEARCH("fortitude",$D91)),ISNUMBER(SEARCH("fortitude",$T91)),ISNUMBER(SEARCH("fortitude",$R91)),ISNUMBER(SEARCH("fortitude",$S91)),
ISNUMBER(SEARCH("resolve",$D91)),ISNUMBER(SEARCH("resolve",$T91)),ISNUMBER(SEARCH("resolve",$R91)),ISNUMBER(SEARCH("resolve",$S91)),
ISNUMBER(SEARCH("stamina",$D91)),ISNUMBER(SEARCH("stamina",$T91)),ISNUMBER(SEARCH("stamina",$R91)),ISNUMBER(SEARCH("stamina",$S91)),
ISNUMBER(SEARCH("guts",$D91)),ISNUMBER(SEARCH("guts",$T91)),ISNUMBER(SEARCH("guts",$R91)),ISNUMBER(SEARCH("guts",$S91)),
ISNUMBER(SEARCH("spunk",$D91)),ISNUMBER(SEARCH("spunk",$T91)),ISNUMBER(SEARCH("spunk",$R91)),ISNUMBER(SEARCH("spunk",$S91))), 1, 0)</f>
        <v>1</v>
      </c>
      <c r="BW91" s="5">
        <f t="shared" si="521"/>
        <v>1</v>
      </c>
      <c r="BX91" s="5">
        <f t="shared" si="29"/>
        <v>0</v>
      </c>
      <c r="BY91" s="5">
        <f t="shared" si="30"/>
        <v>0</v>
      </c>
      <c r="BZ91" s="5">
        <f t="shared" si="31"/>
        <v>0</v>
      </c>
      <c r="CA91" s="5">
        <f t="shared" si="32"/>
        <v>0</v>
      </c>
      <c r="CB91" s="5">
        <f t="shared" si="33"/>
        <v>0</v>
      </c>
      <c r="CC91" s="5">
        <f t="shared" si="34"/>
        <v>0</v>
      </c>
      <c r="CD91" s="5">
        <f t="shared" si="35"/>
        <v>0</v>
      </c>
      <c r="CE91" s="5">
        <f t="shared" si="36"/>
        <v>0</v>
      </c>
      <c r="CF91" s="5">
        <f t="shared" si="37"/>
        <v>0</v>
      </c>
      <c r="CG91" s="5">
        <f t="shared" si="38"/>
        <v>0</v>
      </c>
      <c r="CH91" s="5">
        <f t="shared" si="39"/>
        <v>0</v>
      </c>
      <c r="CI91" s="5">
        <f t="shared" si="40"/>
        <v>0</v>
      </c>
      <c r="CJ91" s="5">
        <f t="shared" si="41"/>
        <v>0</v>
      </c>
      <c r="CK91" s="5">
        <f t="shared" si="42"/>
        <v>1</v>
      </c>
      <c r="CL91" s="5">
        <f t="shared" si="43"/>
        <v>0</v>
      </c>
      <c r="CM91" s="5">
        <f t="shared" si="44"/>
        <v>0</v>
      </c>
      <c r="CN91" s="5">
        <f t="shared" si="45"/>
        <v>0</v>
      </c>
      <c r="CO91" s="5">
        <f t="shared" si="46"/>
        <v>0</v>
      </c>
      <c r="CP91" s="6">
        <f t="shared" si="47"/>
        <v>0</v>
      </c>
      <c r="CQ91" s="6">
        <f t="shared" si="48"/>
        <v>0</v>
      </c>
      <c r="CR91" s="6">
        <f t="shared" si="49"/>
        <v>0</v>
      </c>
      <c r="CS91" s="6">
        <f t="shared" si="50"/>
        <v>0</v>
      </c>
      <c r="CT91" s="6">
        <f t="shared" si="519"/>
        <v>0</v>
      </c>
      <c r="CU91" s="6">
        <f t="shared" si="52"/>
        <v>0</v>
      </c>
      <c r="CV91" s="6">
        <f t="shared" si="53"/>
        <v>0</v>
      </c>
      <c r="CW91" s="6">
        <f t="shared" si="54"/>
        <v>0</v>
      </c>
      <c r="CX91" s="6">
        <f t="shared" si="55"/>
        <v>0</v>
      </c>
      <c r="CY91" s="6">
        <f t="shared" si="56"/>
        <v>0</v>
      </c>
      <c r="CZ91" s="6">
        <f t="shared" si="57"/>
        <v>0</v>
      </c>
      <c r="DA91" s="6">
        <f t="shared" si="58"/>
        <v>0</v>
      </c>
      <c r="DB91" s="6">
        <f t="shared" si="59"/>
        <v>0</v>
      </c>
      <c r="DC91" s="6">
        <f t="shared" si="60"/>
        <v>0</v>
      </c>
      <c r="DD91" s="6">
        <f t="shared" si="61"/>
        <v>0</v>
      </c>
      <c r="DE91" s="6">
        <f t="shared" si="62"/>
        <v>0</v>
      </c>
      <c r="DF91" s="6">
        <f t="shared" si="63"/>
        <v>0</v>
      </c>
      <c r="DG91" s="6">
        <f t="shared" si="64"/>
        <v>0</v>
      </c>
      <c r="DH91" s="6">
        <f t="shared" si="509"/>
        <v>0</v>
      </c>
      <c r="DI91" s="6">
        <f t="shared" si="66"/>
        <v>0</v>
      </c>
      <c r="DJ91" s="6">
        <f t="shared" si="510"/>
        <v>0</v>
      </c>
      <c r="DK91" s="7">
        <f t="shared" si="68"/>
        <v>0</v>
      </c>
      <c r="DL91" s="7">
        <f t="shared" si="498"/>
        <v>0</v>
      </c>
      <c r="DM91" s="7">
        <f t="shared" si="70"/>
        <v>0</v>
      </c>
      <c r="DN91" s="7">
        <f t="shared" si="71"/>
        <v>0</v>
      </c>
      <c r="DO91" s="7">
        <f t="shared" si="72"/>
        <v>0</v>
      </c>
      <c r="DP91" s="8">
        <f t="shared" si="73"/>
        <v>0</v>
      </c>
      <c r="DQ91" s="8">
        <f t="shared" si="74"/>
        <v>1</v>
      </c>
      <c r="DR91" s="7">
        <f t="shared" si="75"/>
        <v>0</v>
      </c>
      <c r="DS91" s="7">
        <f t="shared" si="76"/>
        <v>0</v>
      </c>
      <c r="DT91" s="7">
        <f t="shared" si="77"/>
        <v>0</v>
      </c>
      <c r="DU91" s="9">
        <f t="shared" si="78"/>
        <v>0</v>
      </c>
      <c r="DV91" s="9">
        <f t="shared" si="79"/>
        <v>0</v>
      </c>
      <c r="DW91" s="9">
        <f t="shared" si="80"/>
        <v>0</v>
      </c>
      <c r="DX91" s="9">
        <f t="shared" si="81"/>
        <v>0</v>
      </c>
      <c r="DY91" s="9">
        <f t="shared" si="82"/>
        <v>0</v>
      </c>
      <c r="DZ91" s="9">
        <f t="shared" si="83"/>
        <v>0</v>
      </c>
      <c r="EA91" s="9">
        <f t="shared" si="84"/>
        <v>0</v>
      </c>
      <c r="EB91" s="9">
        <f t="shared" si="85"/>
        <v>0</v>
      </c>
      <c r="EC91" s="9">
        <f t="shared" si="86"/>
        <v>0</v>
      </c>
      <c r="ED91" s="9">
        <f t="shared" si="87"/>
        <v>0</v>
      </c>
      <c r="EE91" s="9">
        <f t="shared" si="88"/>
        <v>0</v>
      </c>
      <c r="EF91" s="9">
        <f t="shared" si="89"/>
        <v>0</v>
      </c>
      <c r="EG91" s="9">
        <f t="shared" si="90"/>
        <v>0</v>
      </c>
      <c r="EH91" s="9">
        <f t="shared" si="91"/>
        <v>0</v>
      </c>
      <c r="EI91" s="9">
        <f t="shared" si="92"/>
        <v>0</v>
      </c>
      <c r="EJ91" s="10">
        <f t="shared" si="93"/>
        <v>0</v>
      </c>
      <c r="EK91" s="10">
        <f t="shared" si="94"/>
        <v>0</v>
      </c>
      <c r="EL91" s="10">
        <f t="shared" ref="EL91:EM91" si="522">IF(OR(ISNUMBER(SEARCH("ai software toolkit", $D91)), ISNUMBER(SEARCH("ai software toolkit", $T91)), ISNUMBER(SEARCH("ai software toolkit", $R91)), ISNUMBER(SEARCH("ai software toolkit", $S91))), 1, 0)</f>
        <v>0</v>
      </c>
      <c r="EM91" s="10">
        <f t="shared" si="522"/>
        <v>0</v>
      </c>
      <c r="EN91" s="10">
        <f t="shared" si="96"/>
        <v>0</v>
      </c>
      <c r="EO91" s="10">
        <f t="shared" si="97"/>
        <v>0</v>
      </c>
      <c r="EP91" s="10">
        <f t="shared" si="98"/>
        <v>0</v>
      </c>
      <c r="EQ91" s="10">
        <f t="shared" si="99"/>
        <v>0</v>
      </c>
      <c r="ER91" s="10">
        <f t="shared" si="100"/>
        <v>0</v>
      </c>
      <c r="ES91" s="10">
        <f t="shared" si="101"/>
        <v>0</v>
      </c>
      <c r="ET91" s="10">
        <f t="shared" si="102"/>
        <v>0</v>
      </c>
      <c r="EU91" s="10">
        <f t="shared" si="103"/>
        <v>0</v>
      </c>
      <c r="EV91" s="10">
        <f t="shared" si="104"/>
        <v>0</v>
      </c>
      <c r="EW91" s="10">
        <f t="shared" si="105"/>
        <v>0</v>
      </c>
      <c r="EX91" s="10">
        <f t="shared" si="106"/>
        <v>0</v>
      </c>
      <c r="EY91" s="10">
        <f t="shared" si="107"/>
        <v>0</v>
      </c>
      <c r="EZ91" s="10">
        <f t="shared" si="108"/>
        <v>0</v>
      </c>
      <c r="FA91" s="10">
        <f t="shared" si="109"/>
        <v>0</v>
      </c>
      <c r="FB91" s="10">
        <f t="shared" si="110"/>
        <v>0</v>
      </c>
      <c r="FC91" s="10">
        <f t="shared" si="111"/>
        <v>0</v>
      </c>
      <c r="FD91" s="10">
        <f t="shared" si="112"/>
        <v>0</v>
      </c>
      <c r="FE91" s="10">
        <f t="shared" si="113"/>
        <v>0</v>
      </c>
      <c r="FF91" s="10">
        <f t="shared" si="114"/>
        <v>0</v>
      </c>
      <c r="FG91" s="10">
        <f t="shared" si="115"/>
        <v>0</v>
      </c>
      <c r="FH91" s="10">
        <f t="shared" si="116"/>
        <v>0</v>
      </c>
      <c r="FI91" s="10">
        <f t="shared" si="117"/>
        <v>0</v>
      </c>
      <c r="FJ91" s="10">
        <f t="shared" si="118"/>
        <v>0</v>
      </c>
      <c r="FK91" s="10">
        <f t="shared" si="119"/>
        <v>0</v>
      </c>
      <c r="FL91" s="10">
        <f t="shared" si="120"/>
        <v>0</v>
      </c>
      <c r="FM91" s="10">
        <f t="shared" si="121"/>
        <v>0</v>
      </c>
      <c r="FN91" s="10">
        <f t="shared" si="122"/>
        <v>0</v>
      </c>
      <c r="FO91" s="10">
        <f t="shared" si="123"/>
        <v>0</v>
      </c>
      <c r="FP91" s="10">
        <f t="shared" si="124"/>
        <v>0</v>
      </c>
      <c r="FQ91" s="10">
        <f t="shared" si="125"/>
        <v>0</v>
      </c>
      <c r="FR91" s="11">
        <f t="shared" si="506"/>
        <v>0</v>
      </c>
      <c r="FS91" s="11">
        <f t="shared" si="127"/>
        <v>0</v>
      </c>
      <c r="FT91" s="11">
        <f t="shared" si="128"/>
        <v>0</v>
      </c>
      <c r="FU91" s="11">
        <f t="shared" si="129"/>
        <v>0</v>
      </c>
      <c r="FV91" s="11">
        <f t="shared" si="130"/>
        <v>0</v>
      </c>
      <c r="FW91" s="11">
        <f t="shared" si="131"/>
        <v>0</v>
      </c>
      <c r="FX91" s="11">
        <f t="shared" si="132"/>
        <v>0</v>
      </c>
      <c r="FY91" s="11">
        <f t="shared" si="133"/>
        <v>0</v>
      </c>
      <c r="FZ91" s="11">
        <f t="shared" si="134"/>
        <v>0</v>
      </c>
      <c r="GA91" s="11">
        <f t="shared" si="135"/>
        <v>0</v>
      </c>
      <c r="GB91" s="11">
        <f t="shared" si="136"/>
        <v>0</v>
      </c>
      <c r="GC91" s="11">
        <f t="shared" si="137"/>
        <v>0</v>
      </c>
      <c r="GD91" s="11">
        <f t="shared" si="138"/>
        <v>0</v>
      </c>
      <c r="GE91" s="11">
        <f t="shared" si="139"/>
        <v>0</v>
      </c>
      <c r="GF91" s="11">
        <f t="shared" si="140"/>
        <v>0</v>
      </c>
      <c r="GG91" s="11">
        <f t="shared" si="141"/>
        <v>0</v>
      </c>
      <c r="GH91" s="11">
        <f t="shared" si="142"/>
        <v>0</v>
      </c>
      <c r="GI91" s="11">
        <f t="shared" si="143"/>
        <v>0</v>
      </c>
      <c r="GJ91" s="11">
        <f t="shared" si="144"/>
        <v>0</v>
      </c>
      <c r="GK91" s="11">
        <f t="shared" si="145"/>
        <v>0</v>
      </c>
      <c r="GL91" s="11">
        <f t="shared" si="146"/>
        <v>0</v>
      </c>
      <c r="GM91" s="11">
        <f t="shared" si="147"/>
        <v>0</v>
      </c>
      <c r="GN91" s="11">
        <f t="shared" si="148"/>
        <v>0</v>
      </c>
      <c r="GO91" s="11">
        <f t="shared" si="149"/>
        <v>0</v>
      </c>
      <c r="GP91" s="11">
        <f t="shared" si="150"/>
        <v>0</v>
      </c>
      <c r="GQ91" s="11">
        <f t="shared" si="151"/>
        <v>0</v>
      </c>
      <c r="GR91" s="11">
        <f t="shared" si="152"/>
        <v>0</v>
      </c>
      <c r="GS91" s="11">
        <f t="shared" si="153"/>
        <v>0</v>
      </c>
      <c r="GT91" s="11">
        <f t="shared" si="154"/>
        <v>0</v>
      </c>
      <c r="GU91" s="12">
        <f t="shared" si="155"/>
        <v>0</v>
      </c>
      <c r="GV91" s="12">
        <f t="shared" si="156"/>
        <v>0</v>
      </c>
      <c r="GW91" s="12">
        <f t="shared" si="157"/>
        <v>0</v>
      </c>
      <c r="GX91" s="12">
        <f t="shared" si="158"/>
        <v>0</v>
      </c>
      <c r="GY91" s="12">
        <f t="shared" si="159"/>
        <v>0</v>
      </c>
      <c r="GZ91" s="12">
        <f t="shared" si="160"/>
        <v>0</v>
      </c>
      <c r="HA91" s="12">
        <f t="shared" si="161"/>
        <v>0</v>
      </c>
      <c r="HB91" s="12">
        <f t="shared" si="162"/>
        <v>0</v>
      </c>
      <c r="HC91" s="12">
        <f t="shared" si="163"/>
        <v>0</v>
      </c>
      <c r="HD91" s="12">
        <f t="shared" si="164"/>
        <v>0</v>
      </c>
      <c r="HE91" s="12">
        <f t="shared" si="165"/>
        <v>0</v>
      </c>
      <c r="HF91" s="12">
        <f t="shared" si="166"/>
        <v>0</v>
      </c>
      <c r="HG91" s="12">
        <f t="shared" si="167"/>
        <v>0</v>
      </c>
      <c r="HH91" s="12">
        <f t="shared" si="168"/>
        <v>0</v>
      </c>
      <c r="HI91" s="12">
        <f t="shared" si="169"/>
        <v>0</v>
      </c>
      <c r="HJ91" s="12">
        <f t="shared" si="170"/>
        <v>0</v>
      </c>
      <c r="HK91" s="12">
        <f t="shared" si="171"/>
        <v>0</v>
      </c>
      <c r="HL91" s="12">
        <f t="shared" si="172"/>
        <v>0</v>
      </c>
      <c r="HM91" s="12">
        <f t="shared" si="173"/>
        <v>0</v>
      </c>
      <c r="HN91" s="12">
        <f t="shared" si="174"/>
        <v>0</v>
      </c>
      <c r="HO91" s="12">
        <f t="shared" si="175"/>
        <v>0</v>
      </c>
      <c r="HP91" s="12">
        <f t="shared" si="176"/>
        <v>0</v>
      </c>
      <c r="HQ91" s="12">
        <f t="shared" si="177"/>
        <v>0</v>
      </c>
      <c r="HR91" s="12">
        <f t="shared" si="178"/>
        <v>0</v>
      </c>
      <c r="HS91" s="12">
        <f t="shared" si="179"/>
        <v>0</v>
      </c>
      <c r="HT91" s="12">
        <f t="shared" si="180"/>
        <v>0</v>
      </c>
      <c r="HU91" s="12">
        <f t="shared" si="181"/>
        <v>0</v>
      </c>
      <c r="HV91" s="12">
        <f t="shared" si="182"/>
        <v>0</v>
      </c>
      <c r="HW91" s="12">
        <f t="shared" si="183"/>
        <v>0</v>
      </c>
      <c r="HX91" s="12">
        <f t="shared" si="184"/>
        <v>0</v>
      </c>
      <c r="HY91" s="12">
        <f t="shared" si="185"/>
        <v>0</v>
      </c>
      <c r="HZ91" s="12">
        <f t="shared" si="186"/>
        <v>0</v>
      </c>
      <c r="IA91" s="12">
        <f t="shared" si="187"/>
        <v>0</v>
      </c>
      <c r="IB91" s="12">
        <f t="shared" si="188"/>
        <v>0</v>
      </c>
      <c r="IC91" s="12">
        <f t="shared" si="189"/>
        <v>0</v>
      </c>
      <c r="ID91" s="12">
        <f t="shared" si="190"/>
        <v>0</v>
      </c>
      <c r="IE91" s="12">
        <f t="shared" si="191"/>
        <v>0</v>
      </c>
      <c r="IF91" s="12">
        <f t="shared" si="192"/>
        <v>0</v>
      </c>
      <c r="IG91" s="12">
        <f t="shared" si="193"/>
        <v>0</v>
      </c>
      <c r="IH91" s="12">
        <f t="shared" si="194"/>
        <v>0</v>
      </c>
      <c r="II91" s="12">
        <f t="shared" si="195"/>
        <v>0</v>
      </c>
      <c r="IJ91" s="12">
        <f t="shared" si="196"/>
        <v>0</v>
      </c>
      <c r="IK91" s="12">
        <f t="shared" si="197"/>
        <v>0</v>
      </c>
      <c r="IL91" s="12">
        <f t="shared" si="198"/>
        <v>0</v>
      </c>
      <c r="IM91" s="12">
        <f t="shared" si="199"/>
        <v>0</v>
      </c>
      <c r="IN91" s="12">
        <f t="shared" si="200"/>
        <v>0</v>
      </c>
      <c r="IO91" s="12">
        <f t="shared" si="201"/>
        <v>0</v>
      </c>
      <c r="IP91" s="12">
        <f t="shared" si="202"/>
        <v>0</v>
      </c>
      <c r="IQ91" s="12">
        <f t="shared" si="203"/>
        <v>0</v>
      </c>
      <c r="IR91" s="12">
        <f t="shared" si="204"/>
        <v>0</v>
      </c>
      <c r="IS91" s="12">
        <f t="shared" si="205"/>
        <v>0</v>
      </c>
      <c r="IT91" s="12">
        <f t="shared" si="206"/>
        <v>0</v>
      </c>
      <c r="IU91" s="12">
        <f t="shared" si="207"/>
        <v>0</v>
      </c>
      <c r="IV91" s="12">
        <f t="shared" si="208"/>
        <v>0</v>
      </c>
      <c r="IW91" s="12">
        <f t="shared" si="209"/>
        <v>0</v>
      </c>
      <c r="IX91" s="12">
        <f t="shared" si="210"/>
        <v>0</v>
      </c>
      <c r="IY91" s="12">
        <f t="shared" si="211"/>
        <v>0</v>
      </c>
      <c r="IZ91" s="12">
        <f t="shared" si="212"/>
        <v>0</v>
      </c>
      <c r="JA91" s="13">
        <f t="shared" si="213"/>
        <v>0</v>
      </c>
      <c r="JB91" s="13">
        <f t="shared" si="214"/>
        <v>0</v>
      </c>
      <c r="JC91" s="13">
        <f t="shared" si="215"/>
        <v>0</v>
      </c>
      <c r="JD91" s="13">
        <f t="shared" si="216"/>
        <v>0</v>
      </c>
      <c r="JE91" s="13">
        <f t="shared" si="217"/>
        <v>1</v>
      </c>
      <c r="JF91" s="13">
        <f t="shared" si="218"/>
        <v>0</v>
      </c>
      <c r="JG91" s="13">
        <f t="shared" si="219"/>
        <v>0</v>
      </c>
      <c r="JH91" s="13">
        <f t="shared" si="220"/>
        <v>1</v>
      </c>
      <c r="JI91" s="13">
        <f t="shared" si="221"/>
        <v>0</v>
      </c>
      <c r="JJ91" s="13">
        <f t="shared" si="222"/>
        <v>0</v>
      </c>
      <c r="JK91" s="13">
        <f t="shared" si="223"/>
        <v>0</v>
      </c>
      <c r="JL91" s="13">
        <f t="shared" si="224"/>
        <v>0</v>
      </c>
      <c r="JM91" s="13">
        <f t="shared" si="225"/>
        <v>0</v>
      </c>
      <c r="JN91" s="13">
        <f t="shared" si="226"/>
        <v>0</v>
      </c>
      <c r="JO91" s="13">
        <f t="shared" si="227"/>
        <v>0</v>
      </c>
      <c r="JP91" s="13">
        <f t="shared" si="228"/>
        <v>0</v>
      </c>
      <c r="JQ91" s="13">
        <f t="shared" si="229"/>
        <v>0</v>
      </c>
      <c r="JR91" s="13">
        <f t="shared" si="230"/>
        <v>0</v>
      </c>
      <c r="JS91" s="13">
        <f t="shared" si="231"/>
        <v>0</v>
      </c>
      <c r="JT91" s="13">
        <f t="shared" si="232"/>
        <v>0</v>
      </c>
      <c r="JU91" s="13">
        <f t="shared" si="233"/>
        <v>0</v>
      </c>
      <c r="JV91" s="12">
        <f t="shared" si="234"/>
        <v>0</v>
      </c>
      <c r="JW91" s="12">
        <f t="shared" si="235"/>
        <v>0</v>
      </c>
      <c r="JX91" s="12">
        <f t="shared" si="236"/>
        <v>0</v>
      </c>
      <c r="JY91" s="12">
        <f t="shared" si="237"/>
        <v>0</v>
      </c>
      <c r="JZ91" s="12">
        <f t="shared" si="238"/>
        <v>0</v>
      </c>
      <c r="KA91" s="12">
        <f t="shared" si="239"/>
        <v>0</v>
      </c>
      <c r="KB91" s="12">
        <f t="shared" si="240"/>
        <v>0</v>
      </c>
      <c r="KC91" s="12">
        <f t="shared" si="241"/>
        <v>0</v>
      </c>
      <c r="KD91" s="12">
        <f t="shared" si="242"/>
        <v>0</v>
      </c>
      <c r="KE91" s="12">
        <f t="shared" si="243"/>
        <v>0</v>
      </c>
      <c r="KF91" s="12">
        <f t="shared" si="244"/>
        <v>0</v>
      </c>
      <c r="KG91" s="12">
        <f t="shared" si="245"/>
        <v>0</v>
      </c>
      <c r="KH91" s="12">
        <f t="shared" si="246"/>
        <v>0</v>
      </c>
      <c r="KI91" s="12">
        <f t="shared" si="247"/>
        <v>0</v>
      </c>
      <c r="KJ91" s="12">
        <f t="shared" si="248"/>
        <v>0</v>
      </c>
      <c r="KK91" s="12">
        <f t="shared" si="249"/>
        <v>0</v>
      </c>
      <c r="KL91" s="12">
        <f t="shared" si="250"/>
        <v>0</v>
      </c>
      <c r="KM91" s="12">
        <f t="shared" si="251"/>
        <v>0</v>
      </c>
      <c r="KN91" s="12">
        <f t="shared" si="252"/>
        <v>0</v>
      </c>
      <c r="KO91" s="12">
        <f t="shared" si="253"/>
        <v>0</v>
      </c>
      <c r="KP91" s="12">
        <f t="shared" si="254"/>
        <v>0</v>
      </c>
      <c r="KQ91" s="12">
        <f t="shared" si="255"/>
        <v>0</v>
      </c>
      <c r="KR91" s="12">
        <f t="shared" si="256"/>
        <v>0</v>
      </c>
      <c r="KS91" s="12">
        <f t="shared" si="257"/>
        <v>0</v>
      </c>
      <c r="KT91" s="12">
        <f t="shared" si="258"/>
        <v>0</v>
      </c>
      <c r="KU91" s="12">
        <f t="shared" si="259"/>
        <v>0</v>
      </c>
      <c r="KV91" s="12">
        <f t="shared" si="260"/>
        <v>0</v>
      </c>
      <c r="KW91" s="12">
        <f t="shared" si="261"/>
        <v>0</v>
      </c>
      <c r="KX91" s="12">
        <f t="shared" si="262"/>
        <v>0</v>
      </c>
      <c r="KY91" s="12">
        <f t="shared" si="263"/>
        <v>0</v>
      </c>
      <c r="KZ91" s="12">
        <f t="shared" si="264"/>
        <v>0</v>
      </c>
      <c r="LA91" s="12">
        <f t="shared" si="265"/>
        <v>0</v>
      </c>
      <c r="LB91" s="12">
        <f t="shared" si="266"/>
        <v>0</v>
      </c>
      <c r="LC91" s="12">
        <f t="shared" si="267"/>
        <v>0</v>
      </c>
      <c r="LD91" s="12">
        <f t="shared" si="268"/>
        <v>0</v>
      </c>
      <c r="LE91" s="12">
        <f t="shared" si="269"/>
        <v>0</v>
      </c>
      <c r="LF91" s="12">
        <f t="shared" si="270"/>
        <v>0</v>
      </c>
      <c r="LG91" s="12">
        <f t="shared" si="271"/>
        <v>0</v>
      </c>
      <c r="LH91" s="12">
        <f t="shared" si="272"/>
        <v>0</v>
      </c>
      <c r="LI91" s="12">
        <f t="shared" si="273"/>
        <v>0</v>
      </c>
      <c r="LJ91" s="12">
        <f t="shared" si="274"/>
        <v>0</v>
      </c>
      <c r="LK91" s="12">
        <f t="shared" si="275"/>
        <v>0</v>
      </c>
      <c r="LL91" s="12">
        <f t="shared" si="276"/>
        <v>0</v>
      </c>
      <c r="LM91" s="12">
        <f t="shared" si="277"/>
        <v>0</v>
      </c>
      <c r="LN91" s="12">
        <f t="shared" si="278"/>
        <v>0</v>
      </c>
      <c r="LO91" s="12">
        <f t="shared" si="279"/>
        <v>0</v>
      </c>
      <c r="LP91" s="12">
        <f t="shared" si="280"/>
        <v>0</v>
      </c>
      <c r="LQ91" s="12">
        <f t="shared" si="281"/>
        <v>0</v>
      </c>
      <c r="LR91" s="12">
        <f t="shared" si="282"/>
        <v>0</v>
      </c>
      <c r="LS91" s="12">
        <f t="shared" si="283"/>
        <v>0</v>
      </c>
      <c r="LT91" s="13">
        <f t="shared" si="284"/>
        <v>0</v>
      </c>
      <c r="LU91" s="13">
        <f t="shared" si="285"/>
        <v>0</v>
      </c>
      <c r="LV91" s="13">
        <f t="shared" si="286"/>
        <v>1</v>
      </c>
      <c r="LW91" s="13">
        <f t="shared" si="287"/>
        <v>1</v>
      </c>
      <c r="LX91" s="13">
        <f t="shared" si="288"/>
        <v>0</v>
      </c>
      <c r="LY91" s="13">
        <f t="shared" si="289"/>
        <v>0</v>
      </c>
      <c r="LZ91" s="13">
        <f t="shared" si="290"/>
        <v>0</v>
      </c>
      <c r="MA91" s="13">
        <f t="shared" si="291"/>
        <v>0</v>
      </c>
      <c r="MB91" s="13">
        <f t="shared" si="292"/>
        <v>0</v>
      </c>
      <c r="MC91" s="13">
        <f t="shared" si="293"/>
        <v>0</v>
      </c>
      <c r="MD91" s="13">
        <f t="shared" si="294"/>
        <v>0</v>
      </c>
      <c r="ME91" s="13">
        <f t="shared" si="295"/>
        <v>0</v>
      </c>
      <c r="MF91" s="13">
        <f t="shared" si="296"/>
        <v>0</v>
      </c>
      <c r="MG91" s="13">
        <f t="shared" si="297"/>
        <v>0</v>
      </c>
      <c r="MH91" s="13">
        <f t="shared" si="298"/>
        <v>0</v>
      </c>
      <c r="MI91" s="13">
        <f t="shared" si="299"/>
        <v>0</v>
      </c>
      <c r="MJ91" s="13">
        <f t="shared" si="300"/>
        <v>0</v>
      </c>
      <c r="MK91" s="13">
        <f t="shared" si="301"/>
        <v>0</v>
      </c>
      <c r="ML91" s="14">
        <f t="shared" si="302"/>
        <v>0</v>
      </c>
      <c r="MM91" s="14">
        <f t="shared" si="303"/>
        <v>0</v>
      </c>
      <c r="MN91" s="14">
        <f t="shared" si="304"/>
        <v>0</v>
      </c>
      <c r="MO91" s="14">
        <f t="shared" si="305"/>
        <v>0</v>
      </c>
      <c r="MP91" s="14">
        <f t="shared" si="306"/>
        <v>0</v>
      </c>
      <c r="MQ91" s="14">
        <f t="shared" si="307"/>
        <v>0</v>
      </c>
      <c r="MR91" s="14">
        <f t="shared" si="308"/>
        <v>0</v>
      </c>
      <c r="MS91" s="14">
        <f t="shared" si="309"/>
        <v>0</v>
      </c>
      <c r="MT91" s="14">
        <f t="shared" si="310"/>
        <v>0</v>
      </c>
      <c r="MU91" s="14">
        <f t="shared" si="311"/>
        <v>0</v>
      </c>
      <c r="MV91" s="14">
        <f t="shared" si="312"/>
        <v>0</v>
      </c>
      <c r="MW91" s="14">
        <f t="shared" si="313"/>
        <v>0</v>
      </c>
      <c r="MX91" s="14">
        <f t="shared" si="314"/>
        <v>0</v>
      </c>
      <c r="MY91" s="14">
        <f t="shared" si="315"/>
        <v>0</v>
      </c>
      <c r="MZ91" s="14">
        <f t="shared" si="316"/>
        <v>0</v>
      </c>
      <c r="NA91" s="14">
        <f t="shared" si="317"/>
        <v>0</v>
      </c>
      <c r="NB91" s="14">
        <f t="shared" si="318"/>
        <v>0</v>
      </c>
    </row>
    <row r="92" ht="15.75" customHeight="1">
      <c r="A92" s="2">
        <v>332.0</v>
      </c>
      <c r="B92" s="2" t="s">
        <v>1946</v>
      </c>
      <c r="C92" s="2" t="s">
        <v>1947</v>
      </c>
      <c r="D92" s="2" t="s">
        <v>1948</v>
      </c>
      <c r="E92" s="2">
        <v>2018.0</v>
      </c>
      <c r="F92" s="2" t="s">
        <v>676</v>
      </c>
      <c r="G92" s="2" t="s">
        <v>694</v>
      </c>
      <c r="H92" s="2" t="s">
        <v>1160</v>
      </c>
      <c r="I92" s="2" t="s">
        <v>1949</v>
      </c>
      <c r="M92" s="2">
        <v>11.0</v>
      </c>
      <c r="N92" s="2" t="s">
        <v>1950</v>
      </c>
      <c r="O92" s="2" t="s">
        <v>1951</v>
      </c>
      <c r="P92" s="2" t="s">
        <v>1952</v>
      </c>
      <c r="Q92" s="2" t="s">
        <v>1953</v>
      </c>
      <c r="R92" s="2" t="s">
        <v>1954</v>
      </c>
      <c r="S92" s="2" t="s">
        <v>1955</v>
      </c>
      <c r="T92" s="2" t="s">
        <v>1956</v>
      </c>
      <c r="Y92" s="2" t="s">
        <v>1957</v>
      </c>
      <c r="AB92" s="2" t="s">
        <v>687</v>
      </c>
      <c r="AG92" s="2" t="s">
        <v>688</v>
      </c>
      <c r="AJ92" s="2">
        <v>3.0200575E7</v>
      </c>
      <c r="AK92" s="2" t="s">
        <v>689</v>
      </c>
      <c r="AL92" s="2" t="s">
        <v>384</v>
      </c>
      <c r="AM92" s="2" t="s">
        <v>484</v>
      </c>
      <c r="AN92" s="2" t="s">
        <v>386</v>
      </c>
      <c r="AO92" s="2" t="s">
        <v>1958</v>
      </c>
      <c r="AP92" s="2" t="s">
        <v>386</v>
      </c>
      <c r="AQ92" s="2">
        <v>1295.0</v>
      </c>
      <c r="AR92" s="2" t="s">
        <v>1948</v>
      </c>
      <c r="AS92" s="2" t="b">
        <v>0</v>
      </c>
      <c r="AT92" s="3">
        <v>0.0</v>
      </c>
      <c r="AU92" s="4"/>
      <c r="AV92" s="4"/>
      <c r="AW92" s="5">
        <f t="shared" si="432"/>
        <v>0</v>
      </c>
      <c r="AX92" s="5">
        <f t="shared" si="4"/>
        <v>0</v>
      </c>
      <c r="AY92" s="5">
        <f t="shared" si="5"/>
        <v>0</v>
      </c>
      <c r="AZ92" s="5">
        <f t="shared" si="6"/>
        <v>0</v>
      </c>
      <c r="BA92" s="5">
        <f t="shared" si="7"/>
        <v>0</v>
      </c>
      <c r="BB92" s="5">
        <f t="shared" si="8"/>
        <v>0</v>
      </c>
      <c r="BC92" s="5">
        <f t="shared" si="9"/>
        <v>0</v>
      </c>
      <c r="BD92" s="5">
        <f t="shared" si="10"/>
        <v>0</v>
      </c>
      <c r="BE92" s="5">
        <f t="shared" si="11"/>
        <v>0</v>
      </c>
      <c r="BF92" s="5">
        <f t="shared" si="12"/>
        <v>0</v>
      </c>
      <c r="BG92" s="5">
        <f t="shared" si="13"/>
        <v>0</v>
      </c>
      <c r="BH92" s="5">
        <f t="shared" si="14"/>
        <v>0</v>
      </c>
      <c r="BI92" s="5">
        <f t="shared" si="15"/>
        <v>0</v>
      </c>
      <c r="BJ92" s="5">
        <f t="shared" si="16"/>
        <v>0</v>
      </c>
      <c r="BK92" s="5">
        <f t="shared" si="17"/>
        <v>0</v>
      </c>
      <c r="BL92" s="5">
        <f t="shared" si="18"/>
        <v>0</v>
      </c>
      <c r="BM92" s="5">
        <f t="shared" si="19"/>
        <v>0</v>
      </c>
      <c r="BN92" s="5">
        <f t="shared" si="20"/>
        <v>0</v>
      </c>
      <c r="BO92" s="5">
        <f t="shared" si="21"/>
        <v>0</v>
      </c>
      <c r="BP92" s="5">
        <f t="shared" si="22"/>
        <v>0</v>
      </c>
      <c r="BQ92" s="5">
        <f t="shared" si="23"/>
        <v>0</v>
      </c>
      <c r="BR92" s="5">
        <f t="shared" si="24"/>
        <v>0</v>
      </c>
      <c r="BS92" s="5">
        <f t="shared" si="25"/>
        <v>0</v>
      </c>
      <c r="BT92" s="5">
        <f t="shared" si="26"/>
        <v>0</v>
      </c>
      <c r="BU92" s="5">
        <f t="shared" si="27"/>
        <v>0</v>
      </c>
      <c r="BV92" s="5">
        <f t="shared" ref="BV92:BW92" si="523">IF(OR(ISNUMBER(SEARCH("grit",$D92)),ISNUMBER(SEARCH("grit",$T92)),ISNUMBER(SEARCH("grit",$R92)),ISNUMBER(SEARCH("grit",$S92)),
ISNUMBER(SEARCH("determination",$D92)),ISNUMBER(SEARCH("determination",$T92)),ISNUMBER(SEARCH("determination",$R92)),ISNUMBER(SEARCH("determination",$S92)),
ISNUMBER(SEARCH("tenacity",$D92)),ISNUMBER(SEARCH("tenacity",$T92)),ISNUMBER(SEARCH("tenacity",$R92)),ISNUMBER(SEARCH("tenacity",$S92)),
ISNUMBER(SEARCH("endurance",$D92)),ISNUMBER(SEARCH("endurance",$T92)),ISNUMBER(SEARCH("endurance",$R92)),ISNUMBER(SEARCH("endurance",$S92)),
ISNUMBER(SEARCH("fortitude",$D92)),ISNUMBER(SEARCH("fortitude",$T92)),ISNUMBER(SEARCH("fortitude",$R92)),ISNUMBER(SEARCH("fortitude",$S92)),
ISNUMBER(SEARCH("resolve",$D92)),ISNUMBER(SEARCH("resolve",$T92)),ISNUMBER(SEARCH("resolve",$R92)),ISNUMBER(SEARCH("resolve",$S92)),
ISNUMBER(SEARCH("stamina",$D92)),ISNUMBER(SEARCH("stamina",$T92)),ISNUMBER(SEARCH("stamina",$R92)),ISNUMBER(SEARCH("stamina",$S92)),
ISNUMBER(SEARCH("guts",$D92)),ISNUMBER(SEARCH("guts",$T92)),ISNUMBER(SEARCH("guts",$R92)),ISNUMBER(SEARCH("guts",$S92)),
ISNUMBER(SEARCH("spunk",$D92)),ISNUMBER(SEARCH("spunk",$T92)),ISNUMBER(SEARCH("spunk",$R92)),ISNUMBER(SEARCH("spunk",$S92))), 1, 0)</f>
        <v>0</v>
      </c>
      <c r="BW92" s="5">
        <f t="shared" si="523"/>
        <v>0</v>
      </c>
      <c r="BX92" s="5">
        <f t="shared" si="29"/>
        <v>0</v>
      </c>
      <c r="BY92" s="5">
        <f t="shared" si="30"/>
        <v>0</v>
      </c>
      <c r="BZ92" s="5">
        <f t="shared" si="31"/>
        <v>0</v>
      </c>
      <c r="CA92" s="5">
        <f t="shared" si="32"/>
        <v>0</v>
      </c>
      <c r="CB92" s="5">
        <f t="shared" si="33"/>
        <v>0</v>
      </c>
      <c r="CC92" s="5">
        <f t="shared" si="34"/>
        <v>0</v>
      </c>
      <c r="CD92" s="5">
        <f t="shared" si="35"/>
        <v>0</v>
      </c>
      <c r="CE92" s="5">
        <f t="shared" si="36"/>
        <v>0</v>
      </c>
      <c r="CF92" s="5">
        <f t="shared" si="37"/>
        <v>0</v>
      </c>
      <c r="CG92" s="5">
        <f t="shared" si="38"/>
        <v>0</v>
      </c>
      <c r="CH92" s="5">
        <f t="shared" si="39"/>
        <v>0</v>
      </c>
      <c r="CI92" s="5">
        <f t="shared" si="40"/>
        <v>0</v>
      </c>
      <c r="CJ92" s="5">
        <f t="shared" si="41"/>
        <v>0</v>
      </c>
      <c r="CK92" s="5">
        <f t="shared" si="42"/>
        <v>0</v>
      </c>
      <c r="CL92" s="5">
        <f t="shared" si="43"/>
        <v>0</v>
      </c>
      <c r="CM92" s="5">
        <f t="shared" si="44"/>
        <v>0</v>
      </c>
      <c r="CN92" s="5">
        <f t="shared" si="45"/>
        <v>0</v>
      </c>
      <c r="CO92" s="5">
        <f t="shared" si="46"/>
        <v>0</v>
      </c>
      <c r="CP92" s="6">
        <f t="shared" si="47"/>
        <v>0</v>
      </c>
      <c r="CQ92" s="6">
        <f t="shared" si="48"/>
        <v>0</v>
      </c>
      <c r="CR92" s="6">
        <f t="shared" si="49"/>
        <v>0</v>
      </c>
      <c r="CS92" s="6">
        <f t="shared" si="50"/>
        <v>0</v>
      </c>
      <c r="CT92" s="6">
        <f t="shared" si="519"/>
        <v>0</v>
      </c>
      <c r="CU92" s="6">
        <f t="shared" si="52"/>
        <v>0</v>
      </c>
      <c r="CV92" s="6">
        <f t="shared" si="53"/>
        <v>0</v>
      </c>
      <c r="CW92" s="6">
        <f t="shared" si="54"/>
        <v>0</v>
      </c>
      <c r="CX92" s="6">
        <f t="shared" si="55"/>
        <v>0</v>
      </c>
      <c r="CY92" s="6">
        <f t="shared" si="56"/>
        <v>0</v>
      </c>
      <c r="CZ92" s="6">
        <f t="shared" si="57"/>
        <v>0</v>
      </c>
      <c r="DA92" s="6">
        <f t="shared" si="58"/>
        <v>0</v>
      </c>
      <c r="DB92" s="6">
        <f t="shared" si="59"/>
        <v>0</v>
      </c>
      <c r="DC92" s="6">
        <f t="shared" si="60"/>
        <v>0</v>
      </c>
      <c r="DD92" s="6">
        <f t="shared" si="61"/>
        <v>0</v>
      </c>
      <c r="DE92" s="6">
        <f t="shared" si="62"/>
        <v>0</v>
      </c>
      <c r="DF92" s="6">
        <f t="shared" si="63"/>
        <v>0</v>
      </c>
      <c r="DG92" s="6">
        <f t="shared" si="64"/>
        <v>0</v>
      </c>
      <c r="DH92" s="6">
        <f t="shared" si="509"/>
        <v>0</v>
      </c>
      <c r="DI92" s="6">
        <f t="shared" si="66"/>
        <v>0</v>
      </c>
      <c r="DJ92" s="6">
        <f t="shared" si="510"/>
        <v>0</v>
      </c>
      <c r="DK92" s="7">
        <f t="shared" si="68"/>
        <v>0</v>
      </c>
      <c r="DL92" s="7">
        <f t="shared" si="498"/>
        <v>0</v>
      </c>
      <c r="DM92" s="7">
        <f t="shared" si="70"/>
        <v>0</v>
      </c>
      <c r="DN92" s="7">
        <f t="shared" si="71"/>
        <v>0</v>
      </c>
      <c r="DO92" s="7">
        <f t="shared" si="72"/>
        <v>1</v>
      </c>
      <c r="DP92" s="8">
        <f t="shared" si="73"/>
        <v>0</v>
      </c>
      <c r="DQ92" s="8">
        <f t="shared" si="74"/>
        <v>1</v>
      </c>
      <c r="DR92" s="7">
        <f t="shared" si="75"/>
        <v>1</v>
      </c>
      <c r="DS92" s="7">
        <f t="shared" si="76"/>
        <v>0</v>
      </c>
      <c r="DT92" s="7">
        <f t="shared" si="77"/>
        <v>0</v>
      </c>
      <c r="DU92" s="9">
        <f t="shared" si="78"/>
        <v>0</v>
      </c>
      <c r="DV92" s="9">
        <f t="shared" si="79"/>
        <v>0</v>
      </c>
      <c r="DW92" s="9">
        <f t="shared" si="80"/>
        <v>0</v>
      </c>
      <c r="DX92" s="9">
        <f t="shared" si="81"/>
        <v>0</v>
      </c>
      <c r="DY92" s="9">
        <f t="shared" si="82"/>
        <v>0</v>
      </c>
      <c r="DZ92" s="9">
        <f t="shared" si="83"/>
        <v>0</v>
      </c>
      <c r="EA92" s="9">
        <f t="shared" si="84"/>
        <v>0</v>
      </c>
      <c r="EB92" s="9">
        <f t="shared" si="85"/>
        <v>0</v>
      </c>
      <c r="EC92" s="9">
        <f t="shared" si="86"/>
        <v>0</v>
      </c>
      <c r="ED92" s="9">
        <f t="shared" si="87"/>
        <v>0</v>
      </c>
      <c r="EE92" s="9">
        <f t="shared" si="88"/>
        <v>0</v>
      </c>
      <c r="EF92" s="9">
        <f t="shared" si="89"/>
        <v>0</v>
      </c>
      <c r="EG92" s="9">
        <f t="shared" si="90"/>
        <v>0</v>
      </c>
      <c r="EH92" s="9">
        <f t="shared" si="91"/>
        <v>0</v>
      </c>
      <c r="EI92" s="9">
        <f t="shared" si="92"/>
        <v>0</v>
      </c>
      <c r="EJ92" s="10">
        <f t="shared" si="93"/>
        <v>0</v>
      </c>
      <c r="EK92" s="10">
        <f t="shared" si="94"/>
        <v>0</v>
      </c>
      <c r="EL92" s="10">
        <f t="shared" ref="EL92:EM92" si="524">IF(OR(ISNUMBER(SEARCH("ai software toolkit", $D92)), ISNUMBER(SEARCH("ai software toolkit", $T92)), ISNUMBER(SEARCH("ai software toolkit", $R92)), ISNUMBER(SEARCH("ai software toolkit", $S92))), 1, 0)</f>
        <v>0</v>
      </c>
      <c r="EM92" s="10">
        <f t="shared" si="524"/>
        <v>0</v>
      </c>
      <c r="EN92" s="10">
        <f t="shared" si="96"/>
        <v>0</v>
      </c>
      <c r="EO92" s="10">
        <f t="shared" si="97"/>
        <v>0</v>
      </c>
      <c r="EP92" s="10">
        <f t="shared" si="98"/>
        <v>0</v>
      </c>
      <c r="EQ92" s="10">
        <f t="shared" si="99"/>
        <v>0</v>
      </c>
      <c r="ER92" s="10">
        <f t="shared" si="100"/>
        <v>0</v>
      </c>
      <c r="ES92" s="10">
        <f t="shared" si="101"/>
        <v>0</v>
      </c>
      <c r="ET92" s="10">
        <f t="shared" si="102"/>
        <v>0</v>
      </c>
      <c r="EU92" s="10">
        <f t="shared" si="103"/>
        <v>0</v>
      </c>
      <c r="EV92" s="10">
        <f t="shared" si="104"/>
        <v>0</v>
      </c>
      <c r="EW92" s="10">
        <f t="shared" si="105"/>
        <v>0</v>
      </c>
      <c r="EX92" s="10">
        <f t="shared" si="106"/>
        <v>0</v>
      </c>
      <c r="EY92" s="10">
        <f t="shared" si="107"/>
        <v>0</v>
      </c>
      <c r="EZ92" s="10">
        <f t="shared" si="108"/>
        <v>0</v>
      </c>
      <c r="FA92" s="10">
        <f t="shared" si="109"/>
        <v>0</v>
      </c>
      <c r="FB92" s="10">
        <f t="shared" si="110"/>
        <v>0</v>
      </c>
      <c r="FC92" s="10">
        <f t="shared" si="111"/>
        <v>0</v>
      </c>
      <c r="FD92" s="10">
        <f t="shared" si="112"/>
        <v>0</v>
      </c>
      <c r="FE92" s="10">
        <f t="shared" si="113"/>
        <v>0</v>
      </c>
      <c r="FF92" s="10">
        <f t="shared" si="114"/>
        <v>0</v>
      </c>
      <c r="FG92" s="10">
        <f t="shared" si="115"/>
        <v>0</v>
      </c>
      <c r="FH92" s="10">
        <f t="shared" si="116"/>
        <v>0</v>
      </c>
      <c r="FI92" s="10">
        <f t="shared" si="117"/>
        <v>0</v>
      </c>
      <c r="FJ92" s="10">
        <f t="shared" si="118"/>
        <v>0</v>
      </c>
      <c r="FK92" s="10">
        <f t="shared" si="119"/>
        <v>0</v>
      </c>
      <c r="FL92" s="10">
        <f t="shared" si="120"/>
        <v>0</v>
      </c>
      <c r="FM92" s="10">
        <f t="shared" si="121"/>
        <v>0</v>
      </c>
      <c r="FN92" s="10">
        <f t="shared" si="122"/>
        <v>0</v>
      </c>
      <c r="FO92" s="10">
        <f t="shared" si="123"/>
        <v>0</v>
      </c>
      <c r="FP92" s="10">
        <f t="shared" si="124"/>
        <v>0</v>
      </c>
      <c r="FQ92" s="10">
        <f t="shared" si="125"/>
        <v>0</v>
      </c>
      <c r="FR92" s="11">
        <f t="shared" si="506"/>
        <v>0</v>
      </c>
      <c r="FS92" s="11">
        <f t="shared" si="127"/>
        <v>0</v>
      </c>
      <c r="FT92" s="11">
        <f t="shared" si="128"/>
        <v>0</v>
      </c>
      <c r="FU92" s="11">
        <f t="shared" si="129"/>
        <v>0</v>
      </c>
      <c r="FV92" s="11">
        <f t="shared" si="130"/>
        <v>0</v>
      </c>
      <c r="FW92" s="11">
        <f t="shared" si="131"/>
        <v>0</v>
      </c>
      <c r="FX92" s="11">
        <f t="shared" si="132"/>
        <v>0</v>
      </c>
      <c r="FY92" s="11">
        <f t="shared" si="133"/>
        <v>0</v>
      </c>
      <c r="FZ92" s="11">
        <f t="shared" si="134"/>
        <v>0</v>
      </c>
      <c r="GA92" s="11">
        <f t="shared" si="135"/>
        <v>0</v>
      </c>
      <c r="GB92" s="11">
        <f t="shared" si="136"/>
        <v>0</v>
      </c>
      <c r="GC92" s="11">
        <f t="shared" si="137"/>
        <v>0</v>
      </c>
      <c r="GD92" s="11">
        <f t="shared" si="138"/>
        <v>0</v>
      </c>
      <c r="GE92" s="11">
        <f t="shared" si="139"/>
        <v>0</v>
      </c>
      <c r="GF92" s="11">
        <f t="shared" si="140"/>
        <v>0</v>
      </c>
      <c r="GG92" s="11">
        <f t="shared" si="141"/>
        <v>0</v>
      </c>
      <c r="GH92" s="11">
        <f t="shared" si="142"/>
        <v>0</v>
      </c>
      <c r="GI92" s="11">
        <f t="shared" si="143"/>
        <v>0</v>
      </c>
      <c r="GJ92" s="11">
        <f t="shared" si="144"/>
        <v>0</v>
      </c>
      <c r="GK92" s="11">
        <f t="shared" si="145"/>
        <v>1</v>
      </c>
      <c r="GL92" s="11">
        <f t="shared" si="146"/>
        <v>0</v>
      </c>
      <c r="GM92" s="11">
        <f t="shared" si="147"/>
        <v>0</v>
      </c>
      <c r="GN92" s="11">
        <f t="shared" si="148"/>
        <v>0</v>
      </c>
      <c r="GO92" s="11">
        <f t="shared" si="149"/>
        <v>0</v>
      </c>
      <c r="GP92" s="11">
        <f t="shared" si="150"/>
        <v>0</v>
      </c>
      <c r="GQ92" s="11">
        <f t="shared" si="151"/>
        <v>0</v>
      </c>
      <c r="GR92" s="11">
        <f t="shared" si="152"/>
        <v>0</v>
      </c>
      <c r="GS92" s="11">
        <f t="shared" si="153"/>
        <v>0</v>
      </c>
      <c r="GT92" s="11">
        <f t="shared" si="154"/>
        <v>0</v>
      </c>
      <c r="GU92" s="12">
        <f t="shared" si="155"/>
        <v>0</v>
      </c>
      <c r="GV92" s="12">
        <f t="shared" si="156"/>
        <v>0</v>
      </c>
      <c r="GW92" s="12">
        <f t="shared" si="157"/>
        <v>0</v>
      </c>
      <c r="GX92" s="12">
        <f t="shared" si="158"/>
        <v>0</v>
      </c>
      <c r="GY92" s="12">
        <f t="shared" si="159"/>
        <v>0</v>
      </c>
      <c r="GZ92" s="12">
        <f t="shared" si="160"/>
        <v>0</v>
      </c>
      <c r="HA92" s="12">
        <f t="shared" si="161"/>
        <v>0</v>
      </c>
      <c r="HB92" s="12">
        <f t="shared" si="162"/>
        <v>0</v>
      </c>
      <c r="HC92" s="12">
        <f t="shared" si="163"/>
        <v>0</v>
      </c>
      <c r="HD92" s="12">
        <f t="shared" si="164"/>
        <v>0</v>
      </c>
      <c r="HE92" s="12">
        <f t="shared" si="165"/>
        <v>0</v>
      </c>
      <c r="HF92" s="12">
        <f t="shared" si="166"/>
        <v>0</v>
      </c>
      <c r="HG92" s="12">
        <f t="shared" si="167"/>
        <v>0</v>
      </c>
      <c r="HH92" s="12">
        <f t="shared" si="168"/>
        <v>0</v>
      </c>
      <c r="HI92" s="12">
        <f t="shared" si="169"/>
        <v>0</v>
      </c>
      <c r="HJ92" s="12">
        <f t="shared" si="170"/>
        <v>0</v>
      </c>
      <c r="HK92" s="12">
        <f t="shared" si="171"/>
        <v>0</v>
      </c>
      <c r="HL92" s="12">
        <f t="shared" si="172"/>
        <v>0</v>
      </c>
      <c r="HM92" s="12">
        <f t="shared" si="173"/>
        <v>0</v>
      </c>
      <c r="HN92" s="12">
        <f t="shared" si="174"/>
        <v>0</v>
      </c>
      <c r="HO92" s="12">
        <f t="shared" si="175"/>
        <v>0</v>
      </c>
      <c r="HP92" s="12">
        <f t="shared" si="176"/>
        <v>0</v>
      </c>
      <c r="HQ92" s="12">
        <f t="shared" si="177"/>
        <v>0</v>
      </c>
      <c r="HR92" s="12">
        <f t="shared" si="178"/>
        <v>0</v>
      </c>
      <c r="HS92" s="12">
        <f t="shared" si="179"/>
        <v>0</v>
      </c>
      <c r="HT92" s="12">
        <f t="shared" si="180"/>
        <v>0</v>
      </c>
      <c r="HU92" s="12">
        <f t="shared" si="181"/>
        <v>0</v>
      </c>
      <c r="HV92" s="12">
        <f t="shared" si="182"/>
        <v>0</v>
      </c>
      <c r="HW92" s="12">
        <f t="shared" si="183"/>
        <v>0</v>
      </c>
      <c r="HX92" s="12">
        <f t="shared" si="184"/>
        <v>0</v>
      </c>
      <c r="HY92" s="12">
        <f t="shared" si="185"/>
        <v>0</v>
      </c>
      <c r="HZ92" s="12">
        <f t="shared" si="186"/>
        <v>0</v>
      </c>
      <c r="IA92" s="12">
        <f t="shared" si="187"/>
        <v>0</v>
      </c>
      <c r="IB92" s="12">
        <f t="shared" si="188"/>
        <v>0</v>
      </c>
      <c r="IC92" s="12">
        <f t="shared" si="189"/>
        <v>0</v>
      </c>
      <c r="ID92" s="12">
        <f t="shared" si="190"/>
        <v>0</v>
      </c>
      <c r="IE92" s="12">
        <f t="shared" si="191"/>
        <v>0</v>
      </c>
      <c r="IF92" s="12">
        <f t="shared" si="192"/>
        <v>0</v>
      </c>
      <c r="IG92" s="12">
        <f t="shared" si="193"/>
        <v>0</v>
      </c>
      <c r="IH92" s="12">
        <f t="shared" si="194"/>
        <v>0</v>
      </c>
      <c r="II92" s="12">
        <f t="shared" si="195"/>
        <v>0</v>
      </c>
      <c r="IJ92" s="12">
        <f t="shared" si="196"/>
        <v>0</v>
      </c>
      <c r="IK92" s="12">
        <f t="shared" si="197"/>
        <v>0</v>
      </c>
      <c r="IL92" s="12">
        <f t="shared" si="198"/>
        <v>0</v>
      </c>
      <c r="IM92" s="12">
        <f t="shared" si="199"/>
        <v>0</v>
      </c>
      <c r="IN92" s="12">
        <f t="shared" si="200"/>
        <v>0</v>
      </c>
      <c r="IO92" s="12">
        <f t="shared" si="201"/>
        <v>0</v>
      </c>
      <c r="IP92" s="12">
        <f t="shared" si="202"/>
        <v>0</v>
      </c>
      <c r="IQ92" s="12">
        <f t="shared" si="203"/>
        <v>0</v>
      </c>
      <c r="IR92" s="12">
        <f t="shared" si="204"/>
        <v>0</v>
      </c>
      <c r="IS92" s="12">
        <f t="shared" si="205"/>
        <v>0</v>
      </c>
      <c r="IT92" s="12">
        <f t="shared" si="206"/>
        <v>0</v>
      </c>
      <c r="IU92" s="12">
        <f t="shared" si="207"/>
        <v>0</v>
      </c>
      <c r="IV92" s="12">
        <f t="shared" si="208"/>
        <v>0</v>
      </c>
      <c r="IW92" s="12">
        <f t="shared" si="209"/>
        <v>0</v>
      </c>
      <c r="IX92" s="12">
        <f t="shared" si="210"/>
        <v>0</v>
      </c>
      <c r="IY92" s="12">
        <f t="shared" si="211"/>
        <v>0</v>
      </c>
      <c r="IZ92" s="12">
        <f t="shared" si="212"/>
        <v>1</v>
      </c>
      <c r="JA92" s="13">
        <f t="shared" si="213"/>
        <v>0</v>
      </c>
      <c r="JB92" s="13">
        <f t="shared" si="214"/>
        <v>0</v>
      </c>
      <c r="JC92" s="13">
        <f t="shared" si="215"/>
        <v>0</v>
      </c>
      <c r="JD92" s="13">
        <f t="shared" si="216"/>
        <v>0</v>
      </c>
      <c r="JE92" s="13">
        <f t="shared" si="217"/>
        <v>0</v>
      </c>
      <c r="JF92" s="13">
        <f t="shared" si="218"/>
        <v>0</v>
      </c>
      <c r="JG92" s="13">
        <f t="shared" si="219"/>
        <v>0</v>
      </c>
      <c r="JH92" s="13">
        <f t="shared" si="220"/>
        <v>0</v>
      </c>
      <c r="JI92" s="13">
        <f t="shared" si="221"/>
        <v>0</v>
      </c>
      <c r="JJ92" s="13">
        <f t="shared" si="222"/>
        <v>0</v>
      </c>
      <c r="JK92" s="13">
        <f t="shared" si="223"/>
        <v>0</v>
      </c>
      <c r="JL92" s="13">
        <f t="shared" si="224"/>
        <v>0</v>
      </c>
      <c r="JM92" s="13">
        <f t="shared" si="225"/>
        <v>0</v>
      </c>
      <c r="JN92" s="13">
        <f t="shared" si="226"/>
        <v>0</v>
      </c>
      <c r="JO92" s="13">
        <f t="shared" si="227"/>
        <v>0</v>
      </c>
      <c r="JP92" s="13">
        <f t="shared" si="228"/>
        <v>0</v>
      </c>
      <c r="JQ92" s="13">
        <f t="shared" si="229"/>
        <v>0</v>
      </c>
      <c r="JR92" s="13">
        <f t="shared" si="230"/>
        <v>0</v>
      </c>
      <c r="JS92" s="13">
        <f t="shared" si="231"/>
        <v>0</v>
      </c>
      <c r="JT92" s="13">
        <f t="shared" si="232"/>
        <v>0</v>
      </c>
      <c r="JU92" s="13">
        <f t="shared" si="233"/>
        <v>0</v>
      </c>
      <c r="JV92" s="12">
        <f t="shared" si="234"/>
        <v>0</v>
      </c>
      <c r="JW92" s="12">
        <f t="shared" si="235"/>
        <v>0</v>
      </c>
      <c r="JX92" s="12">
        <f t="shared" si="236"/>
        <v>0</v>
      </c>
      <c r="JY92" s="12">
        <f t="shared" si="237"/>
        <v>0</v>
      </c>
      <c r="JZ92" s="12">
        <f t="shared" si="238"/>
        <v>0</v>
      </c>
      <c r="KA92" s="12">
        <f t="shared" si="239"/>
        <v>0</v>
      </c>
      <c r="KB92" s="12">
        <f t="shared" si="240"/>
        <v>0</v>
      </c>
      <c r="KC92" s="12">
        <f t="shared" si="241"/>
        <v>0</v>
      </c>
      <c r="KD92" s="12">
        <f t="shared" si="242"/>
        <v>0</v>
      </c>
      <c r="KE92" s="12">
        <f t="shared" si="243"/>
        <v>0</v>
      </c>
      <c r="KF92" s="12">
        <f t="shared" si="244"/>
        <v>0</v>
      </c>
      <c r="KG92" s="12">
        <f t="shared" si="245"/>
        <v>0</v>
      </c>
      <c r="KH92" s="12">
        <f t="shared" si="246"/>
        <v>0</v>
      </c>
      <c r="KI92" s="12">
        <f t="shared" si="247"/>
        <v>0</v>
      </c>
      <c r="KJ92" s="12">
        <f t="shared" si="248"/>
        <v>0</v>
      </c>
      <c r="KK92" s="12">
        <f t="shared" si="249"/>
        <v>0</v>
      </c>
      <c r="KL92" s="12">
        <f t="shared" si="250"/>
        <v>0</v>
      </c>
      <c r="KM92" s="12">
        <f t="shared" si="251"/>
        <v>0</v>
      </c>
      <c r="KN92" s="12">
        <f t="shared" si="252"/>
        <v>0</v>
      </c>
      <c r="KO92" s="12">
        <f t="shared" si="253"/>
        <v>0</v>
      </c>
      <c r="KP92" s="12">
        <f t="shared" si="254"/>
        <v>0</v>
      </c>
      <c r="KQ92" s="12">
        <f t="shared" si="255"/>
        <v>0</v>
      </c>
      <c r="KR92" s="12">
        <f t="shared" si="256"/>
        <v>0</v>
      </c>
      <c r="KS92" s="12">
        <f t="shared" si="257"/>
        <v>0</v>
      </c>
      <c r="KT92" s="12">
        <f t="shared" si="258"/>
        <v>0</v>
      </c>
      <c r="KU92" s="12">
        <f t="shared" si="259"/>
        <v>0</v>
      </c>
      <c r="KV92" s="12">
        <f t="shared" si="260"/>
        <v>0</v>
      </c>
      <c r="KW92" s="12">
        <f t="shared" si="261"/>
        <v>0</v>
      </c>
      <c r="KX92" s="12">
        <f t="shared" si="262"/>
        <v>0</v>
      </c>
      <c r="KY92" s="12">
        <f t="shared" si="263"/>
        <v>0</v>
      </c>
      <c r="KZ92" s="12">
        <f t="shared" si="264"/>
        <v>0</v>
      </c>
      <c r="LA92" s="12">
        <f t="shared" si="265"/>
        <v>0</v>
      </c>
      <c r="LB92" s="12">
        <f t="shared" si="266"/>
        <v>0</v>
      </c>
      <c r="LC92" s="12">
        <f t="shared" si="267"/>
        <v>0</v>
      </c>
      <c r="LD92" s="12">
        <f t="shared" si="268"/>
        <v>0</v>
      </c>
      <c r="LE92" s="12">
        <f t="shared" si="269"/>
        <v>0</v>
      </c>
      <c r="LF92" s="12">
        <f t="shared" si="270"/>
        <v>0</v>
      </c>
      <c r="LG92" s="12">
        <f t="shared" si="271"/>
        <v>0</v>
      </c>
      <c r="LH92" s="12">
        <f t="shared" si="272"/>
        <v>0</v>
      </c>
      <c r="LI92" s="12">
        <f t="shared" si="273"/>
        <v>0</v>
      </c>
      <c r="LJ92" s="12">
        <f t="shared" si="274"/>
        <v>0</v>
      </c>
      <c r="LK92" s="12">
        <f t="shared" si="275"/>
        <v>0</v>
      </c>
      <c r="LL92" s="12">
        <f t="shared" si="276"/>
        <v>0</v>
      </c>
      <c r="LM92" s="12">
        <f t="shared" si="277"/>
        <v>0</v>
      </c>
      <c r="LN92" s="12">
        <f t="shared" si="278"/>
        <v>0</v>
      </c>
      <c r="LO92" s="12">
        <f t="shared" si="279"/>
        <v>0</v>
      </c>
      <c r="LP92" s="12">
        <f t="shared" si="280"/>
        <v>0</v>
      </c>
      <c r="LQ92" s="12">
        <f t="shared" si="281"/>
        <v>0</v>
      </c>
      <c r="LR92" s="12">
        <f t="shared" si="282"/>
        <v>0</v>
      </c>
      <c r="LS92" s="12">
        <f t="shared" si="283"/>
        <v>0</v>
      </c>
      <c r="LT92" s="13">
        <f t="shared" si="284"/>
        <v>0</v>
      </c>
      <c r="LU92" s="13">
        <f t="shared" si="285"/>
        <v>0</v>
      </c>
      <c r="LV92" s="13">
        <f t="shared" si="286"/>
        <v>0</v>
      </c>
      <c r="LW92" s="13">
        <f t="shared" si="287"/>
        <v>0</v>
      </c>
      <c r="LX92" s="13">
        <f t="shared" si="288"/>
        <v>0</v>
      </c>
      <c r="LY92" s="13">
        <f t="shared" si="289"/>
        <v>0</v>
      </c>
      <c r="LZ92" s="13">
        <f t="shared" si="290"/>
        <v>0</v>
      </c>
      <c r="MA92" s="13">
        <f t="shared" si="291"/>
        <v>0</v>
      </c>
      <c r="MB92" s="13">
        <f t="shared" si="292"/>
        <v>0</v>
      </c>
      <c r="MC92" s="13">
        <f t="shared" si="293"/>
        <v>0</v>
      </c>
      <c r="MD92" s="13">
        <f t="shared" si="294"/>
        <v>0</v>
      </c>
      <c r="ME92" s="13">
        <f t="shared" si="295"/>
        <v>0</v>
      </c>
      <c r="MF92" s="13">
        <f t="shared" si="296"/>
        <v>0</v>
      </c>
      <c r="MG92" s="13">
        <f t="shared" si="297"/>
        <v>0</v>
      </c>
      <c r="MH92" s="13">
        <f t="shared" si="298"/>
        <v>0</v>
      </c>
      <c r="MI92" s="13">
        <f t="shared" si="299"/>
        <v>0</v>
      </c>
      <c r="MJ92" s="13">
        <f t="shared" si="300"/>
        <v>0</v>
      </c>
      <c r="MK92" s="13">
        <f t="shared" si="301"/>
        <v>0</v>
      </c>
      <c r="ML92" s="14">
        <f t="shared" si="302"/>
        <v>0</v>
      </c>
      <c r="MM92" s="14">
        <f t="shared" si="303"/>
        <v>0</v>
      </c>
      <c r="MN92" s="14">
        <f t="shared" si="304"/>
        <v>0</v>
      </c>
      <c r="MO92" s="14">
        <f t="shared" si="305"/>
        <v>0</v>
      </c>
      <c r="MP92" s="14">
        <f t="shared" si="306"/>
        <v>0</v>
      </c>
      <c r="MQ92" s="14">
        <f t="shared" si="307"/>
        <v>0</v>
      </c>
      <c r="MR92" s="14">
        <f t="shared" si="308"/>
        <v>0</v>
      </c>
      <c r="MS92" s="14">
        <f t="shared" si="309"/>
        <v>0</v>
      </c>
      <c r="MT92" s="14">
        <f t="shared" si="310"/>
        <v>0</v>
      </c>
      <c r="MU92" s="14">
        <f t="shared" si="311"/>
        <v>0</v>
      </c>
      <c r="MV92" s="14">
        <f t="shared" si="312"/>
        <v>0</v>
      </c>
      <c r="MW92" s="14">
        <f t="shared" si="313"/>
        <v>0</v>
      </c>
      <c r="MX92" s="14">
        <f t="shared" si="314"/>
        <v>0</v>
      </c>
      <c r="MY92" s="14">
        <f t="shared" si="315"/>
        <v>0</v>
      </c>
      <c r="MZ92" s="14">
        <f t="shared" si="316"/>
        <v>0</v>
      </c>
      <c r="NA92" s="14">
        <f t="shared" si="317"/>
        <v>0</v>
      </c>
      <c r="NB92" s="14">
        <f t="shared" si="318"/>
        <v>0</v>
      </c>
    </row>
    <row r="93" ht="15.75" customHeight="1">
      <c r="A93" s="2">
        <v>131.0</v>
      </c>
      <c r="B93" s="2" t="s">
        <v>1959</v>
      </c>
      <c r="C93" s="2" t="s">
        <v>1960</v>
      </c>
      <c r="D93" s="2" t="s">
        <v>1961</v>
      </c>
      <c r="E93" s="2">
        <v>2021.0</v>
      </c>
      <c r="F93" s="2" t="s">
        <v>1962</v>
      </c>
      <c r="G93" s="2" t="s">
        <v>1963</v>
      </c>
      <c r="I93" s="2" t="s">
        <v>1964</v>
      </c>
      <c r="M93" s="2">
        <v>11.0</v>
      </c>
      <c r="N93" s="2" t="s">
        <v>1965</v>
      </c>
      <c r="O93" s="2" t="s">
        <v>1966</v>
      </c>
      <c r="P93" s="2" t="s">
        <v>1967</v>
      </c>
      <c r="Q93" s="2" t="s">
        <v>1968</v>
      </c>
      <c r="R93" s="2" t="s">
        <v>1969</v>
      </c>
      <c r="S93" s="2" t="s">
        <v>1970</v>
      </c>
      <c r="T93" s="2" t="s">
        <v>1971</v>
      </c>
      <c r="Y93" s="2" t="s">
        <v>1972</v>
      </c>
      <c r="AB93" s="2" t="s">
        <v>1525</v>
      </c>
      <c r="AG93" s="2" t="s">
        <v>1973</v>
      </c>
      <c r="AI93" s="2" t="s">
        <v>1974</v>
      </c>
      <c r="AJ93" s="2">
        <v>3.3556686E7</v>
      </c>
      <c r="AK93" s="2" t="s">
        <v>1975</v>
      </c>
      <c r="AL93" s="2" t="s">
        <v>384</v>
      </c>
      <c r="AM93" s="2" t="s">
        <v>579</v>
      </c>
      <c r="AN93" s="2" t="s">
        <v>386</v>
      </c>
      <c r="AO93" s="2" t="s">
        <v>1976</v>
      </c>
      <c r="AP93" s="2" t="s">
        <v>386</v>
      </c>
      <c r="AQ93" s="2">
        <v>427.0</v>
      </c>
      <c r="AR93" s="2" t="s">
        <v>1977</v>
      </c>
      <c r="AS93" s="2" t="b">
        <v>1</v>
      </c>
      <c r="AT93" s="3">
        <v>0.0</v>
      </c>
      <c r="AU93" s="4"/>
      <c r="AV93" s="4">
        <v>1.0</v>
      </c>
      <c r="AW93" s="5">
        <f t="shared" si="432"/>
        <v>0</v>
      </c>
      <c r="AX93" s="5">
        <f t="shared" si="4"/>
        <v>0</v>
      </c>
      <c r="AY93" s="5">
        <f t="shared" si="5"/>
        <v>0</v>
      </c>
      <c r="AZ93" s="5">
        <f t="shared" si="6"/>
        <v>0</v>
      </c>
      <c r="BA93" s="5">
        <f t="shared" si="7"/>
        <v>0</v>
      </c>
      <c r="BB93" s="5">
        <f t="shared" si="8"/>
        <v>0</v>
      </c>
      <c r="BC93" s="5">
        <f t="shared" si="9"/>
        <v>0</v>
      </c>
      <c r="BD93" s="5">
        <f t="shared" si="10"/>
        <v>0</v>
      </c>
      <c r="BE93" s="5">
        <f t="shared" si="11"/>
        <v>0</v>
      </c>
      <c r="BF93" s="5">
        <f t="shared" si="12"/>
        <v>0</v>
      </c>
      <c r="BG93" s="5">
        <f t="shared" si="13"/>
        <v>0</v>
      </c>
      <c r="BH93" s="5">
        <f t="shared" si="14"/>
        <v>0</v>
      </c>
      <c r="BI93" s="5">
        <f t="shared" si="15"/>
        <v>0</v>
      </c>
      <c r="BJ93" s="5">
        <f t="shared" si="16"/>
        <v>0</v>
      </c>
      <c r="BK93" s="5">
        <f t="shared" si="17"/>
        <v>0</v>
      </c>
      <c r="BL93" s="5">
        <f t="shared" si="18"/>
        <v>0</v>
      </c>
      <c r="BM93" s="5">
        <f t="shared" si="19"/>
        <v>0</v>
      </c>
      <c r="BN93" s="5">
        <f t="shared" si="20"/>
        <v>0</v>
      </c>
      <c r="BO93" s="5">
        <f t="shared" si="21"/>
        <v>0</v>
      </c>
      <c r="BP93" s="5">
        <f t="shared" si="22"/>
        <v>0</v>
      </c>
      <c r="BQ93" s="5">
        <f t="shared" si="23"/>
        <v>0</v>
      </c>
      <c r="BR93" s="5">
        <f t="shared" si="24"/>
        <v>0</v>
      </c>
      <c r="BS93" s="5">
        <f t="shared" si="25"/>
        <v>0</v>
      </c>
      <c r="BT93" s="5">
        <f t="shared" si="26"/>
        <v>0</v>
      </c>
      <c r="BU93" s="5">
        <f t="shared" si="27"/>
        <v>0</v>
      </c>
      <c r="BV93" s="5">
        <f t="shared" ref="BV93:BW93" si="525">IF(OR(ISNUMBER(SEARCH("grit",$D93)),ISNUMBER(SEARCH("grit",$T93)),ISNUMBER(SEARCH("grit",$R93)),ISNUMBER(SEARCH("grit",$S93)),
ISNUMBER(SEARCH("determination",$D93)),ISNUMBER(SEARCH("determination",$T93)),ISNUMBER(SEARCH("determination",$R93)),ISNUMBER(SEARCH("determination",$S93)),
ISNUMBER(SEARCH("tenacity",$D93)),ISNUMBER(SEARCH("tenacity",$T93)),ISNUMBER(SEARCH("tenacity",$R93)),ISNUMBER(SEARCH("tenacity",$S93)),
ISNUMBER(SEARCH("endurance",$D93)),ISNUMBER(SEARCH("endurance",$T93)),ISNUMBER(SEARCH("endurance",$R93)),ISNUMBER(SEARCH("endurance",$S93)),
ISNUMBER(SEARCH("fortitude",$D93)),ISNUMBER(SEARCH("fortitude",$T93)),ISNUMBER(SEARCH("fortitude",$R93)),ISNUMBER(SEARCH("fortitude",$S93)),
ISNUMBER(SEARCH("resolve",$D93)),ISNUMBER(SEARCH("resolve",$T93)),ISNUMBER(SEARCH("resolve",$R93)),ISNUMBER(SEARCH("resolve",$S93)),
ISNUMBER(SEARCH("stamina",$D93)),ISNUMBER(SEARCH("stamina",$T93)),ISNUMBER(SEARCH("stamina",$R93)),ISNUMBER(SEARCH("stamina",$S93)),
ISNUMBER(SEARCH("guts",$D93)),ISNUMBER(SEARCH("guts",$T93)),ISNUMBER(SEARCH("guts",$R93)),ISNUMBER(SEARCH("guts",$S93)),
ISNUMBER(SEARCH("spunk",$D93)),ISNUMBER(SEARCH("spunk",$T93)),ISNUMBER(SEARCH("spunk",$R93)),ISNUMBER(SEARCH("spunk",$S93))), 1, 0)</f>
        <v>0</v>
      </c>
      <c r="BW93" s="5">
        <f t="shared" si="525"/>
        <v>0</v>
      </c>
      <c r="BX93" s="5">
        <f t="shared" si="29"/>
        <v>0</v>
      </c>
      <c r="BY93" s="5">
        <f t="shared" si="30"/>
        <v>0</v>
      </c>
      <c r="BZ93" s="5">
        <f t="shared" si="31"/>
        <v>0</v>
      </c>
      <c r="CA93" s="5">
        <f t="shared" si="32"/>
        <v>0</v>
      </c>
      <c r="CB93" s="5">
        <f t="shared" si="33"/>
        <v>0</v>
      </c>
      <c r="CC93" s="5">
        <f t="shared" si="34"/>
        <v>0</v>
      </c>
      <c r="CD93" s="5">
        <f t="shared" si="35"/>
        <v>0</v>
      </c>
      <c r="CE93" s="5">
        <f t="shared" si="36"/>
        <v>0</v>
      </c>
      <c r="CF93" s="5">
        <f t="shared" si="37"/>
        <v>0</v>
      </c>
      <c r="CG93" s="5">
        <f t="shared" si="38"/>
        <v>1</v>
      </c>
      <c r="CH93" s="5">
        <f t="shared" si="39"/>
        <v>0</v>
      </c>
      <c r="CI93" s="5">
        <f t="shared" si="40"/>
        <v>0</v>
      </c>
      <c r="CJ93" s="5">
        <f t="shared" si="41"/>
        <v>0</v>
      </c>
      <c r="CK93" s="5">
        <f t="shared" si="42"/>
        <v>0</v>
      </c>
      <c r="CL93" s="5">
        <f t="shared" si="43"/>
        <v>0</v>
      </c>
      <c r="CM93" s="5">
        <f t="shared" si="44"/>
        <v>0</v>
      </c>
      <c r="CN93" s="5">
        <f t="shared" si="45"/>
        <v>0</v>
      </c>
      <c r="CO93" s="5">
        <f t="shared" si="46"/>
        <v>0</v>
      </c>
      <c r="CP93" s="6">
        <f t="shared" si="47"/>
        <v>0</v>
      </c>
      <c r="CQ93" s="6">
        <f t="shared" si="48"/>
        <v>0</v>
      </c>
      <c r="CR93" s="6">
        <f t="shared" si="49"/>
        <v>0</v>
      </c>
      <c r="CS93" s="6">
        <f t="shared" si="50"/>
        <v>0</v>
      </c>
      <c r="CT93" s="6">
        <v>0.0</v>
      </c>
      <c r="CU93" s="6">
        <f t="shared" si="52"/>
        <v>0</v>
      </c>
      <c r="CV93" s="6">
        <f t="shared" si="53"/>
        <v>0</v>
      </c>
      <c r="CW93" s="6">
        <f t="shared" si="54"/>
        <v>0</v>
      </c>
      <c r="CX93" s="6">
        <f t="shared" si="55"/>
        <v>0</v>
      </c>
      <c r="CY93" s="6">
        <f t="shared" si="56"/>
        <v>0</v>
      </c>
      <c r="CZ93" s="6">
        <f t="shared" si="57"/>
        <v>0</v>
      </c>
      <c r="DA93" s="6">
        <f t="shared" si="58"/>
        <v>0</v>
      </c>
      <c r="DB93" s="6">
        <f t="shared" si="59"/>
        <v>0</v>
      </c>
      <c r="DC93" s="6">
        <f t="shared" si="60"/>
        <v>0</v>
      </c>
      <c r="DD93" s="6">
        <f t="shared" si="61"/>
        <v>0</v>
      </c>
      <c r="DE93" s="6">
        <f t="shared" si="62"/>
        <v>0</v>
      </c>
      <c r="DF93" s="6">
        <f t="shared" si="63"/>
        <v>0</v>
      </c>
      <c r="DG93" s="6">
        <f t="shared" si="64"/>
        <v>0</v>
      </c>
      <c r="DH93" s="6">
        <f t="shared" si="509"/>
        <v>0</v>
      </c>
      <c r="DI93" s="6">
        <f t="shared" si="66"/>
        <v>0</v>
      </c>
      <c r="DJ93" s="6">
        <f t="shared" si="510"/>
        <v>0</v>
      </c>
      <c r="DK93" s="7">
        <f t="shared" si="68"/>
        <v>0</v>
      </c>
      <c r="DL93" s="7">
        <f t="shared" si="498"/>
        <v>0</v>
      </c>
      <c r="DM93" s="7">
        <f t="shared" si="70"/>
        <v>0</v>
      </c>
      <c r="DN93" s="7">
        <f t="shared" si="71"/>
        <v>0</v>
      </c>
      <c r="DO93" s="7">
        <f t="shared" si="72"/>
        <v>1</v>
      </c>
      <c r="DP93" s="8">
        <f t="shared" si="73"/>
        <v>0</v>
      </c>
      <c r="DQ93" s="8">
        <f t="shared" si="74"/>
        <v>1</v>
      </c>
      <c r="DR93" s="7">
        <f t="shared" si="75"/>
        <v>0</v>
      </c>
      <c r="DS93" s="7">
        <f t="shared" si="76"/>
        <v>0</v>
      </c>
      <c r="DT93" s="7">
        <f t="shared" si="77"/>
        <v>0</v>
      </c>
      <c r="DU93" s="9">
        <f t="shared" si="78"/>
        <v>0</v>
      </c>
      <c r="DV93" s="9">
        <f t="shared" si="79"/>
        <v>0</v>
      </c>
      <c r="DW93" s="9">
        <f t="shared" si="80"/>
        <v>0</v>
      </c>
      <c r="DX93" s="9">
        <f t="shared" si="81"/>
        <v>0</v>
      </c>
      <c r="DY93" s="9">
        <f t="shared" si="82"/>
        <v>0</v>
      </c>
      <c r="DZ93" s="9">
        <f t="shared" si="83"/>
        <v>0</v>
      </c>
      <c r="EA93" s="9">
        <f t="shared" si="84"/>
        <v>0</v>
      </c>
      <c r="EB93" s="9">
        <f t="shared" si="85"/>
        <v>0</v>
      </c>
      <c r="EC93" s="9">
        <f t="shared" si="86"/>
        <v>0</v>
      </c>
      <c r="ED93" s="9">
        <f t="shared" si="87"/>
        <v>0</v>
      </c>
      <c r="EE93" s="9">
        <f t="shared" si="88"/>
        <v>0</v>
      </c>
      <c r="EF93" s="9">
        <f t="shared" si="89"/>
        <v>0</v>
      </c>
      <c r="EG93" s="9">
        <f t="shared" si="90"/>
        <v>0</v>
      </c>
      <c r="EH93" s="9">
        <f t="shared" si="91"/>
        <v>0</v>
      </c>
      <c r="EI93" s="9">
        <f t="shared" si="92"/>
        <v>0</v>
      </c>
      <c r="EJ93" s="10">
        <f t="shared" si="93"/>
        <v>0</v>
      </c>
      <c r="EK93" s="10">
        <f t="shared" si="94"/>
        <v>0</v>
      </c>
      <c r="EL93" s="10">
        <f t="shared" ref="EL93:EM93" si="526">IF(OR(ISNUMBER(SEARCH("ai software toolkit", $D93)), ISNUMBER(SEARCH("ai software toolkit", $T93)), ISNUMBER(SEARCH("ai software toolkit", $R93)), ISNUMBER(SEARCH("ai software toolkit", $S93))), 1, 0)</f>
        <v>0</v>
      </c>
      <c r="EM93" s="10">
        <f t="shared" si="526"/>
        <v>0</v>
      </c>
      <c r="EN93" s="10">
        <f t="shared" si="96"/>
        <v>0</v>
      </c>
      <c r="EO93" s="10">
        <f t="shared" si="97"/>
        <v>0</v>
      </c>
      <c r="EP93" s="10">
        <f t="shared" si="98"/>
        <v>0</v>
      </c>
      <c r="EQ93" s="10">
        <f t="shared" si="99"/>
        <v>0</v>
      </c>
      <c r="ER93" s="10">
        <f t="shared" si="100"/>
        <v>0</v>
      </c>
      <c r="ES93" s="10">
        <f t="shared" si="101"/>
        <v>0</v>
      </c>
      <c r="ET93" s="10">
        <f t="shared" si="102"/>
        <v>0</v>
      </c>
      <c r="EU93" s="10">
        <f t="shared" si="103"/>
        <v>0</v>
      </c>
      <c r="EV93" s="10">
        <f t="shared" si="104"/>
        <v>0</v>
      </c>
      <c r="EW93" s="10">
        <f t="shared" si="105"/>
        <v>0</v>
      </c>
      <c r="EX93" s="10">
        <f t="shared" si="106"/>
        <v>0</v>
      </c>
      <c r="EY93" s="10">
        <f t="shared" si="107"/>
        <v>0</v>
      </c>
      <c r="EZ93" s="10">
        <f t="shared" si="108"/>
        <v>0</v>
      </c>
      <c r="FA93" s="10">
        <f t="shared" si="109"/>
        <v>0</v>
      </c>
      <c r="FB93" s="10">
        <f t="shared" si="110"/>
        <v>0</v>
      </c>
      <c r="FC93" s="10">
        <f t="shared" si="111"/>
        <v>0</v>
      </c>
      <c r="FD93" s="10">
        <f t="shared" si="112"/>
        <v>0</v>
      </c>
      <c r="FE93" s="10">
        <f t="shared" si="113"/>
        <v>0</v>
      </c>
      <c r="FF93" s="10">
        <f t="shared" si="114"/>
        <v>0</v>
      </c>
      <c r="FG93" s="10">
        <f t="shared" si="115"/>
        <v>0</v>
      </c>
      <c r="FH93" s="10">
        <f t="shared" si="116"/>
        <v>0</v>
      </c>
      <c r="FI93" s="10">
        <f t="shared" si="117"/>
        <v>0</v>
      </c>
      <c r="FJ93" s="10">
        <f t="shared" si="118"/>
        <v>0</v>
      </c>
      <c r="FK93" s="10">
        <f t="shared" si="119"/>
        <v>0</v>
      </c>
      <c r="FL93" s="10">
        <f t="shared" si="120"/>
        <v>0</v>
      </c>
      <c r="FM93" s="10">
        <f t="shared" si="121"/>
        <v>0</v>
      </c>
      <c r="FN93" s="10">
        <f t="shared" si="122"/>
        <v>0</v>
      </c>
      <c r="FO93" s="10">
        <f t="shared" si="123"/>
        <v>0</v>
      </c>
      <c r="FP93" s="10">
        <f t="shared" si="124"/>
        <v>0</v>
      </c>
      <c r="FQ93" s="10">
        <f t="shared" si="125"/>
        <v>0</v>
      </c>
      <c r="FR93" s="11">
        <f t="shared" si="506"/>
        <v>0</v>
      </c>
      <c r="FS93" s="11">
        <f t="shared" si="127"/>
        <v>0</v>
      </c>
      <c r="FT93" s="11">
        <f t="shared" si="128"/>
        <v>0</v>
      </c>
      <c r="FU93" s="11">
        <f t="shared" si="129"/>
        <v>0</v>
      </c>
      <c r="FV93" s="11">
        <f t="shared" si="130"/>
        <v>0</v>
      </c>
      <c r="FW93" s="11">
        <f t="shared" si="131"/>
        <v>0</v>
      </c>
      <c r="FX93" s="11">
        <f t="shared" si="132"/>
        <v>0</v>
      </c>
      <c r="FY93" s="11">
        <f t="shared" si="133"/>
        <v>0</v>
      </c>
      <c r="FZ93" s="11">
        <f t="shared" si="134"/>
        <v>0</v>
      </c>
      <c r="GA93" s="11">
        <f t="shared" si="135"/>
        <v>0</v>
      </c>
      <c r="GB93" s="11">
        <f t="shared" si="136"/>
        <v>0</v>
      </c>
      <c r="GC93" s="11">
        <f t="shared" si="137"/>
        <v>0</v>
      </c>
      <c r="GD93" s="11">
        <f t="shared" si="138"/>
        <v>0</v>
      </c>
      <c r="GE93" s="11">
        <f t="shared" si="139"/>
        <v>0</v>
      </c>
      <c r="GF93" s="11">
        <f t="shared" si="140"/>
        <v>0</v>
      </c>
      <c r="GG93" s="11">
        <f t="shared" si="141"/>
        <v>0</v>
      </c>
      <c r="GH93" s="11">
        <f t="shared" si="142"/>
        <v>0</v>
      </c>
      <c r="GI93" s="11">
        <f t="shared" si="143"/>
        <v>0</v>
      </c>
      <c r="GJ93" s="11">
        <f t="shared" si="144"/>
        <v>0</v>
      </c>
      <c r="GK93" s="11">
        <f t="shared" si="145"/>
        <v>0</v>
      </c>
      <c r="GL93" s="11">
        <f t="shared" si="146"/>
        <v>0</v>
      </c>
      <c r="GM93" s="11">
        <f t="shared" si="147"/>
        <v>0</v>
      </c>
      <c r="GN93" s="11">
        <f t="shared" si="148"/>
        <v>0</v>
      </c>
      <c r="GO93" s="11">
        <f t="shared" si="149"/>
        <v>0</v>
      </c>
      <c r="GP93" s="11">
        <f t="shared" si="150"/>
        <v>0</v>
      </c>
      <c r="GQ93" s="11">
        <f t="shared" si="151"/>
        <v>0</v>
      </c>
      <c r="GR93" s="11">
        <f t="shared" si="152"/>
        <v>0</v>
      </c>
      <c r="GS93" s="11">
        <f t="shared" si="153"/>
        <v>0</v>
      </c>
      <c r="GT93" s="11">
        <f t="shared" si="154"/>
        <v>0</v>
      </c>
      <c r="GU93" s="12">
        <f t="shared" si="155"/>
        <v>0</v>
      </c>
      <c r="GV93" s="12">
        <f t="shared" si="156"/>
        <v>0</v>
      </c>
      <c r="GW93" s="12">
        <f t="shared" si="157"/>
        <v>0</v>
      </c>
      <c r="GX93" s="12">
        <f t="shared" si="158"/>
        <v>0</v>
      </c>
      <c r="GY93" s="12">
        <f t="shared" si="159"/>
        <v>0</v>
      </c>
      <c r="GZ93" s="12">
        <f t="shared" si="160"/>
        <v>0</v>
      </c>
      <c r="HA93" s="12">
        <f t="shared" si="161"/>
        <v>0</v>
      </c>
      <c r="HB93" s="12">
        <f t="shared" si="162"/>
        <v>0</v>
      </c>
      <c r="HC93" s="12">
        <f t="shared" si="163"/>
        <v>0</v>
      </c>
      <c r="HD93" s="12">
        <f t="shared" si="164"/>
        <v>0</v>
      </c>
      <c r="HE93" s="12">
        <f t="shared" si="165"/>
        <v>0</v>
      </c>
      <c r="HF93" s="12">
        <f t="shared" si="166"/>
        <v>0</v>
      </c>
      <c r="HG93" s="12">
        <f t="shared" si="167"/>
        <v>0</v>
      </c>
      <c r="HH93" s="12">
        <f t="shared" si="168"/>
        <v>0</v>
      </c>
      <c r="HI93" s="12">
        <f t="shared" si="169"/>
        <v>0</v>
      </c>
      <c r="HJ93" s="12">
        <f t="shared" si="170"/>
        <v>0</v>
      </c>
      <c r="HK93" s="12">
        <f t="shared" si="171"/>
        <v>0</v>
      </c>
      <c r="HL93" s="12">
        <f t="shared" si="172"/>
        <v>0</v>
      </c>
      <c r="HM93" s="12">
        <f t="shared" si="173"/>
        <v>0</v>
      </c>
      <c r="HN93" s="12">
        <f t="shared" si="174"/>
        <v>0</v>
      </c>
      <c r="HO93" s="12">
        <f t="shared" si="175"/>
        <v>0</v>
      </c>
      <c r="HP93" s="12">
        <f t="shared" si="176"/>
        <v>0</v>
      </c>
      <c r="HQ93" s="12">
        <f t="shared" si="177"/>
        <v>0</v>
      </c>
      <c r="HR93" s="12">
        <f t="shared" si="178"/>
        <v>0</v>
      </c>
      <c r="HS93" s="12">
        <f t="shared" si="179"/>
        <v>0</v>
      </c>
      <c r="HT93" s="12">
        <f t="shared" si="180"/>
        <v>0</v>
      </c>
      <c r="HU93" s="12">
        <f t="shared" si="181"/>
        <v>0</v>
      </c>
      <c r="HV93" s="12">
        <f t="shared" si="182"/>
        <v>0</v>
      </c>
      <c r="HW93" s="12">
        <f t="shared" si="183"/>
        <v>0</v>
      </c>
      <c r="HX93" s="12">
        <f t="shared" si="184"/>
        <v>0</v>
      </c>
      <c r="HY93" s="12">
        <f t="shared" si="185"/>
        <v>0</v>
      </c>
      <c r="HZ93" s="12">
        <f t="shared" si="186"/>
        <v>0</v>
      </c>
      <c r="IA93" s="12">
        <f t="shared" si="187"/>
        <v>0</v>
      </c>
      <c r="IB93" s="12">
        <f t="shared" si="188"/>
        <v>0</v>
      </c>
      <c r="IC93" s="12">
        <f t="shared" si="189"/>
        <v>0</v>
      </c>
      <c r="ID93" s="12">
        <f t="shared" si="190"/>
        <v>0</v>
      </c>
      <c r="IE93" s="12">
        <f t="shared" si="191"/>
        <v>0</v>
      </c>
      <c r="IF93" s="12">
        <f t="shared" si="192"/>
        <v>0</v>
      </c>
      <c r="IG93" s="12">
        <f t="shared" si="193"/>
        <v>0</v>
      </c>
      <c r="IH93" s="12">
        <f t="shared" si="194"/>
        <v>0</v>
      </c>
      <c r="II93" s="12">
        <f t="shared" si="195"/>
        <v>0</v>
      </c>
      <c r="IJ93" s="12">
        <f t="shared" si="196"/>
        <v>0</v>
      </c>
      <c r="IK93" s="12">
        <f t="shared" si="197"/>
        <v>0</v>
      </c>
      <c r="IL93" s="12">
        <f t="shared" si="198"/>
        <v>0</v>
      </c>
      <c r="IM93" s="12">
        <f t="shared" si="199"/>
        <v>0</v>
      </c>
      <c r="IN93" s="12">
        <f t="shared" si="200"/>
        <v>0</v>
      </c>
      <c r="IO93" s="12">
        <f t="shared" si="201"/>
        <v>0</v>
      </c>
      <c r="IP93" s="12">
        <f t="shared" si="202"/>
        <v>0</v>
      </c>
      <c r="IQ93" s="12">
        <f t="shared" si="203"/>
        <v>0</v>
      </c>
      <c r="IR93" s="12">
        <f t="shared" si="204"/>
        <v>0</v>
      </c>
      <c r="IS93" s="12">
        <f t="shared" si="205"/>
        <v>0</v>
      </c>
      <c r="IT93" s="12">
        <f t="shared" si="206"/>
        <v>0</v>
      </c>
      <c r="IU93" s="12">
        <f t="shared" si="207"/>
        <v>0</v>
      </c>
      <c r="IV93" s="12">
        <f t="shared" si="208"/>
        <v>0</v>
      </c>
      <c r="IW93" s="12">
        <f t="shared" si="209"/>
        <v>0</v>
      </c>
      <c r="IX93" s="12">
        <f t="shared" si="210"/>
        <v>0</v>
      </c>
      <c r="IY93" s="12">
        <f t="shared" si="211"/>
        <v>0</v>
      </c>
      <c r="IZ93" s="12">
        <f t="shared" si="212"/>
        <v>0</v>
      </c>
      <c r="JA93" s="13">
        <f t="shared" si="213"/>
        <v>0</v>
      </c>
      <c r="JB93" s="13">
        <f t="shared" si="214"/>
        <v>0</v>
      </c>
      <c r="JC93" s="13">
        <f t="shared" si="215"/>
        <v>0</v>
      </c>
      <c r="JD93" s="13">
        <f t="shared" si="216"/>
        <v>0</v>
      </c>
      <c r="JE93" s="13">
        <f t="shared" si="217"/>
        <v>0</v>
      </c>
      <c r="JF93" s="13">
        <f t="shared" si="218"/>
        <v>0</v>
      </c>
      <c r="JG93" s="13">
        <f t="shared" si="219"/>
        <v>0</v>
      </c>
      <c r="JH93" s="13">
        <f t="shared" si="220"/>
        <v>0</v>
      </c>
      <c r="JI93" s="13">
        <f t="shared" si="221"/>
        <v>0</v>
      </c>
      <c r="JJ93" s="13">
        <f t="shared" si="222"/>
        <v>0</v>
      </c>
      <c r="JK93" s="13">
        <f t="shared" si="223"/>
        <v>0</v>
      </c>
      <c r="JL93" s="13">
        <f t="shared" si="224"/>
        <v>0</v>
      </c>
      <c r="JM93" s="13">
        <f t="shared" si="225"/>
        <v>0</v>
      </c>
      <c r="JN93" s="13">
        <f t="shared" si="226"/>
        <v>0</v>
      </c>
      <c r="JO93" s="13">
        <f t="shared" si="227"/>
        <v>0</v>
      </c>
      <c r="JP93" s="13">
        <f t="shared" si="228"/>
        <v>0</v>
      </c>
      <c r="JQ93" s="13">
        <f t="shared" si="229"/>
        <v>0</v>
      </c>
      <c r="JR93" s="13">
        <f t="shared" si="230"/>
        <v>0</v>
      </c>
      <c r="JS93" s="13">
        <f t="shared" si="231"/>
        <v>0</v>
      </c>
      <c r="JT93" s="13">
        <f t="shared" si="232"/>
        <v>0</v>
      </c>
      <c r="JU93" s="13">
        <f t="shared" si="233"/>
        <v>0</v>
      </c>
      <c r="JV93" s="12">
        <f t="shared" si="234"/>
        <v>0</v>
      </c>
      <c r="JW93" s="12">
        <f t="shared" si="235"/>
        <v>0</v>
      </c>
      <c r="JX93" s="12">
        <f t="shared" si="236"/>
        <v>0</v>
      </c>
      <c r="JY93" s="12">
        <f t="shared" si="237"/>
        <v>0</v>
      </c>
      <c r="JZ93" s="12">
        <f t="shared" si="238"/>
        <v>0</v>
      </c>
      <c r="KA93" s="12">
        <f t="shared" si="239"/>
        <v>0</v>
      </c>
      <c r="KB93" s="12">
        <f t="shared" si="240"/>
        <v>0</v>
      </c>
      <c r="KC93" s="12">
        <f t="shared" si="241"/>
        <v>0</v>
      </c>
      <c r="KD93" s="12">
        <f t="shared" si="242"/>
        <v>0</v>
      </c>
      <c r="KE93" s="12">
        <f t="shared" si="243"/>
        <v>0</v>
      </c>
      <c r="KF93" s="12">
        <f t="shared" si="244"/>
        <v>0</v>
      </c>
      <c r="KG93" s="12">
        <f t="shared" si="245"/>
        <v>0</v>
      </c>
      <c r="KH93" s="12">
        <f t="shared" si="246"/>
        <v>0</v>
      </c>
      <c r="KI93" s="12">
        <f t="shared" si="247"/>
        <v>0</v>
      </c>
      <c r="KJ93" s="12">
        <f t="shared" si="248"/>
        <v>0</v>
      </c>
      <c r="KK93" s="12">
        <f t="shared" si="249"/>
        <v>0</v>
      </c>
      <c r="KL93" s="12">
        <f t="shared" si="250"/>
        <v>0</v>
      </c>
      <c r="KM93" s="12">
        <f t="shared" si="251"/>
        <v>0</v>
      </c>
      <c r="KN93" s="12">
        <f t="shared" si="252"/>
        <v>0</v>
      </c>
      <c r="KO93" s="12">
        <f t="shared" si="253"/>
        <v>0</v>
      </c>
      <c r="KP93" s="12">
        <f t="shared" si="254"/>
        <v>0</v>
      </c>
      <c r="KQ93" s="12">
        <f t="shared" si="255"/>
        <v>0</v>
      </c>
      <c r="KR93" s="12">
        <f t="shared" si="256"/>
        <v>0</v>
      </c>
      <c r="KS93" s="12">
        <f t="shared" si="257"/>
        <v>0</v>
      </c>
      <c r="KT93" s="12">
        <f t="shared" si="258"/>
        <v>0</v>
      </c>
      <c r="KU93" s="12">
        <f t="shared" si="259"/>
        <v>0</v>
      </c>
      <c r="KV93" s="12">
        <f t="shared" si="260"/>
        <v>0</v>
      </c>
      <c r="KW93" s="12">
        <f t="shared" si="261"/>
        <v>0</v>
      </c>
      <c r="KX93" s="12">
        <f t="shared" si="262"/>
        <v>0</v>
      </c>
      <c r="KY93" s="12">
        <f t="shared" si="263"/>
        <v>0</v>
      </c>
      <c r="KZ93" s="12">
        <f t="shared" si="264"/>
        <v>0</v>
      </c>
      <c r="LA93" s="12">
        <f t="shared" si="265"/>
        <v>0</v>
      </c>
      <c r="LB93" s="12">
        <f t="shared" si="266"/>
        <v>0</v>
      </c>
      <c r="LC93" s="12">
        <f t="shared" si="267"/>
        <v>0</v>
      </c>
      <c r="LD93" s="12">
        <f t="shared" si="268"/>
        <v>0</v>
      </c>
      <c r="LE93" s="12">
        <f t="shared" si="269"/>
        <v>0</v>
      </c>
      <c r="LF93" s="12">
        <f t="shared" si="270"/>
        <v>0</v>
      </c>
      <c r="LG93" s="12">
        <f t="shared" si="271"/>
        <v>0</v>
      </c>
      <c r="LH93" s="12">
        <f t="shared" si="272"/>
        <v>0</v>
      </c>
      <c r="LI93" s="12">
        <f t="shared" si="273"/>
        <v>0</v>
      </c>
      <c r="LJ93" s="12">
        <f t="shared" si="274"/>
        <v>0</v>
      </c>
      <c r="LK93" s="12">
        <f t="shared" si="275"/>
        <v>0</v>
      </c>
      <c r="LL93" s="12">
        <f t="shared" si="276"/>
        <v>0</v>
      </c>
      <c r="LM93" s="12">
        <f t="shared" si="277"/>
        <v>0</v>
      </c>
      <c r="LN93" s="12">
        <f t="shared" si="278"/>
        <v>0</v>
      </c>
      <c r="LO93" s="12">
        <f t="shared" si="279"/>
        <v>0</v>
      </c>
      <c r="LP93" s="12">
        <f t="shared" si="280"/>
        <v>0</v>
      </c>
      <c r="LQ93" s="12">
        <f t="shared" si="281"/>
        <v>0</v>
      </c>
      <c r="LR93" s="12">
        <f t="shared" si="282"/>
        <v>0</v>
      </c>
      <c r="LS93" s="12">
        <f t="shared" si="283"/>
        <v>0</v>
      </c>
      <c r="LT93" s="13">
        <f t="shared" si="284"/>
        <v>0</v>
      </c>
      <c r="LU93" s="13">
        <f t="shared" si="285"/>
        <v>0</v>
      </c>
      <c r="LV93" s="13">
        <f t="shared" si="286"/>
        <v>0</v>
      </c>
      <c r="LW93" s="13">
        <f t="shared" si="287"/>
        <v>0</v>
      </c>
      <c r="LX93" s="13">
        <f t="shared" si="288"/>
        <v>0</v>
      </c>
      <c r="LY93" s="13">
        <f t="shared" si="289"/>
        <v>0</v>
      </c>
      <c r="LZ93" s="13">
        <f t="shared" si="290"/>
        <v>0</v>
      </c>
      <c r="MA93" s="13">
        <f t="shared" si="291"/>
        <v>0</v>
      </c>
      <c r="MB93" s="13">
        <f t="shared" si="292"/>
        <v>0</v>
      </c>
      <c r="MC93" s="13">
        <f t="shared" si="293"/>
        <v>0</v>
      </c>
      <c r="MD93" s="13">
        <f t="shared" si="294"/>
        <v>0</v>
      </c>
      <c r="ME93" s="13">
        <f t="shared" si="295"/>
        <v>0</v>
      </c>
      <c r="MF93" s="13">
        <f t="shared" si="296"/>
        <v>0</v>
      </c>
      <c r="MG93" s="13">
        <f t="shared" si="297"/>
        <v>0</v>
      </c>
      <c r="MH93" s="13">
        <f t="shared" si="298"/>
        <v>0</v>
      </c>
      <c r="MI93" s="13">
        <f t="shared" si="299"/>
        <v>0</v>
      </c>
      <c r="MJ93" s="13">
        <f t="shared" si="300"/>
        <v>0</v>
      </c>
      <c r="MK93" s="13">
        <f t="shared" si="301"/>
        <v>0</v>
      </c>
      <c r="ML93" s="14">
        <f t="shared" si="302"/>
        <v>0</v>
      </c>
      <c r="MM93" s="14">
        <f t="shared" si="303"/>
        <v>0</v>
      </c>
      <c r="MN93" s="14">
        <f t="shared" si="304"/>
        <v>0</v>
      </c>
      <c r="MO93" s="14">
        <f t="shared" si="305"/>
        <v>1</v>
      </c>
      <c r="MP93" s="14">
        <f t="shared" si="306"/>
        <v>0</v>
      </c>
      <c r="MQ93" s="14">
        <f t="shared" si="307"/>
        <v>0</v>
      </c>
      <c r="MR93" s="14">
        <f t="shared" si="308"/>
        <v>0</v>
      </c>
      <c r="MS93" s="14">
        <f t="shared" si="309"/>
        <v>0</v>
      </c>
      <c r="MT93" s="14">
        <f t="shared" si="310"/>
        <v>0</v>
      </c>
      <c r="MU93" s="14">
        <f t="shared" si="311"/>
        <v>0</v>
      </c>
      <c r="MV93" s="14">
        <f t="shared" si="312"/>
        <v>0</v>
      </c>
      <c r="MW93" s="14">
        <f t="shared" si="313"/>
        <v>0</v>
      </c>
      <c r="MX93" s="14">
        <f t="shared" si="314"/>
        <v>0</v>
      </c>
      <c r="MY93" s="14">
        <f t="shared" si="315"/>
        <v>0</v>
      </c>
      <c r="MZ93" s="14">
        <f t="shared" si="316"/>
        <v>0</v>
      </c>
      <c r="NA93" s="14">
        <f t="shared" si="317"/>
        <v>0</v>
      </c>
      <c r="NB93" s="14">
        <f t="shared" si="318"/>
        <v>0</v>
      </c>
    </row>
    <row r="94" ht="15.75" customHeight="1">
      <c r="A94" s="2">
        <v>141.0</v>
      </c>
      <c r="B94" s="2" t="s">
        <v>1978</v>
      </c>
      <c r="C94" s="2" t="s">
        <v>1979</v>
      </c>
      <c r="D94" s="2" t="s">
        <v>1980</v>
      </c>
      <c r="E94" s="2">
        <v>2021.0</v>
      </c>
      <c r="F94" s="2" t="s">
        <v>850</v>
      </c>
      <c r="G94" s="2" t="s">
        <v>1981</v>
      </c>
      <c r="J94" s="2" t="s">
        <v>1982</v>
      </c>
      <c r="K94" s="2" t="s">
        <v>1983</v>
      </c>
      <c r="M94" s="2">
        <v>11.0</v>
      </c>
      <c r="N94" s="2" t="s">
        <v>1984</v>
      </c>
      <c r="O94" s="2" t="s">
        <v>1985</v>
      </c>
      <c r="P94" s="2" t="s">
        <v>1986</v>
      </c>
      <c r="Q94" s="2" t="s">
        <v>1987</v>
      </c>
      <c r="R94" s="2" t="s">
        <v>1988</v>
      </c>
      <c r="S94" s="2" t="s">
        <v>1989</v>
      </c>
      <c r="T94" s="2" t="s">
        <v>1990</v>
      </c>
      <c r="W94" s="2" t="s">
        <v>1991</v>
      </c>
      <c r="Y94" s="2" t="s">
        <v>1992</v>
      </c>
      <c r="AB94" s="2" t="s">
        <v>862</v>
      </c>
      <c r="AG94" s="2" t="s">
        <v>863</v>
      </c>
      <c r="AI94" s="2" t="s">
        <v>864</v>
      </c>
      <c r="AK94" s="2" t="s">
        <v>850</v>
      </c>
      <c r="AL94" s="2" t="s">
        <v>384</v>
      </c>
      <c r="AM94" s="2" t="s">
        <v>385</v>
      </c>
      <c r="AN94" s="2" t="s">
        <v>386</v>
      </c>
      <c r="AO94" s="2" t="s">
        <v>1993</v>
      </c>
      <c r="AP94" s="2" t="s">
        <v>386</v>
      </c>
      <c r="AQ94" s="2">
        <v>463.0</v>
      </c>
      <c r="AR94" s="2" t="s">
        <v>1994</v>
      </c>
      <c r="AS94" s="2" t="b">
        <v>0</v>
      </c>
      <c r="AT94" s="3">
        <v>0.0</v>
      </c>
      <c r="AU94" s="4"/>
      <c r="AV94" s="4"/>
      <c r="AW94" s="5">
        <f t="shared" si="432"/>
        <v>0</v>
      </c>
      <c r="AX94" s="5">
        <f t="shared" si="4"/>
        <v>0</v>
      </c>
      <c r="AY94" s="5">
        <f t="shared" si="5"/>
        <v>0</v>
      </c>
      <c r="AZ94" s="5">
        <f t="shared" si="6"/>
        <v>0</v>
      </c>
      <c r="BA94" s="5">
        <f t="shared" si="7"/>
        <v>0</v>
      </c>
      <c r="BB94" s="5">
        <f t="shared" si="8"/>
        <v>0</v>
      </c>
      <c r="BC94" s="5">
        <f t="shared" si="9"/>
        <v>0</v>
      </c>
      <c r="BD94" s="5">
        <f t="shared" si="10"/>
        <v>0</v>
      </c>
      <c r="BE94" s="5">
        <f t="shared" si="11"/>
        <v>0</v>
      </c>
      <c r="BF94" s="5">
        <f t="shared" si="12"/>
        <v>0</v>
      </c>
      <c r="BG94" s="5">
        <f t="shared" si="13"/>
        <v>0</v>
      </c>
      <c r="BH94" s="5">
        <f t="shared" si="14"/>
        <v>0</v>
      </c>
      <c r="BI94" s="5">
        <f t="shared" si="15"/>
        <v>0</v>
      </c>
      <c r="BJ94" s="5">
        <f t="shared" si="16"/>
        <v>0</v>
      </c>
      <c r="BK94" s="5">
        <f t="shared" si="17"/>
        <v>0</v>
      </c>
      <c r="BL94" s="5">
        <f t="shared" si="18"/>
        <v>0</v>
      </c>
      <c r="BM94" s="5">
        <f t="shared" si="19"/>
        <v>0</v>
      </c>
      <c r="BN94" s="5">
        <f t="shared" si="20"/>
        <v>0</v>
      </c>
      <c r="BO94" s="5">
        <f t="shared" si="21"/>
        <v>0</v>
      </c>
      <c r="BP94" s="5">
        <f t="shared" si="22"/>
        <v>0</v>
      </c>
      <c r="BQ94" s="5">
        <f t="shared" si="23"/>
        <v>0</v>
      </c>
      <c r="BR94" s="5">
        <f t="shared" si="24"/>
        <v>0</v>
      </c>
      <c r="BS94" s="5">
        <f t="shared" si="25"/>
        <v>1</v>
      </c>
      <c r="BT94" s="5">
        <f t="shared" si="26"/>
        <v>0</v>
      </c>
      <c r="BU94" s="5">
        <f t="shared" si="27"/>
        <v>0</v>
      </c>
      <c r="BV94" s="5">
        <f t="shared" ref="BV94:BW94" si="527">IF(OR(ISNUMBER(SEARCH("grit",$D94)),ISNUMBER(SEARCH("grit",$T94)),ISNUMBER(SEARCH("grit",$R94)),ISNUMBER(SEARCH("grit",$S94)),
ISNUMBER(SEARCH("determination",$D94)),ISNUMBER(SEARCH("determination",$T94)),ISNUMBER(SEARCH("determination",$R94)),ISNUMBER(SEARCH("determination",$S94)),
ISNUMBER(SEARCH("tenacity",$D94)),ISNUMBER(SEARCH("tenacity",$T94)),ISNUMBER(SEARCH("tenacity",$R94)),ISNUMBER(SEARCH("tenacity",$S94)),
ISNUMBER(SEARCH("endurance",$D94)),ISNUMBER(SEARCH("endurance",$T94)),ISNUMBER(SEARCH("endurance",$R94)),ISNUMBER(SEARCH("endurance",$S94)),
ISNUMBER(SEARCH("fortitude",$D94)),ISNUMBER(SEARCH("fortitude",$T94)),ISNUMBER(SEARCH("fortitude",$R94)),ISNUMBER(SEARCH("fortitude",$S94)),
ISNUMBER(SEARCH("resolve",$D94)),ISNUMBER(SEARCH("resolve",$T94)),ISNUMBER(SEARCH("resolve",$R94)),ISNUMBER(SEARCH("resolve",$S94)),
ISNUMBER(SEARCH("stamina",$D94)),ISNUMBER(SEARCH("stamina",$T94)),ISNUMBER(SEARCH("stamina",$R94)),ISNUMBER(SEARCH("stamina",$S94)),
ISNUMBER(SEARCH("guts",$D94)),ISNUMBER(SEARCH("guts",$T94)),ISNUMBER(SEARCH("guts",$R94)),ISNUMBER(SEARCH("guts",$S94)),
ISNUMBER(SEARCH("spunk",$D94)),ISNUMBER(SEARCH("spunk",$T94)),ISNUMBER(SEARCH("spunk",$R94)),ISNUMBER(SEARCH("spunk",$S94))), 1, 0)</f>
        <v>0</v>
      </c>
      <c r="BW94" s="5">
        <f t="shared" si="527"/>
        <v>0</v>
      </c>
      <c r="BX94" s="5">
        <f t="shared" si="29"/>
        <v>0</v>
      </c>
      <c r="BY94" s="5">
        <f t="shared" si="30"/>
        <v>0</v>
      </c>
      <c r="BZ94" s="5">
        <f t="shared" si="31"/>
        <v>0</v>
      </c>
      <c r="CA94" s="5">
        <f t="shared" si="32"/>
        <v>0</v>
      </c>
      <c r="CB94" s="5">
        <f t="shared" si="33"/>
        <v>0</v>
      </c>
      <c r="CC94" s="5">
        <f t="shared" si="34"/>
        <v>0</v>
      </c>
      <c r="CD94" s="5">
        <f t="shared" si="35"/>
        <v>0</v>
      </c>
      <c r="CE94" s="5">
        <f t="shared" si="36"/>
        <v>0</v>
      </c>
      <c r="CF94" s="5">
        <f t="shared" si="37"/>
        <v>0</v>
      </c>
      <c r="CG94" s="5">
        <f t="shared" si="38"/>
        <v>0</v>
      </c>
      <c r="CH94" s="5">
        <f t="shared" si="39"/>
        <v>0</v>
      </c>
      <c r="CI94" s="5">
        <f t="shared" si="40"/>
        <v>0</v>
      </c>
      <c r="CJ94" s="5">
        <f t="shared" si="41"/>
        <v>0</v>
      </c>
      <c r="CK94" s="5">
        <f t="shared" si="42"/>
        <v>1</v>
      </c>
      <c r="CL94" s="5">
        <f t="shared" si="43"/>
        <v>0</v>
      </c>
      <c r="CM94" s="5">
        <f t="shared" si="44"/>
        <v>0</v>
      </c>
      <c r="CN94" s="5">
        <f t="shared" si="45"/>
        <v>0</v>
      </c>
      <c r="CO94" s="5">
        <f t="shared" si="46"/>
        <v>0</v>
      </c>
      <c r="CP94" s="6">
        <f t="shared" si="47"/>
        <v>0</v>
      </c>
      <c r="CQ94" s="6">
        <f t="shared" si="48"/>
        <v>0</v>
      </c>
      <c r="CR94" s="6">
        <f t="shared" si="49"/>
        <v>0</v>
      </c>
      <c r="CS94" s="6">
        <f t="shared" si="50"/>
        <v>0</v>
      </c>
      <c r="CT94" s="6">
        <f t="shared" ref="CT94:CT101" si="530">IF(OR(ISNUMBER(SEARCH("optimism", $D94)), ISNUMBER(SEARCH("optimism", $T94)), ISNUMBER(SEARCH("optimism", $R94)), ISNUMBER(SEARCH("optimism", $S94))), 1, 0)</f>
        <v>0</v>
      </c>
      <c r="CU94" s="6">
        <f t="shared" si="52"/>
        <v>0</v>
      </c>
      <c r="CV94" s="6">
        <f t="shared" si="53"/>
        <v>0</v>
      </c>
      <c r="CW94" s="6">
        <f t="shared" si="54"/>
        <v>0</v>
      </c>
      <c r="CX94" s="6">
        <f t="shared" si="55"/>
        <v>0</v>
      </c>
      <c r="CY94" s="6">
        <f t="shared" si="56"/>
        <v>0</v>
      </c>
      <c r="CZ94" s="6">
        <f t="shared" si="57"/>
        <v>0</v>
      </c>
      <c r="DA94" s="6">
        <f t="shared" si="58"/>
        <v>0</v>
      </c>
      <c r="DB94" s="6">
        <f t="shared" si="59"/>
        <v>0</v>
      </c>
      <c r="DC94" s="6">
        <f t="shared" si="60"/>
        <v>0</v>
      </c>
      <c r="DD94" s="6">
        <f t="shared" si="61"/>
        <v>0</v>
      </c>
      <c r="DE94" s="6">
        <f t="shared" si="62"/>
        <v>0</v>
      </c>
      <c r="DF94" s="6">
        <f t="shared" si="63"/>
        <v>0</v>
      </c>
      <c r="DG94" s="6">
        <f t="shared" si="64"/>
        <v>0</v>
      </c>
      <c r="DH94" s="6">
        <f t="shared" si="509"/>
        <v>0</v>
      </c>
      <c r="DI94" s="6">
        <f t="shared" si="66"/>
        <v>0</v>
      </c>
      <c r="DJ94" s="6">
        <f t="shared" si="510"/>
        <v>0</v>
      </c>
      <c r="DK94" s="7">
        <f t="shared" si="68"/>
        <v>0</v>
      </c>
      <c r="DL94" s="7">
        <f t="shared" si="498"/>
        <v>0</v>
      </c>
      <c r="DM94" s="7">
        <f t="shared" si="70"/>
        <v>0</v>
      </c>
      <c r="DN94" s="7">
        <f t="shared" si="71"/>
        <v>0</v>
      </c>
      <c r="DO94" s="7">
        <f t="shared" si="72"/>
        <v>1</v>
      </c>
      <c r="DP94" s="8">
        <f t="shared" si="73"/>
        <v>0</v>
      </c>
      <c r="DQ94" s="8">
        <f t="shared" si="74"/>
        <v>1</v>
      </c>
      <c r="DR94" s="7">
        <f t="shared" si="75"/>
        <v>1</v>
      </c>
      <c r="DS94" s="7">
        <f t="shared" si="76"/>
        <v>0</v>
      </c>
      <c r="DT94" s="7">
        <f t="shared" si="77"/>
        <v>0</v>
      </c>
      <c r="DU94" s="9">
        <f t="shared" si="78"/>
        <v>0</v>
      </c>
      <c r="DV94" s="9">
        <f t="shared" si="79"/>
        <v>0</v>
      </c>
      <c r="DW94" s="9">
        <f t="shared" si="80"/>
        <v>0</v>
      </c>
      <c r="DX94" s="9">
        <f t="shared" si="81"/>
        <v>0</v>
      </c>
      <c r="DY94" s="9">
        <f t="shared" si="82"/>
        <v>0</v>
      </c>
      <c r="DZ94" s="9">
        <f t="shared" si="83"/>
        <v>0</v>
      </c>
      <c r="EA94" s="9">
        <f t="shared" si="84"/>
        <v>0</v>
      </c>
      <c r="EB94" s="9">
        <f t="shared" si="85"/>
        <v>0</v>
      </c>
      <c r="EC94" s="9">
        <f t="shared" si="86"/>
        <v>0</v>
      </c>
      <c r="ED94" s="9">
        <f t="shared" si="87"/>
        <v>0</v>
      </c>
      <c r="EE94" s="9">
        <f t="shared" si="88"/>
        <v>0</v>
      </c>
      <c r="EF94" s="9">
        <f t="shared" si="89"/>
        <v>0</v>
      </c>
      <c r="EG94" s="9">
        <f t="shared" si="90"/>
        <v>0</v>
      </c>
      <c r="EH94" s="9">
        <f t="shared" si="91"/>
        <v>0</v>
      </c>
      <c r="EI94" s="9">
        <f t="shared" si="92"/>
        <v>0</v>
      </c>
      <c r="EJ94" s="10">
        <f t="shared" si="93"/>
        <v>0</v>
      </c>
      <c r="EK94" s="10">
        <f t="shared" si="94"/>
        <v>0</v>
      </c>
      <c r="EL94" s="10">
        <f t="shared" ref="EL94:EM94" si="528">IF(OR(ISNUMBER(SEARCH("ai software toolkit", $D94)), ISNUMBER(SEARCH("ai software toolkit", $T94)), ISNUMBER(SEARCH("ai software toolkit", $R94)), ISNUMBER(SEARCH("ai software toolkit", $S94))), 1, 0)</f>
        <v>0</v>
      </c>
      <c r="EM94" s="10">
        <f t="shared" si="528"/>
        <v>0</v>
      </c>
      <c r="EN94" s="10">
        <f t="shared" si="96"/>
        <v>0</v>
      </c>
      <c r="EO94" s="10">
        <f t="shared" si="97"/>
        <v>1</v>
      </c>
      <c r="EP94" s="10">
        <f t="shared" si="98"/>
        <v>0</v>
      </c>
      <c r="EQ94" s="10">
        <f t="shared" si="99"/>
        <v>0</v>
      </c>
      <c r="ER94" s="10">
        <f t="shared" si="100"/>
        <v>0</v>
      </c>
      <c r="ES94" s="10">
        <f t="shared" si="101"/>
        <v>0</v>
      </c>
      <c r="ET94" s="10">
        <f t="shared" si="102"/>
        <v>0</v>
      </c>
      <c r="EU94" s="10">
        <f t="shared" si="103"/>
        <v>0</v>
      </c>
      <c r="EV94" s="10">
        <f t="shared" si="104"/>
        <v>0</v>
      </c>
      <c r="EW94" s="10">
        <f t="shared" si="105"/>
        <v>0</v>
      </c>
      <c r="EX94" s="10">
        <f t="shared" si="106"/>
        <v>0</v>
      </c>
      <c r="EY94" s="10">
        <f t="shared" si="107"/>
        <v>0</v>
      </c>
      <c r="EZ94" s="10">
        <f t="shared" si="108"/>
        <v>0</v>
      </c>
      <c r="FA94" s="10">
        <f t="shared" si="109"/>
        <v>0</v>
      </c>
      <c r="FB94" s="10">
        <f t="shared" si="110"/>
        <v>0</v>
      </c>
      <c r="FC94" s="10">
        <f t="shared" si="111"/>
        <v>0</v>
      </c>
      <c r="FD94" s="10">
        <f t="shared" si="112"/>
        <v>0</v>
      </c>
      <c r="FE94" s="10">
        <f t="shared" si="113"/>
        <v>0</v>
      </c>
      <c r="FF94" s="10">
        <f t="shared" si="114"/>
        <v>0</v>
      </c>
      <c r="FG94" s="10">
        <f t="shared" si="115"/>
        <v>0</v>
      </c>
      <c r="FH94" s="10">
        <f t="shared" si="116"/>
        <v>0</v>
      </c>
      <c r="FI94" s="10">
        <f t="shared" si="117"/>
        <v>0</v>
      </c>
      <c r="FJ94" s="10">
        <f t="shared" si="118"/>
        <v>0</v>
      </c>
      <c r="FK94" s="10">
        <f t="shared" si="119"/>
        <v>0</v>
      </c>
      <c r="FL94" s="10">
        <f t="shared" si="120"/>
        <v>0</v>
      </c>
      <c r="FM94" s="10">
        <f t="shared" si="121"/>
        <v>0</v>
      </c>
      <c r="FN94" s="10">
        <f t="shared" si="122"/>
        <v>0</v>
      </c>
      <c r="FO94" s="10">
        <f t="shared" si="123"/>
        <v>0</v>
      </c>
      <c r="FP94" s="10">
        <f t="shared" si="124"/>
        <v>0</v>
      </c>
      <c r="FQ94" s="10">
        <f t="shared" si="125"/>
        <v>0</v>
      </c>
      <c r="FR94" s="11">
        <f t="shared" si="506"/>
        <v>0</v>
      </c>
      <c r="FS94" s="11">
        <f t="shared" si="127"/>
        <v>0</v>
      </c>
      <c r="FT94" s="11">
        <f t="shared" si="128"/>
        <v>0</v>
      </c>
      <c r="FU94" s="11">
        <f t="shared" si="129"/>
        <v>0</v>
      </c>
      <c r="FV94" s="11">
        <f t="shared" si="130"/>
        <v>0</v>
      </c>
      <c r="FW94" s="11">
        <f t="shared" si="131"/>
        <v>1</v>
      </c>
      <c r="FX94" s="11">
        <f t="shared" si="132"/>
        <v>0</v>
      </c>
      <c r="FY94" s="11">
        <f t="shared" si="133"/>
        <v>0</v>
      </c>
      <c r="FZ94" s="11">
        <f t="shared" si="134"/>
        <v>0</v>
      </c>
      <c r="GA94" s="11">
        <f t="shared" si="135"/>
        <v>0</v>
      </c>
      <c r="GB94" s="11">
        <f t="shared" si="136"/>
        <v>0</v>
      </c>
      <c r="GC94" s="11">
        <f t="shared" si="137"/>
        <v>0</v>
      </c>
      <c r="GD94" s="11">
        <f t="shared" si="138"/>
        <v>0</v>
      </c>
      <c r="GE94" s="11">
        <f t="shared" si="139"/>
        <v>0</v>
      </c>
      <c r="GF94" s="11">
        <f t="shared" si="140"/>
        <v>0</v>
      </c>
      <c r="GG94" s="11">
        <f t="shared" si="141"/>
        <v>0</v>
      </c>
      <c r="GH94" s="11">
        <f t="shared" si="142"/>
        <v>0</v>
      </c>
      <c r="GI94" s="11">
        <f t="shared" si="143"/>
        <v>0</v>
      </c>
      <c r="GJ94" s="11">
        <f t="shared" si="144"/>
        <v>0</v>
      </c>
      <c r="GK94" s="11">
        <f t="shared" si="145"/>
        <v>0</v>
      </c>
      <c r="GL94" s="11">
        <f t="shared" si="146"/>
        <v>0</v>
      </c>
      <c r="GM94" s="11">
        <f t="shared" si="147"/>
        <v>0</v>
      </c>
      <c r="GN94" s="11">
        <f t="shared" si="148"/>
        <v>0</v>
      </c>
      <c r="GO94" s="11">
        <f t="shared" si="149"/>
        <v>0</v>
      </c>
      <c r="GP94" s="11">
        <f t="shared" si="150"/>
        <v>0</v>
      </c>
      <c r="GQ94" s="11">
        <f t="shared" si="151"/>
        <v>0</v>
      </c>
      <c r="GR94" s="11">
        <f t="shared" si="152"/>
        <v>0</v>
      </c>
      <c r="GS94" s="11">
        <f t="shared" si="153"/>
        <v>0</v>
      </c>
      <c r="GT94" s="11">
        <f t="shared" si="154"/>
        <v>1</v>
      </c>
      <c r="GU94" s="12">
        <f t="shared" si="155"/>
        <v>0</v>
      </c>
      <c r="GV94" s="12">
        <f t="shared" si="156"/>
        <v>0</v>
      </c>
      <c r="GW94" s="12">
        <f t="shared" si="157"/>
        <v>0</v>
      </c>
      <c r="GX94" s="12">
        <f t="shared" si="158"/>
        <v>0</v>
      </c>
      <c r="GY94" s="12">
        <f t="shared" si="159"/>
        <v>0</v>
      </c>
      <c r="GZ94" s="12">
        <f t="shared" si="160"/>
        <v>0</v>
      </c>
      <c r="HA94" s="12">
        <f t="shared" si="161"/>
        <v>0</v>
      </c>
      <c r="HB94" s="12">
        <f t="shared" si="162"/>
        <v>0</v>
      </c>
      <c r="HC94" s="12">
        <f t="shared" si="163"/>
        <v>0</v>
      </c>
      <c r="HD94" s="12">
        <f t="shared" si="164"/>
        <v>0</v>
      </c>
      <c r="HE94" s="12">
        <f t="shared" si="165"/>
        <v>0</v>
      </c>
      <c r="HF94" s="12">
        <f t="shared" si="166"/>
        <v>0</v>
      </c>
      <c r="HG94" s="12">
        <f t="shared" si="167"/>
        <v>0</v>
      </c>
      <c r="HH94" s="12">
        <f t="shared" si="168"/>
        <v>0</v>
      </c>
      <c r="HI94" s="12">
        <f t="shared" si="169"/>
        <v>0</v>
      </c>
      <c r="HJ94" s="12">
        <f t="shared" si="170"/>
        <v>0</v>
      </c>
      <c r="HK94" s="12">
        <f t="shared" si="171"/>
        <v>0</v>
      </c>
      <c r="HL94" s="12">
        <f t="shared" si="172"/>
        <v>0</v>
      </c>
      <c r="HM94" s="12">
        <f t="shared" si="173"/>
        <v>0</v>
      </c>
      <c r="HN94" s="12">
        <f t="shared" si="174"/>
        <v>0</v>
      </c>
      <c r="HO94" s="12">
        <f t="shared" si="175"/>
        <v>0</v>
      </c>
      <c r="HP94" s="12">
        <f t="shared" si="176"/>
        <v>0</v>
      </c>
      <c r="HQ94" s="12">
        <f t="shared" si="177"/>
        <v>0</v>
      </c>
      <c r="HR94" s="12">
        <f t="shared" si="178"/>
        <v>0</v>
      </c>
      <c r="HS94" s="12">
        <f t="shared" si="179"/>
        <v>0</v>
      </c>
      <c r="HT94" s="12">
        <f t="shared" si="180"/>
        <v>0</v>
      </c>
      <c r="HU94" s="12">
        <f t="shared" si="181"/>
        <v>0</v>
      </c>
      <c r="HV94" s="12">
        <f t="shared" si="182"/>
        <v>1</v>
      </c>
      <c r="HW94" s="12">
        <f t="shared" si="183"/>
        <v>0</v>
      </c>
      <c r="HX94" s="12">
        <f t="shared" si="184"/>
        <v>0</v>
      </c>
      <c r="HY94" s="12">
        <f t="shared" si="185"/>
        <v>0</v>
      </c>
      <c r="HZ94" s="12">
        <f t="shared" si="186"/>
        <v>0</v>
      </c>
      <c r="IA94" s="12">
        <f t="shared" si="187"/>
        <v>0</v>
      </c>
      <c r="IB94" s="12">
        <f t="shared" si="188"/>
        <v>0</v>
      </c>
      <c r="IC94" s="12">
        <f t="shared" si="189"/>
        <v>0</v>
      </c>
      <c r="ID94" s="12">
        <f t="shared" si="190"/>
        <v>0</v>
      </c>
      <c r="IE94" s="12">
        <f t="shared" si="191"/>
        <v>0</v>
      </c>
      <c r="IF94" s="12">
        <f t="shared" si="192"/>
        <v>0</v>
      </c>
      <c r="IG94" s="12">
        <f t="shared" si="193"/>
        <v>0</v>
      </c>
      <c r="IH94" s="12">
        <f t="shared" si="194"/>
        <v>0</v>
      </c>
      <c r="II94" s="12">
        <f t="shared" si="195"/>
        <v>0</v>
      </c>
      <c r="IJ94" s="12">
        <f t="shared" si="196"/>
        <v>0</v>
      </c>
      <c r="IK94" s="12">
        <f t="shared" si="197"/>
        <v>0</v>
      </c>
      <c r="IL94" s="12">
        <f t="shared" si="198"/>
        <v>0</v>
      </c>
      <c r="IM94" s="12">
        <f t="shared" si="199"/>
        <v>0</v>
      </c>
      <c r="IN94" s="12">
        <f t="shared" si="200"/>
        <v>0</v>
      </c>
      <c r="IO94" s="12">
        <f t="shared" si="201"/>
        <v>0</v>
      </c>
      <c r="IP94" s="12">
        <f t="shared" si="202"/>
        <v>0</v>
      </c>
      <c r="IQ94" s="12">
        <f t="shared" si="203"/>
        <v>0</v>
      </c>
      <c r="IR94" s="12">
        <f t="shared" si="204"/>
        <v>0</v>
      </c>
      <c r="IS94" s="12">
        <f t="shared" si="205"/>
        <v>0</v>
      </c>
      <c r="IT94" s="12">
        <f t="shared" si="206"/>
        <v>0</v>
      </c>
      <c r="IU94" s="12">
        <f t="shared" si="207"/>
        <v>0</v>
      </c>
      <c r="IV94" s="12">
        <f t="shared" si="208"/>
        <v>0</v>
      </c>
      <c r="IW94" s="12">
        <f t="shared" si="209"/>
        <v>0</v>
      </c>
      <c r="IX94" s="12">
        <f t="shared" si="210"/>
        <v>0</v>
      </c>
      <c r="IY94" s="12">
        <f t="shared" si="211"/>
        <v>0</v>
      </c>
      <c r="IZ94" s="12">
        <f t="shared" si="212"/>
        <v>1</v>
      </c>
      <c r="JA94" s="13">
        <f t="shared" si="213"/>
        <v>0</v>
      </c>
      <c r="JB94" s="13">
        <f t="shared" si="214"/>
        <v>0</v>
      </c>
      <c r="JC94" s="13">
        <f t="shared" si="215"/>
        <v>0</v>
      </c>
      <c r="JD94" s="13">
        <f t="shared" si="216"/>
        <v>0</v>
      </c>
      <c r="JE94" s="13">
        <f t="shared" si="217"/>
        <v>0</v>
      </c>
      <c r="JF94" s="13">
        <f t="shared" si="218"/>
        <v>0</v>
      </c>
      <c r="JG94" s="13">
        <f t="shared" si="219"/>
        <v>0</v>
      </c>
      <c r="JH94" s="13">
        <f t="shared" si="220"/>
        <v>0</v>
      </c>
      <c r="JI94" s="13">
        <f t="shared" si="221"/>
        <v>0</v>
      </c>
      <c r="JJ94" s="13">
        <f t="shared" si="222"/>
        <v>0</v>
      </c>
      <c r="JK94" s="13">
        <f t="shared" si="223"/>
        <v>0</v>
      </c>
      <c r="JL94" s="13">
        <f t="shared" si="224"/>
        <v>0</v>
      </c>
      <c r="JM94" s="13">
        <f t="shared" si="225"/>
        <v>0</v>
      </c>
      <c r="JN94" s="13">
        <f t="shared" si="226"/>
        <v>0</v>
      </c>
      <c r="JO94" s="13">
        <f t="shared" si="227"/>
        <v>0</v>
      </c>
      <c r="JP94" s="13">
        <f t="shared" si="228"/>
        <v>0</v>
      </c>
      <c r="JQ94" s="13">
        <f t="shared" si="229"/>
        <v>0</v>
      </c>
      <c r="JR94" s="13">
        <f t="shared" si="230"/>
        <v>0</v>
      </c>
      <c r="JS94" s="13">
        <f t="shared" si="231"/>
        <v>0</v>
      </c>
      <c r="JT94" s="13">
        <f t="shared" si="232"/>
        <v>0</v>
      </c>
      <c r="JU94" s="13">
        <f t="shared" si="233"/>
        <v>0</v>
      </c>
      <c r="JV94" s="12">
        <f t="shared" si="234"/>
        <v>0</v>
      </c>
      <c r="JW94" s="12">
        <f t="shared" si="235"/>
        <v>0</v>
      </c>
      <c r="JX94" s="12">
        <f t="shared" si="236"/>
        <v>0</v>
      </c>
      <c r="JY94" s="12">
        <f t="shared" si="237"/>
        <v>0</v>
      </c>
      <c r="JZ94" s="12">
        <f t="shared" si="238"/>
        <v>0</v>
      </c>
      <c r="KA94" s="12">
        <f t="shared" si="239"/>
        <v>0</v>
      </c>
      <c r="KB94" s="12">
        <f t="shared" si="240"/>
        <v>0</v>
      </c>
      <c r="KC94" s="12">
        <f t="shared" si="241"/>
        <v>0</v>
      </c>
      <c r="KD94" s="12">
        <f t="shared" si="242"/>
        <v>0</v>
      </c>
      <c r="KE94" s="12">
        <f t="shared" si="243"/>
        <v>0</v>
      </c>
      <c r="KF94" s="12">
        <f t="shared" si="244"/>
        <v>0</v>
      </c>
      <c r="KG94" s="12">
        <f t="shared" si="245"/>
        <v>0</v>
      </c>
      <c r="KH94" s="12">
        <f t="shared" si="246"/>
        <v>0</v>
      </c>
      <c r="KI94" s="12">
        <f t="shared" si="247"/>
        <v>0</v>
      </c>
      <c r="KJ94" s="12">
        <f t="shared" si="248"/>
        <v>0</v>
      </c>
      <c r="KK94" s="12">
        <f t="shared" si="249"/>
        <v>0</v>
      </c>
      <c r="KL94" s="12">
        <f t="shared" si="250"/>
        <v>0</v>
      </c>
      <c r="KM94" s="12">
        <f t="shared" si="251"/>
        <v>0</v>
      </c>
      <c r="KN94" s="12">
        <f t="shared" si="252"/>
        <v>0</v>
      </c>
      <c r="KO94" s="12">
        <f t="shared" si="253"/>
        <v>0</v>
      </c>
      <c r="KP94" s="12">
        <f t="shared" si="254"/>
        <v>0</v>
      </c>
      <c r="KQ94" s="12">
        <f t="shared" si="255"/>
        <v>0</v>
      </c>
      <c r="KR94" s="12">
        <f t="shared" si="256"/>
        <v>0</v>
      </c>
      <c r="KS94" s="12">
        <f t="shared" si="257"/>
        <v>0</v>
      </c>
      <c r="KT94" s="12">
        <f t="shared" si="258"/>
        <v>0</v>
      </c>
      <c r="KU94" s="12">
        <f t="shared" si="259"/>
        <v>0</v>
      </c>
      <c r="KV94" s="12">
        <f t="shared" si="260"/>
        <v>0</v>
      </c>
      <c r="KW94" s="12">
        <f t="shared" si="261"/>
        <v>0</v>
      </c>
      <c r="KX94" s="12">
        <f t="shared" si="262"/>
        <v>0</v>
      </c>
      <c r="KY94" s="12">
        <f t="shared" si="263"/>
        <v>0</v>
      </c>
      <c r="KZ94" s="12">
        <f t="shared" si="264"/>
        <v>0</v>
      </c>
      <c r="LA94" s="12">
        <f t="shared" si="265"/>
        <v>0</v>
      </c>
      <c r="LB94" s="12">
        <f t="shared" si="266"/>
        <v>0</v>
      </c>
      <c r="LC94" s="12">
        <f t="shared" si="267"/>
        <v>0</v>
      </c>
      <c r="LD94" s="12">
        <f t="shared" si="268"/>
        <v>0</v>
      </c>
      <c r="LE94" s="12">
        <f t="shared" si="269"/>
        <v>0</v>
      </c>
      <c r="LF94" s="12">
        <f t="shared" si="270"/>
        <v>0</v>
      </c>
      <c r="LG94" s="12">
        <f t="shared" si="271"/>
        <v>0</v>
      </c>
      <c r="LH94" s="12">
        <f t="shared" si="272"/>
        <v>0</v>
      </c>
      <c r="LI94" s="12">
        <f t="shared" si="273"/>
        <v>0</v>
      </c>
      <c r="LJ94" s="12">
        <f t="shared" si="274"/>
        <v>0</v>
      </c>
      <c r="LK94" s="12">
        <f t="shared" si="275"/>
        <v>0</v>
      </c>
      <c r="LL94" s="12">
        <f t="shared" si="276"/>
        <v>0</v>
      </c>
      <c r="LM94" s="12">
        <f t="shared" si="277"/>
        <v>0</v>
      </c>
      <c r="LN94" s="12">
        <f t="shared" si="278"/>
        <v>0</v>
      </c>
      <c r="LO94" s="12">
        <f t="shared" si="279"/>
        <v>0</v>
      </c>
      <c r="LP94" s="12">
        <f t="shared" si="280"/>
        <v>0</v>
      </c>
      <c r="LQ94" s="12">
        <f t="shared" si="281"/>
        <v>0</v>
      </c>
      <c r="LR94" s="12">
        <f t="shared" si="282"/>
        <v>0</v>
      </c>
      <c r="LS94" s="12">
        <f t="shared" si="283"/>
        <v>0</v>
      </c>
      <c r="LT94" s="13">
        <f t="shared" si="284"/>
        <v>0</v>
      </c>
      <c r="LU94" s="13">
        <f t="shared" si="285"/>
        <v>0</v>
      </c>
      <c r="LV94" s="13">
        <f t="shared" si="286"/>
        <v>0</v>
      </c>
      <c r="LW94" s="13">
        <f t="shared" si="287"/>
        <v>0</v>
      </c>
      <c r="LX94" s="13">
        <f t="shared" si="288"/>
        <v>0</v>
      </c>
      <c r="LY94" s="13">
        <f t="shared" si="289"/>
        <v>0</v>
      </c>
      <c r="LZ94" s="13">
        <f t="shared" si="290"/>
        <v>0</v>
      </c>
      <c r="MA94" s="13">
        <f t="shared" si="291"/>
        <v>0</v>
      </c>
      <c r="MB94" s="13">
        <f t="shared" si="292"/>
        <v>0</v>
      </c>
      <c r="MC94" s="13">
        <f t="shared" si="293"/>
        <v>0</v>
      </c>
      <c r="MD94" s="13">
        <f t="shared" si="294"/>
        <v>0</v>
      </c>
      <c r="ME94" s="13">
        <f t="shared" si="295"/>
        <v>0</v>
      </c>
      <c r="MF94" s="13">
        <f t="shared" si="296"/>
        <v>0</v>
      </c>
      <c r="MG94" s="13">
        <f t="shared" si="297"/>
        <v>0</v>
      </c>
      <c r="MH94" s="13">
        <f t="shared" si="298"/>
        <v>0</v>
      </c>
      <c r="MI94" s="13">
        <f t="shared" si="299"/>
        <v>0</v>
      </c>
      <c r="MJ94" s="13">
        <f t="shared" si="300"/>
        <v>0</v>
      </c>
      <c r="MK94" s="13">
        <f t="shared" si="301"/>
        <v>0</v>
      </c>
      <c r="ML94" s="14">
        <f t="shared" si="302"/>
        <v>0</v>
      </c>
      <c r="MM94" s="14">
        <f t="shared" si="303"/>
        <v>0</v>
      </c>
      <c r="MN94" s="14">
        <f t="shared" si="304"/>
        <v>0</v>
      </c>
      <c r="MO94" s="14">
        <f t="shared" si="305"/>
        <v>0</v>
      </c>
      <c r="MP94" s="14">
        <f t="shared" si="306"/>
        <v>0</v>
      </c>
      <c r="MQ94" s="14">
        <f t="shared" si="307"/>
        <v>0</v>
      </c>
      <c r="MR94" s="14">
        <f t="shared" si="308"/>
        <v>0</v>
      </c>
      <c r="MS94" s="14">
        <f t="shared" si="309"/>
        <v>0</v>
      </c>
      <c r="MT94" s="14">
        <f t="shared" si="310"/>
        <v>0</v>
      </c>
      <c r="MU94" s="14">
        <f t="shared" si="311"/>
        <v>0</v>
      </c>
      <c r="MV94" s="14">
        <f t="shared" si="312"/>
        <v>0</v>
      </c>
      <c r="MW94" s="14">
        <f t="shared" si="313"/>
        <v>0</v>
      </c>
      <c r="MX94" s="14">
        <f t="shared" si="314"/>
        <v>0</v>
      </c>
      <c r="MY94" s="14">
        <f t="shared" si="315"/>
        <v>1</v>
      </c>
      <c r="MZ94" s="14">
        <f t="shared" si="316"/>
        <v>0</v>
      </c>
      <c r="NA94" s="14">
        <f t="shared" si="317"/>
        <v>0</v>
      </c>
      <c r="NB94" s="14">
        <f t="shared" si="318"/>
        <v>0</v>
      </c>
    </row>
    <row r="95" ht="15.75" customHeight="1">
      <c r="A95" s="2">
        <v>341.0</v>
      </c>
      <c r="B95" s="2" t="s">
        <v>1995</v>
      </c>
      <c r="C95" s="2" t="s">
        <v>1996</v>
      </c>
      <c r="D95" s="2" t="s">
        <v>1997</v>
      </c>
      <c r="E95" s="2">
        <v>2018.0</v>
      </c>
      <c r="F95" s="2" t="s">
        <v>1998</v>
      </c>
      <c r="G95" s="2" t="s">
        <v>1999</v>
      </c>
      <c r="H95" s="2" t="s">
        <v>528</v>
      </c>
      <c r="J95" s="2" t="s">
        <v>2000</v>
      </c>
      <c r="K95" s="2" t="s">
        <v>2001</v>
      </c>
      <c r="M95" s="2">
        <v>11.0</v>
      </c>
      <c r="N95" s="2" t="s">
        <v>2002</v>
      </c>
      <c r="O95" s="2" t="s">
        <v>2003</v>
      </c>
      <c r="P95" s="2" t="s">
        <v>2004</v>
      </c>
      <c r="Q95" s="2" t="s">
        <v>2005</v>
      </c>
      <c r="R95" s="2" t="s">
        <v>2006</v>
      </c>
      <c r="S95" s="2" t="s">
        <v>2007</v>
      </c>
      <c r="T95" s="2" t="s">
        <v>2008</v>
      </c>
      <c r="V95" s="2" t="s">
        <v>2009</v>
      </c>
      <c r="Y95" s="2" t="s">
        <v>2010</v>
      </c>
      <c r="AB95" s="2" t="s">
        <v>1117</v>
      </c>
      <c r="AG95" s="2" t="s">
        <v>2011</v>
      </c>
      <c r="AJ95" s="2">
        <v>2.9774428E7</v>
      </c>
      <c r="AK95" s="2" t="s">
        <v>2012</v>
      </c>
      <c r="AL95" s="2" t="s">
        <v>384</v>
      </c>
      <c r="AM95" s="2" t="s">
        <v>579</v>
      </c>
      <c r="AN95" s="2" t="s">
        <v>386</v>
      </c>
      <c r="AO95" s="2" t="s">
        <v>2013</v>
      </c>
      <c r="AP95" s="2" t="s">
        <v>386</v>
      </c>
      <c r="AQ95" s="2">
        <v>1300.0</v>
      </c>
      <c r="AR95" s="2" t="s">
        <v>2014</v>
      </c>
      <c r="AS95" s="2" t="b">
        <v>0</v>
      </c>
      <c r="AT95" s="3">
        <v>0.0</v>
      </c>
      <c r="AU95" s="4"/>
      <c r="AV95" s="4"/>
      <c r="AW95" s="5">
        <f t="shared" si="432"/>
        <v>0</v>
      </c>
      <c r="AX95" s="5">
        <f t="shared" si="4"/>
        <v>0</v>
      </c>
      <c r="AY95" s="5">
        <f t="shared" si="5"/>
        <v>0</v>
      </c>
      <c r="AZ95" s="5">
        <f t="shared" si="6"/>
        <v>0</v>
      </c>
      <c r="BA95" s="5">
        <f t="shared" si="7"/>
        <v>0</v>
      </c>
      <c r="BB95" s="5">
        <f t="shared" si="8"/>
        <v>1</v>
      </c>
      <c r="BC95" s="5">
        <f t="shared" si="9"/>
        <v>0</v>
      </c>
      <c r="BD95" s="5">
        <f t="shared" si="10"/>
        <v>0</v>
      </c>
      <c r="BE95" s="5">
        <f t="shared" si="11"/>
        <v>0</v>
      </c>
      <c r="BF95" s="5">
        <f t="shared" si="12"/>
        <v>0</v>
      </c>
      <c r="BG95" s="5">
        <f t="shared" si="13"/>
        <v>0</v>
      </c>
      <c r="BH95" s="5">
        <f t="shared" si="14"/>
        <v>0</v>
      </c>
      <c r="BI95" s="5">
        <f t="shared" si="15"/>
        <v>0</v>
      </c>
      <c r="BJ95" s="5">
        <f t="shared" si="16"/>
        <v>0</v>
      </c>
      <c r="BK95" s="5">
        <f t="shared" si="17"/>
        <v>0</v>
      </c>
      <c r="BL95" s="5">
        <f t="shared" si="18"/>
        <v>0</v>
      </c>
      <c r="BM95" s="5">
        <f t="shared" si="19"/>
        <v>0</v>
      </c>
      <c r="BN95" s="5">
        <f t="shared" si="20"/>
        <v>0</v>
      </c>
      <c r="BO95" s="5">
        <f t="shared" si="21"/>
        <v>0</v>
      </c>
      <c r="BP95" s="5">
        <f t="shared" si="22"/>
        <v>0</v>
      </c>
      <c r="BQ95" s="5">
        <f t="shared" si="23"/>
        <v>0</v>
      </c>
      <c r="BR95" s="5">
        <f t="shared" si="24"/>
        <v>0</v>
      </c>
      <c r="BS95" s="5">
        <f t="shared" si="25"/>
        <v>0</v>
      </c>
      <c r="BT95" s="5">
        <f t="shared" si="26"/>
        <v>0</v>
      </c>
      <c r="BU95" s="5">
        <f t="shared" si="27"/>
        <v>0</v>
      </c>
      <c r="BV95" s="5">
        <f t="shared" ref="BV95:BW95" si="529">IF(OR(ISNUMBER(SEARCH("grit",$D95)),ISNUMBER(SEARCH("grit",$T95)),ISNUMBER(SEARCH("grit",$R95)),ISNUMBER(SEARCH("grit",$S95)),
ISNUMBER(SEARCH("determination",$D95)),ISNUMBER(SEARCH("determination",$T95)),ISNUMBER(SEARCH("determination",$R95)),ISNUMBER(SEARCH("determination",$S95)),
ISNUMBER(SEARCH("tenacity",$D95)),ISNUMBER(SEARCH("tenacity",$T95)),ISNUMBER(SEARCH("tenacity",$R95)),ISNUMBER(SEARCH("tenacity",$S95)),
ISNUMBER(SEARCH("endurance",$D95)),ISNUMBER(SEARCH("endurance",$T95)),ISNUMBER(SEARCH("endurance",$R95)),ISNUMBER(SEARCH("endurance",$S95)),
ISNUMBER(SEARCH("fortitude",$D95)),ISNUMBER(SEARCH("fortitude",$T95)),ISNUMBER(SEARCH("fortitude",$R95)),ISNUMBER(SEARCH("fortitude",$S95)),
ISNUMBER(SEARCH("resolve",$D95)),ISNUMBER(SEARCH("resolve",$T95)),ISNUMBER(SEARCH("resolve",$R95)),ISNUMBER(SEARCH("resolve",$S95)),
ISNUMBER(SEARCH("stamina",$D95)),ISNUMBER(SEARCH("stamina",$T95)),ISNUMBER(SEARCH("stamina",$R95)),ISNUMBER(SEARCH("stamina",$S95)),
ISNUMBER(SEARCH("guts",$D95)),ISNUMBER(SEARCH("guts",$T95)),ISNUMBER(SEARCH("guts",$R95)),ISNUMBER(SEARCH("guts",$S95)),
ISNUMBER(SEARCH("spunk",$D95)),ISNUMBER(SEARCH("spunk",$T95)),ISNUMBER(SEARCH("spunk",$R95)),ISNUMBER(SEARCH("spunk",$S95))), 1, 0)</f>
        <v>0</v>
      </c>
      <c r="BW95" s="5">
        <f t="shared" si="529"/>
        <v>0</v>
      </c>
      <c r="BX95" s="5">
        <f t="shared" si="29"/>
        <v>0</v>
      </c>
      <c r="BY95" s="5">
        <f t="shared" si="30"/>
        <v>0</v>
      </c>
      <c r="BZ95" s="5">
        <f t="shared" si="31"/>
        <v>0</v>
      </c>
      <c r="CA95" s="5">
        <f t="shared" si="32"/>
        <v>0</v>
      </c>
      <c r="CB95" s="5">
        <f t="shared" si="33"/>
        <v>0</v>
      </c>
      <c r="CC95" s="5">
        <f t="shared" si="34"/>
        <v>0</v>
      </c>
      <c r="CD95" s="5">
        <f t="shared" si="35"/>
        <v>0</v>
      </c>
      <c r="CE95" s="5">
        <f t="shared" si="36"/>
        <v>0</v>
      </c>
      <c r="CF95" s="5">
        <f t="shared" si="37"/>
        <v>0</v>
      </c>
      <c r="CG95" s="5">
        <f t="shared" si="38"/>
        <v>0</v>
      </c>
      <c r="CH95" s="5">
        <f t="shared" si="39"/>
        <v>0</v>
      </c>
      <c r="CI95" s="5">
        <f t="shared" si="40"/>
        <v>0</v>
      </c>
      <c r="CJ95" s="5">
        <f t="shared" si="41"/>
        <v>0</v>
      </c>
      <c r="CK95" s="5">
        <f t="shared" si="42"/>
        <v>0</v>
      </c>
      <c r="CL95" s="5">
        <f t="shared" si="43"/>
        <v>0</v>
      </c>
      <c r="CM95" s="5">
        <f t="shared" si="44"/>
        <v>0</v>
      </c>
      <c r="CN95" s="5">
        <f t="shared" si="45"/>
        <v>0</v>
      </c>
      <c r="CO95" s="5">
        <f t="shared" si="46"/>
        <v>0</v>
      </c>
      <c r="CP95" s="6">
        <f t="shared" si="47"/>
        <v>0</v>
      </c>
      <c r="CQ95" s="6">
        <f t="shared" si="48"/>
        <v>0</v>
      </c>
      <c r="CR95" s="6">
        <f t="shared" si="49"/>
        <v>0</v>
      </c>
      <c r="CS95" s="6">
        <f t="shared" si="50"/>
        <v>0</v>
      </c>
      <c r="CT95" s="6">
        <f t="shared" si="530"/>
        <v>0</v>
      </c>
      <c r="CU95" s="6">
        <f t="shared" si="52"/>
        <v>0</v>
      </c>
      <c r="CV95" s="6">
        <f t="shared" si="53"/>
        <v>0</v>
      </c>
      <c r="CW95" s="6">
        <f t="shared" si="54"/>
        <v>0</v>
      </c>
      <c r="CX95" s="6">
        <f t="shared" si="55"/>
        <v>0</v>
      </c>
      <c r="CY95" s="6">
        <f t="shared" si="56"/>
        <v>0</v>
      </c>
      <c r="CZ95" s="6">
        <f t="shared" si="57"/>
        <v>0</v>
      </c>
      <c r="DA95" s="6">
        <f t="shared" si="58"/>
        <v>1</v>
      </c>
      <c r="DB95" s="6">
        <f t="shared" si="59"/>
        <v>0</v>
      </c>
      <c r="DC95" s="6">
        <f t="shared" si="60"/>
        <v>0</v>
      </c>
      <c r="DD95" s="6">
        <f t="shared" si="61"/>
        <v>0</v>
      </c>
      <c r="DE95" s="6">
        <f t="shared" si="62"/>
        <v>0</v>
      </c>
      <c r="DF95" s="6">
        <f t="shared" si="63"/>
        <v>0</v>
      </c>
      <c r="DG95" s="6">
        <f t="shared" si="64"/>
        <v>0</v>
      </c>
      <c r="DH95" s="6">
        <f t="shared" si="509"/>
        <v>0</v>
      </c>
      <c r="DI95" s="6">
        <f t="shared" si="66"/>
        <v>0</v>
      </c>
      <c r="DJ95" s="6">
        <f t="shared" si="510"/>
        <v>0</v>
      </c>
      <c r="DK95" s="7">
        <f t="shared" si="68"/>
        <v>0</v>
      </c>
      <c r="DL95" s="7">
        <f t="shared" si="498"/>
        <v>0</v>
      </c>
      <c r="DM95" s="7">
        <f t="shared" si="70"/>
        <v>0</v>
      </c>
      <c r="DN95" s="7">
        <f t="shared" si="71"/>
        <v>0</v>
      </c>
      <c r="DO95" s="7">
        <f t="shared" si="72"/>
        <v>1</v>
      </c>
      <c r="DP95" s="8">
        <f t="shared" si="73"/>
        <v>0</v>
      </c>
      <c r="DQ95" s="8">
        <f t="shared" si="74"/>
        <v>1</v>
      </c>
      <c r="DR95" s="7">
        <f t="shared" si="75"/>
        <v>0</v>
      </c>
      <c r="DS95" s="7">
        <f t="shared" si="76"/>
        <v>0</v>
      </c>
      <c r="DT95" s="7">
        <f t="shared" si="77"/>
        <v>0</v>
      </c>
      <c r="DU95" s="9">
        <f t="shared" si="78"/>
        <v>0</v>
      </c>
      <c r="DV95" s="9">
        <f t="shared" si="79"/>
        <v>0</v>
      </c>
      <c r="DW95" s="9">
        <f t="shared" si="80"/>
        <v>0</v>
      </c>
      <c r="DX95" s="9">
        <f t="shared" si="81"/>
        <v>0</v>
      </c>
      <c r="DY95" s="9">
        <f t="shared" si="82"/>
        <v>0</v>
      </c>
      <c r="DZ95" s="9">
        <f t="shared" si="83"/>
        <v>0</v>
      </c>
      <c r="EA95" s="9">
        <f t="shared" si="84"/>
        <v>0</v>
      </c>
      <c r="EB95" s="9">
        <f t="shared" si="85"/>
        <v>0</v>
      </c>
      <c r="EC95" s="9">
        <f t="shared" si="86"/>
        <v>0</v>
      </c>
      <c r="ED95" s="9">
        <f t="shared" si="87"/>
        <v>0</v>
      </c>
      <c r="EE95" s="9">
        <f t="shared" si="88"/>
        <v>0</v>
      </c>
      <c r="EF95" s="9">
        <f t="shared" si="89"/>
        <v>0</v>
      </c>
      <c r="EG95" s="9">
        <f t="shared" si="90"/>
        <v>0</v>
      </c>
      <c r="EH95" s="9">
        <f t="shared" si="91"/>
        <v>0</v>
      </c>
      <c r="EI95" s="9">
        <f t="shared" si="92"/>
        <v>0</v>
      </c>
      <c r="EJ95" s="10">
        <f t="shared" si="93"/>
        <v>0</v>
      </c>
      <c r="EK95" s="10">
        <f t="shared" si="94"/>
        <v>0</v>
      </c>
      <c r="EL95" s="10">
        <f t="shared" ref="EL95:EM95" si="531">IF(OR(ISNUMBER(SEARCH("ai software toolkit", $D95)), ISNUMBER(SEARCH("ai software toolkit", $T95)), ISNUMBER(SEARCH("ai software toolkit", $R95)), ISNUMBER(SEARCH("ai software toolkit", $S95))), 1, 0)</f>
        <v>0</v>
      </c>
      <c r="EM95" s="10">
        <f t="shared" si="531"/>
        <v>0</v>
      </c>
      <c r="EN95" s="10">
        <f t="shared" si="96"/>
        <v>0</v>
      </c>
      <c r="EO95" s="10">
        <f t="shared" si="97"/>
        <v>0</v>
      </c>
      <c r="EP95" s="10">
        <f t="shared" si="98"/>
        <v>0</v>
      </c>
      <c r="EQ95" s="10">
        <f t="shared" si="99"/>
        <v>0</v>
      </c>
      <c r="ER95" s="10">
        <f t="shared" si="100"/>
        <v>0</v>
      </c>
      <c r="ES95" s="10">
        <f t="shared" si="101"/>
        <v>0</v>
      </c>
      <c r="ET95" s="10">
        <f t="shared" si="102"/>
        <v>0</v>
      </c>
      <c r="EU95" s="10">
        <f t="shared" si="103"/>
        <v>0</v>
      </c>
      <c r="EV95" s="10">
        <f t="shared" si="104"/>
        <v>0</v>
      </c>
      <c r="EW95" s="10">
        <f t="shared" si="105"/>
        <v>0</v>
      </c>
      <c r="EX95" s="10">
        <f t="shared" si="106"/>
        <v>0</v>
      </c>
      <c r="EY95" s="10">
        <f t="shared" si="107"/>
        <v>0</v>
      </c>
      <c r="EZ95" s="10">
        <f t="shared" si="108"/>
        <v>0</v>
      </c>
      <c r="FA95" s="10">
        <f t="shared" si="109"/>
        <v>0</v>
      </c>
      <c r="FB95" s="10">
        <f t="shared" si="110"/>
        <v>0</v>
      </c>
      <c r="FC95" s="10">
        <f t="shared" si="111"/>
        <v>0</v>
      </c>
      <c r="FD95" s="10">
        <f t="shared" si="112"/>
        <v>0</v>
      </c>
      <c r="FE95" s="10">
        <f t="shared" si="113"/>
        <v>0</v>
      </c>
      <c r="FF95" s="10">
        <f t="shared" si="114"/>
        <v>0</v>
      </c>
      <c r="FG95" s="10">
        <f t="shared" si="115"/>
        <v>0</v>
      </c>
      <c r="FH95" s="10">
        <f t="shared" si="116"/>
        <v>0</v>
      </c>
      <c r="FI95" s="10">
        <f t="shared" si="117"/>
        <v>0</v>
      </c>
      <c r="FJ95" s="10">
        <f t="shared" si="118"/>
        <v>0</v>
      </c>
      <c r="FK95" s="10">
        <f t="shared" si="119"/>
        <v>0</v>
      </c>
      <c r="FL95" s="10">
        <f t="shared" si="120"/>
        <v>0</v>
      </c>
      <c r="FM95" s="10">
        <f t="shared" si="121"/>
        <v>0</v>
      </c>
      <c r="FN95" s="10">
        <f t="shared" si="122"/>
        <v>0</v>
      </c>
      <c r="FO95" s="10">
        <f t="shared" si="123"/>
        <v>0</v>
      </c>
      <c r="FP95" s="10">
        <f t="shared" si="124"/>
        <v>0</v>
      </c>
      <c r="FQ95" s="10">
        <f t="shared" si="125"/>
        <v>0</v>
      </c>
      <c r="FR95" s="11">
        <f t="shared" ref="FR95:FR97" si="534">IF(
OR(
ISNUMBER(SEARCH("chatbot",$D95)),ISNUMBER(SEARCH("chatbot",$T95)),ISNUMBER(SEARCH("chatbot",$R94)),ISNUMBER(SEARCH("chatbot",$S95)),
ISNUMBER(SEARCH("virtual assistance",$D95)),ISNUMBER(SEARCH("virtual assistance",$T95)),ISNUMBER(SEARCH("virtual assistance",$R95)),ISNUMBER(SEARCH("virtual assistance",$S95))), 1, 0)</f>
        <v>0</v>
      </c>
      <c r="FS95" s="11">
        <f t="shared" si="127"/>
        <v>0</v>
      </c>
      <c r="FT95" s="11">
        <f t="shared" si="128"/>
        <v>0</v>
      </c>
      <c r="FU95" s="11">
        <f t="shared" si="129"/>
        <v>0</v>
      </c>
      <c r="FV95" s="11">
        <f t="shared" si="130"/>
        <v>0</v>
      </c>
      <c r="FW95" s="11">
        <f t="shared" si="131"/>
        <v>0</v>
      </c>
      <c r="FX95" s="11">
        <f t="shared" si="132"/>
        <v>0</v>
      </c>
      <c r="FY95" s="11">
        <f t="shared" si="133"/>
        <v>0</v>
      </c>
      <c r="FZ95" s="11">
        <f t="shared" si="134"/>
        <v>0</v>
      </c>
      <c r="GA95" s="11">
        <f t="shared" si="135"/>
        <v>0</v>
      </c>
      <c r="GB95" s="11">
        <f t="shared" si="136"/>
        <v>0</v>
      </c>
      <c r="GC95" s="11">
        <f t="shared" si="137"/>
        <v>0</v>
      </c>
      <c r="GD95" s="11">
        <f t="shared" si="138"/>
        <v>0</v>
      </c>
      <c r="GE95" s="11">
        <f t="shared" si="139"/>
        <v>0</v>
      </c>
      <c r="GF95" s="11">
        <f t="shared" si="140"/>
        <v>0</v>
      </c>
      <c r="GG95" s="11">
        <f t="shared" si="141"/>
        <v>0</v>
      </c>
      <c r="GH95" s="11">
        <f t="shared" si="142"/>
        <v>0</v>
      </c>
      <c r="GI95" s="11">
        <f t="shared" si="143"/>
        <v>0</v>
      </c>
      <c r="GJ95" s="11">
        <f t="shared" si="144"/>
        <v>0</v>
      </c>
      <c r="GK95" s="11">
        <f t="shared" si="145"/>
        <v>0</v>
      </c>
      <c r="GL95" s="11">
        <f t="shared" si="146"/>
        <v>0</v>
      </c>
      <c r="GM95" s="11">
        <f t="shared" si="147"/>
        <v>0</v>
      </c>
      <c r="GN95" s="11">
        <f t="shared" si="148"/>
        <v>0</v>
      </c>
      <c r="GO95" s="11">
        <f t="shared" si="149"/>
        <v>0</v>
      </c>
      <c r="GP95" s="11">
        <f t="shared" si="150"/>
        <v>0</v>
      </c>
      <c r="GQ95" s="11">
        <f t="shared" si="151"/>
        <v>0</v>
      </c>
      <c r="GR95" s="11">
        <f t="shared" si="152"/>
        <v>0</v>
      </c>
      <c r="GS95" s="11">
        <f t="shared" si="153"/>
        <v>0</v>
      </c>
      <c r="GT95" s="11">
        <f t="shared" si="154"/>
        <v>0</v>
      </c>
      <c r="GU95" s="12">
        <f t="shared" si="155"/>
        <v>0</v>
      </c>
      <c r="GV95" s="12">
        <f t="shared" si="156"/>
        <v>0</v>
      </c>
      <c r="GW95" s="12">
        <f t="shared" si="157"/>
        <v>0</v>
      </c>
      <c r="GX95" s="12">
        <f t="shared" si="158"/>
        <v>0</v>
      </c>
      <c r="GY95" s="12">
        <f t="shared" si="159"/>
        <v>0</v>
      </c>
      <c r="GZ95" s="12">
        <f t="shared" si="160"/>
        <v>0</v>
      </c>
      <c r="HA95" s="12">
        <f t="shared" si="161"/>
        <v>0</v>
      </c>
      <c r="HB95" s="12">
        <f t="shared" si="162"/>
        <v>0</v>
      </c>
      <c r="HC95" s="12">
        <f t="shared" si="163"/>
        <v>0</v>
      </c>
      <c r="HD95" s="12">
        <f t="shared" si="164"/>
        <v>0</v>
      </c>
      <c r="HE95" s="12">
        <f t="shared" si="165"/>
        <v>0</v>
      </c>
      <c r="HF95" s="12">
        <f t="shared" si="166"/>
        <v>0</v>
      </c>
      <c r="HG95" s="12">
        <f t="shared" si="167"/>
        <v>0</v>
      </c>
      <c r="HH95" s="12">
        <f t="shared" si="168"/>
        <v>0</v>
      </c>
      <c r="HI95" s="12">
        <f t="shared" si="169"/>
        <v>0</v>
      </c>
      <c r="HJ95" s="12">
        <f t="shared" si="170"/>
        <v>0</v>
      </c>
      <c r="HK95" s="12">
        <f t="shared" si="171"/>
        <v>0</v>
      </c>
      <c r="HL95" s="12">
        <f t="shared" si="172"/>
        <v>0</v>
      </c>
      <c r="HM95" s="12">
        <f t="shared" si="173"/>
        <v>0</v>
      </c>
      <c r="HN95" s="12">
        <f t="shared" si="174"/>
        <v>0</v>
      </c>
      <c r="HO95" s="12">
        <f t="shared" si="175"/>
        <v>0</v>
      </c>
      <c r="HP95" s="12">
        <f t="shared" si="176"/>
        <v>0</v>
      </c>
      <c r="HQ95" s="12">
        <f t="shared" si="177"/>
        <v>0</v>
      </c>
      <c r="HR95" s="12">
        <f t="shared" si="178"/>
        <v>0</v>
      </c>
      <c r="HS95" s="12">
        <f t="shared" si="179"/>
        <v>0</v>
      </c>
      <c r="HT95" s="12">
        <f t="shared" si="180"/>
        <v>0</v>
      </c>
      <c r="HU95" s="12">
        <f t="shared" si="181"/>
        <v>0</v>
      </c>
      <c r="HV95" s="12">
        <f t="shared" si="182"/>
        <v>0</v>
      </c>
      <c r="HW95" s="12">
        <f t="shared" si="183"/>
        <v>0</v>
      </c>
      <c r="HX95" s="12">
        <f t="shared" si="184"/>
        <v>0</v>
      </c>
      <c r="HY95" s="12">
        <f t="shared" si="185"/>
        <v>0</v>
      </c>
      <c r="HZ95" s="12">
        <f t="shared" si="186"/>
        <v>0</v>
      </c>
      <c r="IA95" s="12">
        <f t="shared" si="187"/>
        <v>0</v>
      </c>
      <c r="IB95" s="12">
        <f t="shared" si="188"/>
        <v>0</v>
      </c>
      <c r="IC95" s="12">
        <f t="shared" si="189"/>
        <v>0</v>
      </c>
      <c r="ID95" s="12">
        <f t="shared" si="190"/>
        <v>0</v>
      </c>
      <c r="IE95" s="12">
        <f t="shared" si="191"/>
        <v>0</v>
      </c>
      <c r="IF95" s="12">
        <f t="shared" si="192"/>
        <v>0</v>
      </c>
      <c r="IG95" s="12">
        <f t="shared" si="193"/>
        <v>0</v>
      </c>
      <c r="IH95" s="12">
        <f t="shared" si="194"/>
        <v>0</v>
      </c>
      <c r="II95" s="12">
        <f t="shared" si="195"/>
        <v>0</v>
      </c>
      <c r="IJ95" s="12">
        <f t="shared" si="196"/>
        <v>0</v>
      </c>
      <c r="IK95" s="12">
        <f t="shared" si="197"/>
        <v>0</v>
      </c>
      <c r="IL95" s="12">
        <f t="shared" si="198"/>
        <v>0</v>
      </c>
      <c r="IM95" s="12">
        <f t="shared" si="199"/>
        <v>0</v>
      </c>
      <c r="IN95" s="12">
        <f t="shared" si="200"/>
        <v>0</v>
      </c>
      <c r="IO95" s="12">
        <f t="shared" si="201"/>
        <v>0</v>
      </c>
      <c r="IP95" s="12">
        <f t="shared" si="202"/>
        <v>0</v>
      </c>
      <c r="IQ95" s="12">
        <f t="shared" si="203"/>
        <v>0</v>
      </c>
      <c r="IR95" s="12">
        <f t="shared" si="204"/>
        <v>0</v>
      </c>
      <c r="IS95" s="12">
        <f t="shared" si="205"/>
        <v>0</v>
      </c>
      <c r="IT95" s="12">
        <f t="shared" si="206"/>
        <v>0</v>
      </c>
      <c r="IU95" s="12">
        <f t="shared" si="207"/>
        <v>0</v>
      </c>
      <c r="IV95" s="12">
        <f t="shared" si="208"/>
        <v>0</v>
      </c>
      <c r="IW95" s="12">
        <f t="shared" si="209"/>
        <v>0</v>
      </c>
      <c r="IX95" s="12">
        <f t="shared" si="210"/>
        <v>0</v>
      </c>
      <c r="IY95" s="12">
        <f t="shared" si="211"/>
        <v>0</v>
      </c>
      <c r="IZ95" s="12">
        <f t="shared" si="212"/>
        <v>1</v>
      </c>
      <c r="JA95" s="13">
        <f t="shared" si="213"/>
        <v>0</v>
      </c>
      <c r="JB95" s="13">
        <f t="shared" si="214"/>
        <v>0</v>
      </c>
      <c r="JC95" s="13">
        <f t="shared" si="215"/>
        <v>0</v>
      </c>
      <c r="JD95" s="13">
        <f t="shared" si="216"/>
        <v>0</v>
      </c>
      <c r="JE95" s="13">
        <f t="shared" si="217"/>
        <v>0</v>
      </c>
      <c r="JF95" s="13">
        <f t="shared" si="218"/>
        <v>0</v>
      </c>
      <c r="JG95" s="13">
        <f t="shared" si="219"/>
        <v>0</v>
      </c>
      <c r="JH95" s="13">
        <f t="shared" si="220"/>
        <v>0</v>
      </c>
      <c r="JI95" s="13">
        <f t="shared" si="221"/>
        <v>0</v>
      </c>
      <c r="JJ95" s="13">
        <f t="shared" si="222"/>
        <v>0</v>
      </c>
      <c r="JK95" s="13">
        <f t="shared" si="223"/>
        <v>0</v>
      </c>
      <c r="JL95" s="13">
        <f t="shared" si="224"/>
        <v>0</v>
      </c>
      <c r="JM95" s="13">
        <f t="shared" si="225"/>
        <v>0</v>
      </c>
      <c r="JN95" s="13">
        <f t="shared" si="226"/>
        <v>0</v>
      </c>
      <c r="JO95" s="13">
        <f t="shared" si="227"/>
        <v>0</v>
      </c>
      <c r="JP95" s="13">
        <f t="shared" si="228"/>
        <v>0</v>
      </c>
      <c r="JQ95" s="13">
        <f t="shared" si="229"/>
        <v>0</v>
      </c>
      <c r="JR95" s="13">
        <f t="shared" si="230"/>
        <v>0</v>
      </c>
      <c r="JS95" s="13">
        <f t="shared" si="231"/>
        <v>0</v>
      </c>
      <c r="JT95" s="13">
        <f t="shared" si="232"/>
        <v>0</v>
      </c>
      <c r="JU95" s="13">
        <f t="shared" si="233"/>
        <v>0</v>
      </c>
      <c r="JV95" s="12">
        <f t="shared" si="234"/>
        <v>0</v>
      </c>
      <c r="JW95" s="12">
        <f t="shared" si="235"/>
        <v>0</v>
      </c>
      <c r="JX95" s="12">
        <f t="shared" si="236"/>
        <v>0</v>
      </c>
      <c r="JY95" s="12">
        <f t="shared" si="237"/>
        <v>0</v>
      </c>
      <c r="JZ95" s="12">
        <f t="shared" si="238"/>
        <v>0</v>
      </c>
      <c r="KA95" s="12">
        <f t="shared" si="239"/>
        <v>0</v>
      </c>
      <c r="KB95" s="12">
        <f t="shared" si="240"/>
        <v>0</v>
      </c>
      <c r="KC95" s="12">
        <f t="shared" si="241"/>
        <v>0</v>
      </c>
      <c r="KD95" s="12">
        <f t="shared" si="242"/>
        <v>0</v>
      </c>
      <c r="KE95" s="12">
        <f t="shared" si="243"/>
        <v>0</v>
      </c>
      <c r="KF95" s="12">
        <f t="shared" si="244"/>
        <v>0</v>
      </c>
      <c r="KG95" s="12">
        <f t="shared" si="245"/>
        <v>0</v>
      </c>
      <c r="KH95" s="12">
        <f t="shared" si="246"/>
        <v>0</v>
      </c>
      <c r="KI95" s="12">
        <f t="shared" si="247"/>
        <v>0</v>
      </c>
      <c r="KJ95" s="12">
        <f t="shared" si="248"/>
        <v>0</v>
      </c>
      <c r="KK95" s="12">
        <f t="shared" si="249"/>
        <v>0</v>
      </c>
      <c r="KL95" s="12">
        <f t="shared" si="250"/>
        <v>0</v>
      </c>
      <c r="KM95" s="12">
        <f t="shared" si="251"/>
        <v>0</v>
      </c>
      <c r="KN95" s="12">
        <f t="shared" si="252"/>
        <v>0</v>
      </c>
      <c r="KO95" s="12">
        <f t="shared" si="253"/>
        <v>0</v>
      </c>
      <c r="KP95" s="12">
        <f t="shared" si="254"/>
        <v>0</v>
      </c>
      <c r="KQ95" s="12">
        <f t="shared" si="255"/>
        <v>0</v>
      </c>
      <c r="KR95" s="12">
        <f t="shared" si="256"/>
        <v>0</v>
      </c>
      <c r="KS95" s="12">
        <f t="shared" si="257"/>
        <v>0</v>
      </c>
      <c r="KT95" s="12">
        <f t="shared" si="258"/>
        <v>0</v>
      </c>
      <c r="KU95" s="12">
        <f t="shared" si="259"/>
        <v>0</v>
      </c>
      <c r="KV95" s="12">
        <f t="shared" si="260"/>
        <v>0</v>
      </c>
      <c r="KW95" s="12">
        <f t="shared" si="261"/>
        <v>0</v>
      </c>
      <c r="KX95" s="12">
        <f t="shared" si="262"/>
        <v>0</v>
      </c>
      <c r="KY95" s="12">
        <f t="shared" si="263"/>
        <v>0</v>
      </c>
      <c r="KZ95" s="12">
        <f t="shared" si="264"/>
        <v>0</v>
      </c>
      <c r="LA95" s="12">
        <f t="shared" si="265"/>
        <v>0</v>
      </c>
      <c r="LB95" s="12">
        <f t="shared" si="266"/>
        <v>0</v>
      </c>
      <c r="LC95" s="12">
        <f t="shared" si="267"/>
        <v>0</v>
      </c>
      <c r="LD95" s="12">
        <f t="shared" si="268"/>
        <v>0</v>
      </c>
      <c r="LE95" s="12">
        <f t="shared" si="269"/>
        <v>0</v>
      </c>
      <c r="LF95" s="12">
        <f t="shared" si="270"/>
        <v>0</v>
      </c>
      <c r="LG95" s="12">
        <f t="shared" si="271"/>
        <v>0</v>
      </c>
      <c r="LH95" s="12">
        <f t="shared" si="272"/>
        <v>0</v>
      </c>
      <c r="LI95" s="12">
        <f t="shared" si="273"/>
        <v>0</v>
      </c>
      <c r="LJ95" s="12">
        <f t="shared" si="274"/>
        <v>0</v>
      </c>
      <c r="LK95" s="12">
        <f t="shared" si="275"/>
        <v>0</v>
      </c>
      <c r="LL95" s="12">
        <f t="shared" si="276"/>
        <v>0</v>
      </c>
      <c r="LM95" s="12">
        <f t="shared" si="277"/>
        <v>0</v>
      </c>
      <c r="LN95" s="12">
        <f t="shared" si="278"/>
        <v>0</v>
      </c>
      <c r="LO95" s="12">
        <f t="shared" si="279"/>
        <v>0</v>
      </c>
      <c r="LP95" s="12">
        <f t="shared" si="280"/>
        <v>0</v>
      </c>
      <c r="LQ95" s="12">
        <f t="shared" si="281"/>
        <v>0</v>
      </c>
      <c r="LR95" s="12">
        <f t="shared" si="282"/>
        <v>0</v>
      </c>
      <c r="LS95" s="12">
        <f t="shared" si="283"/>
        <v>0</v>
      </c>
      <c r="LT95" s="13">
        <f t="shared" si="284"/>
        <v>0</v>
      </c>
      <c r="LU95" s="13">
        <f t="shared" si="285"/>
        <v>0</v>
      </c>
      <c r="LV95" s="13">
        <f t="shared" si="286"/>
        <v>0</v>
      </c>
      <c r="LW95" s="13">
        <f t="shared" si="287"/>
        <v>0</v>
      </c>
      <c r="LX95" s="13">
        <f t="shared" si="288"/>
        <v>0</v>
      </c>
      <c r="LY95" s="13">
        <f t="shared" si="289"/>
        <v>0</v>
      </c>
      <c r="LZ95" s="13">
        <f t="shared" si="290"/>
        <v>0</v>
      </c>
      <c r="MA95" s="13">
        <f t="shared" si="291"/>
        <v>0</v>
      </c>
      <c r="MB95" s="13">
        <f t="shared" si="292"/>
        <v>0</v>
      </c>
      <c r="MC95" s="13">
        <f t="shared" si="293"/>
        <v>0</v>
      </c>
      <c r="MD95" s="13">
        <f t="shared" si="294"/>
        <v>0</v>
      </c>
      <c r="ME95" s="13">
        <f t="shared" si="295"/>
        <v>0</v>
      </c>
      <c r="MF95" s="13">
        <f t="shared" si="296"/>
        <v>0</v>
      </c>
      <c r="MG95" s="13">
        <f t="shared" si="297"/>
        <v>0</v>
      </c>
      <c r="MH95" s="13">
        <f t="shared" si="298"/>
        <v>0</v>
      </c>
      <c r="MI95" s="13">
        <f t="shared" si="299"/>
        <v>0</v>
      </c>
      <c r="MJ95" s="13">
        <f t="shared" si="300"/>
        <v>0</v>
      </c>
      <c r="MK95" s="13">
        <f t="shared" si="301"/>
        <v>0</v>
      </c>
      <c r="ML95" s="14">
        <f t="shared" si="302"/>
        <v>0</v>
      </c>
      <c r="MM95" s="14">
        <f t="shared" si="303"/>
        <v>0</v>
      </c>
      <c r="MN95" s="14">
        <f t="shared" si="304"/>
        <v>0</v>
      </c>
      <c r="MO95" s="14">
        <f t="shared" si="305"/>
        <v>0</v>
      </c>
      <c r="MP95" s="14">
        <f t="shared" si="306"/>
        <v>0</v>
      </c>
      <c r="MQ95" s="14">
        <f t="shared" si="307"/>
        <v>0</v>
      </c>
      <c r="MR95" s="14">
        <f t="shared" si="308"/>
        <v>0</v>
      </c>
      <c r="MS95" s="14">
        <f t="shared" si="309"/>
        <v>0</v>
      </c>
      <c r="MT95" s="14">
        <f t="shared" si="310"/>
        <v>0</v>
      </c>
      <c r="MU95" s="14">
        <f t="shared" si="311"/>
        <v>0</v>
      </c>
      <c r="MV95" s="14">
        <f t="shared" si="312"/>
        <v>0</v>
      </c>
      <c r="MW95" s="14">
        <f t="shared" si="313"/>
        <v>0</v>
      </c>
      <c r="MX95" s="14">
        <f t="shared" si="314"/>
        <v>0</v>
      </c>
      <c r="MY95" s="14">
        <f t="shared" si="315"/>
        <v>0</v>
      </c>
      <c r="MZ95" s="14">
        <f t="shared" si="316"/>
        <v>0</v>
      </c>
      <c r="NA95" s="14">
        <f t="shared" si="317"/>
        <v>0</v>
      </c>
      <c r="NB95" s="14">
        <f t="shared" si="318"/>
        <v>0</v>
      </c>
    </row>
    <row r="96" ht="15.75" customHeight="1">
      <c r="A96" s="2">
        <v>285.0</v>
      </c>
      <c r="B96" s="2" t="s">
        <v>2015</v>
      </c>
      <c r="C96" s="2" t="s">
        <v>2016</v>
      </c>
      <c r="D96" s="2" t="s">
        <v>2017</v>
      </c>
      <c r="E96" s="2">
        <v>2019.0</v>
      </c>
      <c r="F96" s="2" t="s">
        <v>1459</v>
      </c>
      <c r="G96" s="2" t="s">
        <v>472</v>
      </c>
      <c r="H96" s="2" t="s">
        <v>1069</v>
      </c>
      <c r="I96" s="2" t="s">
        <v>2018</v>
      </c>
      <c r="M96" s="2">
        <v>11.0</v>
      </c>
      <c r="N96" s="2" t="s">
        <v>2019</v>
      </c>
      <c r="O96" s="2" t="s">
        <v>2020</v>
      </c>
      <c r="P96" s="2" t="s">
        <v>2021</v>
      </c>
      <c r="Q96" s="2" t="s">
        <v>2022</v>
      </c>
      <c r="R96" s="2" t="s">
        <v>2023</v>
      </c>
      <c r="S96" s="2" t="s">
        <v>2024</v>
      </c>
      <c r="T96" s="2" t="s">
        <v>2025</v>
      </c>
      <c r="Y96" s="2" t="s">
        <v>2026</v>
      </c>
      <c r="AB96" s="2" t="s">
        <v>1303</v>
      </c>
      <c r="AG96" s="2" t="s">
        <v>1469</v>
      </c>
      <c r="AK96" s="2" t="s">
        <v>1470</v>
      </c>
      <c r="AL96" s="2" t="s">
        <v>384</v>
      </c>
      <c r="AM96" s="2" t="s">
        <v>484</v>
      </c>
      <c r="AN96" s="2" t="s">
        <v>386</v>
      </c>
      <c r="AO96" s="2" t="s">
        <v>2027</v>
      </c>
      <c r="AP96" s="2" t="s">
        <v>386</v>
      </c>
      <c r="AQ96" s="2">
        <v>1146.0</v>
      </c>
      <c r="AR96" s="2" t="s">
        <v>2017</v>
      </c>
      <c r="AS96" s="2" t="b">
        <v>1</v>
      </c>
      <c r="AT96" s="3">
        <v>0.0</v>
      </c>
      <c r="AU96" s="4"/>
      <c r="AV96" s="4">
        <v>1.0</v>
      </c>
      <c r="AW96" s="5">
        <f t="shared" si="432"/>
        <v>0</v>
      </c>
      <c r="AX96" s="5">
        <f t="shared" si="4"/>
        <v>0</v>
      </c>
      <c r="AY96" s="5">
        <f t="shared" si="5"/>
        <v>0</v>
      </c>
      <c r="AZ96" s="5">
        <f t="shared" si="6"/>
        <v>0</v>
      </c>
      <c r="BA96" s="5">
        <f t="shared" si="7"/>
        <v>0</v>
      </c>
      <c r="BB96" s="5">
        <f t="shared" si="8"/>
        <v>0</v>
      </c>
      <c r="BC96" s="5">
        <f t="shared" si="9"/>
        <v>0</v>
      </c>
      <c r="BD96" s="5">
        <f t="shared" si="10"/>
        <v>0</v>
      </c>
      <c r="BE96" s="5">
        <f t="shared" si="11"/>
        <v>0</v>
      </c>
      <c r="BF96" s="5">
        <f t="shared" si="12"/>
        <v>0</v>
      </c>
      <c r="BG96" s="5">
        <f t="shared" si="13"/>
        <v>0</v>
      </c>
      <c r="BH96" s="5">
        <f t="shared" si="14"/>
        <v>0</v>
      </c>
      <c r="BI96" s="5">
        <f t="shared" si="15"/>
        <v>0</v>
      </c>
      <c r="BJ96" s="5">
        <f t="shared" si="16"/>
        <v>0</v>
      </c>
      <c r="BK96" s="5">
        <f t="shared" si="17"/>
        <v>0</v>
      </c>
      <c r="BL96" s="5">
        <f t="shared" si="18"/>
        <v>0</v>
      </c>
      <c r="BM96" s="5">
        <f t="shared" si="19"/>
        <v>0</v>
      </c>
      <c r="BN96" s="5">
        <f t="shared" si="20"/>
        <v>0</v>
      </c>
      <c r="BO96" s="5">
        <f t="shared" si="21"/>
        <v>0</v>
      </c>
      <c r="BP96" s="5">
        <f t="shared" si="22"/>
        <v>0</v>
      </c>
      <c r="BQ96" s="5">
        <f t="shared" si="23"/>
        <v>0</v>
      </c>
      <c r="BR96" s="5">
        <f t="shared" si="24"/>
        <v>0</v>
      </c>
      <c r="BS96" s="5">
        <f t="shared" si="25"/>
        <v>0</v>
      </c>
      <c r="BT96" s="5">
        <f t="shared" si="26"/>
        <v>0</v>
      </c>
      <c r="BU96" s="5">
        <f t="shared" si="27"/>
        <v>0</v>
      </c>
      <c r="BV96" s="5">
        <f t="shared" ref="BV96:BW96" si="532">IF(OR(ISNUMBER(SEARCH("grit",$D96)),ISNUMBER(SEARCH("grit",$T96)),ISNUMBER(SEARCH("grit",$R96)),ISNUMBER(SEARCH("grit",$S96)),
ISNUMBER(SEARCH("determination",$D96)),ISNUMBER(SEARCH("determination",$T96)),ISNUMBER(SEARCH("determination",$R96)),ISNUMBER(SEARCH("determination",$S96)),
ISNUMBER(SEARCH("tenacity",$D96)),ISNUMBER(SEARCH("tenacity",$T96)),ISNUMBER(SEARCH("tenacity",$R96)),ISNUMBER(SEARCH("tenacity",$S96)),
ISNUMBER(SEARCH("endurance",$D96)),ISNUMBER(SEARCH("endurance",$T96)),ISNUMBER(SEARCH("endurance",$R96)),ISNUMBER(SEARCH("endurance",$S96)),
ISNUMBER(SEARCH("fortitude",$D96)),ISNUMBER(SEARCH("fortitude",$T96)),ISNUMBER(SEARCH("fortitude",$R96)),ISNUMBER(SEARCH("fortitude",$S96)),
ISNUMBER(SEARCH("resolve",$D96)),ISNUMBER(SEARCH("resolve",$T96)),ISNUMBER(SEARCH("resolve",$R96)),ISNUMBER(SEARCH("resolve",$S96)),
ISNUMBER(SEARCH("stamina",$D96)),ISNUMBER(SEARCH("stamina",$T96)),ISNUMBER(SEARCH("stamina",$R96)),ISNUMBER(SEARCH("stamina",$S96)),
ISNUMBER(SEARCH("guts",$D96)),ISNUMBER(SEARCH("guts",$T96)),ISNUMBER(SEARCH("guts",$R96)),ISNUMBER(SEARCH("guts",$S96)),
ISNUMBER(SEARCH("spunk",$D96)),ISNUMBER(SEARCH("spunk",$T96)),ISNUMBER(SEARCH("spunk",$R96)),ISNUMBER(SEARCH("spunk",$S96))), 1, 0)</f>
        <v>0</v>
      </c>
      <c r="BW96" s="5">
        <f t="shared" si="532"/>
        <v>0</v>
      </c>
      <c r="BX96" s="5">
        <f t="shared" si="29"/>
        <v>1</v>
      </c>
      <c r="BY96" s="5">
        <f t="shared" si="30"/>
        <v>0</v>
      </c>
      <c r="BZ96" s="5">
        <f t="shared" si="31"/>
        <v>0</v>
      </c>
      <c r="CA96" s="5">
        <f t="shared" si="32"/>
        <v>0</v>
      </c>
      <c r="CB96" s="5">
        <f t="shared" si="33"/>
        <v>0</v>
      </c>
      <c r="CC96" s="5">
        <f t="shared" si="34"/>
        <v>0</v>
      </c>
      <c r="CD96" s="5">
        <f t="shared" si="35"/>
        <v>0</v>
      </c>
      <c r="CE96" s="5">
        <f t="shared" si="36"/>
        <v>0</v>
      </c>
      <c r="CF96" s="5">
        <f t="shared" si="37"/>
        <v>0</v>
      </c>
      <c r="CG96" s="5">
        <f t="shared" si="38"/>
        <v>0</v>
      </c>
      <c r="CH96" s="5">
        <f t="shared" si="39"/>
        <v>0</v>
      </c>
      <c r="CI96" s="5">
        <f t="shared" si="40"/>
        <v>0</v>
      </c>
      <c r="CJ96" s="5">
        <f t="shared" si="41"/>
        <v>0</v>
      </c>
      <c r="CK96" s="5">
        <f t="shared" si="42"/>
        <v>0</v>
      </c>
      <c r="CL96" s="5">
        <f t="shared" si="43"/>
        <v>0</v>
      </c>
      <c r="CM96" s="5">
        <f t="shared" si="44"/>
        <v>0</v>
      </c>
      <c r="CN96" s="5">
        <f t="shared" si="45"/>
        <v>0</v>
      </c>
      <c r="CO96" s="5">
        <f t="shared" si="46"/>
        <v>0</v>
      </c>
      <c r="CP96" s="6">
        <f t="shared" si="47"/>
        <v>0</v>
      </c>
      <c r="CQ96" s="6">
        <f t="shared" si="48"/>
        <v>0</v>
      </c>
      <c r="CR96" s="6">
        <f t="shared" si="49"/>
        <v>0</v>
      </c>
      <c r="CS96" s="6">
        <f t="shared" si="50"/>
        <v>0</v>
      </c>
      <c r="CT96" s="6">
        <f t="shared" si="530"/>
        <v>0</v>
      </c>
      <c r="CU96" s="6">
        <f t="shared" si="52"/>
        <v>0</v>
      </c>
      <c r="CV96" s="6">
        <f t="shared" si="53"/>
        <v>0</v>
      </c>
      <c r="CW96" s="6">
        <f t="shared" si="54"/>
        <v>0</v>
      </c>
      <c r="CX96" s="6">
        <f t="shared" si="55"/>
        <v>0</v>
      </c>
      <c r="CY96" s="6">
        <f t="shared" si="56"/>
        <v>0</v>
      </c>
      <c r="CZ96" s="6">
        <f t="shared" si="57"/>
        <v>0</v>
      </c>
      <c r="DA96" s="6">
        <f t="shared" si="58"/>
        <v>0</v>
      </c>
      <c r="DB96" s="6">
        <f t="shared" si="59"/>
        <v>0</v>
      </c>
      <c r="DC96" s="6">
        <f t="shared" si="60"/>
        <v>0</v>
      </c>
      <c r="DD96" s="6">
        <f t="shared" si="61"/>
        <v>0</v>
      </c>
      <c r="DE96" s="6">
        <f t="shared" si="62"/>
        <v>0</v>
      </c>
      <c r="DF96" s="6">
        <f t="shared" si="63"/>
        <v>0</v>
      </c>
      <c r="DG96" s="6">
        <f t="shared" si="64"/>
        <v>0</v>
      </c>
      <c r="DH96" s="6">
        <f t="shared" si="509"/>
        <v>0</v>
      </c>
      <c r="DI96" s="6">
        <f t="shared" si="66"/>
        <v>0</v>
      </c>
      <c r="DJ96" s="6">
        <f t="shared" si="510"/>
        <v>0</v>
      </c>
      <c r="DK96" s="7">
        <f t="shared" si="68"/>
        <v>0</v>
      </c>
      <c r="DL96" s="7">
        <f t="shared" si="498"/>
        <v>0</v>
      </c>
      <c r="DM96" s="7">
        <f t="shared" si="70"/>
        <v>0</v>
      </c>
      <c r="DN96" s="7">
        <f t="shared" si="71"/>
        <v>0</v>
      </c>
      <c r="DO96" s="7">
        <f t="shared" si="72"/>
        <v>1</v>
      </c>
      <c r="DP96" s="8">
        <f t="shared" si="73"/>
        <v>0</v>
      </c>
      <c r="DQ96" s="8">
        <f t="shared" si="74"/>
        <v>1</v>
      </c>
      <c r="DR96" s="7">
        <f t="shared" si="75"/>
        <v>0</v>
      </c>
      <c r="DS96" s="7">
        <f t="shared" si="76"/>
        <v>0</v>
      </c>
      <c r="DT96" s="7">
        <f t="shared" si="77"/>
        <v>0</v>
      </c>
      <c r="DU96" s="9">
        <f t="shared" si="78"/>
        <v>0</v>
      </c>
      <c r="DV96" s="9">
        <f t="shared" si="79"/>
        <v>0</v>
      </c>
      <c r="DW96" s="9">
        <f t="shared" si="80"/>
        <v>0</v>
      </c>
      <c r="DX96" s="9">
        <f t="shared" si="81"/>
        <v>0</v>
      </c>
      <c r="DY96" s="9">
        <f t="shared" si="82"/>
        <v>0</v>
      </c>
      <c r="DZ96" s="9">
        <f t="shared" si="83"/>
        <v>0</v>
      </c>
      <c r="EA96" s="9">
        <f t="shared" si="84"/>
        <v>0</v>
      </c>
      <c r="EB96" s="9">
        <f t="shared" si="85"/>
        <v>0</v>
      </c>
      <c r="EC96" s="9">
        <f t="shared" si="86"/>
        <v>0</v>
      </c>
      <c r="ED96" s="9">
        <f t="shared" si="87"/>
        <v>0</v>
      </c>
      <c r="EE96" s="9">
        <f t="shared" si="88"/>
        <v>0</v>
      </c>
      <c r="EF96" s="9">
        <f t="shared" si="89"/>
        <v>0</v>
      </c>
      <c r="EG96" s="9">
        <f t="shared" si="90"/>
        <v>0</v>
      </c>
      <c r="EH96" s="9">
        <f t="shared" si="91"/>
        <v>0</v>
      </c>
      <c r="EI96" s="9">
        <f t="shared" si="92"/>
        <v>0</v>
      </c>
      <c r="EJ96" s="10">
        <f t="shared" si="93"/>
        <v>0</v>
      </c>
      <c r="EK96" s="10">
        <f t="shared" si="94"/>
        <v>0</v>
      </c>
      <c r="EL96" s="10">
        <f t="shared" ref="EL96:EM96" si="533">IF(OR(ISNUMBER(SEARCH("ai software toolkit", $D96)), ISNUMBER(SEARCH("ai software toolkit", $T96)), ISNUMBER(SEARCH("ai software toolkit", $R96)), ISNUMBER(SEARCH("ai software toolkit", $S96))), 1, 0)</f>
        <v>0</v>
      </c>
      <c r="EM96" s="10">
        <f t="shared" si="533"/>
        <v>0</v>
      </c>
      <c r="EN96" s="10">
        <f t="shared" si="96"/>
        <v>0</v>
      </c>
      <c r="EO96" s="10">
        <f t="shared" si="97"/>
        <v>0</v>
      </c>
      <c r="EP96" s="10">
        <f t="shared" si="98"/>
        <v>0</v>
      </c>
      <c r="EQ96" s="10">
        <f t="shared" si="99"/>
        <v>0</v>
      </c>
      <c r="ER96" s="10">
        <f t="shared" si="100"/>
        <v>0</v>
      </c>
      <c r="ES96" s="10">
        <f t="shared" si="101"/>
        <v>0</v>
      </c>
      <c r="ET96" s="10">
        <f t="shared" si="102"/>
        <v>0</v>
      </c>
      <c r="EU96" s="10">
        <f t="shared" si="103"/>
        <v>0</v>
      </c>
      <c r="EV96" s="10">
        <f t="shared" si="104"/>
        <v>0</v>
      </c>
      <c r="EW96" s="10">
        <f t="shared" si="105"/>
        <v>0</v>
      </c>
      <c r="EX96" s="10">
        <f t="shared" si="106"/>
        <v>0</v>
      </c>
      <c r="EY96" s="10">
        <f t="shared" si="107"/>
        <v>0</v>
      </c>
      <c r="EZ96" s="10">
        <f t="shared" si="108"/>
        <v>0</v>
      </c>
      <c r="FA96" s="10">
        <f t="shared" si="109"/>
        <v>0</v>
      </c>
      <c r="FB96" s="10">
        <f t="shared" si="110"/>
        <v>0</v>
      </c>
      <c r="FC96" s="10">
        <f t="shared" si="111"/>
        <v>0</v>
      </c>
      <c r="FD96" s="10">
        <f t="shared" si="112"/>
        <v>0</v>
      </c>
      <c r="FE96" s="10">
        <f t="shared" si="113"/>
        <v>0</v>
      </c>
      <c r="FF96" s="10">
        <f t="shared" si="114"/>
        <v>0</v>
      </c>
      <c r="FG96" s="10">
        <f t="shared" si="115"/>
        <v>0</v>
      </c>
      <c r="FH96" s="10">
        <f t="shared" si="116"/>
        <v>0</v>
      </c>
      <c r="FI96" s="10">
        <f t="shared" si="117"/>
        <v>0</v>
      </c>
      <c r="FJ96" s="10">
        <f t="shared" si="118"/>
        <v>0</v>
      </c>
      <c r="FK96" s="10">
        <f t="shared" si="119"/>
        <v>0</v>
      </c>
      <c r="FL96" s="10">
        <f t="shared" si="120"/>
        <v>0</v>
      </c>
      <c r="FM96" s="10">
        <f t="shared" si="121"/>
        <v>0</v>
      </c>
      <c r="FN96" s="10">
        <f t="shared" si="122"/>
        <v>0</v>
      </c>
      <c r="FO96" s="10">
        <f t="shared" si="123"/>
        <v>0</v>
      </c>
      <c r="FP96" s="10">
        <f t="shared" si="124"/>
        <v>0</v>
      </c>
      <c r="FQ96" s="10">
        <f t="shared" si="125"/>
        <v>0</v>
      </c>
      <c r="FR96" s="11">
        <f t="shared" si="534"/>
        <v>0</v>
      </c>
      <c r="FS96" s="11">
        <f t="shared" si="127"/>
        <v>0</v>
      </c>
      <c r="FT96" s="11">
        <f t="shared" si="128"/>
        <v>0</v>
      </c>
      <c r="FU96" s="11">
        <f t="shared" si="129"/>
        <v>0</v>
      </c>
      <c r="FV96" s="11">
        <f t="shared" si="130"/>
        <v>0</v>
      </c>
      <c r="FW96" s="11">
        <f t="shared" si="131"/>
        <v>0</v>
      </c>
      <c r="FX96" s="11">
        <f t="shared" si="132"/>
        <v>0</v>
      </c>
      <c r="FY96" s="11">
        <f t="shared" si="133"/>
        <v>0</v>
      </c>
      <c r="FZ96" s="11">
        <f t="shared" si="134"/>
        <v>0</v>
      </c>
      <c r="GA96" s="11">
        <f t="shared" si="135"/>
        <v>0</v>
      </c>
      <c r="GB96" s="11">
        <f t="shared" si="136"/>
        <v>0</v>
      </c>
      <c r="GC96" s="11">
        <f t="shared" si="137"/>
        <v>0</v>
      </c>
      <c r="GD96" s="11">
        <f t="shared" si="138"/>
        <v>0</v>
      </c>
      <c r="GE96" s="11">
        <f t="shared" si="139"/>
        <v>0</v>
      </c>
      <c r="GF96" s="11">
        <f t="shared" si="140"/>
        <v>0</v>
      </c>
      <c r="GG96" s="11">
        <f t="shared" si="141"/>
        <v>0</v>
      </c>
      <c r="GH96" s="11">
        <f t="shared" si="142"/>
        <v>0</v>
      </c>
      <c r="GI96" s="11">
        <f t="shared" si="143"/>
        <v>0</v>
      </c>
      <c r="GJ96" s="11">
        <f t="shared" si="144"/>
        <v>0</v>
      </c>
      <c r="GK96" s="11">
        <f t="shared" si="145"/>
        <v>0</v>
      </c>
      <c r="GL96" s="11">
        <f t="shared" si="146"/>
        <v>0</v>
      </c>
      <c r="GM96" s="11">
        <f t="shared" si="147"/>
        <v>0</v>
      </c>
      <c r="GN96" s="11">
        <f t="shared" si="148"/>
        <v>0</v>
      </c>
      <c r="GO96" s="11">
        <f t="shared" si="149"/>
        <v>0</v>
      </c>
      <c r="GP96" s="11">
        <f t="shared" si="150"/>
        <v>0</v>
      </c>
      <c r="GQ96" s="11">
        <f t="shared" si="151"/>
        <v>0</v>
      </c>
      <c r="GR96" s="11">
        <f t="shared" si="152"/>
        <v>0</v>
      </c>
      <c r="GS96" s="11">
        <f t="shared" si="153"/>
        <v>0</v>
      </c>
      <c r="GT96" s="11">
        <f t="shared" si="154"/>
        <v>0</v>
      </c>
      <c r="GU96" s="12">
        <f t="shared" si="155"/>
        <v>0</v>
      </c>
      <c r="GV96" s="12">
        <f t="shared" si="156"/>
        <v>0</v>
      </c>
      <c r="GW96" s="12">
        <f t="shared" si="157"/>
        <v>0</v>
      </c>
      <c r="GX96" s="12">
        <f t="shared" si="158"/>
        <v>0</v>
      </c>
      <c r="GY96" s="12">
        <f t="shared" si="159"/>
        <v>0</v>
      </c>
      <c r="GZ96" s="12">
        <f t="shared" si="160"/>
        <v>0</v>
      </c>
      <c r="HA96" s="12">
        <f t="shared" si="161"/>
        <v>0</v>
      </c>
      <c r="HB96" s="12">
        <f t="shared" si="162"/>
        <v>0</v>
      </c>
      <c r="HC96" s="12">
        <f t="shared" si="163"/>
        <v>0</v>
      </c>
      <c r="HD96" s="12">
        <f t="shared" si="164"/>
        <v>0</v>
      </c>
      <c r="HE96" s="12">
        <f t="shared" si="165"/>
        <v>0</v>
      </c>
      <c r="HF96" s="12">
        <f t="shared" si="166"/>
        <v>0</v>
      </c>
      <c r="HG96" s="12">
        <f t="shared" si="167"/>
        <v>0</v>
      </c>
      <c r="HH96" s="12">
        <f t="shared" si="168"/>
        <v>0</v>
      </c>
      <c r="HI96" s="12">
        <f t="shared" si="169"/>
        <v>0</v>
      </c>
      <c r="HJ96" s="12">
        <f t="shared" si="170"/>
        <v>0</v>
      </c>
      <c r="HK96" s="12">
        <f t="shared" si="171"/>
        <v>0</v>
      </c>
      <c r="HL96" s="12">
        <f t="shared" si="172"/>
        <v>0</v>
      </c>
      <c r="HM96" s="12">
        <f t="shared" si="173"/>
        <v>0</v>
      </c>
      <c r="HN96" s="12">
        <f t="shared" si="174"/>
        <v>0</v>
      </c>
      <c r="HO96" s="12">
        <f t="shared" si="175"/>
        <v>0</v>
      </c>
      <c r="HP96" s="12">
        <f t="shared" si="176"/>
        <v>0</v>
      </c>
      <c r="HQ96" s="12">
        <f t="shared" si="177"/>
        <v>0</v>
      </c>
      <c r="HR96" s="12">
        <f t="shared" si="178"/>
        <v>0</v>
      </c>
      <c r="HS96" s="12">
        <f t="shared" si="179"/>
        <v>0</v>
      </c>
      <c r="HT96" s="12">
        <f t="shared" si="180"/>
        <v>0</v>
      </c>
      <c r="HU96" s="12">
        <f t="shared" si="181"/>
        <v>0</v>
      </c>
      <c r="HV96" s="12">
        <f t="shared" si="182"/>
        <v>0</v>
      </c>
      <c r="HW96" s="12">
        <f t="shared" si="183"/>
        <v>0</v>
      </c>
      <c r="HX96" s="12">
        <f t="shared" si="184"/>
        <v>0</v>
      </c>
      <c r="HY96" s="12">
        <f t="shared" si="185"/>
        <v>0</v>
      </c>
      <c r="HZ96" s="12">
        <f t="shared" si="186"/>
        <v>0</v>
      </c>
      <c r="IA96" s="12">
        <f t="shared" si="187"/>
        <v>0</v>
      </c>
      <c r="IB96" s="12">
        <f t="shared" si="188"/>
        <v>0</v>
      </c>
      <c r="IC96" s="12">
        <f t="shared" si="189"/>
        <v>0</v>
      </c>
      <c r="ID96" s="12">
        <f t="shared" si="190"/>
        <v>0</v>
      </c>
      <c r="IE96" s="12">
        <f t="shared" si="191"/>
        <v>0</v>
      </c>
      <c r="IF96" s="12">
        <f t="shared" si="192"/>
        <v>0</v>
      </c>
      <c r="IG96" s="12">
        <f t="shared" si="193"/>
        <v>0</v>
      </c>
      <c r="IH96" s="12">
        <f t="shared" si="194"/>
        <v>0</v>
      </c>
      <c r="II96" s="12">
        <f t="shared" si="195"/>
        <v>0</v>
      </c>
      <c r="IJ96" s="12">
        <f t="shared" si="196"/>
        <v>0</v>
      </c>
      <c r="IK96" s="12">
        <f t="shared" si="197"/>
        <v>0</v>
      </c>
      <c r="IL96" s="12">
        <f t="shared" si="198"/>
        <v>0</v>
      </c>
      <c r="IM96" s="12">
        <f t="shared" si="199"/>
        <v>0</v>
      </c>
      <c r="IN96" s="12">
        <f t="shared" si="200"/>
        <v>0</v>
      </c>
      <c r="IO96" s="12">
        <f t="shared" si="201"/>
        <v>0</v>
      </c>
      <c r="IP96" s="12">
        <f t="shared" si="202"/>
        <v>0</v>
      </c>
      <c r="IQ96" s="12">
        <f t="shared" si="203"/>
        <v>0</v>
      </c>
      <c r="IR96" s="12">
        <f t="shared" si="204"/>
        <v>0</v>
      </c>
      <c r="IS96" s="12">
        <f t="shared" si="205"/>
        <v>0</v>
      </c>
      <c r="IT96" s="12">
        <f t="shared" si="206"/>
        <v>0</v>
      </c>
      <c r="IU96" s="12">
        <f t="shared" si="207"/>
        <v>0</v>
      </c>
      <c r="IV96" s="12">
        <f t="shared" si="208"/>
        <v>0</v>
      </c>
      <c r="IW96" s="12">
        <f t="shared" si="209"/>
        <v>0</v>
      </c>
      <c r="IX96" s="12">
        <f t="shared" si="210"/>
        <v>0</v>
      </c>
      <c r="IY96" s="12">
        <f t="shared" si="211"/>
        <v>0</v>
      </c>
      <c r="IZ96" s="12">
        <f t="shared" si="212"/>
        <v>1</v>
      </c>
      <c r="JA96" s="13">
        <f t="shared" si="213"/>
        <v>0</v>
      </c>
      <c r="JB96" s="13">
        <f t="shared" si="214"/>
        <v>0</v>
      </c>
      <c r="JC96" s="13">
        <f t="shared" si="215"/>
        <v>0</v>
      </c>
      <c r="JD96" s="13">
        <f t="shared" si="216"/>
        <v>0</v>
      </c>
      <c r="JE96" s="13">
        <f t="shared" si="217"/>
        <v>0</v>
      </c>
      <c r="JF96" s="13">
        <f t="shared" si="218"/>
        <v>0</v>
      </c>
      <c r="JG96" s="13">
        <f t="shared" si="219"/>
        <v>0</v>
      </c>
      <c r="JH96" s="13">
        <f t="shared" si="220"/>
        <v>0</v>
      </c>
      <c r="JI96" s="13">
        <f t="shared" si="221"/>
        <v>0</v>
      </c>
      <c r="JJ96" s="13">
        <f t="shared" si="222"/>
        <v>0</v>
      </c>
      <c r="JK96" s="13">
        <f t="shared" si="223"/>
        <v>0</v>
      </c>
      <c r="JL96" s="13">
        <f t="shared" si="224"/>
        <v>0</v>
      </c>
      <c r="JM96" s="13">
        <f t="shared" si="225"/>
        <v>0</v>
      </c>
      <c r="JN96" s="13">
        <f t="shared" si="226"/>
        <v>0</v>
      </c>
      <c r="JO96" s="13">
        <f t="shared" si="227"/>
        <v>0</v>
      </c>
      <c r="JP96" s="13">
        <f t="shared" si="228"/>
        <v>0</v>
      </c>
      <c r="JQ96" s="13">
        <f t="shared" si="229"/>
        <v>0</v>
      </c>
      <c r="JR96" s="13">
        <f t="shared" si="230"/>
        <v>0</v>
      </c>
      <c r="JS96" s="13">
        <f t="shared" si="231"/>
        <v>0</v>
      </c>
      <c r="JT96" s="13">
        <f t="shared" si="232"/>
        <v>0</v>
      </c>
      <c r="JU96" s="13">
        <f t="shared" si="233"/>
        <v>0</v>
      </c>
      <c r="JV96" s="12">
        <f t="shared" si="234"/>
        <v>0</v>
      </c>
      <c r="JW96" s="12">
        <f t="shared" si="235"/>
        <v>0</v>
      </c>
      <c r="JX96" s="12">
        <f t="shared" si="236"/>
        <v>0</v>
      </c>
      <c r="JY96" s="12">
        <f t="shared" si="237"/>
        <v>0</v>
      </c>
      <c r="JZ96" s="12">
        <f t="shared" si="238"/>
        <v>0</v>
      </c>
      <c r="KA96" s="12">
        <f t="shared" si="239"/>
        <v>0</v>
      </c>
      <c r="KB96" s="12">
        <f t="shared" si="240"/>
        <v>0</v>
      </c>
      <c r="KC96" s="12">
        <f t="shared" si="241"/>
        <v>0</v>
      </c>
      <c r="KD96" s="12">
        <f t="shared" si="242"/>
        <v>0</v>
      </c>
      <c r="KE96" s="12">
        <f t="shared" si="243"/>
        <v>0</v>
      </c>
      <c r="KF96" s="12">
        <f t="shared" si="244"/>
        <v>0</v>
      </c>
      <c r="KG96" s="12">
        <f t="shared" si="245"/>
        <v>0</v>
      </c>
      <c r="KH96" s="12">
        <f t="shared" si="246"/>
        <v>0</v>
      </c>
      <c r="KI96" s="12">
        <f t="shared" si="247"/>
        <v>0</v>
      </c>
      <c r="KJ96" s="12">
        <f t="shared" si="248"/>
        <v>0</v>
      </c>
      <c r="KK96" s="12">
        <f t="shared" si="249"/>
        <v>0</v>
      </c>
      <c r="KL96" s="12">
        <f t="shared" si="250"/>
        <v>0</v>
      </c>
      <c r="KM96" s="12">
        <f t="shared" si="251"/>
        <v>0</v>
      </c>
      <c r="KN96" s="12">
        <f t="shared" si="252"/>
        <v>0</v>
      </c>
      <c r="KO96" s="12">
        <f t="shared" si="253"/>
        <v>0</v>
      </c>
      <c r="KP96" s="12">
        <f t="shared" si="254"/>
        <v>0</v>
      </c>
      <c r="KQ96" s="12">
        <f t="shared" si="255"/>
        <v>0</v>
      </c>
      <c r="KR96" s="12">
        <f t="shared" si="256"/>
        <v>0</v>
      </c>
      <c r="KS96" s="12">
        <f t="shared" si="257"/>
        <v>0</v>
      </c>
      <c r="KT96" s="12">
        <f t="shared" si="258"/>
        <v>0</v>
      </c>
      <c r="KU96" s="12">
        <f t="shared" si="259"/>
        <v>0</v>
      </c>
      <c r="KV96" s="12">
        <f t="shared" si="260"/>
        <v>0</v>
      </c>
      <c r="KW96" s="12">
        <f t="shared" si="261"/>
        <v>0</v>
      </c>
      <c r="KX96" s="12">
        <f t="shared" si="262"/>
        <v>0</v>
      </c>
      <c r="KY96" s="12">
        <f t="shared" si="263"/>
        <v>0</v>
      </c>
      <c r="KZ96" s="12">
        <f t="shared" si="264"/>
        <v>0</v>
      </c>
      <c r="LA96" s="12">
        <f t="shared" si="265"/>
        <v>0</v>
      </c>
      <c r="LB96" s="12">
        <f t="shared" si="266"/>
        <v>0</v>
      </c>
      <c r="LC96" s="12">
        <f t="shared" si="267"/>
        <v>0</v>
      </c>
      <c r="LD96" s="12">
        <f t="shared" si="268"/>
        <v>0</v>
      </c>
      <c r="LE96" s="12">
        <f t="shared" si="269"/>
        <v>0</v>
      </c>
      <c r="LF96" s="12">
        <f t="shared" si="270"/>
        <v>0</v>
      </c>
      <c r="LG96" s="12">
        <f t="shared" si="271"/>
        <v>0</v>
      </c>
      <c r="LH96" s="12">
        <f t="shared" si="272"/>
        <v>0</v>
      </c>
      <c r="LI96" s="12">
        <f t="shared" si="273"/>
        <v>0</v>
      </c>
      <c r="LJ96" s="12">
        <f t="shared" si="274"/>
        <v>0</v>
      </c>
      <c r="LK96" s="12">
        <f t="shared" si="275"/>
        <v>0</v>
      </c>
      <c r="LL96" s="12">
        <f t="shared" si="276"/>
        <v>0</v>
      </c>
      <c r="LM96" s="12">
        <f t="shared" si="277"/>
        <v>0</v>
      </c>
      <c r="LN96" s="12">
        <f t="shared" si="278"/>
        <v>0</v>
      </c>
      <c r="LO96" s="12">
        <f t="shared" si="279"/>
        <v>0</v>
      </c>
      <c r="LP96" s="12">
        <f t="shared" si="280"/>
        <v>0</v>
      </c>
      <c r="LQ96" s="12">
        <f t="shared" si="281"/>
        <v>0</v>
      </c>
      <c r="LR96" s="12">
        <f t="shared" si="282"/>
        <v>0</v>
      </c>
      <c r="LS96" s="12">
        <f t="shared" si="283"/>
        <v>0</v>
      </c>
      <c r="LT96" s="13">
        <f t="shared" si="284"/>
        <v>0</v>
      </c>
      <c r="LU96" s="13">
        <f t="shared" si="285"/>
        <v>0</v>
      </c>
      <c r="LV96" s="13">
        <f t="shared" si="286"/>
        <v>0</v>
      </c>
      <c r="LW96" s="13">
        <f t="shared" si="287"/>
        <v>0</v>
      </c>
      <c r="LX96" s="13">
        <f t="shared" si="288"/>
        <v>0</v>
      </c>
      <c r="LY96" s="13">
        <f t="shared" si="289"/>
        <v>0</v>
      </c>
      <c r="LZ96" s="13">
        <f t="shared" si="290"/>
        <v>0</v>
      </c>
      <c r="MA96" s="13">
        <f t="shared" si="291"/>
        <v>0</v>
      </c>
      <c r="MB96" s="13">
        <f t="shared" si="292"/>
        <v>0</v>
      </c>
      <c r="MC96" s="13">
        <f t="shared" si="293"/>
        <v>0</v>
      </c>
      <c r="MD96" s="13">
        <f t="shared" si="294"/>
        <v>0</v>
      </c>
      <c r="ME96" s="13">
        <f t="shared" si="295"/>
        <v>0</v>
      </c>
      <c r="MF96" s="13">
        <f t="shared" si="296"/>
        <v>0</v>
      </c>
      <c r="MG96" s="13">
        <f t="shared" si="297"/>
        <v>0</v>
      </c>
      <c r="MH96" s="13">
        <f t="shared" si="298"/>
        <v>0</v>
      </c>
      <c r="MI96" s="13">
        <f t="shared" si="299"/>
        <v>0</v>
      </c>
      <c r="MJ96" s="13">
        <f t="shared" si="300"/>
        <v>0</v>
      </c>
      <c r="MK96" s="13">
        <f t="shared" si="301"/>
        <v>0</v>
      </c>
      <c r="ML96" s="14">
        <f t="shared" si="302"/>
        <v>0</v>
      </c>
      <c r="MM96" s="14">
        <f t="shared" si="303"/>
        <v>0</v>
      </c>
      <c r="MN96" s="14">
        <f t="shared" si="304"/>
        <v>0</v>
      </c>
      <c r="MO96" s="14">
        <f t="shared" si="305"/>
        <v>0</v>
      </c>
      <c r="MP96" s="14">
        <f t="shared" si="306"/>
        <v>0</v>
      </c>
      <c r="MQ96" s="14">
        <f t="shared" si="307"/>
        <v>0</v>
      </c>
      <c r="MR96" s="14">
        <f t="shared" si="308"/>
        <v>0</v>
      </c>
      <c r="MS96" s="14">
        <f t="shared" si="309"/>
        <v>0</v>
      </c>
      <c r="MT96" s="14">
        <f t="shared" si="310"/>
        <v>0</v>
      </c>
      <c r="MU96" s="14">
        <f t="shared" si="311"/>
        <v>0</v>
      </c>
      <c r="MV96" s="14">
        <f t="shared" si="312"/>
        <v>0</v>
      </c>
      <c r="MW96" s="14">
        <f t="shared" si="313"/>
        <v>0</v>
      </c>
      <c r="MX96" s="14">
        <f t="shared" si="314"/>
        <v>0</v>
      </c>
      <c r="MY96" s="14">
        <f t="shared" si="315"/>
        <v>0</v>
      </c>
      <c r="MZ96" s="14">
        <f t="shared" si="316"/>
        <v>0</v>
      </c>
      <c r="NA96" s="14">
        <f t="shared" si="317"/>
        <v>0</v>
      </c>
      <c r="NB96" s="14">
        <f t="shared" si="318"/>
        <v>0</v>
      </c>
    </row>
    <row r="97" ht="15.75" customHeight="1">
      <c r="A97" s="2">
        <v>170.0</v>
      </c>
      <c r="B97" s="2" t="s">
        <v>2028</v>
      </c>
      <c r="C97" s="2" t="s">
        <v>2029</v>
      </c>
      <c r="D97" s="2" t="s">
        <v>2030</v>
      </c>
      <c r="E97" s="2">
        <v>2020.0</v>
      </c>
      <c r="F97" s="2" t="s">
        <v>2031</v>
      </c>
      <c r="G97" s="2" t="s">
        <v>1069</v>
      </c>
      <c r="H97" s="2" t="s">
        <v>392</v>
      </c>
      <c r="I97" s="2" t="s">
        <v>2032</v>
      </c>
      <c r="M97" s="2">
        <v>10.0</v>
      </c>
      <c r="N97" s="2" t="s">
        <v>2033</v>
      </c>
      <c r="O97" s="2" t="s">
        <v>2034</v>
      </c>
      <c r="P97" s="2" t="s">
        <v>2035</v>
      </c>
      <c r="Q97" s="2" t="s">
        <v>2036</v>
      </c>
      <c r="R97" s="2" t="s">
        <v>2037</v>
      </c>
      <c r="T97" s="2" t="s">
        <v>2038</v>
      </c>
      <c r="W97" s="2" t="s">
        <v>2039</v>
      </c>
      <c r="Y97" s="2" t="s">
        <v>2040</v>
      </c>
      <c r="AB97" s="2" t="s">
        <v>2041</v>
      </c>
      <c r="AG97" s="2" t="s">
        <v>2042</v>
      </c>
      <c r="AJ97" s="2">
        <v>3.3318471E7</v>
      </c>
      <c r="AK97" s="2" t="s">
        <v>2043</v>
      </c>
      <c r="AL97" s="2" t="s">
        <v>384</v>
      </c>
      <c r="AM97" s="2" t="s">
        <v>484</v>
      </c>
      <c r="AN97" s="2" t="s">
        <v>386</v>
      </c>
      <c r="AO97" s="2" t="s">
        <v>2044</v>
      </c>
      <c r="AP97" s="2" t="s">
        <v>386</v>
      </c>
      <c r="AQ97" s="2">
        <v>636.0</v>
      </c>
      <c r="AR97" s="2" t="s">
        <v>2030</v>
      </c>
      <c r="AS97" s="2" t="b">
        <v>1</v>
      </c>
      <c r="AT97" s="3">
        <v>0.0</v>
      </c>
      <c r="AU97" s="4"/>
      <c r="AV97" s="4"/>
      <c r="AW97" s="5">
        <f t="shared" si="432"/>
        <v>0</v>
      </c>
      <c r="AX97" s="5">
        <f t="shared" si="4"/>
        <v>0</v>
      </c>
      <c r="AY97" s="5">
        <f t="shared" si="5"/>
        <v>0</v>
      </c>
      <c r="AZ97" s="5">
        <f t="shared" si="6"/>
        <v>0</v>
      </c>
      <c r="BA97" s="5">
        <f t="shared" si="7"/>
        <v>0</v>
      </c>
      <c r="BB97" s="5">
        <f t="shared" si="8"/>
        <v>0</v>
      </c>
      <c r="BC97" s="5">
        <f t="shared" si="9"/>
        <v>0</v>
      </c>
      <c r="BD97" s="5">
        <f t="shared" si="10"/>
        <v>0</v>
      </c>
      <c r="BE97" s="5">
        <f t="shared" si="11"/>
        <v>0</v>
      </c>
      <c r="BF97" s="5">
        <f t="shared" si="12"/>
        <v>0</v>
      </c>
      <c r="BG97" s="5">
        <f t="shared" si="13"/>
        <v>0</v>
      </c>
      <c r="BH97" s="5">
        <f t="shared" si="14"/>
        <v>0</v>
      </c>
      <c r="BI97" s="5">
        <f t="shared" si="15"/>
        <v>0</v>
      </c>
      <c r="BJ97" s="5">
        <f t="shared" si="16"/>
        <v>0</v>
      </c>
      <c r="BK97" s="5">
        <f t="shared" si="17"/>
        <v>0</v>
      </c>
      <c r="BL97" s="5">
        <f t="shared" si="18"/>
        <v>0</v>
      </c>
      <c r="BM97" s="5">
        <f t="shared" si="19"/>
        <v>0</v>
      </c>
      <c r="BN97" s="5">
        <f t="shared" si="20"/>
        <v>0</v>
      </c>
      <c r="BO97" s="5">
        <f t="shared" si="21"/>
        <v>0</v>
      </c>
      <c r="BP97" s="5">
        <f t="shared" si="22"/>
        <v>0</v>
      </c>
      <c r="BQ97" s="5">
        <f t="shared" si="23"/>
        <v>0</v>
      </c>
      <c r="BR97" s="5">
        <f t="shared" si="24"/>
        <v>0</v>
      </c>
      <c r="BS97" s="5">
        <f t="shared" si="25"/>
        <v>0</v>
      </c>
      <c r="BT97" s="5">
        <f t="shared" si="26"/>
        <v>0</v>
      </c>
      <c r="BU97" s="5">
        <f t="shared" si="27"/>
        <v>0</v>
      </c>
      <c r="BV97" s="5">
        <f t="shared" ref="BV97:BW97" si="535">IF(OR(ISNUMBER(SEARCH("grit",$D97)),ISNUMBER(SEARCH("grit",$T97)),ISNUMBER(SEARCH("grit",$R97)),ISNUMBER(SEARCH("grit",$S97)),
ISNUMBER(SEARCH("determination",$D97)),ISNUMBER(SEARCH("determination",$T97)),ISNUMBER(SEARCH("determination",$R97)),ISNUMBER(SEARCH("determination",$S97)),
ISNUMBER(SEARCH("tenacity",$D97)),ISNUMBER(SEARCH("tenacity",$T97)),ISNUMBER(SEARCH("tenacity",$R97)),ISNUMBER(SEARCH("tenacity",$S97)),
ISNUMBER(SEARCH("endurance",$D97)),ISNUMBER(SEARCH("endurance",$T97)),ISNUMBER(SEARCH("endurance",$R97)),ISNUMBER(SEARCH("endurance",$S97)),
ISNUMBER(SEARCH("fortitude",$D97)),ISNUMBER(SEARCH("fortitude",$T97)),ISNUMBER(SEARCH("fortitude",$R97)),ISNUMBER(SEARCH("fortitude",$S97)),
ISNUMBER(SEARCH("resolve",$D97)),ISNUMBER(SEARCH("resolve",$T97)),ISNUMBER(SEARCH("resolve",$R97)),ISNUMBER(SEARCH("resolve",$S97)),
ISNUMBER(SEARCH("stamina",$D97)),ISNUMBER(SEARCH("stamina",$T97)),ISNUMBER(SEARCH("stamina",$R97)),ISNUMBER(SEARCH("stamina",$S97)),
ISNUMBER(SEARCH("guts",$D97)),ISNUMBER(SEARCH("guts",$T97)),ISNUMBER(SEARCH("guts",$R97)),ISNUMBER(SEARCH("guts",$S97)),
ISNUMBER(SEARCH("spunk",$D97)),ISNUMBER(SEARCH("spunk",$T97)),ISNUMBER(SEARCH("spunk",$R97)),ISNUMBER(SEARCH("spunk",$S97))), 1, 0)</f>
        <v>0</v>
      </c>
      <c r="BW97" s="5">
        <f t="shared" si="535"/>
        <v>0</v>
      </c>
      <c r="BX97" s="5">
        <f t="shared" si="29"/>
        <v>0</v>
      </c>
      <c r="BY97" s="5">
        <f t="shared" si="30"/>
        <v>0</v>
      </c>
      <c r="BZ97" s="5">
        <f t="shared" si="31"/>
        <v>0</v>
      </c>
      <c r="CA97" s="5">
        <f t="shared" si="32"/>
        <v>0</v>
      </c>
      <c r="CB97" s="5">
        <f t="shared" si="33"/>
        <v>0</v>
      </c>
      <c r="CC97" s="5">
        <f t="shared" si="34"/>
        <v>0</v>
      </c>
      <c r="CD97" s="5">
        <f t="shared" si="35"/>
        <v>0</v>
      </c>
      <c r="CE97" s="5">
        <f t="shared" si="36"/>
        <v>0</v>
      </c>
      <c r="CF97" s="5">
        <f t="shared" si="37"/>
        <v>0</v>
      </c>
      <c r="CG97" s="5">
        <f t="shared" si="38"/>
        <v>0</v>
      </c>
      <c r="CH97" s="5">
        <f t="shared" si="39"/>
        <v>0</v>
      </c>
      <c r="CI97" s="5">
        <f t="shared" si="40"/>
        <v>0</v>
      </c>
      <c r="CJ97" s="5">
        <f t="shared" si="41"/>
        <v>0</v>
      </c>
      <c r="CK97" s="5">
        <f t="shared" si="42"/>
        <v>0</v>
      </c>
      <c r="CL97" s="5">
        <f t="shared" si="43"/>
        <v>0</v>
      </c>
      <c r="CM97" s="5">
        <f t="shared" si="44"/>
        <v>0</v>
      </c>
      <c r="CN97" s="5">
        <f t="shared" si="45"/>
        <v>0</v>
      </c>
      <c r="CO97" s="5">
        <f t="shared" si="46"/>
        <v>0</v>
      </c>
      <c r="CP97" s="6">
        <f t="shared" si="47"/>
        <v>0</v>
      </c>
      <c r="CQ97" s="6">
        <f t="shared" si="48"/>
        <v>0</v>
      </c>
      <c r="CR97" s="6">
        <f t="shared" si="49"/>
        <v>0</v>
      </c>
      <c r="CS97" s="6">
        <f t="shared" si="50"/>
        <v>0</v>
      </c>
      <c r="CT97" s="6">
        <f t="shared" si="530"/>
        <v>0</v>
      </c>
      <c r="CU97" s="6">
        <f t="shared" si="52"/>
        <v>0</v>
      </c>
      <c r="CV97" s="6">
        <f t="shared" si="53"/>
        <v>0</v>
      </c>
      <c r="CW97" s="6">
        <f t="shared" si="54"/>
        <v>0</v>
      </c>
      <c r="CX97" s="6">
        <f t="shared" si="55"/>
        <v>0</v>
      </c>
      <c r="CY97" s="6">
        <f t="shared" si="56"/>
        <v>0</v>
      </c>
      <c r="CZ97" s="6">
        <f t="shared" si="57"/>
        <v>0</v>
      </c>
      <c r="DA97" s="6">
        <f t="shared" si="58"/>
        <v>0</v>
      </c>
      <c r="DB97" s="6">
        <f t="shared" si="59"/>
        <v>0</v>
      </c>
      <c r="DC97" s="6">
        <f t="shared" si="60"/>
        <v>1</v>
      </c>
      <c r="DD97" s="6">
        <f t="shared" si="61"/>
        <v>0</v>
      </c>
      <c r="DE97" s="6">
        <f t="shared" si="62"/>
        <v>0</v>
      </c>
      <c r="DF97" s="6">
        <f t="shared" si="63"/>
        <v>0</v>
      </c>
      <c r="DG97" s="6">
        <f t="shared" si="64"/>
        <v>0</v>
      </c>
      <c r="DH97" s="6">
        <f t="shared" si="509"/>
        <v>0</v>
      </c>
      <c r="DI97" s="6">
        <f t="shared" si="66"/>
        <v>0</v>
      </c>
      <c r="DJ97" s="6">
        <f t="shared" si="510"/>
        <v>0</v>
      </c>
      <c r="DK97" s="7">
        <f t="shared" si="68"/>
        <v>0</v>
      </c>
      <c r="DL97" s="7">
        <f t="shared" si="498"/>
        <v>0</v>
      </c>
      <c r="DM97" s="7">
        <f t="shared" si="70"/>
        <v>0</v>
      </c>
      <c r="DN97" s="7">
        <f t="shared" si="71"/>
        <v>0</v>
      </c>
      <c r="DO97" s="7">
        <f t="shared" si="72"/>
        <v>0</v>
      </c>
      <c r="DP97" s="8">
        <f t="shared" si="73"/>
        <v>0</v>
      </c>
      <c r="DQ97" s="8">
        <f t="shared" si="74"/>
        <v>1</v>
      </c>
      <c r="DR97" s="7">
        <f t="shared" si="75"/>
        <v>0</v>
      </c>
      <c r="DS97" s="7">
        <f t="shared" si="76"/>
        <v>0</v>
      </c>
      <c r="DT97" s="7">
        <f t="shared" si="77"/>
        <v>0</v>
      </c>
      <c r="DU97" s="9">
        <f t="shared" si="78"/>
        <v>0</v>
      </c>
      <c r="DV97" s="9">
        <f t="shared" si="79"/>
        <v>0</v>
      </c>
      <c r="DW97" s="9">
        <f t="shared" si="80"/>
        <v>0</v>
      </c>
      <c r="DX97" s="9">
        <f t="shared" si="81"/>
        <v>0</v>
      </c>
      <c r="DY97" s="9">
        <f t="shared" si="82"/>
        <v>0</v>
      </c>
      <c r="DZ97" s="9">
        <f t="shared" si="83"/>
        <v>0</v>
      </c>
      <c r="EA97" s="9">
        <f t="shared" si="84"/>
        <v>0</v>
      </c>
      <c r="EB97" s="9">
        <f t="shared" si="85"/>
        <v>0</v>
      </c>
      <c r="EC97" s="9">
        <f t="shared" si="86"/>
        <v>0</v>
      </c>
      <c r="ED97" s="9">
        <f t="shared" si="87"/>
        <v>0</v>
      </c>
      <c r="EE97" s="9">
        <f t="shared" si="88"/>
        <v>0</v>
      </c>
      <c r="EF97" s="9">
        <f t="shared" si="89"/>
        <v>0</v>
      </c>
      <c r="EG97" s="9">
        <f t="shared" si="90"/>
        <v>0</v>
      </c>
      <c r="EH97" s="9">
        <f t="shared" si="91"/>
        <v>0</v>
      </c>
      <c r="EI97" s="9">
        <f t="shared" si="92"/>
        <v>0</v>
      </c>
      <c r="EJ97" s="10">
        <f t="shared" si="93"/>
        <v>0</v>
      </c>
      <c r="EK97" s="10">
        <f t="shared" si="94"/>
        <v>0</v>
      </c>
      <c r="EL97" s="10">
        <f t="shared" ref="EL97:EM97" si="536">IF(OR(ISNUMBER(SEARCH("ai software toolkit", $D97)), ISNUMBER(SEARCH("ai software toolkit", $T97)), ISNUMBER(SEARCH("ai software toolkit", $R97)), ISNUMBER(SEARCH("ai software toolkit", $S97))), 1, 0)</f>
        <v>0</v>
      </c>
      <c r="EM97" s="10">
        <f t="shared" si="536"/>
        <v>0</v>
      </c>
      <c r="EN97" s="10">
        <f t="shared" si="96"/>
        <v>0</v>
      </c>
      <c r="EO97" s="10">
        <f t="shared" si="97"/>
        <v>0</v>
      </c>
      <c r="EP97" s="10">
        <f t="shared" si="98"/>
        <v>0</v>
      </c>
      <c r="EQ97" s="10">
        <f t="shared" si="99"/>
        <v>0</v>
      </c>
      <c r="ER97" s="10">
        <f t="shared" si="100"/>
        <v>0</v>
      </c>
      <c r="ES97" s="10">
        <f t="shared" si="101"/>
        <v>0</v>
      </c>
      <c r="ET97" s="10">
        <f t="shared" si="102"/>
        <v>0</v>
      </c>
      <c r="EU97" s="10">
        <f t="shared" si="103"/>
        <v>0</v>
      </c>
      <c r="EV97" s="10">
        <f t="shared" si="104"/>
        <v>0</v>
      </c>
      <c r="EW97" s="10">
        <f t="shared" si="105"/>
        <v>0</v>
      </c>
      <c r="EX97" s="10">
        <f t="shared" si="106"/>
        <v>0</v>
      </c>
      <c r="EY97" s="10">
        <f t="shared" si="107"/>
        <v>0</v>
      </c>
      <c r="EZ97" s="10">
        <f t="shared" si="108"/>
        <v>0</v>
      </c>
      <c r="FA97" s="10">
        <f t="shared" si="109"/>
        <v>0</v>
      </c>
      <c r="FB97" s="10">
        <f t="shared" si="110"/>
        <v>0</v>
      </c>
      <c r="FC97" s="10">
        <f t="shared" si="111"/>
        <v>0</v>
      </c>
      <c r="FD97" s="10">
        <f t="shared" si="112"/>
        <v>0</v>
      </c>
      <c r="FE97" s="10">
        <f t="shared" si="113"/>
        <v>0</v>
      </c>
      <c r="FF97" s="10">
        <f t="shared" si="114"/>
        <v>0</v>
      </c>
      <c r="FG97" s="10">
        <f t="shared" si="115"/>
        <v>0</v>
      </c>
      <c r="FH97" s="10">
        <f t="shared" si="116"/>
        <v>0</v>
      </c>
      <c r="FI97" s="10">
        <f t="shared" si="117"/>
        <v>0</v>
      </c>
      <c r="FJ97" s="10">
        <f t="shared" si="118"/>
        <v>0</v>
      </c>
      <c r="FK97" s="10">
        <f t="shared" si="119"/>
        <v>0</v>
      </c>
      <c r="FL97" s="10">
        <f t="shared" si="120"/>
        <v>0</v>
      </c>
      <c r="FM97" s="10">
        <f t="shared" si="121"/>
        <v>0</v>
      </c>
      <c r="FN97" s="10">
        <f t="shared" si="122"/>
        <v>0</v>
      </c>
      <c r="FO97" s="10">
        <f t="shared" si="123"/>
        <v>0</v>
      </c>
      <c r="FP97" s="10">
        <f t="shared" si="124"/>
        <v>0</v>
      </c>
      <c r="FQ97" s="10">
        <f t="shared" si="125"/>
        <v>0</v>
      </c>
      <c r="FR97" s="11">
        <f t="shared" si="534"/>
        <v>0</v>
      </c>
      <c r="FS97" s="11">
        <f t="shared" si="127"/>
        <v>0</v>
      </c>
      <c r="FT97" s="11">
        <f t="shared" si="128"/>
        <v>0</v>
      </c>
      <c r="FU97" s="11">
        <f t="shared" si="129"/>
        <v>0</v>
      </c>
      <c r="FV97" s="11">
        <f t="shared" si="130"/>
        <v>0</v>
      </c>
      <c r="FW97" s="11">
        <f t="shared" si="131"/>
        <v>0</v>
      </c>
      <c r="FX97" s="11">
        <f t="shared" si="132"/>
        <v>0</v>
      </c>
      <c r="FY97" s="11">
        <f t="shared" si="133"/>
        <v>0</v>
      </c>
      <c r="FZ97" s="11">
        <f t="shared" si="134"/>
        <v>0</v>
      </c>
      <c r="GA97" s="11">
        <f t="shared" si="135"/>
        <v>0</v>
      </c>
      <c r="GB97" s="11">
        <f t="shared" si="136"/>
        <v>0</v>
      </c>
      <c r="GC97" s="11">
        <f t="shared" si="137"/>
        <v>0</v>
      </c>
      <c r="GD97" s="11">
        <f t="shared" si="138"/>
        <v>0</v>
      </c>
      <c r="GE97" s="11">
        <f t="shared" si="139"/>
        <v>0</v>
      </c>
      <c r="GF97" s="11">
        <f t="shared" si="140"/>
        <v>0</v>
      </c>
      <c r="GG97" s="11">
        <f t="shared" si="141"/>
        <v>0</v>
      </c>
      <c r="GH97" s="11">
        <f t="shared" si="142"/>
        <v>0</v>
      </c>
      <c r="GI97" s="11">
        <f t="shared" si="143"/>
        <v>0</v>
      </c>
      <c r="GJ97" s="11">
        <f t="shared" si="144"/>
        <v>0</v>
      </c>
      <c r="GK97" s="11">
        <f t="shared" si="145"/>
        <v>0</v>
      </c>
      <c r="GL97" s="11">
        <f t="shared" si="146"/>
        <v>0</v>
      </c>
      <c r="GM97" s="11">
        <f t="shared" si="147"/>
        <v>0</v>
      </c>
      <c r="GN97" s="11">
        <f t="shared" si="148"/>
        <v>0</v>
      </c>
      <c r="GO97" s="11">
        <f t="shared" si="149"/>
        <v>0</v>
      </c>
      <c r="GP97" s="11">
        <f t="shared" si="150"/>
        <v>0</v>
      </c>
      <c r="GQ97" s="11">
        <f t="shared" si="151"/>
        <v>0</v>
      </c>
      <c r="GR97" s="11">
        <f t="shared" si="152"/>
        <v>0</v>
      </c>
      <c r="GS97" s="11">
        <f t="shared" si="153"/>
        <v>0</v>
      </c>
      <c r="GT97" s="11">
        <f t="shared" si="154"/>
        <v>0</v>
      </c>
      <c r="GU97" s="12">
        <f t="shared" si="155"/>
        <v>0</v>
      </c>
      <c r="GV97" s="12">
        <f t="shared" si="156"/>
        <v>0</v>
      </c>
      <c r="GW97" s="12">
        <f t="shared" si="157"/>
        <v>0</v>
      </c>
      <c r="GX97" s="12">
        <f t="shared" si="158"/>
        <v>0</v>
      </c>
      <c r="GY97" s="12">
        <f t="shared" si="159"/>
        <v>0</v>
      </c>
      <c r="GZ97" s="12">
        <f t="shared" si="160"/>
        <v>0</v>
      </c>
      <c r="HA97" s="12">
        <f t="shared" si="161"/>
        <v>0</v>
      </c>
      <c r="HB97" s="12">
        <f t="shared" si="162"/>
        <v>0</v>
      </c>
      <c r="HC97" s="12">
        <f t="shared" si="163"/>
        <v>0</v>
      </c>
      <c r="HD97" s="12">
        <f t="shared" si="164"/>
        <v>0</v>
      </c>
      <c r="HE97" s="12">
        <f t="shared" si="165"/>
        <v>0</v>
      </c>
      <c r="HF97" s="12">
        <f t="shared" si="166"/>
        <v>0</v>
      </c>
      <c r="HG97" s="12">
        <f t="shared" si="167"/>
        <v>0</v>
      </c>
      <c r="HH97" s="12">
        <f t="shared" si="168"/>
        <v>0</v>
      </c>
      <c r="HI97" s="12">
        <f t="shared" si="169"/>
        <v>0</v>
      </c>
      <c r="HJ97" s="12">
        <f t="shared" si="170"/>
        <v>0</v>
      </c>
      <c r="HK97" s="12">
        <f t="shared" si="171"/>
        <v>0</v>
      </c>
      <c r="HL97" s="12">
        <f t="shared" si="172"/>
        <v>0</v>
      </c>
      <c r="HM97" s="12">
        <f t="shared" si="173"/>
        <v>0</v>
      </c>
      <c r="HN97" s="12">
        <f t="shared" si="174"/>
        <v>0</v>
      </c>
      <c r="HO97" s="12">
        <f t="shared" si="175"/>
        <v>0</v>
      </c>
      <c r="HP97" s="12">
        <f t="shared" si="176"/>
        <v>0</v>
      </c>
      <c r="HQ97" s="12">
        <f t="shared" si="177"/>
        <v>0</v>
      </c>
      <c r="HR97" s="12">
        <f t="shared" si="178"/>
        <v>0</v>
      </c>
      <c r="HS97" s="12">
        <f t="shared" si="179"/>
        <v>0</v>
      </c>
      <c r="HT97" s="12">
        <f t="shared" si="180"/>
        <v>0</v>
      </c>
      <c r="HU97" s="12">
        <f t="shared" si="181"/>
        <v>0</v>
      </c>
      <c r="HV97" s="12">
        <f t="shared" si="182"/>
        <v>0</v>
      </c>
      <c r="HW97" s="12">
        <f t="shared" si="183"/>
        <v>0</v>
      </c>
      <c r="HX97" s="12">
        <f t="shared" si="184"/>
        <v>0</v>
      </c>
      <c r="HY97" s="12">
        <f t="shared" si="185"/>
        <v>0</v>
      </c>
      <c r="HZ97" s="12">
        <f t="shared" si="186"/>
        <v>0</v>
      </c>
      <c r="IA97" s="12">
        <f t="shared" si="187"/>
        <v>0</v>
      </c>
      <c r="IB97" s="12">
        <f t="shared" si="188"/>
        <v>0</v>
      </c>
      <c r="IC97" s="12">
        <f t="shared" si="189"/>
        <v>0</v>
      </c>
      <c r="ID97" s="12">
        <f t="shared" si="190"/>
        <v>0</v>
      </c>
      <c r="IE97" s="12">
        <f t="shared" si="191"/>
        <v>0</v>
      </c>
      <c r="IF97" s="12">
        <f t="shared" si="192"/>
        <v>0</v>
      </c>
      <c r="IG97" s="12">
        <f t="shared" si="193"/>
        <v>0</v>
      </c>
      <c r="IH97" s="12">
        <f t="shared" si="194"/>
        <v>0</v>
      </c>
      <c r="II97" s="12">
        <f t="shared" si="195"/>
        <v>0</v>
      </c>
      <c r="IJ97" s="12">
        <f t="shared" si="196"/>
        <v>0</v>
      </c>
      <c r="IK97" s="12">
        <f t="shared" si="197"/>
        <v>0</v>
      </c>
      <c r="IL97" s="12">
        <f t="shared" si="198"/>
        <v>0</v>
      </c>
      <c r="IM97" s="12">
        <f t="shared" si="199"/>
        <v>0</v>
      </c>
      <c r="IN97" s="12">
        <f t="shared" si="200"/>
        <v>0</v>
      </c>
      <c r="IO97" s="12">
        <f t="shared" si="201"/>
        <v>0</v>
      </c>
      <c r="IP97" s="12">
        <f t="shared" si="202"/>
        <v>0</v>
      </c>
      <c r="IQ97" s="12">
        <f t="shared" si="203"/>
        <v>0</v>
      </c>
      <c r="IR97" s="12">
        <f t="shared" si="204"/>
        <v>0</v>
      </c>
      <c r="IS97" s="12">
        <f t="shared" si="205"/>
        <v>0</v>
      </c>
      <c r="IT97" s="12">
        <f t="shared" si="206"/>
        <v>0</v>
      </c>
      <c r="IU97" s="12">
        <f t="shared" si="207"/>
        <v>0</v>
      </c>
      <c r="IV97" s="12">
        <f t="shared" si="208"/>
        <v>0</v>
      </c>
      <c r="IW97" s="12">
        <f t="shared" si="209"/>
        <v>0</v>
      </c>
      <c r="IX97" s="12">
        <f t="shared" si="210"/>
        <v>0</v>
      </c>
      <c r="IY97" s="12">
        <f t="shared" si="211"/>
        <v>0</v>
      </c>
      <c r="IZ97" s="12">
        <f t="shared" si="212"/>
        <v>1</v>
      </c>
      <c r="JA97" s="13">
        <f t="shared" si="213"/>
        <v>0</v>
      </c>
      <c r="JB97" s="13">
        <f t="shared" si="214"/>
        <v>0</v>
      </c>
      <c r="JC97" s="13">
        <f t="shared" si="215"/>
        <v>0</v>
      </c>
      <c r="JD97" s="13">
        <f t="shared" si="216"/>
        <v>0</v>
      </c>
      <c r="JE97" s="13">
        <f t="shared" si="217"/>
        <v>0</v>
      </c>
      <c r="JF97" s="13">
        <f t="shared" si="218"/>
        <v>0</v>
      </c>
      <c r="JG97" s="13">
        <f t="shared" si="219"/>
        <v>0</v>
      </c>
      <c r="JH97" s="13">
        <f t="shared" si="220"/>
        <v>0</v>
      </c>
      <c r="JI97" s="13">
        <f t="shared" si="221"/>
        <v>0</v>
      </c>
      <c r="JJ97" s="13">
        <f t="shared" si="222"/>
        <v>0</v>
      </c>
      <c r="JK97" s="13">
        <f t="shared" si="223"/>
        <v>0</v>
      </c>
      <c r="JL97" s="13">
        <f t="shared" si="224"/>
        <v>0</v>
      </c>
      <c r="JM97" s="13">
        <f t="shared" si="225"/>
        <v>0</v>
      </c>
      <c r="JN97" s="13">
        <f t="shared" si="226"/>
        <v>0</v>
      </c>
      <c r="JO97" s="13">
        <f t="shared" si="227"/>
        <v>0</v>
      </c>
      <c r="JP97" s="13">
        <f t="shared" si="228"/>
        <v>0</v>
      </c>
      <c r="JQ97" s="13">
        <f t="shared" si="229"/>
        <v>0</v>
      </c>
      <c r="JR97" s="13">
        <f t="shared" si="230"/>
        <v>0</v>
      </c>
      <c r="JS97" s="13">
        <f t="shared" si="231"/>
        <v>0</v>
      </c>
      <c r="JT97" s="13">
        <f t="shared" si="232"/>
        <v>0</v>
      </c>
      <c r="JU97" s="13">
        <f t="shared" si="233"/>
        <v>0</v>
      </c>
      <c r="JV97" s="12">
        <f t="shared" si="234"/>
        <v>0</v>
      </c>
      <c r="JW97" s="12">
        <f t="shared" si="235"/>
        <v>0</v>
      </c>
      <c r="JX97" s="12">
        <f t="shared" si="236"/>
        <v>0</v>
      </c>
      <c r="JY97" s="12">
        <f t="shared" si="237"/>
        <v>0</v>
      </c>
      <c r="JZ97" s="12">
        <f t="shared" si="238"/>
        <v>0</v>
      </c>
      <c r="KA97" s="12">
        <f t="shared" si="239"/>
        <v>0</v>
      </c>
      <c r="KB97" s="12">
        <f t="shared" si="240"/>
        <v>0</v>
      </c>
      <c r="KC97" s="12">
        <f t="shared" si="241"/>
        <v>0</v>
      </c>
      <c r="KD97" s="12">
        <f t="shared" si="242"/>
        <v>0</v>
      </c>
      <c r="KE97" s="12">
        <f t="shared" si="243"/>
        <v>0</v>
      </c>
      <c r="KF97" s="12">
        <f t="shared" si="244"/>
        <v>0</v>
      </c>
      <c r="KG97" s="12">
        <f t="shared" si="245"/>
        <v>0</v>
      </c>
      <c r="KH97" s="12">
        <f t="shared" si="246"/>
        <v>0</v>
      </c>
      <c r="KI97" s="12">
        <f t="shared" si="247"/>
        <v>0</v>
      </c>
      <c r="KJ97" s="12">
        <f t="shared" si="248"/>
        <v>0</v>
      </c>
      <c r="KK97" s="12">
        <f t="shared" si="249"/>
        <v>0</v>
      </c>
      <c r="KL97" s="12">
        <f t="shared" si="250"/>
        <v>0</v>
      </c>
      <c r="KM97" s="12">
        <f t="shared" si="251"/>
        <v>0</v>
      </c>
      <c r="KN97" s="12">
        <f t="shared" si="252"/>
        <v>0</v>
      </c>
      <c r="KO97" s="12">
        <f t="shared" si="253"/>
        <v>0</v>
      </c>
      <c r="KP97" s="12">
        <f t="shared" si="254"/>
        <v>0</v>
      </c>
      <c r="KQ97" s="12">
        <f t="shared" si="255"/>
        <v>0</v>
      </c>
      <c r="KR97" s="12">
        <f t="shared" si="256"/>
        <v>0</v>
      </c>
      <c r="KS97" s="12">
        <f t="shared" si="257"/>
        <v>0</v>
      </c>
      <c r="KT97" s="12">
        <f t="shared" si="258"/>
        <v>0</v>
      </c>
      <c r="KU97" s="12">
        <f t="shared" si="259"/>
        <v>0</v>
      </c>
      <c r="KV97" s="12">
        <f t="shared" si="260"/>
        <v>0</v>
      </c>
      <c r="KW97" s="12">
        <f t="shared" si="261"/>
        <v>0</v>
      </c>
      <c r="KX97" s="12">
        <f t="shared" si="262"/>
        <v>0</v>
      </c>
      <c r="KY97" s="12">
        <f t="shared" si="263"/>
        <v>0</v>
      </c>
      <c r="KZ97" s="12">
        <f t="shared" si="264"/>
        <v>0</v>
      </c>
      <c r="LA97" s="12">
        <f t="shared" si="265"/>
        <v>0</v>
      </c>
      <c r="LB97" s="12">
        <f t="shared" si="266"/>
        <v>0</v>
      </c>
      <c r="LC97" s="12">
        <f t="shared" si="267"/>
        <v>0</v>
      </c>
      <c r="LD97" s="12">
        <f t="shared" si="268"/>
        <v>0</v>
      </c>
      <c r="LE97" s="12">
        <f t="shared" si="269"/>
        <v>0</v>
      </c>
      <c r="LF97" s="12">
        <f t="shared" si="270"/>
        <v>0</v>
      </c>
      <c r="LG97" s="12">
        <f t="shared" si="271"/>
        <v>0</v>
      </c>
      <c r="LH97" s="12">
        <f t="shared" si="272"/>
        <v>0</v>
      </c>
      <c r="LI97" s="12">
        <f t="shared" si="273"/>
        <v>0</v>
      </c>
      <c r="LJ97" s="12">
        <f t="shared" si="274"/>
        <v>0</v>
      </c>
      <c r="LK97" s="12">
        <f t="shared" si="275"/>
        <v>0</v>
      </c>
      <c r="LL97" s="12">
        <f t="shared" si="276"/>
        <v>0</v>
      </c>
      <c r="LM97" s="12">
        <f t="shared" si="277"/>
        <v>0</v>
      </c>
      <c r="LN97" s="12">
        <f t="shared" si="278"/>
        <v>0</v>
      </c>
      <c r="LO97" s="12">
        <f t="shared" si="279"/>
        <v>0</v>
      </c>
      <c r="LP97" s="12">
        <f t="shared" si="280"/>
        <v>0</v>
      </c>
      <c r="LQ97" s="12">
        <f t="shared" si="281"/>
        <v>0</v>
      </c>
      <c r="LR97" s="12">
        <f t="shared" si="282"/>
        <v>0</v>
      </c>
      <c r="LS97" s="12">
        <f t="shared" si="283"/>
        <v>0</v>
      </c>
      <c r="LT97" s="13">
        <f t="shared" si="284"/>
        <v>0</v>
      </c>
      <c r="LU97" s="13">
        <f t="shared" si="285"/>
        <v>0</v>
      </c>
      <c r="LV97" s="13">
        <f t="shared" si="286"/>
        <v>0</v>
      </c>
      <c r="LW97" s="13">
        <f t="shared" si="287"/>
        <v>0</v>
      </c>
      <c r="LX97" s="13">
        <f t="shared" si="288"/>
        <v>0</v>
      </c>
      <c r="LY97" s="13">
        <f t="shared" si="289"/>
        <v>0</v>
      </c>
      <c r="LZ97" s="13">
        <f t="shared" si="290"/>
        <v>0</v>
      </c>
      <c r="MA97" s="13">
        <f t="shared" si="291"/>
        <v>0</v>
      </c>
      <c r="MB97" s="13">
        <f t="shared" si="292"/>
        <v>0</v>
      </c>
      <c r="MC97" s="13">
        <f t="shared" si="293"/>
        <v>0</v>
      </c>
      <c r="MD97" s="13">
        <f t="shared" si="294"/>
        <v>0</v>
      </c>
      <c r="ME97" s="13">
        <f t="shared" si="295"/>
        <v>0</v>
      </c>
      <c r="MF97" s="13">
        <f t="shared" si="296"/>
        <v>0</v>
      </c>
      <c r="MG97" s="13">
        <f t="shared" si="297"/>
        <v>0</v>
      </c>
      <c r="MH97" s="13">
        <f t="shared" si="298"/>
        <v>0</v>
      </c>
      <c r="MI97" s="13">
        <f t="shared" si="299"/>
        <v>0</v>
      </c>
      <c r="MJ97" s="13">
        <f t="shared" si="300"/>
        <v>0</v>
      </c>
      <c r="MK97" s="13">
        <f t="shared" si="301"/>
        <v>0</v>
      </c>
      <c r="ML97" s="14">
        <f t="shared" si="302"/>
        <v>0</v>
      </c>
      <c r="MM97" s="14">
        <f t="shared" si="303"/>
        <v>0</v>
      </c>
      <c r="MN97" s="14">
        <f t="shared" si="304"/>
        <v>0</v>
      </c>
      <c r="MO97" s="14">
        <f t="shared" si="305"/>
        <v>0</v>
      </c>
      <c r="MP97" s="14">
        <f t="shared" si="306"/>
        <v>0</v>
      </c>
      <c r="MQ97" s="14">
        <f t="shared" si="307"/>
        <v>0</v>
      </c>
      <c r="MR97" s="14">
        <f t="shared" si="308"/>
        <v>0</v>
      </c>
      <c r="MS97" s="14">
        <f t="shared" si="309"/>
        <v>0</v>
      </c>
      <c r="MT97" s="14">
        <f t="shared" si="310"/>
        <v>0</v>
      </c>
      <c r="MU97" s="14">
        <f t="shared" si="311"/>
        <v>0</v>
      </c>
      <c r="MV97" s="14">
        <f t="shared" si="312"/>
        <v>0</v>
      </c>
      <c r="MW97" s="14">
        <f t="shared" si="313"/>
        <v>0</v>
      </c>
      <c r="MX97" s="14">
        <f t="shared" si="314"/>
        <v>0</v>
      </c>
      <c r="MY97" s="14">
        <f t="shared" si="315"/>
        <v>0</v>
      </c>
      <c r="MZ97" s="14">
        <f t="shared" si="316"/>
        <v>0</v>
      </c>
      <c r="NA97" s="14">
        <f t="shared" si="317"/>
        <v>0</v>
      </c>
      <c r="NB97" s="14">
        <f t="shared" si="318"/>
        <v>0</v>
      </c>
    </row>
    <row r="98" ht="15.75" customHeight="1">
      <c r="A98" s="2">
        <v>336.0</v>
      </c>
      <c r="B98" s="2" t="s">
        <v>2045</v>
      </c>
      <c r="C98" s="2" t="s">
        <v>2046</v>
      </c>
      <c r="D98" s="2" t="s">
        <v>2047</v>
      </c>
      <c r="E98" s="2">
        <v>2018.0</v>
      </c>
      <c r="F98" s="2" t="s">
        <v>676</v>
      </c>
      <c r="G98" s="2" t="s">
        <v>694</v>
      </c>
      <c r="H98" s="2" t="s">
        <v>656</v>
      </c>
      <c r="I98" s="2" t="s">
        <v>2048</v>
      </c>
      <c r="M98" s="2">
        <v>10.0</v>
      </c>
      <c r="N98" s="2" t="s">
        <v>2049</v>
      </c>
      <c r="O98" s="2" t="s">
        <v>2050</v>
      </c>
      <c r="P98" s="2" t="s">
        <v>2051</v>
      </c>
      <c r="Q98" s="2" t="s">
        <v>2052</v>
      </c>
      <c r="R98" s="2" t="s">
        <v>2053</v>
      </c>
      <c r="S98" s="2" t="s">
        <v>2054</v>
      </c>
      <c r="T98" s="2" t="s">
        <v>2055</v>
      </c>
      <c r="Y98" s="2" t="s">
        <v>2056</v>
      </c>
      <c r="AB98" s="2" t="s">
        <v>687</v>
      </c>
      <c r="AG98" s="2" t="s">
        <v>688</v>
      </c>
      <c r="AJ98" s="2">
        <v>3.0115836E7</v>
      </c>
      <c r="AK98" s="2" t="s">
        <v>689</v>
      </c>
      <c r="AL98" s="2" t="s">
        <v>384</v>
      </c>
      <c r="AM98" s="2" t="s">
        <v>484</v>
      </c>
      <c r="AN98" s="2" t="s">
        <v>386</v>
      </c>
      <c r="AO98" s="2" t="s">
        <v>2057</v>
      </c>
      <c r="AP98" s="2" t="s">
        <v>386</v>
      </c>
      <c r="AQ98" s="2">
        <v>1302.0</v>
      </c>
      <c r="AR98" s="2" t="s">
        <v>2047</v>
      </c>
      <c r="AS98" s="2" t="b">
        <v>1</v>
      </c>
      <c r="AT98" s="3">
        <v>0.0</v>
      </c>
      <c r="AU98" s="4"/>
      <c r="AV98" s="4"/>
      <c r="AW98" s="5">
        <f t="shared" si="432"/>
        <v>0</v>
      </c>
      <c r="AX98" s="5">
        <f t="shared" si="4"/>
        <v>0</v>
      </c>
      <c r="AY98" s="5">
        <f t="shared" si="5"/>
        <v>0</v>
      </c>
      <c r="AZ98" s="5">
        <f t="shared" si="6"/>
        <v>0</v>
      </c>
      <c r="BA98" s="5">
        <f t="shared" si="7"/>
        <v>0</v>
      </c>
      <c r="BB98" s="5">
        <f t="shared" si="8"/>
        <v>0</v>
      </c>
      <c r="BC98" s="5">
        <f t="shared" si="9"/>
        <v>0</v>
      </c>
      <c r="BD98" s="5">
        <f t="shared" si="10"/>
        <v>0</v>
      </c>
      <c r="BE98" s="5">
        <f t="shared" si="11"/>
        <v>0</v>
      </c>
      <c r="BF98" s="5">
        <f t="shared" si="12"/>
        <v>0</v>
      </c>
      <c r="BG98" s="5">
        <f t="shared" si="13"/>
        <v>0</v>
      </c>
      <c r="BH98" s="5">
        <f t="shared" si="14"/>
        <v>0</v>
      </c>
      <c r="BI98" s="5">
        <f t="shared" si="15"/>
        <v>0</v>
      </c>
      <c r="BJ98" s="5">
        <f t="shared" si="16"/>
        <v>0</v>
      </c>
      <c r="BK98" s="5">
        <f t="shared" si="17"/>
        <v>0</v>
      </c>
      <c r="BL98" s="5">
        <f t="shared" si="18"/>
        <v>0</v>
      </c>
      <c r="BM98" s="5">
        <f t="shared" si="19"/>
        <v>0</v>
      </c>
      <c r="BN98" s="5">
        <f t="shared" si="20"/>
        <v>0</v>
      </c>
      <c r="BO98" s="5">
        <f t="shared" si="21"/>
        <v>0</v>
      </c>
      <c r="BP98" s="5">
        <f t="shared" si="22"/>
        <v>0</v>
      </c>
      <c r="BQ98" s="5">
        <f t="shared" si="23"/>
        <v>0</v>
      </c>
      <c r="BR98" s="5">
        <f t="shared" si="24"/>
        <v>0</v>
      </c>
      <c r="BS98" s="5">
        <f t="shared" si="25"/>
        <v>0</v>
      </c>
      <c r="BT98" s="5">
        <f t="shared" si="26"/>
        <v>0</v>
      </c>
      <c r="BU98" s="5">
        <f t="shared" si="27"/>
        <v>1</v>
      </c>
      <c r="BV98" s="5">
        <f t="shared" ref="BV98:BW98" si="537">IF(OR(ISNUMBER(SEARCH("grit",$D98)),ISNUMBER(SEARCH("grit",$T98)),ISNUMBER(SEARCH("grit",$R98)),ISNUMBER(SEARCH("grit",$S98)),
ISNUMBER(SEARCH("determination",$D98)),ISNUMBER(SEARCH("determination",$T98)),ISNUMBER(SEARCH("determination",$R98)),ISNUMBER(SEARCH("determination",$S98)),
ISNUMBER(SEARCH("tenacity",$D98)),ISNUMBER(SEARCH("tenacity",$T98)),ISNUMBER(SEARCH("tenacity",$R98)),ISNUMBER(SEARCH("tenacity",$S98)),
ISNUMBER(SEARCH("endurance",$D98)),ISNUMBER(SEARCH("endurance",$T98)),ISNUMBER(SEARCH("endurance",$R98)),ISNUMBER(SEARCH("endurance",$S98)),
ISNUMBER(SEARCH("fortitude",$D98)),ISNUMBER(SEARCH("fortitude",$T98)),ISNUMBER(SEARCH("fortitude",$R98)),ISNUMBER(SEARCH("fortitude",$S98)),
ISNUMBER(SEARCH("resolve",$D98)),ISNUMBER(SEARCH("resolve",$T98)),ISNUMBER(SEARCH("resolve",$R98)),ISNUMBER(SEARCH("resolve",$S98)),
ISNUMBER(SEARCH("stamina",$D98)),ISNUMBER(SEARCH("stamina",$T98)),ISNUMBER(SEARCH("stamina",$R98)),ISNUMBER(SEARCH("stamina",$S98)),
ISNUMBER(SEARCH("guts",$D98)),ISNUMBER(SEARCH("guts",$T98)),ISNUMBER(SEARCH("guts",$R98)),ISNUMBER(SEARCH("guts",$S98)),
ISNUMBER(SEARCH("spunk",$D98)),ISNUMBER(SEARCH("spunk",$T98)),ISNUMBER(SEARCH("spunk",$R98)),ISNUMBER(SEARCH("spunk",$S98))), 1, 0)</f>
        <v>0</v>
      </c>
      <c r="BW98" s="5">
        <f t="shared" si="537"/>
        <v>0</v>
      </c>
      <c r="BX98" s="5">
        <f t="shared" si="29"/>
        <v>1</v>
      </c>
      <c r="BY98" s="5">
        <f t="shared" si="30"/>
        <v>0</v>
      </c>
      <c r="BZ98" s="5">
        <f t="shared" si="31"/>
        <v>0</v>
      </c>
      <c r="CA98" s="5">
        <f t="shared" si="32"/>
        <v>0</v>
      </c>
      <c r="CB98" s="5">
        <f t="shared" si="33"/>
        <v>0</v>
      </c>
      <c r="CC98" s="5">
        <f t="shared" si="34"/>
        <v>0</v>
      </c>
      <c r="CD98" s="5">
        <f t="shared" si="35"/>
        <v>0</v>
      </c>
      <c r="CE98" s="5">
        <f t="shared" si="36"/>
        <v>0</v>
      </c>
      <c r="CF98" s="5">
        <f t="shared" si="37"/>
        <v>0</v>
      </c>
      <c r="CG98" s="5">
        <f t="shared" si="38"/>
        <v>0</v>
      </c>
      <c r="CH98" s="5">
        <f t="shared" si="39"/>
        <v>0</v>
      </c>
      <c r="CI98" s="5">
        <f t="shared" si="40"/>
        <v>0</v>
      </c>
      <c r="CJ98" s="5">
        <f t="shared" si="41"/>
        <v>0</v>
      </c>
      <c r="CK98" s="5">
        <f t="shared" si="42"/>
        <v>0</v>
      </c>
      <c r="CL98" s="5">
        <f t="shared" si="43"/>
        <v>0</v>
      </c>
      <c r="CM98" s="5">
        <f t="shared" si="44"/>
        <v>0</v>
      </c>
      <c r="CN98" s="5">
        <f t="shared" si="45"/>
        <v>0</v>
      </c>
      <c r="CO98" s="5">
        <f t="shared" si="46"/>
        <v>0</v>
      </c>
      <c r="CP98" s="6">
        <f t="shared" si="47"/>
        <v>0</v>
      </c>
      <c r="CQ98" s="6">
        <f t="shared" si="48"/>
        <v>0</v>
      </c>
      <c r="CR98" s="6">
        <f t="shared" si="49"/>
        <v>0</v>
      </c>
      <c r="CS98" s="6">
        <f t="shared" si="50"/>
        <v>0</v>
      </c>
      <c r="CT98" s="6">
        <f t="shared" si="530"/>
        <v>0</v>
      </c>
      <c r="CU98" s="6">
        <f t="shared" si="52"/>
        <v>0</v>
      </c>
      <c r="CV98" s="6">
        <f t="shared" si="53"/>
        <v>0</v>
      </c>
      <c r="CW98" s="6">
        <f t="shared" si="54"/>
        <v>0</v>
      </c>
      <c r="CX98" s="6">
        <f t="shared" si="55"/>
        <v>0</v>
      </c>
      <c r="CY98" s="6">
        <f t="shared" si="56"/>
        <v>0</v>
      </c>
      <c r="CZ98" s="6">
        <f t="shared" si="57"/>
        <v>0</v>
      </c>
      <c r="DA98" s="6">
        <f t="shared" si="58"/>
        <v>0</v>
      </c>
      <c r="DB98" s="6">
        <f t="shared" si="59"/>
        <v>0</v>
      </c>
      <c r="DC98" s="6">
        <f t="shared" si="60"/>
        <v>0</v>
      </c>
      <c r="DD98" s="6">
        <f t="shared" si="61"/>
        <v>0</v>
      </c>
      <c r="DE98" s="6">
        <f t="shared" si="62"/>
        <v>0</v>
      </c>
      <c r="DF98" s="6">
        <f t="shared" si="63"/>
        <v>0</v>
      </c>
      <c r="DG98" s="6">
        <f t="shared" si="64"/>
        <v>0</v>
      </c>
      <c r="DH98" s="6">
        <f t="shared" si="509"/>
        <v>0</v>
      </c>
      <c r="DI98" s="6">
        <f t="shared" si="66"/>
        <v>0</v>
      </c>
      <c r="DJ98" s="6">
        <f t="shared" si="510"/>
        <v>0</v>
      </c>
      <c r="DK98" s="7">
        <f t="shared" si="68"/>
        <v>0</v>
      </c>
      <c r="DL98" s="7">
        <f t="shared" si="498"/>
        <v>0</v>
      </c>
      <c r="DM98" s="7">
        <f t="shared" si="70"/>
        <v>0</v>
      </c>
      <c r="DN98" s="7">
        <f t="shared" si="71"/>
        <v>0</v>
      </c>
      <c r="DO98" s="7">
        <f t="shared" si="72"/>
        <v>1</v>
      </c>
      <c r="DP98" s="8">
        <f t="shared" si="73"/>
        <v>0</v>
      </c>
      <c r="DQ98" s="8">
        <f t="shared" si="74"/>
        <v>1</v>
      </c>
      <c r="DR98" s="7">
        <f t="shared" si="75"/>
        <v>0</v>
      </c>
      <c r="DS98" s="7">
        <f t="shared" si="76"/>
        <v>0</v>
      </c>
      <c r="DT98" s="7">
        <f t="shared" si="77"/>
        <v>0</v>
      </c>
      <c r="DU98" s="9">
        <f t="shared" si="78"/>
        <v>0</v>
      </c>
      <c r="DV98" s="9">
        <f t="shared" si="79"/>
        <v>0</v>
      </c>
      <c r="DW98" s="9">
        <f t="shared" si="80"/>
        <v>0</v>
      </c>
      <c r="DX98" s="9">
        <f t="shared" si="81"/>
        <v>0</v>
      </c>
      <c r="DY98" s="9">
        <f t="shared" si="82"/>
        <v>0</v>
      </c>
      <c r="DZ98" s="9">
        <f t="shared" si="83"/>
        <v>0</v>
      </c>
      <c r="EA98" s="9">
        <f t="shared" si="84"/>
        <v>0</v>
      </c>
      <c r="EB98" s="9">
        <f t="shared" si="85"/>
        <v>0</v>
      </c>
      <c r="EC98" s="9">
        <f t="shared" si="86"/>
        <v>0</v>
      </c>
      <c r="ED98" s="9">
        <f t="shared" si="87"/>
        <v>0</v>
      </c>
      <c r="EE98" s="9">
        <f t="shared" si="88"/>
        <v>0</v>
      </c>
      <c r="EF98" s="9">
        <f t="shared" si="89"/>
        <v>0</v>
      </c>
      <c r="EG98" s="9">
        <f t="shared" si="90"/>
        <v>0</v>
      </c>
      <c r="EH98" s="9">
        <f t="shared" si="91"/>
        <v>0</v>
      </c>
      <c r="EI98" s="9">
        <f t="shared" si="92"/>
        <v>1</v>
      </c>
      <c r="EJ98" s="10">
        <f t="shared" si="93"/>
        <v>0</v>
      </c>
      <c r="EK98" s="10">
        <f t="shared" si="94"/>
        <v>0</v>
      </c>
      <c r="EL98" s="10">
        <f t="shared" ref="EL98:EM98" si="538">IF(OR(ISNUMBER(SEARCH("ai software toolkit", $D98)), ISNUMBER(SEARCH("ai software toolkit", $T98)), ISNUMBER(SEARCH("ai software toolkit", $R98)), ISNUMBER(SEARCH("ai software toolkit", $S98))), 1, 0)</f>
        <v>0</v>
      </c>
      <c r="EM98" s="10">
        <f t="shared" si="538"/>
        <v>0</v>
      </c>
      <c r="EN98" s="10">
        <f t="shared" si="96"/>
        <v>0</v>
      </c>
      <c r="EO98" s="10">
        <f t="shared" si="97"/>
        <v>0</v>
      </c>
      <c r="EP98" s="10">
        <f t="shared" si="98"/>
        <v>0</v>
      </c>
      <c r="EQ98" s="10">
        <f t="shared" si="99"/>
        <v>0</v>
      </c>
      <c r="ER98" s="10">
        <f t="shared" si="100"/>
        <v>0</v>
      </c>
      <c r="ES98" s="10">
        <f t="shared" si="101"/>
        <v>0</v>
      </c>
      <c r="ET98" s="10">
        <f t="shared" si="102"/>
        <v>0</v>
      </c>
      <c r="EU98" s="10">
        <f t="shared" si="103"/>
        <v>0</v>
      </c>
      <c r="EV98" s="10">
        <f t="shared" si="104"/>
        <v>0</v>
      </c>
      <c r="EW98" s="10">
        <f t="shared" si="105"/>
        <v>0</v>
      </c>
      <c r="EX98" s="10">
        <f t="shared" si="106"/>
        <v>0</v>
      </c>
      <c r="EY98" s="10">
        <f t="shared" si="107"/>
        <v>0</v>
      </c>
      <c r="EZ98" s="10">
        <f t="shared" si="108"/>
        <v>0</v>
      </c>
      <c r="FA98" s="10">
        <f t="shared" si="109"/>
        <v>0</v>
      </c>
      <c r="FB98" s="10">
        <f t="shared" si="110"/>
        <v>0</v>
      </c>
      <c r="FC98" s="10">
        <f t="shared" si="111"/>
        <v>0</v>
      </c>
      <c r="FD98" s="10">
        <f t="shared" si="112"/>
        <v>0</v>
      </c>
      <c r="FE98" s="10">
        <f t="shared" si="113"/>
        <v>0</v>
      </c>
      <c r="FF98" s="10">
        <f t="shared" si="114"/>
        <v>0</v>
      </c>
      <c r="FG98" s="10">
        <f t="shared" si="115"/>
        <v>0</v>
      </c>
      <c r="FH98" s="10">
        <f t="shared" si="116"/>
        <v>0</v>
      </c>
      <c r="FI98" s="10">
        <f t="shared" si="117"/>
        <v>0</v>
      </c>
      <c r="FJ98" s="10">
        <f t="shared" si="118"/>
        <v>0</v>
      </c>
      <c r="FK98" s="10">
        <f t="shared" si="119"/>
        <v>0</v>
      </c>
      <c r="FL98" s="10">
        <f t="shared" si="120"/>
        <v>0</v>
      </c>
      <c r="FM98" s="10">
        <f t="shared" si="121"/>
        <v>0</v>
      </c>
      <c r="FN98" s="10">
        <f t="shared" si="122"/>
        <v>0</v>
      </c>
      <c r="FO98" s="10">
        <f t="shared" si="123"/>
        <v>0</v>
      </c>
      <c r="FP98" s="10">
        <f t="shared" si="124"/>
        <v>0</v>
      </c>
      <c r="FQ98" s="10">
        <f t="shared" si="125"/>
        <v>0</v>
      </c>
      <c r="FR98" s="11">
        <f>IF(
OR(
ISNUMBER(SEARCH("chatbot",$D98)),ISNUMBER(SEARCH("chatbot",$T98)),ISNUMBER(SEARCH("chatbot",$R96)),ISNUMBER(SEARCH("chatbot",$S98)),
ISNUMBER(SEARCH("virtual assistance",$D98)),ISNUMBER(SEARCH("virtual assistance",$T98)),ISNUMBER(SEARCH("virtual assistance",$R98)),ISNUMBER(SEARCH("virtual assistance",$S98))), 1, 0)</f>
        <v>0</v>
      </c>
      <c r="FS98" s="11">
        <f t="shared" si="127"/>
        <v>0</v>
      </c>
      <c r="FT98" s="11">
        <f t="shared" si="128"/>
        <v>0</v>
      </c>
      <c r="FU98" s="11">
        <f t="shared" si="129"/>
        <v>0</v>
      </c>
      <c r="FV98" s="11">
        <f t="shared" si="130"/>
        <v>0</v>
      </c>
      <c r="FW98" s="11">
        <f t="shared" si="131"/>
        <v>0</v>
      </c>
      <c r="FX98" s="11">
        <f t="shared" si="132"/>
        <v>0</v>
      </c>
      <c r="FY98" s="11">
        <f t="shared" si="133"/>
        <v>0</v>
      </c>
      <c r="FZ98" s="11">
        <f t="shared" si="134"/>
        <v>0</v>
      </c>
      <c r="GA98" s="11">
        <f t="shared" si="135"/>
        <v>0</v>
      </c>
      <c r="GB98" s="11">
        <f t="shared" si="136"/>
        <v>0</v>
      </c>
      <c r="GC98" s="11">
        <f t="shared" si="137"/>
        <v>0</v>
      </c>
      <c r="GD98" s="11">
        <f t="shared" si="138"/>
        <v>0</v>
      </c>
      <c r="GE98" s="11">
        <f t="shared" si="139"/>
        <v>0</v>
      </c>
      <c r="GF98" s="11">
        <f t="shared" si="140"/>
        <v>0</v>
      </c>
      <c r="GG98" s="11">
        <f t="shared" si="141"/>
        <v>0</v>
      </c>
      <c r="GH98" s="11">
        <f t="shared" si="142"/>
        <v>0</v>
      </c>
      <c r="GI98" s="11">
        <f t="shared" si="143"/>
        <v>0</v>
      </c>
      <c r="GJ98" s="11">
        <f t="shared" si="144"/>
        <v>0</v>
      </c>
      <c r="GK98" s="11">
        <f t="shared" si="145"/>
        <v>0</v>
      </c>
      <c r="GL98" s="11">
        <f t="shared" si="146"/>
        <v>0</v>
      </c>
      <c r="GM98" s="11">
        <f t="shared" si="147"/>
        <v>0</v>
      </c>
      <c r="GN98" s="11">
        <f t="shared" si="148"/>
        <v>0</v>
      </c>
      <c r="GO98" s="11">
        <f t="shared" si="149"/>
        <v>0</v>
      </c>
      <c r="GP98" s="11">
        <f t="shared" si="150"/>
        <v>0</v>
      </c>
      <c r="GQ98" s="11">
        <f t="shared" si="151"/>
        <v>0</v>
      </c>
      <c r="GR98" s="11">
        <f t="shared" si="152"/>
        <v>0</v>
      </c>
      <c r="GS98" s="11">
        <f t="shared" si="153"/>
        <v>0</v>
      </c>
      <c r="GT98" s="11">
        <f t="shared" si="154"/>
        <v>0</v>
      </c>
      <c r="GU98" s="12">
        <f t="shared" si="155"/>
        <v>0</v>
      </c>
      <c r="GV98" s="12">
        <f t="shared" si="156"/>
        <v>0</v>
      </c>
      <c r="GW98" s="12">
        <f t="shared" si="157"/>
        <v>0</v>
      </c>
      <c r="GX98" s="12">
        <f t="shared" si="158"/>
        <v>0</v>
      </c>
      <c r="GY98" s="12">
        <f t="shared" si="159"/>
        <v>0</v>
      </c>
      <c r="GZ98" s="12">
        <f t="shared" si="160"/>
        <v>0</v>
      </c>
      <c r="HA98" s="12">
        <f t="shared" si="161"/>
        <v>0</v>
      </c>
      <c r="HB98" s="12">
        <f t="shared" si="162"/>
        <v>0</v>
      </c>
      <c r="HC98" s="12">
        <f t="shared" si="163"/>
        <v>0</v>
      </c>
      <c r="HD98" s="12">
        <f t="shared" si="164"/>
        <v>0</v>
      </c>
      <c r="HE98" s="12">
        <f t="shared" si="165"/>
        <v>0</v>
      </c>
      <c r="HF98" s="12">
        <f t="shared" si="166"/>
        <v>0</v>
      </c>
      <c r="HG98" s="12">
        <f t="shared" si="167"/>
        <v>0</v>
      </c>
      <c r="HH98" s="12">
        <f t="shared" si="168"/>
        <v>0</v>
      </c>
      <c r="HI98" s="12">
        <f t="shared" si="169"/>
        <v>0</v>
      </c>
      <c r="HJ98" s="12">
        <f t="shared" si="170"/>
        <v>0</v>
      </c>
      <c r="HK98" s="12">
        <f t="shared" si="171"/>
        <v>0</v>
      </c>
      <c r="HL98" s="12">
        <f t="shared" si="172"/>
        <v>0</v>
      </c>
      <c r="HM98" s="12">
        <f t="shared" si="173"/>
        <v>0</v>
      </c>
      <c r="HN98" s="12">
        <f t="shared" si="174"/>
        <v>0</v>
      </c>
      <c r="HO98" s="12">
        <f t="shared" si="175"/>
        <v>0</v>
      </c>
      <c r="HP98" s="12">
        <f t="shared" si="176"/>
        <v>0</v>
      </c>
      <c r="HQ98" s="12">
        <f t="shared" si="177"/>
        <v>0</v>
      </c>
      <c r="HR98" s="12">
        <f t="shared" si="178"/>
        <v>0</v>
      </c>
      <c r="HS98" s="12">
        <f t="shared" si="179"/>
        <v>0</v>
      </c>
      <c r="HT98" s="12">
        <f t="shared" si="180"/>
        <v>0</v>
      </c>
      <c r="HU98" s="12">
        <f t="shared" si="181"/>
        <v>0</v>
      </c>
      <c r="HV98" s="12">
        <f t="shared" si="182"/>
        <v>0</v>
      </c>
      <c r="HW98" s="12">
        <f t="shared" si="183"/>
        <v>0</v>
      </c>
      <c r="HX98" s="12">
        <f t="shared" si="184"/>
        <v>0</v>
      </c>
      <c r="HY98" s="12">
        <f t="shared" si="185"/>
        <v>0</v>
      </c>
      <c r="HZ98" s="12">
        <f t="shared" si="186"/>
        <v>0</v>
      </c>
      <c r="IA98" s="12">
        <f t="shared" si="187"/>
        <v>0</v>
      </c>
      <c r="IB98" s="12">
        <f t="shared" si="188"/>
        <v>0</v>
      </c>
      <c r="IC98" s="12">
        <f t="shared" si="189"/>
        <v>0</v>
      </c>
      <c r="ID98" s="12">
        <f t="shared" si="190"/>
        <v>0</v>
      </c>
      <c r="IE98" s="12">
        <f t="shared" si="191"/>
        <v>0</v>
      </c>
      <c r="IF98" s="12">
        <f t="shared" si="192"/>
        <v>0</v>
      </c>
      <c r="IG98" s="12">
        <f t="shared" si="193"/>
        <v>0</v>
      </c>
      <c r="IH98" s="12">
        <f t="shared" si="194"/>
        <v>0</v>
      </c>
      <c r="II98" s="12">
        <f t="shared" si="195"/>
        <v>0</v>
      </c>
      <c r="IJ98" s="12">
        <f t="shared" si="196"/>
        <v>0</v>
      </c>
      <c r="IK98" s="12">
        <f t="shared" si="197"/>
        <v>0</v>
      </c>
      <c r="IL98" s="12">
        <f t="shared" si="198"/>
        <v>0</v>
      </c>
      <c r="IM98" s="12">
        <f t="shared" si="199"/>
        <v>0</v>
      </c>
      <c r="IN98" s="12">
        <f t="shared" si="200"/>
        <v>0</v>
      </c>
      <c r="IO98" s="12">
        <f t="shared" si="201"/>
        <v>0</v>
      </c>
      <c r="IP98" s="12">
        <f t="shared" si="202"/>
        <v>0</v>
      </c>
      <c r="IQ98" s="12">
        <f t="shared" si="203"/>
        <v>0</v>
      </c>
      <c r="IR98" s="12">
        <f t="shared" si="204"/>
        <v>0</v>
      </c>
      <c r="IS98" s="12">
        <f t="shared" si="205"/>
        <v>0</v>
      </c>
      <c r="IT98" s="12">
        <f t="shared" si="206"/>
        <v>0</v>
      </c>
      <c r="IU98" s="12">
        <f t="shared" si="207"/>
        <v>0</v>
      </c>
      <c r="IV98" s="12">
        <f t="shared" si="208"/>
        <v>0</v>
      </c>
      <c r="IW98" s="12">
        <f t="shared" si="209"/>
        <v>0</v>
      </c>
      <c r="IX98" s="12">
        <f t="shared" si="210"/>
        <v>0</v>
      </c>
      <c r="IY98" s="12">
        <f t="shared" si="211"/>
        <v>0</v>
      </c>
      <c r="IZ98" s="12">
        <f t="shared" si="212"/>
        <v>0</v>
      </c>
      <c r="JA98" s="13">
        <f t="shared" si="213"/>
        <v>0</v>
      </c>
      <c r="JB98" s="13">
        <f t="shared" si="214"/>
        <v>0</v>
      </c>
      <c r="JC98" s="13">
        <f t="shared" si="215"/>
        <v>0</v>
      </c>
      <c r="JD98" s="13">
        <f t="shared" si="216"/>
        <v>0</v>
      </c>
      <c r="JE98" s="13">
        <f t="shared" si="217"/>
        <v>0</v>
      </c>
      <c r="JF98" s="13">
        <f t="shared" si="218"/>
        <v>0</v>
      </c>
      <c r="JG98" s="13">
        <f t="shared" si="219"/>
        <v>0</v>
      </c>
      <c r="JH98" s="13">
        <f t="shared" si="220"/>
        <v>0</v>
      </c>
      <c r="JI98" s="13">
        <f t="shared" si="221"/>
        <v>0</v>
      </c>
      <c r="JJ98" s="13">
        <f t="shared" si="222"/>
        <v>0</v>
      </c>
      <c r="JK98" s="13">
        <f t="shared" si="223"/>
        <v>0</v>
      </c>
      <c r="JL98" s="13">
        <f t="shared" si="224"/>
        <v>0</v>
      </c>
      <c r="JM98" s="13">
        <f t="shared" si="225"/>
        <v>0</v>
      </c>
      <c r="JN98" s="13">
        <f t="shared" si="226"/>
        <v>0</v>
      </c>
      <c r="JO98" s="13">
        <f t="shared" si="227"/>
        <v>0</v>
      </c>
      <c r="JP98" s="13">
        <f t="shared" si="228"/>
        <v>1</v>
      </c>
      <c r="JQ98" s="13">
        <f t="shared" si="229"/>
        <v>0</v>
      </c>
      <c r="JR98" s="13">
        <f t="shared" si="230"/>
        <v>0</v>
      </c>
      <c r="JS98" s="13">
        <f t="shared" si="231"/>
        <v>0</v>
      </c>
      <c r="JT98" s="13">
        <f t="shared" si="232"/>
        <v>0</v>
      </c>
      <c r="JU98" s="13">
        <f t="shared" si="233"/>
        <v>0</v>
      </c>
      <c r="JV98" s="12">
        <f t="shared" si="234"/>
        <v>0</v>
      </c>
      <c r="JW98" s="12">
        <f t="shared" si="235"/>
        <v>0</v>
      </c>
      <c r="JX98" s="12">
        <f t="shared" si="236"/>
        <v>0</v>
      </c>
      <c r="JY98" s="12">
        <f t="shared" si="237"/>
        <v>0</v>
      </c>
      <c r="JZ98" s="12">
        <f t="shared" si="238"/>
        <v>0</v>
      </c>
      <c r="KA98" s="12">
        <f t="shared" si="239"/>
        <v>0</v>
      </c>
      <c r="KB98" s="12">
        <f t="shared" si="240"/>
        <v>0</v>
      </c>
      <c r="KC98" s="12">
        <f t="shared" si="241"/>
        <v>0</v>
      </c>
      <c r="KD98" s="12">
        <f t="shared" si="242"/>
        <v>0</v>
      </c>
      <c r="KE98" s="12">
        <f t="shared" si="243"/>
        <v>0</v>
      </c>
      <c r="KF98" s="12">
        <f t="shared" si="244"/>
        <v>0</v>
      </c>
      <c r="KG98" s="12">
        <f t="shared" si="245"/>
        <v>0</v>
      </c>
      <c r="KH98" s="12">
        <f t="shared" si="246"/>
        <v>0</v>
      </c>
      <c r="KI98" s="12">
        <f t="shared" si="247"/>
        <v>0</v>
      </c>
      <c r="KJ98" s="12">
        <f t="shared" si="248"/>
        <v>0</v>
      </c>
      <c r="KK98" s="12">
        <f t="shared" si="249"/>
        <v>0</v>
      </c>
      <c r="KL98" s="12">
        <f t="shared" si="250"/>
        <v>0</v>
      </c>
      <c r="KM98" s="12">
        <f t="shared" si="251"/>
        <v>0</v>
      </c>
      <c r="KN98" s="12">
        <f t="shared" si="252"/>
        <v>0</v>
      </c>
      <c r="KO98" s="12">
        <f t="shared" si="253"/>
        <v>0</v>
      </c>
      <c r="KP98" s="12">
        <f t="shared" si="254"/>
        <v>0</v>
      </c>
      <c r="KQ98" s="12">
        <f t="shared" si="255"/>
        <v>0</v>
      </c>
      <c r="KR98" s="12">
        <f t="shared" si="256"/>
        <v>0</v>
      </c>
      <c r="KS98" s="12">
        <f t="shared" si="257"/>
        <v>0</v>
      </c>
      <c r="KT98" s="12">
        <f t="shared" si="258"/>
        <v>0</v>
      </c>
      <c r="KU98" s="12">
        <f t="shared" si="259"/>
        <v>0</v>
      </c>
      <c r="KV98" s="12">
        <f t="shared" si="260"/>
        <v>0</v>
      </c>
      <c r="KW98" s="12">
        <f t="shared" si="261"/>
        <v>0</v>
      </c>
      <c r="KX98" s="12">
        <f t="shared" si="262"/>
        <v>0</v>
      </c>
      <c r="KY98" s="12">
        <f t="shared" si="263"/>
        <v>0</v>
      </c>
      <c r="KZ98" s="12">
        <f t="shared" si="264"/>
        <v>0</v>
      </c>
      <c r="LA98" s="12">
        <f t="shared" si="265"/>
        <v>0</v>
      </c>
      <c r="LB98" s="12">
        <f t="shared" si="266"/>
        <v>0</v>
      </c>
      <c r="LC98" s="12">
        <f t="shared" si="267"/>
        <v>0</v>
      </c>
      <c r="LD98" s="12">
        <f t="shared" si="268"/>
        <v>0</v>
      </c>
      <c r="LE98" s="12">
        <f t="shared" si="269"/>
        <v>0</v>
      </c>
      <c r="LF98" s="12">
        <f t="shared" si="270"/>
        <v>0</v>
      </c>
      <c r="LG98" s="12">
        <f t="shared" si="271"/>
        <v>0</v>
      </c>
      <c r="LH98" s="12">
        <f t="shared" si="272"/>
        <v>0</v>
      </c>
      <c r="LI98" s="12">
        <f t="shared" si="273"/>
        <v>0</v>
      </c>
      <c r="LJ98" s="12">
        <f t="shared" si="274"/>
        <v>0</v>
      </c>
      <c r="LK98" s="12">
        <f t="shared" si="275"/>
        <v>0</v>
      </c>
      <c r="LL98" s="12">
        <f t="shared" si="276"/>
        <v>0</v>
      </c>
      <c r="LM98" s="12">
        <f t="shared" si="277"/>
        <v>0</v>
      </c>
      <c r="LN98" s="12">
        <f t="shared" si="278"/>
        <v>0</v>
      </c>
      <c r="LO98" s="12">
        <f t="shared" si="279"/>
        <v>0</v>
      </c>
      <c r="LP98" s="12">
        <f t="shared" si="280"/>
        <v>0</v>
      </c>
      <c r="LQ98" s="12">
        <f t="shared" si="281"/>
        <v>0</v>
      </c>
      <c r="LR98" s="12">
        <f t="shared" si="282"/>
        <v>0</v>
      </c>
      <c r="LS98" s="12">
        <f t="shared" si="283"/>
        <v>0</v>
      </c>
      <c r="LT98" s="13">
        <f t="shared" si="284"/>
        <v>0</v>
      </c>
      <c r="LU98" s="13">
        <f t="shared" si="285"/>
        <v>0</v>
      </c>
      <c r="LV98" s="13">
        <f t="shared" si="286"/>
        <v>0</v>
      </c>
      <c r="LW98" s="13">
        <f t="shared" si="287"/>
        <v>0</v>
      </c>
      <c r="LX98" s="13">
        <f t="shared" si="288"/>
        <v>0</v>
      </c>
      <c r="LY98" s="13">
        <f t="shared" si="289"/>
        <v>0</v>
      </c>
      <c r="LZ98" s="13">
        <f t="shared" si="290"/>
        <v>0</v>
      </c>
      <c r="MA98" s="13">
        <f t="shared" si="291"/>
        <v>0</v>
      </c>
      <c r="MB98" s="13">
        <f t="shared" si="292"/>
        <v>0</v>
      </c>
      <c r="MC98" s="13">
        <f t="shared" si="293"/>
        <v>0</v>
      </c>
      <c r="MD98" s="13">
        <f t="shared" si="294"/>
        <v>0</v>
      </c>
      <c r="ME98" s="13">
        <f t="shared" si="295"/>
        <v>0</v>
      </c>
      <c r="MF98" s="13">
        <f t="shared" si="296"/>
        <v>0</v>
      </c>
      <c r="MG98" s="13">
        <f t="shared" si="297"/>
        <v>0</v>
      </c>
      <c r="MH98" s="13">
        <f t="shared" si="298"/>
        <v>0</v>
      </c>
      <c r="MI98" s="13">
        <f t="shared" si="299"/>
        <v>0</v>
      </c>
      <c r="MJ98" s="13">
        <f t="shared" si="300"/>
        <v>0</v>
      </c>
      <c r="MK98" s="13">
        <f t="shared" si="301"/>
        <v>0</v>
      </c>
      <c r="ML98" s="14">
        <f t="shared" si="302"/>
        <v>0</v>
      </c>
      <c r="MM98" s="14">
        <f t="shared" si="303"/>
        <v>0</v>
      </c>
      <c r="MN98" s="14">
        <f t="shared" si="304"/>
        <v>0</v>
      </c>
      <c r="MO98" s="14">
        <f t="shared" si="305"/>
        <v>0</v>
      </c>
      <c r="MP98" s="14">
        <f t="shared" si="306"/>
        <v>0</v>
      </c>
      <c r="MQ98" s="14">
        <f t="shared" si="307"/>
        <v>0</v>
      </c>
      <c r="MR98" s="14">
        <f t="shared" si="308"/>
        <v>0</v>
      </c>
      <c r="MS98" s="14">
        <f t="shared" si="309"/>
        <v>0</v>
      </c>
      <c r="MT98" s="14">
        <f t="shared" si="310"/>
        <v>0</v>
      </c>
      <c r="MU98" s="14">
        <f t="shared" si="311"/>
        <v>0</v>
      </c>
      <c r="MV98" s="14">
        <f t="shared" si="312"/>
        <v>0</v>
      </c>
      <c r="MW98" s="14">
        <f t="shared" si="313"/>
        <v>0</v>
      </c>
      <c r="MX98" s="14">
        <f t="shared" si="314"/>
        <v>0</v>
      </c>
      <c r="MY98" s="14">
        <f t="shared" si="315"/>
        <v>0</v>
      </c>
      <c r="MZ98" s="14">
        <f t="shared" si="316"/>
        <v>0</v>
      </c>
      <c r="NA98" s="14">
        <f t="shared" si="317"/>
        <v>0</v>
      </c>
      <c r="NB98" s="14">
        <f t="shared" si="318"/>
        <v>0</v>
      </c>
    </row>
    <row r="99" ht="15.75" customHeight="1">
      <c r="A99" s="2">
        <v>100.0</v>
      </c>
      <c r="B99" s="2" t="s">
        <v>2058</v>
      </c>
      <c r="C99" s="2" t="s">
        <v>2059</v>
      </c>
      <c r="D99" s="2" t="s">
        <v>2060</v>
      </c>
      <c r="E99" s="2">
        <v>2021.0</v>
      </c>
      <c r="F99" s="2" t="s">
        <v>762</v>
      </c>
      <c r="G99" s="2" t="s">
        <v>694</v>
      </c>
      <c r="H99" s="2" t="s">
        <v>1069</v>
      </c>
      <c r="I99" s="2" t="s">
        <v>2061</v>
      </c>
      <c r="M99" s="2">
        <v>10.0</v>
      </c>
      <c r="N99" s="2" t="s">
        <v>2062</v>
      </c>
      <c r="O99" s="2" t="s">
        <v>2063</v>
      </c>
      <c r="P99" s="2" t="s">
        <v>2064</v>
      </c>
      <c r="Q99" s="2" t="s">
        <v>2065</v>
      </c>
      <c r="R99" s="2" t="s">
        <v>2066</v>
      </c>
      <c r="S99" s="2" t="s">
        <v>2067</v>
      </c>
      <c r="T99" s="2" t="s">
        <v>2068</v>
      </c>
      <c r="V99" s="2" t="s">
        <v>2069</v>
      </c>
      <c r="Y99" s="2" t="s">
        <v>2070</v>
      </c>
      <c r="AB99" s="2" t="s">
        <v>687</v>
      </c>
      <c r="AG99" s="2" t="s">
        <v>772</v>
      </c>
      <c r="AJ99" s="2">
        <v>3.4069467E7</v>
      </c>
      <c r="AK99" s="2" t="s">
        <v>773</v>
      </c>
      <c r="AL99" s="2" t="s">
        <v>384</v>
      </c>
      <c r="AM99" s="2" t="s">
        <v>484</v>
      </c>
      <c r="AN99" s="2" t="s">
        <v>386</v>
      </c>
      <c r="AO99" s="2" t="s">
        <v>2071</v>
      </c>
      <c r="AP99" s="2" t="s">
        <v>386</v>
      </c>
      <c r="AQ99" s="2">
        <v>326.0</v>
      </c>
      <c r="AR99" s="2" t="s">
        <v>2072</v>
      </c>
      <c r="AS99" s="2" t="b">
        <v>0</v>
      </c>
      <c r="AT99" s="3">
        <v>0.0</v>
      </c>
      <c r="AU99" s="4"/>
      <c r="AV99" s="4"/>
      <c r="AW99" s="5">
        <f t="shared" si="432"/>
        <v>0</v>
      </c>
      <c r="AX99" s="5">
        <f t="shared" si="4"/>
        <v>0</v>
      </c>
      <c r="AY99" s="5">
        <f t="shared" si="5"/>
        <v>0</v>
      </c>
      <c r="AZ99" s="5">
        <f t="shared" si="6"/>
        <v>0</v>
      </c>
      <c r="BA99" s="5">
        <f t="shared" si="7"/>
        <v>0</v>
      </c>
      <c r="BB99" s="5">
        <f t="shared" si="8"/>
        <v>0</v>
      </c>
      <c r="BC99" s="5">
        <f t="shared" si="9"/>
        <v>0</v>
      </c>
      <c r="BD99" s="5">
        <f t="shared" si="10"/>
        <v>0</v>
      </c>
      <c r="BE99" s="5">
        <f t="shared" si="11"/>
        <v>0</v>
      </c>
      <c r="BF99" s="5">
        <f t="shared" si="12"/>
        <v>0</v>
      </c>
      <c r="BG99" s="5">
        <f t="shared" si="13"/>
        <v>0</v>
      </c>
      <c r="BH99" s="5">
        <f t="shared" si="14"/>
        <v>0</v>
      </c>
      <c r="BI99" s="5">
        <f t="shared" si="15"/>
        <v>0</v>
      </c>
      <c r="BJ99" s="5">
        <f t="shared" si="16"/>
        <v>0</v>
      </c>
      <c r="BK99" s="5">
        <f t="shared" si="17"/>
        <v>0</v>
      </c>
      <c r="BL99" s="5">
        <f t="shared" si="18"/>
        <v>0</v>
      </c>
      <c r="BM99" s="5">
        <f t="shared" si="19"/>
        <v>0</v>
      </c>
      <c r="BN99" s="5">
        <f t="shared" si="20"/>
        <v>0</v>
      </c>
      <c r="BO99" s="5">
        <f t="shared" si="21"/>
        <v>0</v>
      </c>
      <c r="BP99" s="5">
        <f t="shared" si="22"/>
        <v>0</v>
      </c>
      <c r="BQ99" s="5">
        <f t="shared" si="23"/>
        <v>0</v>
      </c>
      <c r="BR99" s="5">
        <f t="shared" si="24"/>
        <v>0</v>
      </c>
      <c r="BS99" s="5">
        <f t="shared" si="25"/>
        <v>0</v>
      </c>
      <c r="BT99" s="5">
        <f t="shared" si="26"/>
        <v>0</v>
      </c>
      <c r="BU99" s="5">
        <f t="shared" si="27"/>
        <v>0</v>
      </c>
      <c r="BV99" s="5">
        <f t="shared" ref="BV99:BW99" si="539">IF(OR(ISNUMBER(SEARCH("grit",$D99)),ISNUMBER(SEARCH("grit",$T99)),ISNUMBER(SEARCH("grit",$R99)),ISNUMBER(SEARCH("grit",$S99)),
ISNUMBER(SEARCH("determination",$D99)),ISNUMBER(SEARCH("determination",$T99)),ISNUMBER(SEARCH("determination",$R99)),ISNUMBER(SEARCH("determination",$S99)),
ISNUMBER(SEARCH("tenacity",$D99)),ISNUMBER(SEARCH("tenacity",$T99)),ISNUMBER(SEARCH("tenacity",$R99)),ISNUMBER(SEARCH("tenacity",$S99)),
ISNUMBER(SEARCH("endurance",$D99)),ISNUMBER(SEARCH("endurance",$T99)),ISNUMBER(SEARCH("endurance",$R99)),ISNUMBER(SEARCH("endurance",$S99)),
ISNUMBER(SEARCH("fortitude",$D99)),ISNUMBER(SEARCH("fortitude",$T99)),ISNUMBER(SEARCH("fortitude",$R99)),ISNUMBER(SEARCH("fortitude",$S99)),
ISNUMBER(SEARCH("resolve",$D99)),ISNUMBER(SEARCH("resolve",$T99)),ISNUMBER(SEARCH("resolve",$R99)),ISNUMBER(SEARCH("resolve",$S99)),
ISNUMBER(SEARCH("stamina",$D99)),ISNUMBER(SEARCH("stamina",$T99)),ISNUMBER(SEARCH("stamina",$R99)),ISNUMBER(SEARCH("stamina",$S99)),
ISNUMBER(SEARCH("guts",$D99)),ISNUMBER(SEARCH("guts",$T99)),ISNUMBER(SEARCH("guts",$R99)),ISNUMBER(SEARCH("guts",$S99)),
ISNUMBER(SEARCH("spunk",$D99)),ISNUMBER(SEARCH("spunk",$T99)),ISNUMBER(SEARCH("spunk",$R99)),ISNUMBER(SEARCH("spunk",$S99))), 1, 0)</f>
        <v>0</v>
      </c>
      <c r="BW99" s="5">
        <f t="shared" si="539"/>
        <v>0</v>
      </c>
      <c r="BX99" s="5">
        <f t="shared" si="29"/>
        <v>0</v>
      </c>
      <c r="BY99" s="5">
        <f t="shared" si="30"/>
        <v>0</v>
      </c>
      <c r="BZ99" s="5">
        <f t="shared" si="31"/>
        <v>0</v>
      </c>
      <c r="CA99" s="5">
        <f t="shared" si="32"/>
        <v>0</v>
      </c>
      <c r="CB99" s="5">
        <f t="shared" si="33"/>
        <v>0</v>
      </c>
      <c r="CC99" s="5">
        <f t="shared" si="34"/>
        <v>0</v>
      </c>
      <c r="CD99" s="5">
        <f t="shared" si="35"/>
        <v>0</v>
      </c>
      <c r="CE99" s="5">
        <f t="shared" si="36"/>
        <v>0</v>
      </c>
      <c r="CF99" s="5">
        <f t="shared" si="37"/>
        <v>0</v>
      </c>
      <c r="CG99" s="5">
        <f t="shared" si="38"/>
        <v>0</v>
      </c>
      <c r="CH99" s="5">
        <f t="shared" si="39"/>
        <v>0</v>
      </c>
      <c r="CI99" s="5">
        <f t="shared" si="40"/>
        <v>0</v>
      </c>
      <c r="CJ99" s="5">
        <f t="shared" si="41"/>
        <v>0</v>
      </c>
      <c r="CK99" s="5">
        <f t="shared" si="42"/>
        <v>0</v>
      </c>
      <c r="CL99" s="5">
        <f t="shared" si="43"/>
        <v>0</v>
      </c>
      <c r="CM99" s="5">
        <f t="shared" si="44"/>
        <v>0</v>
      </c>
      <c r="CN99" s="5">
        <f t="shared" si="45"/>
        <v>0</v>
      </c>
      <c r="CO99" s="5">
        <f t="shared" si="46"/>
        <v>0</v>
      </c>
      <c r="CP99" s="6">
        <f t="shared" si="47"/>
        <v>0</v>
      </c>
      <c r="CQ99" s="6">
        <f t="shared" si="48"/>
        <v>1</v>
      </c>
      <c r="CR99" s="6">
        <f t="shared" si="49"/>
        <v>0</v>
      </c>
      <c r="CS99" s="6">
        <f t="shared" si="50"/>
        <v>0</v>
      </c>
      <c r="CT99" s="6">
        <f t="shared" si="530"/>
        <v>0</v>
      </c>
      <c r="CU99" s="6">
        <f t="shared" si="52"/>
        <v>0</v>
      </c>
      <c r="CV99" s="6">
        <f t="shared" si="53"/>
        <v>0</v>
      </c>
      <c r="CW99" s="6">
        <f t="shared" si="54"/>
        <v>0</v>
      </c>
      <c r="CX99" s="6">
        <f t="shared" si="55"/>
        <v>0</v>
      </c>
      <c r="CY99" s="6">
        <f t="shared" si="56"/>
        <v>0</v>
      </c>
      <c r="CZ99" s="6">
        <f t="shared" si="57"/>
        <v>0</v>
      </c>
      <c r="DA99" s="6">
        <f t="shared" si="58"/>
        <v>0</v>
      </c>
      <c r="DB99" s="6">
        <f t="shared" si="59"/>
        <v>0</v>
      </c>
      <c r="DC99" s="6">
        <f t="shared" si="60"/>
        <v>0</v>
      </c>
      <c r="DD99" s="6">
        <f t="shared" si="61"/>
        <v>0</v>
      </c>
      <c r="DE99" s="6">
        <f t="shared" si="62"/>
        <v>0</v>
      </c>
      <c r="DF99" s="6">
        <f t="shared" si="63"/>
        <v>0</v>
      </c>
      <c r="DG99" s="6">
        <f t="shared" si="64"/>
        <v>0</v>
      </c>
      <c r="DH99" s="6">
        <f t="shared" si="509"/>
        <v>0</v>
      </c>
      <c r="DI99" s="6">
        <f t="shared" si="66"/>
        <v>0</v>
      </c>
      <c r="DJ99" s="6">
        <f t="shared" si="510"/>
        <v>0</v>
      </c>
      <c r="DK99" s="7">
        <f t="shared" si="68"/>
        <v>0</v>
      </c>
      <c r="DL99" s="7">
        <f t="shared" si="498"/>
        <v>0</v>
      </c>
      <c r="DM99" s="7">
        <f t="shared" si="70"/>
        <v>0</v>
      </c>
      <c r="DN99" s="7">
        <f t="shared" si="71"/>
        <v>0</v>
      </c>
      <c r="DO99" s="7">
        <f t="shared" si="72"/>
        <v>0</v>
      </c>
      <c r="DP99" s="8">
        <f t="shared" si="73"/>
        <v>0</v>
      </c>
      <c r="DQ99" s="8">
        <f t="shared" si="74"/>
        <v>1</v>
      </c>
      <c r="DR99" s="7">
        <f t="shared" si="75"/>
        <v>1</v>
      </c>
      <c r="DS99" s="7">
        <f t="shared" si="76"/>
        <v>0</v>
      </c>
      <c r="DT99" s="7">
        <f t="shared" si="77"/>
        <v>0</v>
      </c>
      <c r="DU99" s="9">
        <f t="shared" si="78"/>
        <v>0</v>
      </c>
      <c r="DV99" s="9">
        <f t="shared" si="79"/>
        <v>0</v>
      </c>
      <c r="DW99" s="9">
        <f t="shared" si="80"/>
        <v>0</v>
      </c>
      <c r="DX99" s="9">
        <f t="shared" si="81"/>
        <v>0</v>
      </c>
      <c r="DY99" s="9">
        <f t="shared" si="82"/>
        <v>0</v>
      </c>
      <c r="DZ99" s="9">
        <f t="shared" si="83"/>
        <v>0</v>
      </c>
      <c r="EA99" s="9">
        <f t="shared" si="84"/>
        <v>0</v>
      </c>
      <c r="EB99" s="9">
        <f t="shared" si="85"/>
        <v>0</v>
      </c>
      <c r="EC99" s="9">
        <f t="shared" si="86"/>
        <v>0</v>
      </c>
      <c r="ED99" s="9">
        <f t="shared" si="87"/>
        <v>0</v>
      </c>
      <c r="EE99" s="9">
        <f t="shared" si="88"/>
        <v>0</v>
      </c>
      <c r="EF99" s="9">
        <f t="shared" si="89"/>
        <v>0</v>
      </c>
      <c r="EG99" s="9">
        <f t="shared" si="90"/>
        <v>0</v>
      </c>
      <c r="EH99" s="9">
        <f t="shared" si="91"/>
        <v>0</v>
      </c>
      <c r="EI99" s="9">
        <f t="shared" si="92"/>
        <v>0</v>
      </c>
      <c r="EJ99" s="10">
        <f t="shared" si="93"/>
        <v>0</v>
      </c>
      <c r="EK99" s="10">
        <f t="shared" si="94"/>
        <v>0</v>
      </c>
      <c r="EL99" s="10">
        <f t="shared" ref="EL99:EM99" si="540">IF(OR(ISNUMBER(SEARCH("ai software toolkit", $D99)), ISNUMBER(SEARCH("ai software toolkit", $T99)), ISNUMBER(SEARCH("ai software toolkit", $R99)), ISNUMBER(SEARCH("ai software toolkit", $S99))), 1, 0)</f>
        <v>0</v>
      </c>
      <c r="EM99" s="10">
        <f t="shared" si="540"/>
        <v>0</v>
      </c>
      <c r="EN99" s="10">
        <f t="shared" si="96"/>
        <v>0</v>
      </c>
      <c r="EO99" s="10">
        <f t="shared" si="97"/>
        <v>0</v>
      </c>
      <c r="EP99" s="10">
        <f t="shared" si="98"/>
        <v>0</v>
      </c>
      <c r="EQ99" s="10">
        <f t="shared" si="99"/>
        <v>0</v>
      </c>
      <c r="ER99" s="10">
        <f t="shared" si="100"/>
        <v>0</v>
      </c>
      <c r="ES99" s="10">
        <f t="shared" si="101"/>
        <v>0</v>
      </c>
      <c r="ET99" s="10">
        <f t="shared" si="102"/>
        <v>0</v>
      </c>
      <c r="EU99" s="10">
        <f t="shared" si="103"/>
        <v>0</v>
      </c>
      <c r="EV99" s="10">
        <f t="shared" si="104"/>
        <v>0</v>
      </c>
      <c r="EW99" s="10">
        <f t="shared" si="105"/>
        <v>0</v>
      </c>
      <c r="EX99" s="10">
        <f t="shared" si="106"/>
        <v>0</v>
      </c>
      <c r="EY99" s="10">
        <f t="shared" si="107"/>
        <v>0</v>
      </c>
      <c r="EZ99" s="10">
        <f t="shared" si="108"/>
        <v>0</v>
      </c>
      <c r="FA99" s="10">
        <f t="shared" si="109"/>
        <v>0</v>
      </c>
      <c r="FB99" s="10">
        <f t="shared" si="110"/>
        <v>0</v>
      </c>
      <c r="FC99" s="10">
        <f t="shared" si="111"/>
        <v>0</v>
      </c>
      <c r="FD99" s="10">
        <f t="shared" si="112"/>
        <v>0</v>
      </c>
      <c r="FE99" s="10">
        <f t="shared" si="113"/>
        <v>0</v>
      </c>
      <c r="FF99" s="10">
        <f t="shared" si="114"/>
        <v>0</v>
      </c>
      <c r="FG99" s="10">
        <f t="shared" si="115"/>
        <v>0</v>
      </c>
      <c r="FH99" s="10">
        <f t="shared" si="116"/>
        <v>0</v>
      </c>
      <c r="FI99" s="10">
        <f t="shared" si="117"/>
        <v>0</v>
      </c>
      <c r="FJ99" s="10">
        <f t="shared" si="118"/>
        <v>0</v>
      </c>
      <c r="FK99" s="10">
        <f t="shared" si="119"/>
        <v>0</v>
      </c>
      <c r="FL99" s="10">
        <f t="shared" si="120"/>
        <v>0</v>
      </c>
      <c r="FM99" s="10">
        <f t="shared" si="121"/>
        <v>0</v>
      </c>
      <c r="FN99" s="10">
        <f t="shared" si="122"/>
        <v>0</v>
      </c>
      <c r="FO99" s="10">
        <f t="shared" si="123"/>
        <v>0</v>
      </c>
      <c r="FP99" s="10">
        <f t="shared" si="124"/>
        <v>0</v>
      </c>
      <c r="FQ99" s="10">
        <f t="shared" si="125"/>
        <v>0</v>
      </c>
      <c r="FR99" s="11">
        <f t="shared" ref="FR99:FR127" si="543">IF(
OR(
ISNUMBER(SEARCH("chatbot",$D99)),ISNUMBER(SEARCH("chatbot",$T99)),ISNUMBER(SEARCH("chatbot",#REF!)),ISNUMBER(SEARCH("chatbot",$S99)),
ISNUMBER(SEARCH("virtual assistance",$D99)),ISNUMBER(SEARCH("virtual assistance",$T99)),ISNUMBER(SEARCH("virtual assistance",$R99)),ISNUMBER(SEARCH("virtual assistance",$S99))), 1, 0)</f>
        <v>0</v>
      </c>
      <c r="FS99" s="11">
        <f t="shared" si="127"/>
        <v>0</v>
      </c>
      <c r="FT99" s="11">
        <f t="shared" si="128"/>
        <v>0</v>
      </c>
      <c r="FU99" s="11">
        <f t="shared" si="129"/>
        <v>0</v>
      </c>
      <c r="FV99" s="11">
        <f t="shared" si="130"/>
        <v>0</v>
      </c>
      <c r="FW99" s="11">
        <f t="shared" si="131"/>
        <v>1</v>
      </c>
      <c r="FX99" s="11">
        <f t="shared" si="132"/>
        <v>0</v>
      </c>
      <c r="FY99" s="11">
        <f t="shared" si="133"/>
        <v>0</v>
      </c>
      <c r="FZ99" s="11">
        <f t="shared" si="134"/>
        <v>0</v>
      </c>
      <c r="GA99" s="11">
        <f t="shared" si="135"/>
        <v>0</v>
      </c>
      <c r="GB99" s="11">
        <f t="shared" si="136"/>
        <v>0</v>
      </c>
      <c r="GC99" s="11">
        <f t="shared" si="137"/>
        <v>0</v>
      </c>
      <c r="GD99" s="11">
        <f t="shared" si="138"/>
        <v>0</v>
      </c>
      <c r="GE99" s="11">
        <f t="shared" si="139"/>
        <v>0</v>
      </c>
      <c r="GF99" s="11">
        <f t="shared" si="140"/>
        <v>0</v>
      </c>
      <c r="GG99" s="11">
        <f t="shared" si="141"/>
        <v>0</v>
      </c>
      <c r="GH99" s="11">
        <f t="shared" si="142"/>
        <v>0</v>
      </c>
      <c r="GI99" s="11">
        <f t="shared" si="143"/>
        <v>0</v>
      </c>
      <c r="GJ99" s="11">
        <f t="shared" si="144"/>
        <v>0</v>
      </c>
      <c r="GK99" s="11">
        <f t="shared" si="145"/>
        <v>0</v>
      </c>
      <c r="GL99" s="11">
        <f t="shared" si="146"/>
        <v>0</v>
      </c>
      <c r="GM99" s="11">
        <f t="shared" si="147"/>
        <v>0</v>
      </c>
      <c r="GN99" s="11">
        <f t="shared" si="148"/>
        <v>0</v>
      </c>
      <c r="GO99" s="11">
        <f t="shared" si="149"/>
        <v>0</v>
      </c>
      <c r="GP99" s="11">
        <f t="shared" si="150"/>
        <v>0</v>
      </c>
      <c r="GQ99" s="11">
        <f t="shared" si="151"/>
        <v>0</v>
      </c>
      <c r="GR99" s="11">
        <f t="shared" si="152"/>
        <v>0</v>
      </c>
      <c r="GS99" s="11">
        <f t="shared" si="153"/>
        <v>0</v>
      </c>
      <c r="GT99" s="11">
        <f t="shared" si="154"/>
        <v>0</v>
      </c>
      <c r="GU99" s="12">
        <f t="shared" si="155"/>
        <v>0</v>
      </c>
      <c r="GV99" s="12">
        <f t="shared" si="156"/>
        <v>0</v>
      </c>
      <c r="GW99" s="12">
        <f t="shared" si="157"/>
        <v>0</v>
      </c>
      <c r="GX99" s="12">
        <f t="shared" si="158"/>
        <v>0</v>
      </c>
      <c r="GY99" s="12">
        <f t="shared" si="159"/>
        <v>0</v>
      </c>
      <c r="GZ99" s="12">
        <f t="shared" si="160"/>
        <v>0</v>
      </c>
      <c r="HA99" s="12">
        <f t="shared" si="161"/>
        <v>0</v>
      </c>
      <c r="HB99" s="12">
        <f t="shared" si="162"/>
        <v>0</v>
      </c>
      <c r="HC99" s="12">
        <f t="shared" si="163"/>
        <v>0</v>
      </c>
      <c r="HD99" s="12">
        <f t="shared" si="164"/>
        <v>0</v>
      </c>
      <c r="HE99" s="12">
        <f t="shared" si="165"/>
        <v>0</v>
      </c>
      <c r="HF99" s="12">
        <f t="shared" si="166"/>
        <v>0</v>
      </c>
      <c r="HG99" s="12">
        <f t="shared" si="167"/>
        <v>0</v>
      </c>
      <c r="HH99" s="12">
        <f t="shared" si="168"/>
        <v>0</v>
      </c>
      <c r="HI99" s="12">
        <f t="shared" si="169"/>
        <v>0</v>
      </c>
      <c r="HJ99" s="12">
        <f t="shared" si="170"/>
        <v>0</v>
      </c>
      <c r="HK99" s="12">
        <f t="shared" si="171"/>
        <v>0</v>
      </c>
      <c r="HL99" s="12">
        <f t="shared" si="172"/>
        <v>0</v>
      </c>
      <c r="HM99" s="12">
        <f t="shared" si="173"/>
        <v>0</v>
      </c>
      <c r="HN99" s="12">
        <f t="shared" si="174"/>
        <v>0</v>
      </c>
      <c r="HO99" s="12">
        <f t="shared" si="175"/>
        <v>0</v>
      </c>
      <c r="HP99" s="12">
        <f t="shared" si="176"/>
        <v>0</v>
      </c>
      <c r="HQ99" s="12">
        <f t="shared" si="177"/>
        <v>0</v>
      </c>
      <c r="HR99" s="12">
        <f t="shared" si="178"/>
        <v>0</v>
      </c>
      <c r="HS99" s="12">
        <f t="shared" si="179"/>
        <v>0</v>
      </c>
      <c r="HT99" s="12">
        <f t="shared" si="180"/>
        <v>0</v>
      </c>
      <c r="HU99" s="12">
        <f t="shared" si="181"/>
        <v>0</v>
      </c>
      <c r="HV99" s="12">
        <f t="shared" si="182"/>
        <v>0</v>
      </c>
      <c r="HW99" s="12">
        <f t="shared" si="183"/>
        <v>0</v>
      </c>
      <c r="HX99" s="12">
        <f t="shared" si="184"/>
        <v>0</v>
      </c>
      <c r="HY99" s="12">
        <f t="shared" si="185"/>
        <v>0</v>
      </c>
      <c r="HZ99" s="12">
        <f t="shared" si="186"/>
        <v>0</v>
      </c>
      <c r="IA99" s="12">
        <f t="shared" si="187"/>
        <v>0</v>
      </c>
      <c r="IB99" s="12">
        <f t="shared" si="188"/>
        <v>0</v>
      </c>
      <c r="IC99" s="12">
        <f t="shared" si="189"/>
        <v>0</v>
      </c>
      <c r="ID99" s="12">
        <f t="shared" si="190"/>
        <v>0</v>
      </c>
      <c r="IE99" s="12">
        <f t="shared" si="191"/>
        <v>0</v>
      </c>
      <c r="IF99" s="12">
        <f t="shared" si="192"/>
        <v>0</v>
      </c>
      <c r="IG99" s="12">
        <f t="shared" si="193"/>
        <v>0</v>
      </c>
      <c r="IH99" s="12">
        <f t="shared" si="194"/>
        <v>0</v>
      </c>
      <c r="II99" s="12">
        <f t="shared" si="195"/>
        <v>0</v>
      </c>
      <c r="IJ99" s="12">
        <f t="shared" si="196"/>
        <v>0</v>
      </c>
      <c r="IK99" s="12">
        <f t="shared" si="197"/>
        <v>0</v>
      </c>
      <c r="IL99" s="12">
        <f t="shared" si="198"/>
        <v>0</v>
      </c>
      <c r="IM99" s="12">
        <f t="shared" si="199"/>
        <v>0</v>
      </c>
      <c r="IN99" s="12">
        <f t="shared" si="200"/>
        <v>0</v>
      </c>
      <c r="IO99" s="12">
        <f t="shared" si="201"/>
        <v>0</v>
      </c>
      <c r="IP99" s="12">
        <f t="shared" si="202"/>
        <v>0</v>
      </c>
      <c r="IQ99" s="12">
        <f t="shared" si="203"/>
        <v>0</v>
      </c>
      <c r="IR99" s="12">
        <f t="shared" si="204"/>
        <v>0</v>
      </c>
      <c r="IS99" s="12">
        <f t="shared" si="205"/>
        <v>0</v>
      </c>
      <c r="IT99" s="12">
        <f t="shared" si="206"/>
        <v>0</v>
      </c>
      <c r="IU99" s="12">
        <f t="shared" si="207"/>
        <v>0</v>
      </c>
      <c r="IV99" s="12">
        <f t="shared" si="208"/>
        <v>0</v>
      </c>
      <c r="IW99" s="12">
        <f t="shared" si="209"/>
        <v>0</v>
      </c>
      <c r="IX99" s="12">
        <f t="shared" si="210"/>
        <v>0</v>
      </c>
      <c r="IY99" s="12">
        <f t="shared" si="211"/>
        <v>0</v>
      </c>
      <c r="IZ99" s="12">
        <f t="shared" si="212"/>
        <v>1</v>
      </c>
      <c r="JA99" s="13">
        <f t="shared" si="213"/>
        <v>0</v>
      </c>
      <c r="JB99" s="13">
        <f t="shared" si="214"/>
        <v>0</v>
      </c>
      <c r="JC99" s="13">
        <f t="shared" si="215"/>
        <v>0</v>
      </c>
      <c r="JD99" s="13">
        <f t="shared" si="216"/>
        <v>0</v>
      </c>
      <c r="JE99" s="13">
        <f t="shared" si="217"/>
        <v>0</v>
      </c>
      <c r="JF99" s="13">
        <f t="shared" si="218"/>
        <v>0</v>
      </c>
      <c r="JG99" s="13">
        <f t="shared" si="219"/>
        <v>0</v>
      </c>
      <c r="JH99" s="13">
        <f t="shared" si="220"/>
        <v>0</v>
      </c>
      <c r="JI99" s="13">
        <f t="shared" si="221"/>
        <v>0</v>
      </c>
      <c r="JJ99" s="13">
        <f t="shared" si="222"/>
        <v>0</v>
      </c>
      <c r="JK99" s="13">
        <f t="shared" si="223"/>
        <v>0</v>
      </c>
      <c r="JL99" s="13">
        <f t="shared" si="224"/>
        <v>0</v>
      </c>
      <c r="JM99" s="13">
        <f t="shared" si="225"/>
        <v>0</v>
      </c>
      <c r="JN99" s="13">
        <f t="shared" si="226"/>
        <v>0</v>
      </c>
      <c r="JO99" s="13">
        <f t="shared" si="227"/>
        <v>0</v>
      </c>
      <c r="JP99" s="13">
        <f t="shared" si="228"/>
        <v>0</v>
      </c>
      <c r="JQ99" s="13">
        <f t="shared" si="229"/>
        <v>0</v>
      </c>
      <c r="JR99" s="13">
        <f t="shared" si="230"/>
        <v>0</v>
      </c>
      <c r="JS99" s="13">
        <f t="shared" si="231"/>
        <v>0</v>
      </c>
      <c r="JT99" s="13">
        <f t="shared" si="232"/>
        <v>0</v>
      </c>
      <c r="JU99" s="13">
        <f t="shared" si="233"/>
        <v>0</v>
      </c>
      <c r="JV99" s="12">
        <f t="shared" si="234"/>
        <v>0</v>
      </c>
      <c r="JW99" s="12">
        <f t="shared" si="235"/>
        <v>0</v>
      </c>
      <c r="JX99" s="12">
        <f t="shared" si="236"/>
        <v>0</v>
      </c>
      <c r="JY99" s="12">
        <f t="shared" si="237"/>
        <v>0</v>
      </c>
      <c r="JZ99" s="12">
        <f t="shared" si="238"/>
        <v>0</v>
      </c>
      <c r="KA99" s="12">
        <f t="shared" si="239"/>
        <v>0</v>
      </c>
      <c r="KB99" s="12">
        <f t="shared" si="240"/>
        <v>0</v>
      </c>
      <c r="KC99" s="12">
        <f t="shared" si="241"/>
        <v>0</v>
      </c>
      <c r="KD99" s="12">
        <f t="shared" si="242"/>
        <v>0</v>
      </c>
      <c r="KE99" s="12">
        <f t="shared" si="243"/>
        <v>0</v>
      </c>
      <c r="KF99" s="12">
        <f t="shared" si="244"/>
        <v>0</v>
      </c>
      <c r="KG99" s="12">
        <f t="shared" si="245"/>
        <v>0</v>
      </c>
      <c r="KH99" s="12">
        <f t="shared" si="246"/>
        <v>0</v>
      </c>
      <c r="KI99" s="12">
        <f t="shared" si="247"/>
        <v>0</v>
      </c>
      <c r="KJ99" s="12">
        <f t="shared" si="248"/>
        <v>0</v>
      </c>
      <c r="KK99" s="12">
        <f t="shared" si="249"/>
        <v>0</v>
      </c>
      <c r="KL99" s="12">
        <f t="shared" si="250"/>
        <v>0</v>
      </c>
      <c r="KM99" s="12">
        <f t="shared" si="251"/>
        <v>0</v>
      </c>
      <c r="KN99" s="12">
        <f t="shared" si="252"/>
        <v>0</v>
      </c>
      <c r="KO99" s="12">
        <f t="shared" si="253"/>
        <v>0</v>
      </c>
      <c r="KP99" s="12">
        <f t="shared" si="254"/>
        <v>0</v>
      </c>
      <c r="KQ99" s="12">
        <f t="shared" si="255"/>
        <v>0</v>
      </c>
      <c r="KR99" s="12">
        <f t="shared" si="256"/>
        <v>0</v>
      </c>
      <c r="KS99" s="12">
        <f t="shared" si="257"/>
        <v>0</v>
      </c>
      <c r="KT99" s="12">
        <f t="shared" si="258"/>
        <v>0</v>
      </c>
      <c r="KU99" s="12">
        <f t="shared" si="259"/>
        <v>0</v>
      </c>
      <c r="KV99" s="12">
        <f t="shared" si="260"/>
        <v>0</v>
      </c>
      <c r="KW99" s="12">
        <f t="shared" si="261"/>
        <v>0</v>
      </c>
      <c r="KX99" s="12">
        <f t="shared" si="262"/>
        <v>0</v>
      </c>
      <c r="KY99" s="12">
        <f t="shared" si="263"/>
        <v>0</v>
      </c>
      <c r="KZ99" s="12">
        <f t="shared" si="264"/>
        <v>0</v>
      </c>
      <c r="LA99" s="12">
        <f t="shared" si="265"/>
        <v>0</v>
      </c>
      <c r="LB99" s="12">
        <f t="shared" si="266"/>
        <v>0</v>
      </c>
      <c r="LC99" s="12">
        <f t="shared" si="267"/>
        <v>0</v>
      </c>
      <c r="LD99" s="12">
        <f t="shared" si="268"/>
        <v>0</v>
      </c>
      <c r="LE99" s="12">
        <f t="shared" si="269"/>
        <v>0</v>
      </c>
      <c r="LF99" s="12">
        <f t="shared" si="270"/>
        <v>0</v>
      </c>
      <c r="LG99" s="12">
        <f t="shared" si="271"/>
        <v>0</v>
      </c>
      <c r="LH99" s="12">
        <f t="shared" si="272"/>
        <v>0</v>
      </c>
      <c r="LI99" s="12">
        <f t="shared" si="273"/>
        <v>0</v>
      </c>
      <c r="LJ99" s="12">
        <f t="shared" si="274"/>
        <v>0</v>
      </c>
      <c r="LK99" s="12">
        <f t="shared" si="275"/>
        <v>0</v>
      </c>
      <c r="LL99" s="12">
        <f t="shared" si="276"/>
        <v>0</v>
      </c>
      <c r="LM99" s="12">
        <f t="shared" si="277"/>
        <v>0</v>
      </c>
      <c r="LN99" s="12">
        <f t="shared" si="278"/>
        <v>0</v>
      </c>
      <c r="LO99" s="12">
        <f t="shared" si="279"/>
        <v>0</v>
      </c>
      <c r="LP99" s="12">
        <f t="shared" si="280"/>
        <v>0</v>
      </c>
      <c r="LQ99" s="12">
        <f t="shared" si="281"/>
        <v>0</v>
      </c>
      <c r="LR99" s="12">
        <f t="shared" si="282"/>
        <v>0</v>
      </c>
      <c r="LS99" s="12">
        <f t="shared" si="283"/>
        <v>0</v>
      </c>
      <c r="LT99" s="13">
        <f t="shared" si="284"/>
        <v>0</v>
      </c>
      <c r="LU99" s="13">
        <f t="shared" si="285"/>
        <v>0</v>
      </c>
      <c r="LV99" s="13">
        <f t="shared" si="286"/>
        <v>0</v>
      </c>
      <c r="LW99" s="13">
        <f t="shared" si="287"/>
        <v>0</v>
      </c>
      <c r="LX99" s="13">
        <f t="shared" si="288"/>
        <v>0</v>
      </c>
      <c r="LY99" s="13">
        <f t="shared" si="289"/>
        <v>0</v>
      </c>
      <c r="LZ99" s="13">
        <f t="shared" si="290"/>
        <v>0</v>
      </c>
      <c r="MA99" s="13">
        <f t="shared" si="291"/>
        <v>0</v>
      </c>
      <c r="MB99" s="13">
        <f t="shared" si="292"/>
        <v>0</v>
      </c>
      <c r="MC99" s="13">
        <f t="shared" si="293"/>
        <v>0</v>
      </c>
      <c r="MD99" s="13">
        <f t="shared" si="294"/>
        <v>0</v>
      </c>
      <c r="ME99" s="13">
        <f t="shared" si="295"/>
        <v>0</v>
      </c>
      <c r="MF99" s="13">
        <f t="shared" si="296"/>
        <v>0</v>
      </c>
      <c r="MG99" s="13">
        <f t="shared" si="297"/>
        <v>0</v>
      </c>
      <c r="MH99" s="13">
        <f t="shared" si="298"/>
        <v>0</v>
      </c>
      <c r="MI99" s="13">
        <f t="shared" si="299"/>
        <v>0</v>
      </c>
      <c r="MJ99" s="13">
        <f t="shared" si="300"/>
        <v>0</v>
      </c>
      <c r="MK99" s="13">
        <f t="shared" si="301"/>
        <v>0</v>
      </c>
      <c r="ML99" s="14">
        <f t="shared" si="302"/>
        <v>0</v>
      </c>
      <c r="MM99" s="14">
        <f t="shared" si="303"/>
        <v>0</v>
      </c>
      <c r="MN99" s="14">
        <f t="shared" si="304"/>
        <v>0</v>
      </c>
      <c r="MO99" s="14">
        <f t="shared" si="305"/>
        <v>0</v>
      </c>
      <c r="MP99" s="14">
        <f t="shared" si="306"/>
        <v>0</v>
      </c>
      <c r="MQ99" s="14">
        <f t="shared" si="307"/>
        <v>0</v>
      </c>
      <c r="MR99" s="14">
        <f t="shared" si="308"/>
        <v>0</v>
      </c>
      <c r="MS99" s="14">
        <f t="shared" si="309"/>
        <v>0</v>
      </c>
      <c r="MT99" s="14">
        <f t="shared" si="310"/>
        <v>0</v>
      </c>
      <c r="MU99" s="14">
        <f t="shared" si="311"/>
        <v>0</v>
      </c>
      <c r="MV99" s="14">
        <f t="shared" si="312"/>
        <v>0</v>
      </c>
      <c r="MW99" s="14">
        <f t="shared" si="313"/>
        <v>0</v>
      </c>
      <c r="MX99" s="14">
        <f t="shared" si="314"/>
        <v>0</v>
      </c>
      <c r="MY99" s="14">
        <f t="shared" si="315"/>
        <v>0</v>
      </c>
      <c r="MZ99" s="14">
        <f t="shared" si="316"/>
        <v>0</v>
      </c>
      <c r="NA99" s="14">
        <f t="shared" si="317"/>
        <v>0</v>
      </c>
      <c r="NB99" s="14">
        <f t="shared" si="318"/>
        <v>0</v>
      </c>
    </row>
    <row r="100" ht="15.75" customHeight="1">
      <c r="A100" s="2">
        <v>324.0</v>
      </c>
      <c r="B100" s="2" t="s">
        <v>2073</v>
      </c>
      <c r="C100" s="2" t="s">
        <v>2074</v>
      </c>
      <c r="D100" s="2" t="s">
        <v>2075</v>
      </c>
      <c r="E100" s="2">
        <v>2019.0</v>
      </c>
      <c r="F100" s="2" t="s">
        <v>2076</v>
      </c>
      <c r="G100" s="2" t="s">
        <v>2077</v>
      </c>
      <c r="J100" s="2" t="s">
        <v>2078</v>
      </c>
      <c r="K100" s="2" t="s">
        <v>2079</v>
      </c>
      <c r="M100" s="2">
        <v>10.0</v>
      </c>
      <c r="N100" s="2" t="s">
        <v>2080</v>
      </c>
      <c r="O100" s="2" t="s">
        <v>2081</v>
      </c>
      <c r="P100" s="2" t="s">
        <v>2082</v>
      </c>
      <c r="Q100" s="2" t="s">
        <v>2083</v>
      </c>
      <c r="R100" s="2" t="s">
        <v>2084</v>
      </c>
      <c r="S100" s="2" t="s">
        <v>2085</v>
      </c>
      <c r="T100" s="2" t="s">
        <v>2086</v>
      </c>
      <c r="Y100" s="2" t="s">
        <v>2087</v>
      </c>
      <c r="AB100" s="2" t="s">
        <v>1525</v>
      </c>
      <c r="AG100" s="2" t="s">
        <v>2088</v>
      </c>
      <c r="AI100" s="2" t="s">
        <v>2089</v>
      </c>
      <c r="AJ100" s="2">
        <v>2.9183649E7</v>
      </c>
      <c r="AK100" s="2" t="s">
        <v>2090</v>
      </c>
      <c r="AL100" s="2" t="s">
        <v>384</v>
      </c>
      <c r="AM100" s="2" t="s">
        <v>385</v>
      </c>
      <c r="AN100" s="2" t="s">
        <v>386</v>
      </c>
      <c r="AO100" s="2" t="s">
        <v>2091</v>
      </c>
      <c r="AP100" s="2" t="s">
        <v>386</v>
      </c>
      <c r="AQ100" s="2">
        <v>1266.0</v>
      </c>
      <c r="AR100" s="2" t="s">
        <v>2075</v>
      </c>
      <c r="AS100" s="2" t="b">
        <v>1</v>
      </c>
      <c r="AT100" s="3">
        <v>0.0</v>
      </c>
      <c r="AU100" s="4"/>
      <c r="AV100" s="4"/>
      <c r="AW100" s="5">
        <f t="shared" si="432"/>
        <v>0</v>
      </c>
      <c r="AX100" s="5">
        <f t="shared" si="4"/>
        <v>0</v>
      </c>
      <c r="AY100" s="5">
        <f t="shared" si="5"/>
        <v>0</v>
      </c>
      <c r="AZ100" s="5">
        <f t="shared" si="6"/>
        <v>0</v>
      </c>
      <c r="BA100" s="5">
        <f t="shared" si="7"/>
        <v>0</v>
      </c>
      <c r="BB100" s="5">
        <f t="shared" si="8"/>
        <v>0</v>
      </c>
      <c r="BC100" s="5">
        <f t="shared" si="9"/>
        <v>0</v>
      </c>
      <c r="BD100" s="5">
        <f t="shared" si="10"/>
        <v>0</v>
      </c>
      <c r="BE100" s="5">
        <f t="shared" si="11"/>
        <v>0</v>
      </c>
      <c r="BF100" s="5">
        <f t="shared" si="12"/>
        <v>0</v>
      </c>
      <c r="BG100" s="5">
        <f t="shared" si="13"/>
        <v>0</v>
      </c>
      <c r="BH100" s="5">
        <f t="shared" si="14"/>
        <v>0</v>
      </c>
      <c r="BI100" s="5">
        <f t="shared" si="15"/>
        <v>0</v>
      </c>
      <c r="BJ100" s="5">
        <f t="shared" si="16"/>
        <v>0</v>
      </c>
      <c r="BK100" s="5">
        <f t="shared" si="17"/>
        <v>0</v>
      </c>
      <c r="BL100" s="5">
        <f t="shared" si="18"/>
        <v>0</v>
      </c>
      <c r="BM100" s="5">
        <f t="shared" si="19"/>
        <v>0</v>
      </c>
      <c r="BN100" s="5">
        <f t="shared" si="20"/>
        <v>0</v>
      </c>
      <c r="BO100" s="5">
        <f t="shared" si="21"/>
        <v>0</v>
      </c>
      <c r="BP100" s="5">
        <f t="shared" si="22"/>
        <v>0</v>
      </c>
      <c r="BQ100" s="5">
        <f t="shared" si="23"/>
        <v>0</v>
      </c>
      <c r="BR100" s="5">
        <f t="shared" si="24"/>
        <v>0</v>
      </c>
      <c r="BS100" s="5">
        <f t="shared" si="25"/>
        <v>0</v>
      </c>
      <c r="BT100" s="5">
        <f t="shared" si="26"/>
        <v>0</v>
      </c>
      <c r="BU100" s="5">
        <f t="shared" si="27"/>
        <v>0</v>
      </c>
      <c r="BV100" s="5">
        <f t="shared" ref="BV100:BW100" si="541">IF(OR(ISNUMBER(SEARCH("grit",$D100)),ISNUMBER(SEARCH("grit",$T100)),ISNUMBER(SEARCH("grit",$R100)),ISNUMBER(SEARCH("grit",$S100)),
ISNUMBER(SEARCH("determination",$D100)),ISNUMBER(SEARCH("determination",$T100)),ISNUMBER(SEARCH("determination",$R100)),ISNUMBER(SEARCH("determination",$S100)),
ISNUMBER(SEARCH("tenacity",$D100)),ISNUMBER(SEARCH("tenacity",$T100)),ISNUMBER(SEARCH("tenacity",$R100)),ISNUMBER(SEARCH("tenacity",$S100)),
ISNUMBER(SEARCH("endurance",$D100)),ISNUMBER(SEARCH("endurance",$T100)),ISNUMBER(SEARCH("endurance",$R100)),ISNUMBER(SEARCH("endurance",$S100)),
ISNUMBER(SEARCH("fortitude",$D100)),ISNUMBER(SEARCH("fortitude",$T100)),ISNUMBER(SEARCH("fortitude",$R100)),ISNUMBER(SEARCH("fortitude",$S100)),
ISNUMBER(SEARCH("resolve",$D100)),ISNUMBER(SEARCH("resolve",$T100)),ISNUMBER(SEARCH("resolve",$R100)),ISNUMBER(SEARCH("resolve",$S100)),
ISNUMBER(SEARCH("stamina",$D100)),ISNUMBER(SEARCH("stamina",$T100)),ISNUMBER(SEARCH("stamina",$R100)),ISNUMBER(SEARCH("stamina",$S100)),
ISNUMBER(SEARCH("guts",$D100)),ISNUMBER(SEARCH("guts",$T100)),ISNUMBER(SEARCH("guts",$R100)),ISNUMBER(SEARCH("guts",$S100)),
ISNUMBER(SEARCH("spunk",$D100)),ISNUMBER(SEARCH("spunk",$T100)),ISNUMBER(SEARCH("spunk",$R100)),ISNUMBER(SEARCH("spunk",$S100))), 1, 0)</f>
        <v>0</v>
      </c>
      <c r="BW100" s="5">
        <f t="shared" si="541"/>
        <v>0</v>
      </c>
      <c r="BX100" s="5">
        <f t="shared" si="29"/>
        <v>0</v>
      </c>
      <c r="BY100" s="5">
        <f t="shared" si="30"/>
        <v>0</v>
      </c>
      <c r="BZ100" s="5">
        <f t="shared" si="31"/>
        <v>0</v>
      </c>
      <c r="CA100" s="5">
        <f t="shared" si="32"/>
        <v>0</v>
      </c>
      <c r="CB100" s="5">
        <f t="shared" si="33"/>
        <v>0</v>
      </c>
      <c r="CC100" s="5">
        <f t="shared" si="34"/>
        <v>0</v>
      </c>
      <c r="CD100" s="5">
        <f t="shared" si="35"/>
        <v>0</v>
      </c>
      <c r="CE100" s="5">
        <f t="shared" si="36"/>
        <v>0</v>
      </c>
      <c r="CF100" s="5">
        <f t="shared" si="37"/>
        <v>0</v>
      </c>
      <c r="CG100" s="5">
        <f t="shared" si="38"/>
        <v>0</v>
      </c>
      <c r="CH100" s="5">
        <f t="shared" si="39"/>
        <v>0</v>
      </c>
      <c r="CI100" s="5">
        <f t="shared" si="40"/>
        <v>0</v>
      </c>
      <c r="CJ100" s="5">
        <f t="shared" si="41"/>
        <v>0</v>
      </c>
      <c r="CK100" s="5">
        <f t="shared" si="42"/>
        <v>0</v>
      </c>
      <c r="CL100" s="5">
        <f t="shared" si="43"/>
        <v>0</v>
      </c>
      <c r="CM100" s="5">
        <f t="shared" si="44"/>
        <v>0</v>
      </c>
      <c r="CN100" s="5">
        <f t="shared" si="45"/>
        <v>0</v>
      </c>
      <c r="CO100" s="5">
        <f t="shared" si="46"/>
        <v>0</v>
      </c>
      <c r="CP100" s="6">
        <f t="shared" si="47"/>
        <v>0</v>
      </c>
      <c r="CQ100" s="6">
        <f t="shared" si="48"/>
        <v>0</v>
      </c>
      <c r="CR100" s="6">
        <f t="shared" si="49"/>
        <v>0</v>
      </c>
      <c r="CS100" s="6">
        <f t="shared" si="50"/>
        <v>0</v>
      </c>
      <c r="CT100" s="6">
        <f t="shared" si="530"/>
        <v>0</v>
      </c>
      <c r="CU100" s="6">
        <f t="shared" si="52"/>
        <v>0</v>
      </c>
      <c r="CV100" s="6">
        <f t="shared" si="53"/>
        <v>0</v>
      </c>
      <c r="CW100" s="6">
        <f t="shared" si="54"/>
        <v>0</v>
      </c>
      <c r="CX100" s="6">
        <f t="shared" si="55"/>
        <v>0</v>
      </c>
      <c r="CY100" s="6">
        <f t="shared" si="56"/>
        <v>0</v>
      </c>
      <c r="CZ100" s="6">
        <f t="shared" si="57"/>
        <v>1</v>
      </c>
      <c r="DA100" s="6">
        <f t="shared" si="58"/>
        <v>0</v>
      </c>
      <c r="DB100" s="6">
        <f t="shared" si="59"/>
        <v>0</v>
      </c>
      <c r="DC100" s="6">
        <f t="shared" si="60"/>
        <v>0</v>
      </c>
      <c r="DD100" s="6">
        <f t="shared" si="61"/>
        <v>0</v>
      </c>
      <c r="DE100" s="6">
        <f t="shared" si="62"/>
        <v>0</v>
      </c>
      <c r="DF100" s="6">
        <f t="shared" si="63"/>
        <v>0</v>
      </c>
      <c r="DG100" s="6">
        <f t="shared" si="64"/>
        <v>0</v>
      </c>
      <c r="DH100" s="6">
        <f t="shared" si="509"/>
        <v>0</v>
      </c>
      <c r="DI100" s="6">
        <f t="shared" si="66"/>
        <v>0</v>
      </c>
      <c r="DJ100" s="6">
        <f t="shared" si="510"/>
        <v>0</v>
      </c>
      <c r="DK100" s="7">
        <f t="shared" si="68"/>
        <v>0</v>
      </c>
      <c r="DL100" s="7">
        <f t="shared" si="498"/>
        <v>0</v>
      </c>
      <c r="DM100" s="7">
        <f t="shared" si="70"/>
        <v>0</v>
      </c>
      <c r="DN100" s="7">
        <f t="shared" si="71"/>
        <v>0</v>
      </c>
      <c r="DO100" s="7">
        <f t="shared" si="72"/>
        <v>1</v>
      </c>
      <c r="DP100" s="8">
        <f t="shared" si="73"/>
        <v>0</v>
      </c>
      <c r="DQ100" s="8">
        <f t="shared" si="74"/>
        <v>1</v>
      </c>
      <c r="DR100" s="7">
        <f t="shared" si="75"/>
        <v>0</v>
      </c>
      <c r="DS100" s="7">
        <f t="shared" si="76"/>
        <v>0</v>
      </c>
      <c r="DT100" s="7">
        <f t="shared" si="77"/>
        <v>0</v>
      </c>
      <c r="DU100" s="9">
        <f t="shared" si="78"/>
        <v>0</v>
      </c>
      <c r="DV100" s="9">
        <f t="shared" si="79"/>
        <v>0</v>
      </c>
      <c r="DW100" s="9">
        <f t="shared" si="80"/>
        <v>0</v>
      </c>
      <c r="DX100" s="9">
        <f t="shared" si="81"/>
        <v>0</v>
      </c>
      <c r="DY100" s="9">
        <f t="shared" si="82"/>
        <v>0</v>
      </c>
      <c r="DZ100" s="9">
        <f t="shared" si="83"/>
        <v>0</v>
      </c>
      <c r="EA100" s="9">
        <f t="shared" si="84"/>
        <v>0</v>
      </c>
      <c r="EB100" s="9">
        <f t="shared" si="85"/>
        <v>0</v>
      </c>
      <c r="EC100" s="9">
        <f t="shared" si="86"/>
        <v>0</v>
      </c>
      <c r="ED100" s="9">
        <f t="shared" si="87"/>
        <v>0</v>
      </c>
      <c r="EE100" s="9">
        <f t="shared" si="88"/>
        <v>0</v>
      </c>
      <c r="EF100" s="9">
        <f t="shared" si="89"/>
        <v>0</v>
      </c>
      <c r="EG100" s="9">
        <f t="shared" si="90"/>
        <v>0</v>
      </c>
      <c r="EH100" s="9">
        <f t="shared" si="91"/>
        <v>0</v>
      </c>
      <c r="EI100" s="9">
        <f t="shared" si="92"/>
        <v>0</v>
      </c>
      <c r="EJ100" s="10">
        <f t="shared" si="93"/>
        <v>0</v>
      </c>
      <c r="EK100" s="10">
        <f t="shared" si="94"/>
        <v>0</v>
      </c>
      <c r="EL100" s="10">
        <f t="shared" ref="EL100:EM100" si="542">IF(OR(ISNUMBER(SEARCH("ai software toolkit", $D100)), ISNUMBER(SEARCH("ai software toolkit", $T100)), ISNUMBER(SEARCH("ai software toolkit", $R100)), ISNUMBER(SEARCH("ai software toolkit", $S100))), 1, 0)</f>
        <v>0</v>
      </c>
      <c r="EM100" s="10">
        <f t="shared" si="542"/>
        <v>0</v>
      </c>
      <c r="EN100" s="10">
        <f t="shared" si="96"/>
        <v>0</v>
      </c>
      <c r="EO100" s="10">
        <f t="shared" si="97"/>
        <v>0</v>
      </c>
      <c r="EP100" s="10">
        <f t="shared" si="98"/>
        <v>0</v>
      </c>
      <c r="EQ100" s="10">
        <f t="shared" si="99"/>
        <v>0</v>
      </c>
      <c r="ER100" s="10">
        <f t="shared" si="100"/>
        <v>0</v>
      </c>
      <c r="ES100" s="10">
        <f t="shared" si="101"/>
        <v>0</v>
      </c>
      <c r="ET100" s="10">
        <f t="shared" si="102"/>
        <v>0</v>
      </c>
      <c r="EU100" s="10">
        <f t="shared" si="103"/>
        <v>0</v>
      </c>
      <c r="EV100" s="10">
        <f t="shared" si="104"/>
        <v>0</v>
      </c>
      <c r="EW100" s="10">
        <f t="shared" si="105"/>
        <v>0</v>
      </c>
      <c r="EX100" s="10">
        <f t="shared" si="106"/>
        <v>0</v>
      </c>
      <c r="EY100" s="10">
        <f t="shared" si="107"/>
        <v>0</v>
      </c>
      <c r="EZ100" s="10">
        <f t="shared" si="108"/>
        <v>0</v>
      </c>
      <c r="FA100" s="10">
        <f t="shared" si="109"/>
        <v>0</v>
      </c>
      <c r="FB100" s="10">
        <f t="shared" si="110"/>
        <v>0</v>
      </c>
      <c r="FC100" s="10">
        <f t="shared" si="111"/>
        <v>0</v>
      </c>
      <c r="FD100" s="10">
        <f t="shared" si="112"/>
        <v>0</v>
      </c>
      <c r="FE100" s="10">
        <f t="shared" si="113"/>
        <v>0</v>
      </c>
      <c r="FF100" s="10">
        <f t="shared" si="114"/>
        <v>0</v>
      </c>
      <c r="FG100" s="10">
        <f t="shared" si="115"/>
        <v>0</v>
      </c>
      <c r="FH100" s="10">
        <f t="shared" si="116"/>
        <v>0</v>
      </c>
      <c r="FI100" s="10">
        <f t="shared" si="117"/>
        <v>0</v>
      </c>
      <c r="FJ100" s="10">
        <f t="shared" si="118"/>
        <v>0</v>
      </c>
      <c r="FK100" s="10">
        <f t="shared" si="119"/>
        <v>0</v>
      </c>
      <c r="FL100" s="10">
        <f t="shared" si="120"/>
        <v>0</v>
      </c>
      <c r="FM100" s="10">
        <f t="shared" si="121"/>
        <v>0</v>
      </c>
      <c r="FN100" s="10">
        <f t="shared" si="122"/>
        <v>0</v>
      </c>
      <c r="FO100" s="10">
        <f t="shared" si="123"/>
        <v>0</v>
      </c>
      <c r="FP100" s="10">
        <f t="shared" si="124"/>
        <v>0</v>
      </c>
      <c r="FQ100" s="10">
        <f t="shared" si="125"/>
        <v>0</v>
      </c>
      <c r="FR100" s="11">
        <f t="shared" si="543"/>
        <v>0</v>
      </c>
      <c r="FS100" s="11">
        <f t="shared" si="127"/>
        <v>0</v>
      </c>
      <c r="FT100" s="11">
        <f t="shared" si="128"/>
        <v>0</v>
      </c>
      <c r="FU100" s="11">
        <f t="shared" si="129"/>
        <v>0</v>
      </c>
      <c r="FV100" s="11">
        <f t="shared" si="130"/>
        <v>0</v>
      </c>
      <c r="FW100" s="11">
        <f t="shared" si="131"/>
        <v>0</v>
      </c>
      <c r="FX100" s="11">
        <f t="shared" si="132"/>
        <v>0</v>
      </c>
      <c r="FY100" s="11">
        <f t="shared" si="133"/>
        <v>0</v>
      </c>
      <c r="FZ100" s="11">
        <f t="shared" si="134"/>
        <v>0</v>
      </c>
      <c r="GA100" s="11">
        <f t="shared" si="135"/>
        <v>0</v>
      </c>
      <c r="GB100" s="11">
        <f t="shared" si="136"/>
        <v>0</v>
      </c>
      <c r="GC100" s="11">
        <f t="shared" si="137"/>
        <v>0</v>
      </c>
      <c r="GD100" s="11">
        <f t="shared" si="138"/>
        <v>0</v>
      </c>
      <c r="GE100" s="11">
        <f t="shared" si="139"/>
        <v>0</v>
      </c>
      <c r="GF100" s="11">
        <f t="shared" si="140"/>
        <v>0</v>
      </c>
      <c r="GG100" s="11">
        <f t="shared" si="141"/>
        <v>0</v>
      </c>
      <c r="GH100" s="11">
        <f t="shared" si="142"/>
        <v>0</v>
      </c>
      <c r="GI100" s="11">
        <f t="shared" si="143"/>
        <v>0</v>
      </c>
      <c r="GJ100" s="11">
        <f t="shared" si="144"/>
        <v>0</v>
      </c>
      <c r="GK100" s="11">
        <f t="shared" si="145"/>
        <v>0</v>
      </c>
      <c r="GL100" s="11">
        <f t="shared" si="146"/>
        <v>0</v>
      </c>
      <c r="GM100" s="11">
        <f t="shared" si="147"/>
        <v>0</v>
      </c>
      <c r="GN100" s="11">
        <f t="shared" si="148"/>
        <v>0</v>
      </c>
      <c r="GO100" s="11">
        <f t="shared" si="149"/>
        <v>0</v>
      </c>
      <c r="GP100" s="11">
        <f t="shared" si="150"/>
        <v>0</v>
      </c>
      <c r="GQ100" s="11">
        <f t="shared" si="151"/>
        <v>0</v>
      </c>
      <c r="GR100" s="11">
        <f t="shared" si="152"/>
        <v>0</v>
      </c>
      <c r="GS100" s="11">
        <f t="shared" si="153"/>
        <v>0</v>
      </c>
      <c r="GT100" s="11">
        <f t="shared" si="154"/>
        <v>0</v>
      </c>
      <c r="GU100" s="12">
        <f t="shared" si="155"/>
        <v>0</v>
      </c>
      <c r="GV100" s="12">
        <f t="shared" si="156"/>
        <v>0</v>
      </c>
      <c r="GW100" s="12">
        <f t="shared" si="157"/>
        <v>0</v>
      </c>
      <c r="GX100" s="12">
        <f t="shared" si="158"/>
        <v>0</v>
      </c>
      <c r="GY100" s="12">
        <f t="shared" si="159"/>
        <v>0</v>
      </c>
      <c r="GZ100" s="12">
        <f t="shared" si="160"/>
        <v>0</v>
      </c>
      <c r="HA100" s="12">
        <f t="shared" si="161"/>
        <v>0</v>
      </c>
      <c r="HB100" s="12">
        <f t="shared" si="162"/>
        <v>0</v>
      </c>
      <c r="HC100" s="12">
        <f t="shared" si="163"/>
        <v>0</v>
      </c>
      <c r="HD100" s="12">
        <f t="shared" si="164"/>
        <v>0</v>
      </c>
      <c r="HE100" s="12">
        <f t="shared" si="165"/>
        <v>0</v>
      </c>
      <c r="HF100" s="12">
        <f t="shared" si="166"/>
        <v>0</v>
      </c>
      <c r="HG100" s="12">
        <f t="shared" si="167"/>
        <v>0</v>
      </c>
      <c r="HH100" s="12">
        <f t="shared" si="168"/>
        <v>0</v>
      </c>
      <c r="HI100" s="12">
        <f t="shared" si="169"/>
        <v>0</v>
      </c>
      <c r="HJ100" s="12">
        <f t="shared" si="170"/>
        <v>0</v>
      </c>
      <c r="HK100" s="12">
        <f t="shared" si="171"/>
        <v>0</v>
      </c>
      <c r="HL100" s="12">
        <f t="shared" si="172"/>
        <v>0</v>
      </c>
      <c r="HM100" s="12">
        <f t="shared" si="173"/>
        <v>0</v>
      </c>
      <c r="HN100" s="12">
        <f t="shared" si="174"/>
        <v>0</v>
      </c>
      <c r="HO100" s="12">
        <f t="shared" si="175"/>
        <v>0</v>
      </c>
      <c r="HP100" s="12">
        <f t="shared" si="176"/>
        <v>0</v>
      </c>
      <c r="HQ100" s="12">
        <f t="shared" si="177"/>
        <v>0</v>
      </c>
      <c r="HR100" s="12">
        <f t="shared" si="178"/>
        <v>0</v>
      </c>
      <c r="HS100" s="12">
        <f t="shared" si="179"/>
        <v>0</v>
      </c>
      <c r="HT100" s="12">
        <f t="shared" si="180"/>
        <v>0</v>
      </c>
      <c r="HU100" s="12">
        <f t="shared" si="181"/>
        <v>0</v>
      </c>
      <c r="HV100" s="12">
        <f t="shared" si="182"/>
        <v>0</v>
      </c>
      <c r="HW100" s="12">
        <f t="shared" si="183"/>
        <v>0</v>
      </c>
      <c r="HX100" s="12">
        <f t="shared" si="184"/>
        <v>0</v>
      </c>
      <c r="HY100" s="12">
        <f t="shared" si="185"/>
        <v>0</v>
      </c>
      <c r="HZ100" s="12">
        <f t="shared" si="186"/>
        <v>0</v>
      </c>
      <c r="IA100" s="12">
        <f t="shared" si="187"/>
        <v>0</v>
      </c>
      <c r="IB100" s="12">
        <f t="shared" si="188"/>
        <v>0</v>
      </c>
      <c r="IC100" s="12">
        <f t="shared" si="189"/>
        <v>0</v>
      </c>
      <c r="ID100" s="12">
        <f t="shared" si="190"/>
        <v>0</v>
      </c>
      <c r="IE100" s="12">
        <f t="shared" si="191"/>
        <v>0</v>
      </c>
      <c r="IF100" s="12">
        <f t="shared" si="192"/>
        <v>0</v>
      </c>
      <c r="IG100" s="12">
        <f t="shared" si="193"/>
        <v>0</v>
      </c>
      <c r="IH100" s="12">
        <f t="shared" si="194"/>
        <v>0</v>
      </c>
      <c r="II100" s="12">
        <f t="shared" si="195"/>
        <v>0</v>
      </c>
      <c r="IJ100" s="12">
        <f t="shared" si="196"/>
        <v>0</v>
      </c>
      <c r="IK100" s="12">
        <f t="shared" si="197"/>
        <v>0</v>
      </c>
      <c r="IL100" s="12">
        <f t="shared" si="198"/>
        <v>0</v>
      </c>
      <c r="IM100" s="12">
        <f t="shared" si="199"/>
        <v>0</v>
      </c>
      <c r="IN100" s="12">
        <f t="shared" si="200"/>
        <v>0</v>
      </c>
      <c r="IO100" s="12">
        <f t="shared" si="201"/>
        <v>0</v>
      </c>
      <c r="IP100" s="12">
        <f t="shared" si="202"/>
        <v>0</v>
      </c>
      <c r="IQ100" s="12">
        <f t="shared" si="203"/>
        <v>0</v>
      </c>
      <c r="IR100" s="12">
        <f t="shared" si="204"/>
        <v>0</v>
      </c>
      <c r="IS100" s="12">
        <f t="shared" si="205"/>
        <v>0</v>
      </c>
      <c r="IT100" s="12">
        <f t="shared" si="206"/>
        <v>0</v>
      </c>
      <c r="IU100" s="12">
        <f t="shared" si="207"/>
        <v>0</v>
      </c>
      <c r="IV100" s="12">
        <f t="shared" si="208"/>
        <v>0</v>
      </c>
      <c r="IW100" s="12">
        <f t="shared" si="209"/>
        <v>0</v>
      </c>
      <c r="IX100" s="12">
        <f t="shared" si="210"/>
        <v>0</v>
      </c>
      <c r="IY100" s="12">
        <f t="shared" si="211"/>
        <v>0</v>
      </c>
      <c r="IZ100" s="12">
        <f t="shared" si="212"/>
        <v>1</v>
      </c>
      <c r="JA100" s="13">
        <f t="shared" si="213"/>
        <v>0</v>
      </c>
      <c r="JB100" s="13">
        <f t="shared" si="214"/>
        <v>0</v>
      </c>
      <c r="JC100" s="13">
        <f t="shared" si="215"/>
        <v>0</v>
      </c>
      <c r="JD100" s="13">
        <f t="shared" si="216"/>
        <v>0</v>
      </c>
      <c r="JE100" s="13">
        <f t="shared" si="217"/>
        <v>0</v>
      </c>
      <c r="JF100" s="13">
        <f t="shared" si="218"/>
        <v>0</v>
      </c>
      <c r="JG100" s="13">
        <f t="shared" si="219"/>
        <v>0</v>
      </c>
      <c r="JH100" s="13">
        <f t="shared" si="220"/>
        <v>0</v>
      </c>
      <c r="JI100" s="13">
        <f t="shared" si="221"/>
        <v>0</v>
      </c>
      <c r="JJ100" s="13">
        <f t="shared" si="222"/>
        <v>0</v>
      </c>
      <c r="JK100" s="13">
        <f t="shared" si="223"/>
        <v>0</v>
      </c>
      <c r="JL100" s="13">
        <f t="shared" si="224"/>
        <v>0</v>
      </c>
      <c r="JM100" s="13">
        <f t="shared" si="225"/>
        <v>0</v>
      </c>
      <c r="JN100" s="13">
        <f t="shared" si="226"/>
        <v>0</v>
      </c>
      <c r="JO100" s="13">
        <f t="shared" si="227"/>
        <v>0</v>
      </c>
      <c r="JP100" s="13">
        <f t="shared" si="228"/>
        <v>0</v>
      </c>
      <c r="JQ100" s="13">
        <f t="shared" si="229"/>
        <v>0</v>
      </c>
      <c r="JR100" s="13">
        <f t="shared" si="230"/>
        <v>0</v>
      </c>
      <c r="JS100" s="13">
        <f t="shared" si="231"/>
        <v>0</v>
      </c>
      <c r="JT100" s="13">
        <f t="shared" si="232"/>
        <v>0</v>
      </c>
      <c r="JU100" s="13">
        <f t="shared" si="233"/>
        <v>0</v>
      </c>
      <c r="JV100" s="12">
        <f t="shared" si="234"/>
        <v>0</v>
      </c>
      <c r="JW100" s="12">
        <f t="shared" si="235"/>
        <v>0</v>
      </c>
      <c r="JX100" s="12">
        <f t="shared" si="236"/>
        <v>0</v>
      </c>
      <c r="JY100" s="12">
        <f t="shared" si="237"/>
        <v>0</v>
      </c>
      <c r="JZ100" s="12">
        <f t="shared" si="238"/>
        <v>0</v>
      </c>
      <c r="KA100" s="12">
        <f t="shared" si="239"/>
        <v>0</v>
      </c>
      <c r="KB100" s="12">
        <f t="shared" si="240"/>
        <v>0</v>
      </c>
      <c r="KC100" s="12">
        <f t="shared" si="241"/>
        <v>0</v>
      </c>
      <c r="KD100" s="12">
        <f t="shared" si="242"/>
        <v>0</v>
      </c>
      <c r="KE100" s="12">
        <f t="shared" si="243"/>
        <v>0</v>
      </c>
      <c r="KF100" s="12">
        <f t="shared" si="244"/>
        <v>0</v>
      </c>
      <c r="KG100" s="12">
        <f t="shared" si="245"/>
        <v>0</v>
      </c>
      <c r="KH100" s="12">
        <f t="shared" si="246"/>
        <v>0</v>
      </c>
      <c r="KI100" s="12">
        <f t="shared" si="247"/>
        <v>0</v>
      </c>
      <c r="KJ100" s="12">
        <f t="shared" si="248"/>
        <v>0</v>
      </c>
      <c r="KK100" s="12">
        <f t="shared" si="249"/>
        <v>0</v>
      </c>
      <c r="KL100" s="12">
        <f t="shared" si="250"/>
        <v>0</v>
      </c>
      <c r="KM100" s="12">
        <f t="shared" si="251"/>
        <v>0</v>
      </c>
      <c r="KN100" s="12">
        <f t="shared" si="252"/>
        <v>0</v>
      </c>
      <c r="KO100" s="12">
        <f t="shared" si="253"/>
        <v>0</v>
      </c>
      <c r="KP100" s="12">
        <f t="shared" si="254"/>
        <v>0</v>
      </c>
      <c r="KQ100" s="12">
        <f t="shared" si="255"/>
        <v>0</v>
      </c>
      <c r="KR100" s="12">
        <f t="shared" si="256"/>
        <v>0</v>
      </c>
      <c r="KS100" s="12">
        <f t="shared" si="257"/>
        <v>0</v>
      </c>
      <c r="KT100" s="12">
        <f t="shared" si="258"/>
        <v>0</v>
      </c>
      <c r="KU100" s="12">
        <f t="shared" si="259"/>
        <v>0</v>
      </c>
      <c r="KV100" s="12">
        <f t="shared" si="260"/>
        <v>0</v>
      </c>
      <c r="KW100" s="12">
        <f t="shared" si="261"/>
        <v>0</v>
      </c>
      <c r="KX100" s="12">
        <f t="shared" si="262"/>
        <v>0</v>
      </c>
      <c r="KY100" s="12">
        <f t="shared" si="263"/>
        <v>0</v>
      </c>
      <c r="KZ100" s="12">
        <f t="shared" si="264"/>
        <v>0</v>
      </c>
      <c r="LA100" s="12">
        <f t="shared" si="265"/>
        <v>0</v>
      </c>
      <c r="LB100" s="12">
        <f t="shared" si="266"/>
        <v>0</v>
      </c>
      <c r="LC100" s="12">
        <f t="shared" si="267"/>
        <v>0</v>
      </c>
      <c r="LD100" s="12">
        <f t="shared" si="268"/>
        <v>0</v>
      </c>
      <c r="LE100" s="12">
        <f t="shared" si="269"/>
        <v>0</v>
      </c>
      <c r="LF100" s="12">
        <f t="shared" si="270"/>
        <v>0</v>
      </c>
      <c r="LG100" s="12">
        <f t="shared" si="271"/>
        <v>0</v>
      </c>
      <c r="LH100" s="12">
        <f t="shared" si="272"/>
        <v>0</v>
      </c>
      <c r="LI100" s="12">
        <f t="shared" si="273"/>
        <v>0</v>
      </c>
      <c r="LJ100" s="12">
        <f t="shared" si="274"/>
        <v>0</v>
      </c>
      <c r="LK100" s="12">
        <f t="shared" si="275"/>
        <v>0</v>
      </c>
      <c r="LL100" s="12">
        <f t="shared" si="276"/>
        <v>0</v>
      </c>
      <c r="LM100" s="12">
        <f t="shared" si="277"/>
        <v>0</v>
      </c>
      <c r="LN100" s="12">
        <f t="shared" si="278"/>
        <v>0</v>
      </c>
      <c r="LO100" s="12">
        <f t="shared" si="279"/>
        <v>0</v>
      </c>
      <c r="LP100" s="12">
        <f t="shared" si="280"/>
        <v>0</v>
      </c>
      <c r="LQ100" s="12">
        <f t="shared" si="281"/>
        <v>0</v>
      </c>
      <c r="LR100" s="12">
        <f t="shared" si="282"/>
        <v>0</v>
      </c>
      <c r="LS100" s="12">
        <f t="shared" si="283"/>
        <v>0</v>
      </c>
      <c r="LT100" s="13">
        <f t="shared" si="284"/>
        <v>0</v>
      </c>
      <c r="LU100" s="13">
        <f t="shared" si="285"/>
        <v>0</v>
      </c>
      <c r="LV100" s="13">
        <f t="shared" si="286"/>
        <v>0</v>
      </c>
      <c r="LW100" s="13">
        <f t="shared" si="287"/>
        <v>0</v>
      </c>
      <c r="LX100" s="13">
        <f t="shared" si="288"/>
        <v>0</v>
      </c>
      <c r="LY100" s="13">
        <f t="shared" si="289"/>
        <v>0</v>
      </c>
      <c r="LZ100" s="13">
        <f t="shared" si="290"/>
        <v>0</v>
      </c>
      <c r="MA100" s="13">
        <f t="shared" si="291"/>
        <v>0</v>
      </c>
      <c r="MB100" s="13">
        <f t="shared" si="292"/>
        <v>0</v>
      </c>
      <c r="MC100" s="13">
        <f t="shared" si="293"/>
        <v>0</v>
      </c>
      <c r="MD100" s="13">
        <f t="shared" si="294"/>
        <v>0</v>
      </c>
      <c r="ME100" s="13">
        <f t="shared" si="295"/>
        <v>0</v>
      </c>
      <c r="MF100" s="13">
        <f t="shared" si="296"/>
        <v>0</v>
      </c>
      <c r="MG100" s="13">
        <f t="shared" si="297"/>
        <v>0</v>
      </c>
      <c r="MH100" s="13">
        <f t="shared" si="298"/>
        <v>0</v>
      </c>
      <c r="MI100" s="13">
        <f t="shared" si="299"/>
        <v>0</v>
      </c>
      <c r="MJ100" s="13">
        <f t="shared" si="300"/>
        <v>0</v>
      </c>
      <c r="MK100" s="13">
        <f t="shared" si="301"/>
        <v>0</v>
      </c>
      <c r="ML100" s="14">
        <f t="shared" si="302"/>
        <v>0</v>
      </c>
      <c r="MM100" s="14">
        <f t="shared" si="303"/>
        <v>0</v>
      </c>
      <c r="MN100" s="14">
        <f t="shared" si="304"/>
        <v>0</v>
      </c>
      <c r="MO100" s="14">
        <f t="shared" si="305"/>
        <v>0</v>
      </c>
      <c r="MP100" s="14">
        <f t="shared" si="306"/>
        <v>0</v>
      </c>
      <c r="MQ100" s="14">
        <f t="shared" si="307"/>
        <v>0</v>
      </c>
      <c r="MR100" s="14">
        <f t="shared" si="308"/>
        <v>0</v>
      </c>
      <c r="MS100" s="14">
        <f t="shared" si="309"/>
        <v>0</v>
      </c>
      <c r="MT100" s="14">
        <f t="shared" si="310"/>
        <v>0</v>
      </c>
      <c r="MU100" s="14">
        <f t="shared" si="311"/>
        <v>0</v>
      </c>
      <c r="MV100" s="14">
        <f t="shared" si="312"/>
        <v>0</v>
      </c>
      <c r="MW100" s="14">
        <f t="shared" si="313"/>
        <v>0</v>
      </c>
      <c r="MX100" s="14">
        <f t="shared" si="314"/>
        <v>0</v>
      </c>
      <c r="MY100" s="14">
        <f t="shared" si="315"/>
        <v>1</v>
      </c>
      <c r="MZ100" s="14">
        <f t="shared" si="316"/>
        <v>0</v>
      </c>
      <c r="NA100" s="14">
        <f t="shared" si="317"/>
        <v>0</v>
      </c>
      <c r="NB100" s="14">
        <f t="shared" si="318"/>
        <v>0</v>
      </c>
    </row>
    <row r="101" ht="15.75" customHeight="1">
      <c r="A101" s="2">
        <v>239.0</v>
      </c>
      <c r="B101" s="2" t="s">
        <v>2092</v>
      </c>
      <c r="C101" s="2" t="s">
        <v>2093</v>
      </c>
      <c r="D101" s="2" t="s">
        <v>2094</v>
      </c>
      <c r="E101" s="2">
        <v>2019.0</v>
      </c>
      <c r="F101" s="2" t="s">
        <v>1459</v>
      </c>
      <c r="G101" s="2" t="s">
        <v>472</v>
      </c>
      <c r="H101" s="2" t="s">
        <v>831</v>
      </c>
      <c r="I101" s="2" t="s">
        <v>2095</v>
      </c>
      <c r="M101" s="2">
        <v>10.0</v>
      </c>
      <c r="N101" s="2" t="s">
        <v>2096</v>
      </c>
      <c r="O101" s="2" t="s">
        <v>2097</v>
      </c>
      <c r="P101" s="2" t="s">
        <v>2098</v>
      </c>
      <c r="Q101" s="2" t="s">
        <v>2099</v>
      </c>
      <c r="R101" s="2" t="s">
        <v>2100</v>
      </c>
      <c r="S101" s="2" t="s">
        <v>2101</v>
      </c>
      <c r="T101" s="2" t="s">
        <v>2102</v>
      </c>
      <c r="Y101" s="2" t="s">
        <v>2103</v>
      </c>
      <c r="AB101" s="2" t="s">
        <v>1303</v>
      </c>
      <c r="AG101" s="2" t="s">
        <v>1469</v>
      </c>
      <c r="AK101" s="2" t="s">
        <v>1470</v>
      </c>
      <c r="AL101" s="2" t="s">
        <v>384</v>
      </c>
      <c r="AM101" s="2" t="s">
        <v>484</v>
      </c>
      <c r="AN101" s="2" t="s">
        <v>386</v>
      </c>
      <c r="AO101" s="2" t="s">
        <v>2104</v>
      </c>
      <c r="AP101" s="2" t="s">
        <v>386</v>
      </c>
      <c r="AQ101" s="2">
        <v>1006.0</v>
      </c>
      <c r="AR101" s="2" t="s">
        <v>2105</v>
      </c>
      <c r="AS101" s="2" t="b">
        <v>0</v>
      </c>
      <c r="AT101" s="3">
        <v>0.0</v>
      </c>
      <c r="AU101" s="4"/>
      <c r="AV101" s="4">
        <v>1.0</v>
      </c>
      <c r="AW101" s="5">
        <f t="shared" si="432"/>
        <v>0</v>
      </c>
      <c r="AX101" s="5">
        <f t="shared" si="4"/>
        <v>0</v>
      </c>
      <c r="AY101" s="5">
        <f t="shared" si="5"/>
        <v>0</v>
      </c>
      <c r="AZ101" s="5">
        <f t="shared" si="6"/>
        <v>0</v>
      </c>
      <c r="BA101" s="5">
        <f t="shared" si="7"/>
        <v>0</v>
      </c>
      <c r="BB101" s="5">
        <f t="shared" si="8"/>
        <v>0</v>
      </c>
      <c r="BC101" s="5">
        <f t="shared" si="9"/>
        <v>0</v>
      </c>
      <c r="BD101" s="5">
        <f t="shared" si="10"/>
        <v>0</v>
      </c>
      <c r="BE101" s="5">
        <f t="shared" si="11"/>
        <v>0</v>
      </c>
      <c r="BF101" s="5">
        <f t="shared" si="12"/>
        <v>0</v>
      </c>
      <c r="BG101" s="5">
        <f t="shared" si="13"/>
        <v>0</v>
      </c>
      <c r="BH101" s="5">
        <f t="shared" si="14"/>
        <v>0</v>
      </c>
      <c r="BI101" s="5">
        <f t="shared" si="15"/>
        <v>0</v>
      </c>
      <c r="BJ101" s="5">
        <f t="shared" si="16"/>
        <v>0</v>
      </c>
      <c r="BK101" s="5">
        <f t="shared" si="17"/>
        <v>0</v>
      </c>
      <c r="BL101" s="5">
        <f t="shared" si="18"/>
        <v>0</v>
      </c>
      <c r="BM101" s="5">
        <f t="shared" si="19"/>
        <v>0</v>
      </c>
      <c r="BN101" s="5">
        <f t="shared" si="20"/>
        <v>0</v>
      </c>
      <c r="BO101" s="5">
        <f t="shared" si="21"/>
        <v>0</v>
      </c>
      <c r="BP101" s="5">
        <f t="shared" si="22"/>
        <v>0</v>
      </c>
      <c r="BQ101" s="5">
        <f t="shared" si="23"/>
        <v>0</v>
      </c>
      <c r="BR101" s="5">
        <f t="shared" si="24"/>
        <v>0</v>
      </c>
      <c r="BS101" s="5">
        <f t="shared" si="25"/>
        <v>1</v>
      </c>
      <c r="BT101" s="5">
        <f t="shared" si="26"/>
        <v>0</v>
      </c>
      <c r="BU101" s="5">
        <f t="shared" si="27"/>
        <v>0</v>
      </c>
      <c r="BV101" s="5">
        <f t="shared" ref="BV101:BW101" si="544">IF(OR(ISNUMBER(SEARCH("grit",$D101)),ISNUMBER(SEARCH("grit",$T101)),ISNUMBER(SEARCH("grit",$R101)),ISNUMBER(SEARCH("grit",$S101)),
ISNUMBER(SEARCH("determination",$D101)),ISNUMBER(SEARCH("determination",$T101)),ISNUMBER(SEARCH("determination",$R101)),ISNUMBER(SEARCH("determination",$S101)),
ISNUMBER(SEARCH("tenacity",$D101)),ISNUMBER(SEARCH("tenacity",$T101)),ISNUMBER(SEARCH("tenacity",$R101)),ISNUMBER(SEARCH("tenacity",$S101)),
ISNUMBER(SEARCH("endurance",$D101)),ISNUMBER(SEARCH("endurance",$T101)),ISNUMBER(SEARCH("endurance",$R101)),ISNUMBER(SEARCH("endurance",$S101)),
ISNUMBER(SEARCH("fortitude",$D101)),ISNUMBER(SEARCH("fortitude",$T101)),ISNUMBER(SEARCH("fortitude",$R101)),ISNUMBER(SEARCH("fortitude",$S101)),
ISNUMBER(SEARCH("resolve",$D101)),ISNUMBER(SEARCH("resolve",$T101)),ISNUMBER(SEARCH("resolve",$R101)),ISNUMBER(SEARCH("resolve",$S101)),
ISNUMBER(SEARCH("stamina",$D101)),ISNUMBER(SEARCH("stamina",$T101)),ISNUMBER(SEARCH("stamina",$R101)),ISNUMBER(SEARCH("stamina",$S101)),
ISNUMBER(SEARCH("guts",$D101)),ISNUMBER(SEARCH("guts",$T101)),ISNUMBER(SEARCH("guts",$R101)),ISNUMBER(SEARCH("guts",$S101)),
ISNUMBER(SEARCH("spunk",$D101)),ISNUMBER(SEARCH("spunk",$T101)),ISNUMBER(SEARCH("spunk",$R101)),ISNUMBER(SEARCH("spunk",$S101))), 1, 0)</f>
        <v>0</v>
      </c>
      <c r="BW101" s="5">
        <f t="shared" si="544"/>
        <v>0</v>
      </c>
      <c r="BX101" s="5">
        <f t="shared" si="29"/>
        <v>0</v>
      </c>
      <c r="BY101" s="5">
        <f t="shared" si="30"/>
        <v>0</v>
      </c>
      <c r="BZ101" s="5">
        <f t="shared" si="31"/>
        <v>0</v>
      </c>
      <c r="CA101" s="5">
        <f t="shared" si="32"/>
        <v>0</v>
      </c>
      <c r="CB101" s="5">
        <f t="shared" si="33"/>
        <v>0</v>
      </c>
      <c r="CC101" s="5">
        <f t="shared" si="34"/>
        <v>0</v>
      </c>
      <c r="CD101" s="5">
        <f t="shared" si="35"/>
        <v>0</v>
      </c>
      <c r="CE101" s="5">
        <f t="shared" si="36"/>
        <v>0</v>
      </c>
      <c r="CF101" s="5">
        <f t="shared" si="37"/>
        <v>0</v>
      </c>
      <c r="CG101" s="5">
        <f t="shared" si="38"/>
        <v>0</v>
      </c>
      <c r="CH101" s="5">
        <f t="shared" si="39"/>
        <v>0</v>
      </c>
      <c r="CI101" s="5">
        <f t="shared" si="40"/>
        <v>0</v>
      </c>
      <c r="CJ101" s="5">
        <f t="shared" si="41"/>
        <v>0</v>
      </c>
      <c r="CK101" s="5">
        <f t="shared" si="42"/>
        <v>1</v>
      </c>
      <c r="CL101" s="5">
        <f t="shared" si="43"/>
        <v>0</v>
      </c>
      <c r="CM101" s="5">
        <f t="shared" si="44"/>
        <v>0</v>
      </c>
      <c r="CN101" s="5">
        <f t="shared" si="45"/>
        <v>0</v>
      </c>
      <c r="CO101" s="5">
        <f t="shared" si="46"/>
        <v>0</v>
      </c>
      <c r="CP101" s="6">
        <f t="shared" si="47"/>
        <v>0</v>
      </c>
      <c r="CQ101" s="6">
        <f t="shared" si="48"/>
        <v>0</v>
      </c>
      <c r="CR101" s="6">
        <f t="shared" si="49"/>
        <v>0</v>
      </c>
      <c r="CS101" s="6">
        <f t="shared" si="50"/>
        <v>1</v>
      </c>
      <c r="CT101" s="6">
        <f t="shared" si="530"/>
        <v>0</v>
      </c>
      <c r="CU101" s="6">
        <f t="shared" si="52"/>
        <v>0</v>
      </c>
      <c r="CV101" s="6">
        <f t="shared" si="53"/>
        <v>0</v>
      </c>
      <c r="CW101" s="6">
        <f t="shared" si="54"/>
        <v>0</v>
      </c>
      <c r="CX101" s="6">
        <f t="shared" si="55"/>
        <v>0</v>
      </c>
      <c r="CY101" s="6">
        <f t="shared" si="56"/>
        <v>0</v>
      </c>
      <c r="CZ101" s="6">
        <f t="shared" si="57"/>
        <v>0</v>
      </c>
      <c r="DA101" s="6">
        <f t="shared" si="58"/>
        <v>0</v>
      </c>
      <c r="DB101" s="6">
        <f t="shared" si="59"/>
        <v>0</v>
      </c>
      <c r="DC101" s="6">
        <f t="shared" si="60"/>
        <v>0</v>
      </c>
      <c r="DD101" s="6">
        <f t="shared" si="61"/>
        <v>0</v>
      </c>
      <c r="DE101" s="6">
        <f t="shared" si="62"/>
        <v>0</v>
      </c>
      <c r="DF101" s="6">
        <f t="shared" si="63"/>
        <v>0</v>
      </c>
      <c r="DG101" s="6">
        <f t="shared" si="64"/>
        <v>0</v>
      </c>
      <c r="DH101" s="6">
        <f t="shared" si="509"/>
        <v>1</v>
      </c>
      <c r="DI101" s="6">
        <f t="shared" si="66"/>
        <v>0</v>
      </c>
      <c r="DJ101" s="6">
        <f t="shared" si="510"/>
        <v>0</v>
      </c>
      <c r="DK101" s="7">
        <f t="shared" si="68"/>
        <v>0</v>
      </c>
      <c r="DL101" s="7">
        <f t="shared" si="498"/>
        <v>0</v>
      </c>
      <c r="DM101" s="7">
        <f t="shared" si="70"/>
        <v>0</v>
      </c>
      <c r="DN101" s="7">
        <f t="shared" si="71"/>
        <v>0</v>
      </c>
      <c r="DO101" s="7">
        <f t="shared" si="72"/>
        <v>1</v>
      </c>
      <c r="DP101" s="8">
        <f t="shared" si="73"/>
        <v>0</v>
      </c>
      <c r="DQ101" s="8">
        <f t="shared" si="74"/>
        <v>0</v>
      </c>
      <c r="DR101" s="7">
        <f t="shared" si="75"/>
        <v>0</v>
      </c>
      <c r="DS101" s="7">
        <f t="shared" si="76"/>
        <v>0</v>
      </c>
      <c r="DT101" s="7">
        <f t="shared" si="77"/>
        <v>0</v>
      </c>
      <c r="DU101" s="9">
        <f t="shared" si="78"/>
        <v>0</v>
      </c>
      <c r="DV101" s="9">
        <f t="shared" si="79"/>
        <v>0</v>
      </c>
      <c r="DW101" s="9">
        <f t="shared" si="80"/>
        <v>0</v>
      </c>
      <c r="DX101" s="9">
        <f t="shared" si="81"/>
        <v>0</v>
      </c>
      <c r="DY101" s="9">
        <f t="shared" si="82"/>
        <v>0</v>
      </c>
      <c r="DZ101" s="9">
        <f t="shared" si="83"/>
        <v>0</v>
      </c>
      <c r="EA101" s="9">
        <f t="shared" si="84"/>
        <v>0</v>
      </c>
      <c r="EB101" s="9">
        <f t="shared" si="85"/>
        <v>0</v>
      </c>
      <c r="EC101" s="9">
        <f t="shared" si="86"/>
        <v>0</v>
      </c>
      <c r="ED101" s="9">
        <f t="shared" si="87"/>
        <v>0</v>
      </c>
      <c r="EE101" s="9">
        <f t="shared" si="88"/>
        <v>0</v>
      </c>
      <c r="EF101" s="9">
        <f t="shared" si="89"/>
        <v>0</v>
      </c>
      <c r="EG101" s="9">
        <f t="shared" si="90"/>
        <v>0</v>
      </c>
      <c r="EH101" s="9">
        <f t="shared" si="91"/>
        <v>0</v>
      </c>
      <c r="EI101" s="9">
        <f t="shared" si="92"/>
        <v>0</v>
      </c>
      <c r="EJ101" s="10">
        <f t="shared" si="93"/>
        <v>0</v>
      </c>
      <c r="EK101" s="10">
        <f t="shared" si="94"/>
        <v>0</v>
      </c>
      <c r="EL101" s="10">
        <f t="shared" ref="EL101:EM101" si="545">IF(OR(ISNUMBER(SEARCH("ai software toolkit", $D101)), ISNUMBER(SEARCH("ai software toolkit", $T101)), ISNUMBER(SEARCH("ai software toolkit", $R101)), ISNUMBER(SEARCH("ai software toolkit", $S101))), 1, 0)</f>
        <v>0</v>
      </c>
      <c r="EM101" s="10">
        <f t="shared" si="545"/>
        <v>0</v>
      </c>
      <c r="EN101" s="10">
        <f t="shared" si="96"/>
        <v>0</v>
      </c>
      <c r="EO101" s="10">
        <f t="shared" si="97"/>
        <v>0</v>
      </c>
      <c r="EP101" s="10">
        <f t="shared" si="98"/>
        <v>0</v>
      </c>
      <c r="EQ101" s="10">
        <f t="shared" si="99"/>
        <v>0</v>
      </c>
      <c r="ER101" s="10">
        <f t="shared" si="100"/>
        <v>0</v>
      </c>
      <c r="ES101" s="10">
        <f t="shared" si="101"/>
        <v>0</v>
      </c>
      <c r="ET101" s="10">
        <f t="shared" si="102"/>
        <v>0</v>
      </c>
      <c r="EU101" s="10">
        <f t="shared" si="103"/>
        <v>0</v>
      </c>
      <c r="EV101" s="10">
        <f t="shared" si="104"/>
        <v>0</v>
      </c>
      <c r="EW101" s="10">
        <f t="shared" si="105"/>
        <v>0</v>
      </c>
      <c r="EX101" s="10">
        <f t="shared" si="106"/>
        <v>0</v>
      </c>
      <c r="EY101" s="10">
        <f t="shared" si="107"/>
        <v>0</v>
      </c>
      <c r="EZ101" s="10">
        <f t="shared" si="108"/>
        <v>0</v>
      </c>
      <c r="FA101" s="10">
        <f t="shared" si="109"/>
        <v>0</v>
      </c>
      <c r="FB101" s="10">
        <f t="shared" si="110"/>
        <v>0</v>
      </c>
      <c r="FC101" s="10">
        <f t="shared" si="111"/>
        <v>0</v>
      </c>
      <c r="FD101" s="10">
        <f t="shared" si="112"/>
        <v>0</v>
      </c>
      <c r="FE101" s="10">
        <f t="shared" si="113"/>
        <v>0</v>
      </c>
      <c r="FF101" s="10">
        <f t="shared" si="114"/>
        <v>0</v>
      </c>
      <c r="FG101" s="10">
        <f t="shared" si="115"/>
        <v>0</v>
      </c>
      <c r="FH101" s="10">
        <f t="shared" si="116"/>
        <v>0</v>
      </c>
      <c r="FI101" s="10">
        <f t="shared" si="117"/>
        <v>0</v>
      </c>
      <c r="FJ101" s="10">
        <f t="shared" si="118"/>
        <v>0</v>
      </c>
      <c r="FK101" s="10">
        <f t="shared" si="119"/>
        <v>0</v>
      </c>
      <c r="FL101" s="10">
        <f t="shared" si="120"/>
        <v>0</v>
      </c>
      <c r="FM101" s="10">
        <f t="shared" si="121"/>
        <v>0</v>
      </c>
      <c r="FN101" s="10">
        <f t="shared" si="122"/>
        <v>0</v>
      </c>
      <c r="FO101" s="10">
        <f t="shared" si="123"/>
        <v>0</v>
      </c>
      <c r="FP101" s="10">
        <f t="shared" si="124"/>
        <v>0</v>
      </c>
      <c r="FQ101" s="10">
        <f t="shared" si="125"/>
        <v>0</v>
      </c>
      <c r="FR101" s="11">
        <f t="shared" si="543"/>
        <v>0</v>
      </c>
      <c r="FS101" s="11">
        <f t="shared" si="127"/>
        <v>0</v>
      </c>
      <c r="FT101" s="11">
        <f t="shared" si="128"/>
        <v>0</v>
      </c>
      <c r="FU101" s="11">
        <f t="shared" si="129"/>
        <v>0</v>
      </c>
      <c r="FV101" s="11">
        <f t="shared" si="130"/>
        <v>0</v>
      </c>
      <c r="FW101" s="11">
        <f t="shared" si="131"/>
        <v>0</v>
      </c>
      <c r="FX101" s="11">
        <f t="shared" si="132"/>
        <v>0</v>
      </c>
      <c r="FY101" s="11">
        <f t="shared" si="133"/>
        <v>0</v>
      </c>
      <c r="FZ101" s="11">
        <f t="shared" si="134"/>
        <v>0</v>
      </c>
      <c r="GA101" s="11">
        <f t="shared" si="135"/>
        <v>0</v>
      </c>
      <c r="GB101" s="11">
        <f t="shared" si="136"/>
        <v>0</v>
      </c>
      <c r="GC101" s="11">
        <f t="shared" si="137"/>
        <v>0</v>
      </c>
      <c r="GD101" s="11">
        <f t="shared" si="138"/>
        <v>0</v>
      </c>
      <c r="GE101" s="11">
        <f t="shared" si="139"/>
        <v>0</v>
      </c>
      <c r="GF101" s="11">
        <f t="shared" si="140"/>
        <v>0</v>
      </c>
      <c r="GG101" s="11">
        <f t="shared" si="141"/>
        <v>0</v>
      </c>
      <c r="GH101" s="11">
        <f t="shared" si="142"/>
        <v>0</v>
      </c>
      <c r="GI101" s="11">
        <f t="shared" si="143"/>
        <v>0</v>
      </c>
      <c r="GJ101" s="11">
        <f t="shared" si="144"/>
        <v>0</v>
      </c>
      <c r="GK101" s="11">
        <f t="shared" si="145"/>
        <v>0</v>
      </c>
      <c r="GL101" s="11">
        <f t="shared" si="146"/>
        <v>0</v>
      </c>
      <c r="GM101" s="11">
        <f t="shared" si="147"/>
        <v>0</v>
      </c>
      <c r="GN101" s="11">
        <f t="shared" si="148"/>
        <v>0</v>
      </c>
      <c r="GO101" s="11">
        <f t="shared" si="149"/>
        <v>0</v>
      </c>
      <c r="GP101" s="11">
        <f t="shared" si="150"/>
        <v>0</v>
      </c>
      <c r="GQ101" s="11">
        <f t="shared" si="151"/>
        <v>0</v>
      </c>
      <c r="GR101" s="11">
        <f t="shared" si="152"/>
        <v>0</v>
      </c>
      <c r="GS101" s="11">
        <f t="shared" si="153"/>
        <v>0</v>
      </c>
      <c r="GT101" s="11">
        <f t="shared" si="154"/>
        <v>0</v>
      </c>
      <c r="GU101" s="12">
        <f t="shared" si="155"/>
        <v>0</v>
      </c>
      <c r="GV101" s="12">
        <f t="shared" si="156"/>
        <v>0</v>
      </c>
      <c r="GW101" s="12">
        <f t="shared" si="157"/>
        <v>0</v>
      </c>
      <c r="GX101" s="12">
        <f t="shared" si="158"/>
        <v>0</v>
      </c>
      <c r="GY101" s="12">
        <f t="shared" si="159"/>
        <v>0</v>
      </c>
      <c r="GZ101" s="12">
        <f t="shared" si="160"/>
        <v>0</v>
      </c>
      <c r="HA101" s="12">
        <f t="shared" si="161"/>
        <v>0</v>
      </c>
      <c r="HB101" s="12">
        <f t="shared" si="162"/>
        <v>0</v>
      </c>
      <c r="HC101" s="12">
        <f t="shared" si="163"/>
        <v>0</v>
      </c>
      <c r="HD101" s="12">
        <f t="shared" si="164"/>
        <v>0</v>
      </c>
      <c r="HE101" s="12">
        <f t="shared" si="165"/>
        <v>0</v>
      </c>
      <c r="HF101" s="12">
        <f t="shared" si="166"/>
        <v>0</v>
      </c>
      <c r="HG101" s="12">
        <f t="shared" si="167"/>
        <v>0</v>
      </c>
      <c r="HH101" s="12">
        <f t="shared" si="168"/>
        <v>0</v>
      </c>
      <c r="HI101" s="12">
        <f t="shared" si="169"/>
        <v>0</v>
      </c>
      <c r="HJ101" s="12">
        <f t="shared" si="170"/>
        <v>0</v>
      </c>
      <c r="HK101" s="12">
        <f t="shared" si="171"/>
        <v>0</v>
      </c>
      <c r="HL101" s="12">
        <f t="shared" si="172"/>
        <v>0</v>
      </c>
      <c r="HM101" s="12">
        <f t="shared" si="173"/>
        <v>0</v>
      </c>
      <c r="HN101" s="12">
        <f t="shared" si="174"/>
        <v>0</v>
      </c>
      <c r="HO101" s="12">
        <f t="shared" si="175"/>
        <v>0</v>
      </c>
      <c r="HP101" s="12">
        <f t="shared" si="176"/>
        <v>0</v>
      </c>
      <c r="HQ101" s="12">
        <f t="shared" si="177"/>
        <v>0</v>
      </c>
      <c r="HR101" s="12">
        <f t="shared" si="178"/>
        <v>0</v>
      </c>
      <c r="HS101" s="12">
        <f t="shared" si="179"/>
        <v>0</v>
      </c>
      <c r="HT101" s="12">
        <f t="shared" si="180"/>
        <v>0</v>
      </c>
      <c r="HU101" s="12">
        <f t="shared" si="181"/>
        <v>0</v>
      </c>
      <c r="HV101" s="12">
        <f t="shared" si="182"/>
        <v>1</v>
      </c>
      <c r="HW101" s="12">
        <f t="shared" si="183"/>
        <v>0</v>
      </c>
      <c r="HX101" s="12">
        <f t="shared" si="184"/>
        <v>0</v>
      </c>
      <c r="HY101" s="12">
        <f t="shared" si="185"/>
        <v>0</v>
      </c>
      <c r="HZ101" s="12">
        <f t="shared" si="186"/>
        <v>0</v>
      </c>
      <c r="IA101" s="12">
        <f t="shared" si="187"/>
        <v>0</v>
      </c>
      <c r="IB101" s="12">
        <f t="shared" si="188"/>
        <v>0</v>
      </c>
      <c r="IC101" s="12">
        <f t="shared" si="189"/>
        <v>0</v>
      </c>
      <c r="ID101" s="12">
        <f t="shared" si="190"/>
        <v>0</v>
      </c>
      <c r="IE101" s="12">
        <f t="shared" si="191"/>
        <v>0</v>
      </c>
      <c r="IF101" s="12">
        <f t="shared" si="192"/>
        <v>0</v>
      </c>
      <c r="IG101" s="12">
        <f t="shared" si="193"/>
        <v>0</v>
      </c>
      <c r="IH101" s="12">
        <f t="shared" si="194"/>
        <v>0</v>
      </c>
      <c r="II101" s="12">
        <f t="shared" si="195"/>
        <v>0</v>
      </c>
      <c r="IJ101" s="12">
        <f t="shared" si="196"/>
        <v>0</v>
      </c>
      <c r="IK101" s="12">
        <f t="shared" si="197"/>
        <v>0</v>
      </c>
      <c r="IL101" s="12">
        <f t="shared" si="198"/>
        <v>0</v>
      </c>
      <c r="IM101" s="12">
        <f t="shared" si="199"/>
        <v>0</v>
      </c>
      <c r="IN101" s="12">
        <f t="shared" si="200"/>
        <v>0</v>
      </c>
      <c r="IO101" s="12">
        <f t="shared" si="201"/>
        <v>0</v>
      </c>
      <c r="IP101" s="12">
        <f t="shared" si="202"/>
        <v>0</v>
      </c>
      <c r="IQ101" s="12">
        <f t="shared" si="203"/>
        <v>0</v>
      </c>
      <c r="IR101" s="12">
        <f t="shared" si="204"/>
        <v>0</v>
      </c>
      <c r="IS101" s="12">
        <f t="shared" si="205"/>
        <v>0</v>
      </c>
      <c r="IT101" s="12">
        <f t="shared" si="206"/>
        <v>0</v>
      </c>
      <c r="IU101" s="12">
        <f t="shared" si="207"/>
        <v>0</v>
      </c>
      <c r="IV101" s="12">
        <f t="shared" si="208"/>
        <v>0</v>
      </c>
      <c r="IW101" s="12">
        <f t="shared" si="209"/>
        <v>0</v>
      </c>
      <c r="IX101" s="12">
        <f t="shared" si="210"/>
        <v>0</v>
      </c>
      <c r="IY101" s="12">
        <f t="shared" si="211"/>
        <v>0</v>
      </c>
      <c r="IZ101" s="12">
        <f t="shared" si="212"/>
        <v>1</v>
      </c>
      <c r="JA101" s="13">
        <f t="shared" si="213"/>
        <v>0</v>
      </c>
      <c r="JB101" s="13">
        <f t="shared" si="214"/>
        <v>0</v>
      </c>
      <c r="JC101" s="13">
        <f t="shared" si="215"/>
        <v>0</v>
      </c>
      <c r="JD101" s="13">
        <f t="shared" si="216"/>
        <v>0</v>
      </c>
      <c r="JE101" s="13">
        <f t="shared" si="217"/>
        <v>0</v>
      </c>
      <c r="JF101" s="13">
        <f t="shared" si="218"/>
        <v>0</v>
      </c>
      <c r="JG101" s="13">
        <f t="shared" si="219"/>
        <v>0</v>
      </c>
      <c r="JH101" s="13">
        <f t="shared" si="220"/>
        <v>0</v>
      </c>
      <c r="JI101" s="13">
        <f t="shared" si="221"/>
        <v>0</v>
      </c>
      <c r="JJ101" s="13">
        <f t="shared" si="222"/>
        <v>0</v>
      </c>
      <c r="JK101" s="13">
        <f t="shared" si="223"/>
        <v>0</v>
      </c>
      <c r="JL101" s="13">
        <f t="shared" si="224"/>
        <v>0</v>
      </c>
      <c r="JM101" s="13">
        <f t="shared" si="225"/>
        <v>0</v>
      </c>
      <c r="JN101" s="13">
        <f t="shared" si="226"/>
        <v>0</v>
      </c>
      <c r="JO101" s="13">
        <f t="shared" si="227"/>
        <v>0</v>
      </c>
      <c r="JP101" s="13">
        <f t="shared" si="228"/>
        <v>0</v>
      </c>
      <c r="JQ101" s="13">
        <f t="shared" si="229"/>
        <v>0</v>
      </c>
      <c r="JR101" s="13">
        <f t="shared" si="230"/>
        <v>0</v>
      </c>
      <c r="JS101" s="13">
        <f t="shared" si="231"/>
        <v>0</v>
      </c>
      <c r="JT101" s="13">
        <f t="shared" si="232"/>
        <v>0</v>
      </c>
      <c r="JU101" s="13">
        <f t="shared" si="233"/>
        <v>0</v>
      </c>
      <c r="JV101" s="12">
        <f t="shared" si="234"/>
        <v>0</v>
      </c>
      <c r="JW101" s="12">
        <f t="shared" si="235"/>
        <v>0</v>
      </c>
      <c r="JX101" s="12">
        <f t="shared" si="236"/>
        <v>0</v>
      </c>
      <c r="JY101" s="12">
        <f t="shared" si="237"/>
        <v>0</v>
      </c>
      <c r="JZ101" s="12">
        <f t="shared" si="238"/>
        <v>0</v>
      </c>
      <c r="KA101" s="12">
        <f t="shared" si="239"/>
        <v>0</v>
      </c>
      <c r="KB101" s="12">
        <f t="shared" si="240"/>
        <v>0</v>
      </c>
      <c r="KC101" s="12">
        <f t="shared" si="241"/>
        <v>0</v>
      </c>
      <c r="KD101" s="12">
        <f t="shared" si="242"/>
        <v>0</v>
      </c>
      <c r="KE101" s="12">
        <f t="shared" si="243"/>
        <v>0</v>
      </c>
      <c r="KF101" s="12">
        <f t="shared" si="244"/>
        <v>0</v>
      </c>
      <c r="KG101" s="12">
        <f t="shared" si="245"/>
        <v>0</v>
      </c>
      <c r="KH101" s="12">
        <f t="shared" si="246"/>
        <v>0</v>
      </c>
      <c r="KI101" s="12">
        <f t="shared" si="247"/>
        <v>0</v>
      </c>
      <c r="KJ101" s="12">
        <f t="shared" si="248"/>
        <v>0</v>
      </c>
      <c r="KK101" s="12">
        <f t="shared" si="249"/>
        <v>0</v>
      </c>
      <c r="KL101" s="12">
        <f t="shared" si="250"/>
        <v>0</v>
      </c>
      <c r="KM101" s="12">
        <f t="shared" si="251"/>
        <v>0</v>
      </c>
      <c r="KN101" s="12">
        <f t="shared" si="252"/>
        <v>0</v>
      </c>
      <c r="KO101" s="12">
        <f t="shared" si="253"/>
        <v>0</v>
      </c>
      <c r="KP101" s="12">
        <f t="shared" si="254"/>
        <v>0</v>
      </c>
      <c r="KQ101" s="12">
        <f t="shared" si="255"/>
        <v>0</v>
      </c>
      <c r="KR101" s="12">
        <f t="shared" si="256"/>
        <v>0</v>
      </c>
      <c r="KS101" s="12">
        <f t="shared" si="257"/>
        <v>0</v>
      </c>
      <c r="KT101" s="12">
        <f t="shared" si="258"/>
        <v>0</v>
      </c>
      <c r="KU101" s="12">
        <f t="shared" si="259"/>
        <v>0</v>
      </c>
      <c r="KV101" s="12">
        <f t="shared" si="260"/>
        <v>0</v>
      </c>
      <c r="KW101" s="12">
        <f t="shared" si="261"/>
        <v>0</v>
      </c>
      <c r="KX101" s="12">
        <f t="shared" si="262"/>
        <v>0</v>
      </c>
      <c r="KY101" s="12">
        <f t="shared" si="263"/>
        <v>0</v>
      </c>
      <c r="KZ101" s="12">
        <f t="shared" si="264"/>
        <v>0</v>
      </c>
      <c r="LA101" s="12">
        <f t="shared" si="265"/>
        <v>0</v>
      </c>
      <c r="LB101" s="12">
        <f t="shared" si="266"/>
        <v>0</v>
      </c>
      <c r="LC101" s="12">
        <f t="shared" si="267"/>
        <v>0</v>
      </c>
      <c r="LD101" s="12">
        <f t="shared" si="268"/>
        <v>0</v>
      </c>
      <c r="LE101" s="12">
        <f t="shared" si="269"/>
        <v>0</v>
      </c>
      <c r="LF101" s="12">
        <f t="shared" si="270"/>
        <v>0</v>
      </c>
      <c r="LG101" s="12">
        <f t="shared" si="271"/>
        <v>0</v>
      </c>
      <c r="LH101" s="12">
        <f t="shared" si="272"/>
        <v>0</v>
      </c>
      <c r="LI101" s="12">
        <f t="shared" si="273"/>
        <v>0</v>
      </c>
      <c r="LJ101" s="12">
        <f t="shared" si="274"/>
        <v>0</v>
      </c>
      <c r="LK101" s="12">
        <f t="shared" si="275"/>
        <v>0</v>
      </c>
      <c r="LL101" s="12">
        <f t="shared" si="276"/>
        <v>0</v>
      </c>
      <c r="LM101" s="12">
        <f t="shared" si="277"/>
        <v>0</v>
      </c>
      <c r="LN101" s="12">
        <f t="shared" si="278"/>
        <v>0</v>
      </c>
      <c r="LO101" s="12">
        <f t="shared" si="279"/>
        <v>0</v>
      </c>
      <c r="LP101" s="12">
        <f t="shared" si="280"/>
        <v>0</v>
      </c>
      <c r="LQ101" s="12">
        <f t="shared" si="281"/>
        <v>0</v>
      </c>
      <c r="LR101" s="12">
        <f t="shared" si="282"/>
        <v>0</v>
      </c>
      <c r="LS101" s="12">
        <f t="shared" si="283"/>
        <v>0</v>
      </c>
      <c r="LT101" s="13">
        <f t="shared" si="284"/>
        <v>0</v>
      </c>
      <c r="LU101" s="13">
        <f t="shared" si="285"/>
        <v>0</v>
      </c>
      <c r="LV101" s="13">
        <f t="shared" si="286"/>
        <v>0</v>
      </c>
      <c r="LW101" s="13">
        <f t="shared" si="287"/>
        <v>0</v>
      </c>
      <c r="LX101" s="13">
        <f t="shared" si="288"/>
        <v>0</v>
      </c>
      <c r="LY101" s="13">
        <f t="shared" si="289"/>
        <v>0</v>
      </c>
      <c r="LZ101" s="13">
        <f t="shared" si="290"/>
        <v>0</v>
      </c>
      <c r="MA101" s="13">
        <f t="shared" si="291"/>
        <v>0</v>
      </c>
      <c r="MB101" s="13">
        <f t="shared" si="292"/>
        <v>0</v>
      </c>
      <c r="MC101" s="13">
        <f t="shared" si="293"/>
        <v>0</v>
      </c>
      <c r="MD101" s="13">
        <f t="shared" si="294"/>
        <v>0</v>
      </c>
      <c r="ME101" s="13">
        <f t="shared" si="295"/>
        <v>0</v>
      </c>
      <c r="MF101" s="13">
        <f t="shared" si="296"/>
        <v>0</v>
      </c>
      <c r="MG101" s="13">
        <f t="shared" si="297"/>
        <v>0</v>
      </c>
      <c r="MH101" s="13">
        <f t="shared" si="298"/>
        <v>0</v>
      </c>
      <c r="MI101" s="13">
        <f t="shared" si="299"/>
        <v>0</v>
      </c>
      <c r="MJ101" s="13">
        <f t="shared" si="300"/>
        <v>0</v>
      </c>
      <c r="MK101" s="13">
        <f t="shared" si="301"/>
        <v>0</v>
      </c>
      <c r="ML101" s="14">
        <f t="shared" si="302"/>
        <v>0</v>
      </c>
      <c r="MM101" s="14">
        <f t="shared" si="303"/>
        <v>0</v>
      </c>
      <c r="MN101" s="14">
        <f t="shared" si="304"/>
        <v>0</v>
      </c>
      <c r="MO101" s="14">
        <f t="shared" si="305"/>
        <v>0</v>
      </c>
      <c r="MP101" s="14">
        <f t="shared" si="306"/>
        <v>0</v>
      </c>
      <c r="MQ101" s="14">
        <f t="shared" si="307"/>
        <v>0</v>
      </c>
      <c r="MR101" s="14">
        <f t="shared" si="308"/>
        <v>0</v>
      </c>
      <c r="MS101" s="14">
        <f t="shared" si="309"/>
        <v>0</v>
      </c>
      <c r="MT101" s="14">
        <f t="shared" si="310"/>
        <v>0</v>
      </c>
      <c r="MU101" s="14">
        <f t="shared" si="311"/>
        <v>0</v>
      </c>
      <c r="MV101" s="14">
        <f t="shared" si="312"/>
        <v>0</v>
      </c>
      <c r="MW101" s="14">
        <f t="shared" si="313"/>
        <v>0</v>
      </c>
      <c r="MX101" s="14">
        <f t="shared" si="314"/>
        <v>0</v>
      </c>
      <c r="MY101" s="14">
        <f t="shared" si="315"/>
        <v>0</v>
      </c>
      <c r="MZ101" s="14">
        <f t="shared" si="316"/>
        <v>0</v>
      </c>
      <c r="NA101" s="14">
        <f t="shared" si="317"/>
        <v>0</v>
      </c>
      <c r="NB101" s="14">
        <f t="shared" si="318"/>
        <v>0</v>
      </c>
    </row>
    <row r="102" ht="15.75" customHeight="1">
      <c r="A102" s="2">
        <v>441.0</v>
      </c>
      <c r="B102" s="2" t="s">
        <v>2106</v>
      </c>
      <c r="C102" s="2" t="s">
        <v>2107</v>
      </c>
      <c r="D102" s="2" t="s">
        <v>2108</v>
      </c>
      <c r="E102" s="2">
        <v>2006.0</v>
      </c>
      <c r="F102" s="2" t="s">
        <v>2109</v>
      </c>
      <c r="G102" s="2" t="s">
        <v>2110</v>
      </c>
      <c r="J102" s="2" t="s">
        <v>1160</v>
      </c>
      <c r="K102" s="2" t="s">
        <v>371</v>
      </c>
      <c r="M102" s="2">
        <v>10.0</v>
      </c>
      <c r="N102" s="2" t="s">
        <v>2111</v>
      </c>
      <c r="O102" s="2" t="s">
        <v>2112</v>
      </c>
      <c r="P102" s="2" t="s">
        <v>2113</v>
      </c>
      <c r="Q102" s="2" t="s">
        <v>2114</v>
      </c>
      <c r="R102" s="2" t="s">
        <v>2115</v>
      </c>
      <c r="T102" s="2" t="s">
        <v>2116</v>
      </c>
      <c r="AG102" s="2" t="s">
        <v>2117</v>
      </c>
      <c r="AJ102" s="2">
        <v>1.7009695E7</v>
      </c>
      <c r="AK102" s="2" t="s">
        <v>2118</v>
      </c>
      <c r="AL102" s="2" t="s">
        <v>384</v>
      </c>
      <c r="AN102" s="2" t="s">
        <v>386</v>
      </c>
      <c r="AO102" s="2" t="s">
        <v>2119</v>
      </c>
      <c r="AP102" s="2" t="s">
        <v>386</v>
      </c>
      <c r="AQ102" s="2">
        <v>1733.0</v>
      </c>
      <c r="AR102" s="2" t="s">
        <v>2120</v>
      </c>
      <c r="AS102" s="2" t="b">
        <v>0</v>
      </c>
      <c r="AT102" s="3">
        <v>0.0</v>
      </c>
      <c r="AU102" s="4"/>
      <c r="AV102" s="4"/>
      <c r="AW102" s="5">
        <f t="shared" si="432"/>
        <v>0</v>
      </c>
      <c r="AX102" s="5">
        <f t="shared" si="4"/>
        <v>0</v>
      </c>
      <c r="AY102" s="5">
        <f t="shared" si="5"/>
        <v>0</v>
      </c>
      <c r="AZ102" s="5">
        <f t="shared" si="6"/>
        <v>0</v>
      </c>
      <c r="BA102" s="5">
        <f t="shared" si="7"/>
        <v>0</v>
      </c>
      <c r="BB102" s="5">
        <f t="shared" si="8"/>
        <v>0</v>
      </c>
      <c r="BC102" s="5">
        <f t="shared" si="9"/>
        <v>0</v>
      </c>
      <c r="BD102" s="5">
        <f t="shared" si="10"/>
        <v>0</v>
      </c>
      <c r="BE102" s="5">
        <f t="shared" si="11"/>
        <v>0</v>
      </c>
      <c r="BF102" s="5">
        <f t="shared" si="12"/>
        <v>0</v>
      </c>
      <c r="BG102" s="5">
        <f t="shared" si="13"/>
        <v>0</v>
      </c>
      <c r="BH102" s="5">
        <f t="shared" si="14"/>
        <v>0</v>
      </c>
      <c r="BI102" s="5">
        <f t="shared" si="15"/>
        <v>0</v>
      </c>
      <c r="BJ102" s="5">
        <f t="shared" si="16"/>
        <v>0</v>
      </c>
      <c r="BK102" s="5">
        <f t="shared" si="17"/>
        <v>0</v>
      </c>
      <c r="BL102" s="5">
        <f t="shared" si="18"/>
        <v>0</v>
      </c>
      <c r="BM102" s="5">
        <f t="shared" si="19"/>
        <v>0</v>
      </c>
      <c r="BN102" s="5">
        <f t="shared" si="20"/>
        <v>0</v>
      </c>
      <c r="BO102" s="5">
        <f t="shared" si="21"/>
        <v>0</v>
      </c>
      <c r="BP102" s="5">
        <f t="shared" si="22"/>
        <v>0</v>
      </c>
      <c r="BQ102" s="5">
        <f t="shared" si="23"/>
        <v>0</v>
      </c>
      <c r="BR102" s="5">
        <f t="shared" si="24"/>
        <v>0</v>
      </c>
      <c r="BS102" s="5">
        <f t="shared" si="25"/>
        <v>0</v>
      </c>
      <c r="BT102" s="5">
        <f t="shared" si="26"/>
        <v>0</v>
      </c>
      <c r="BU102" s="5">
        <f t="shared" si="27"/>
        <v>0</v>
      </c>
      <c r="BV102" s="5">
        <f t="shared" ref="BV102:BW102" si="546">IF(OR(ISNUMBER(SEARCH("grit",$D102)),ISNUMBER(SEARCH("grit",$T102)),ISNUMBER(SEARCH("grit",$R102)),ISNUMBER(SEARCH("grit",$S102)),
ISNUMBER(SEARCH("determination",$D102)),ISNUMBER(SEARCH("determination",$T102)),ISNUMBER(SEARCH("determination",$R102)),ISNUMBER(SEARCH("determination",$S102)),
ISNUMBER(SEARCH("tenacity",$D102)),ISNUMBER(SEARCH("tenacity",$T102)),ISNUMBER(SEARCH("tenacity",$R102)),ISNUMBER(SEARCH("tenacity",$S102)),
ISNUMBER(SEARCH("endurance",$D102)),ISNUMBER(SEARCH("endurance",$T102)),ISNUMBER(SEARCH("endurance",$R102)),ISNUMBER(SEARCH("endurance",$S102)),
ISNUMBER(SEARCH("fortitude",$D102)),ISNUMBER(SEARCH("fortitude",$T102)),ISNUMBER(SEARCH("fortitude",$R102)),ISNUMBER(SEARCH("fortitude",$S102)),
ISNUMBER(SEARCH("resolve",$D102)),ISNUMBER(SEARCH("resolve",$T102)),ISNUMBER(SEARCH("resolve",$R102)),ISNUMBER(SEARCH("resolve",$S102)),
ISNUMBER(SEARCH("stamina",$D102)),ISNUMBER(SEARCH("stamina",$T102)),ISNUMBER(SEARCH("stamina",$R102)),ISNUMBER(SEARCH("stamina",$S102)),
ISNUMBER(SEARCH("guts",$D102)),ISNUMBER(SEARCH("guts",$T102)),ISNUMBER(SEARCH("guts",$R102)),ISNUMBER(SEARCH("guts",$S102)),
ISNUMBER(SEARCH("spunk",$D102)),ISNUMBER(SEARCH("spunk",$T102)),ISNUMBER(SEARCH("spunk",$R102)),ISNUMBER(SEARCH("spunk",$S102))), 1, 0)</f>
        <v>0</v>
      </c>
      <c r="BW102" s="5">
        <f t="shared" si="546"/>
        <v>0</v>
      </c>
      <c r="BX102" s="5">
        <f t="shared" si="29"/>
        <v>0</v>
      </c>
      <c r="BY102" s="5">
        <f t="shared" si="30"/>
        <v>0</v>
      </c>
      <c r="BZ102" s="5">
        <f t="shared" si="31"/>
        <v>0</v>
      </c>
      <c r="CA102" s="5">
        <f t="shared" si="32"/>
        <v>0</v>
      </c>
      <c r="CB102" s="5">
        <f t="shared" si="33"/>
        <v>0</v>
      </c>
      <c r="CC102" s="5">
        <f t="shared" si="34"/>
        <v>0</v>
      </c>
      <c r="CD102" s="5">
        <f t="shared" si="35"/>
        <v>0</v>
      </c>
      <c r="CE102" s="5">
        <f t="shared" si="36"/>
        <v>0</v>
      </c>
      <c r="CF102" s="5">
        <f t="shared" si="37"/>
        <v>0</v>
      </c>
      <c r="CG102" s="5">
        <f t="shared" si="38"/>
        <v>1</v>
      </c>
      <c r="CH102" s="5">
        <f t="shared" si="39"/>
        <v>0</v>
      </c>
      <c r="CI102" s="5">
        <f t="shared" si="40"/>
        <v>0</v>
      </c>
      <c r="CJ102" s="5">
        <f t="shared" si="41"/>
        <v>0</v>
      </c>
      <c r="CK102" s="5">
        <f t="shared" si="42"/>
        <v>0</v>
      </c>
      <c r="CL102" s="5">
        <f t="shared" si="43"/>
        <v>0</v>
      </c>
      <c r="CM102" s="5">
        <f t="shared" si="44"/>
        <v>0</v>
      </c>
      <c r="CN102" s="5">
        <f t="shared" si="45"/>
        <v>0</v>
      </c>
      <c r="CO102" s="5">
        <f t="shared" si="46"/>
        <v>0</v>
      </c>
      <c r="CP102" s="6">
        <f t="shared" si="47"/>
        <v>0</v>
      </c>
      <c r="CQ102" s="6">
        <f t="shared" si="48"/>
        <v>0</v>
      </c>
      <c r="CR102" s="6">
        <f t="shared" si="49"/>
        <v>0</v>
      </c>
      <c r="CS102" s="6">
        <f t="shared" si="50"/>
        <v>0</v>
      </c>
      <c r="CT102" s="6">
        <v>0.0</v>
      </c>
      <c r="CU102" s="6">
        <f t="shared" si="52"/>
        <v>0</v>
      </c>
      <c r="CV102" s="6">
        <f t="shared" si="53"/>
        <v>0</v>
      </c>
      <c r="CW102" s="6">
        <f t="shared" si="54"/>
        <v>0</v>
      </c>
      <c r="CX102" s="6">
        <f t="shared" si="55"/>
        <v>0</v>
      </c>
      <c r="CY102" s="6">
        <f t="shared" si="56"/>
        <v>0</v>
      </c>
      <c r="CZ102" s="6">
        <f t="shared" si="57"/>
        <v>0</v>
      </c>
      <c r="DA102" s="6">
        <f t="shared" si="58"/>
        <v>0</v>
      </c>
      <c r="DB102" s="6">
        <f t="shared" si="59"/>
        <v>0</v>
      </c>
      <c r="DC102" s="6">
        <f t="shared" si="60"/>
        <v>0</v>
      </c>
      <c r="DD102" s="6">
        <f t="shared" si="61"/>
        <v>0</v>
      </c>
      <c r="DE102" s="6">
        <f t="shared" si="62"/>
        <v>0</v>
      </c>
      <c r="DF102" s="6">
        <f t="shared" si="63"/>
        <v>0</v>
      </c>
      <c r="DG102" s="6">
        <f t="shared" si="64"/>
        <v>0</v>
      </c>
      <c r="DH102" s="6">
        <f t="shared" si="509"/>
        <v>1</v>
      </c>
      <c r="DI102" s="6">
        <f t="shared" si="66"/>
        <v>0</v>
      </c>
      <c r="DJ102" s="6">
        <f t="shared" si="510"/>
        <v>0</v>
      </c>
      <c r="DK102" s="7">
        <f t="shared" si="68"/>
        <v>0</v>
      </c>
      <c r="DL102" s="7">
        <f t="shared" si="498"/>
        <v>0</v>
      </c>
      <c r="DM102" s="7">
        <f t="shared" si="70"/>
        <v>0</v>
      </c>
      <c r="DN102" s="7">
        <f t="shared" si="71"/>
        <v>0</v>
      </c>
      <c r="DO102" s="7">
        <f t="shared" si="72"/>
        <v>0</v>
      </c>
      <c r="DP102" s="8">
        <f t="shared" si="73"/>
        <v>0</v>
      </c>
      <c r="DQ102" s="8">
        <f t="shared" si="74"/>
        <v>0</v>
      </c>
      <c r="DR102" s="7">
        <f t="shared" si="75"/>
        <v>0</v>
      </c>
      <c r="DS102" s="7">
        <f t="shared" si="76"/>
        <v>0</v>
      </c>
      <c r="DT102" s="7">
        <f t="shared" si="77"/>
        <v>0</v>
      </c>
      <c r="DU102" s="9">
        <f t="shared" si="78"/>
        <v>0</v>
      </c>
      <c r="DV102" s="9">
        <f t="shared" si="79"/>
        <v>0</v>
      </c>
      <c r="DW102" s="9">
        <f t="shared" si="80"/>
        <v>0</v>
      </c>
      <c r="DX102" s="9">
        <f t="shared" si="81"/>
        <v>0</v>
      </c>
      <c r="DY102" s="9">
        <f t="shared" si="82"/>
        <v>0</v>
      </c>
      <c r="DZ102" s="9">
        <f t="shared" si="83"/>
        <v>0</v>
      </c>
      <c r="EA102" s="9">
        <f t="shared" si="84"/>
        <v>0</v>
      </c>
      <c r="EB102" s="9">
        <f t="shared" si="85"/>
        <v>0</v>
      </c>
      <c r="EC102" s="9">
        <f t="shared" si="86"/>
        <v>0</v>
      </c>
      <c r="ED102" s="9">
        <f t="shared" si="87"/>
        <v>0</v>
      </c>
      <c r="EE102" s="9">
        <f t="shared" si="88"/>
        <v>0</v>
      </c>
      <c r="EF102" s="9">
        <f t="shared" si="89"/>
        <v>0</v>
      </c>
      <c r="EG102" s="9">
        <f t="shared" si="90"/>
        <v>0</v>
      </c>
      <c r="EH102" s="9">
        <f t="shared" si="91"/>
        <v>0</v>
      </c>
      <c r="EI102" s="9">
        <f t="shared" si="92"/>
        <v>0</v>
      </c>
      <c r="EJ102" s="10">
        <f t="shared" si="93"/>
        <v>0</v>
      </c>
      <c r="EK102" s="10">
        <f t="shared" si="94"/>
        <v>0</v>
      </c>
      <c r="EL102" s="10">
        <f t="shared" ref="EL102:EM102" si="547">IF(OR(ISNUMBER(SEARCH("ai software toolkit", $D102)), ISNUMBER(SEARCH("ai software toolkit", $T102)), ISNUMBER(SEARCH("ai software toolkit", $R102)), ISNUMBER(SEARCH("ai software toolkit", $S102))), 1, 0)</f>
        <v>0</v>
      </c>
      <c r="EM102" s="10">
        <f t="shared" si="547"/>
        <v>0</v>
      </c>
      <c r="EN102" s="10">
        <f t="shared" si="96"/>
        <v>0</v>
      </c>
      <c r="EO102" s="10">
        <f t="shared" si="97"/>
        <v>0</v>
      </c>
      <c r="EP102" s="10">
        <f t="shared" si="98"/>
        <v>0</v>
      </c>
      <c r="EQ102" s="10">
        <f t="shared" si="99"/>
        <v>0</v>
      </c>
      <c r="ER102" s="10">
        <f t="shared" si="100"/>
        <v>0</v>
      </c>
      <c r="ES102" s="10">
        <f t="shared" si="101"/>
        <v>0</v>
      </c>
      <c r="ET102" s="10">
        <f t="shared" si="102"/>
        <v>0</v>
      </c>
      <c r="EU102" s="10">
        <f t="shared" si="103"/>
        <v>0</v>
      </c>
      <c r="EV102" s="10">
        <f t="shared" si="104"/>
        <v>0</v>
      </c>
      <c r="EW102" s="10">
        <f t="shared" si="105"/>
        <v>0</v>
      </c>
      <c r="EX102" s="10">
        <f t="shared" si="106"/>
        <v>0</v>
      </c>
      <c r="EY102" s="10">
        <f t="shared" si="107"/>
        <v>0</v>
      </c>
      <c r="EZ102" s="10">
        <f t="shared" si="108"/>
        <v>0</v>
      </c>
      <c r="FA102" s="10">
        <f t="shared" si="109"/>
        <v>0</v>
      </c>
      <c r="FB102" s="10">
        <f t="shared" si="110"/>
        <v>0</v>
      </c>
      <c r="FC102" s="10">
        <f t="shared" si="111"/>
        <v>0</v>
      </c>
      <c r="FD102" s="10">
        <f t="shared" si="112"/>
        <v>0</v>
      </c>
      <c r="FE102" s="10">
        <f t="shared" si="113"/>
        <v>0</v>
      </c>
      <c r="FF102" s="10">
        <f t="shared" si="114"/>
        <v>0</v>
      </c>
      <c r="FG102" s="10">
        <f t="shared" si="115"/>
        <v>0</v>
      </c>
      <c r="FH102" s="10">
        <f t="shared" si="116"/>
        <v>0</v>
      </c>
      <c r="FI102" s="10">
        <f t="shared" si="117"/>
        <v>0</v>
      </c>
      <c r="FJ102" s="10">
        <f t="shared" si="118"/>
        <v>0</v>
      </c>
      <c r="FK102" s="10">
        <f t="shared" si="119"/>
        <v>0</v>
      </c>
      <c r="FL102" s="10">
        <f t="shared" si="120"/>
        <v>0</v>
      </c>
      <c r="FM102" s="10">
        <f t="shared" si="121"/>
        <v>0</v>
      </c>
      <c r="FN102" s="10">
        <f t="shared" si="122"/>
        <v>0</v>
      </c>
      <c r="FO102" s="10">
        <f t="shared" si="123"/>
        <v>0</v>
      </c>
      <c r="FP102" s="10">
        <f t="shared" si="124"/>
        <v>0</v>
      </c>
      <c r="FQ102" s="10">
        <f t="shared" si="125"/>
        <v>0</v>
      </c>
      <c r="FR102" s="11">
        <f t="shared" si="543"/>
        <v>0</v>
      </c>
      <c r="FS102" s="11">
        <f t="shared" si="127"/>
        <v>0</v>
      </c>
      <c r="FT102" s="11">
        <f t="shared" si="128"/>
        <v>0</v>
      </c>
      <c r="FU102" s="11">
        <f t="shared" si="129"/>
        <v>0</v>
      </c>
      <c r="FV102" s="11">
        <f t="shared" si="130"/>
        <v>0</v>
      </c>
      <c r="FW102" s="11">
        <f t="shared" si="131"/>
        <v>0</v>
      </c>
      <c r="FX102" s="11">
        <f t="shared" si="132"/>
        <v>0</v>
      </c>
      <c r="FY102" s="11">
        <f t="shared" si="133"/>
        <v>0</v>
      </c>
      <c r="FZ102" s="11">
        <f t="shared" si="134"/>
        <v>0</v>
      </c>
      <c r="GA102" s="11">
        <f t="shared" si="135"/>
        <v>0</v>
      </c>
      <c r="GB102" s="11">
        <f t="shared" si="136"/>
        <v>0</v>
      </c>
      <c r="GC102" s="11">
        <f t="shared" si="137"/>
        <v>0</v>
      </c>
      <c r="GD102" s="11">
        <f t="shared" si="138"/>
        <v>0</v>
      </c>
      <c r="GE102" s="11">
        <f t="shared" si="139"/>
        <v>0</v>
      </c>
      <c r="GF102" s="11">
        <f t="shared" si="140"/>
        <v>0</v>
      </c>
      <c r="GG102" s="11">
        <f t="shared" si="141"/>
        <v>0</v>
      </c>
      <c r="GH102" s="11">
        <f t="shared" si="142"/>
        <v>0</v>
      </c>
      <c r="GI102" s="11">
        <f t="shared" si="143"/>
        <v>0</v>
      </c>
      <c r="GJ102" s="11">
        <f t="shared" si="144"/>
        <v>0</v>
      </c>
      <c r="GK102" s="11">
        <f t="shared" si="145"/>
        <v>0</v>
      </c>
      <c r="GL102" s="11">
        <f t="shared" si="146"/>
        <v>0</v>
      </c>
      <c r="GM102" s="11">
        <f t="shared" si="147"/>
        <v>0</v>
      </c>
      <c r="GN102" s="11">
        <f t="shared" si="148"/>
        <v>0</v>
      </c>
      <c r="GO102" s="11">
        <f t="shared" si="149"/>
        <v>0</v>
      </c>
      <c r="GP102" s="11">
        <f t="shared" si="150"/>
        <v>0</v>
      </c>
      <c r="GQ102" s="11">
        <f t="shared" si="151"/>
        <v>0</v>
      </c>
      <c r="GR102" s="11">
        <f t="shared" si="152"/>
        <v>0</v>
      </c>
      <c r="GS102" s="11">
        <f t="shared" si="153"/>
        <v>0</v>
      </c>
      <c r="GT102" s="11">
        <f t="shared" si="154"/>
        <v>0</v>
      </c>
      <c r="GU102" s="12">
        <f t="shared" si="155"/>
        <v>0</v>
      </c>
      <c r="GV102" s="12">
        <f t="shared" si="156"/>
        <v>0</v>
      </c>
      <c r="GW102" s="12">
        <f t="shared" si="157"/>
        <v>0</v>
      </c>
      <c r="GX102" s="12">
        <f t="shared" si="158"/>
        <v>0</v>
      </c>
      <c r="GY102" s="12">
        <f t="shared" si="159"/>
        <v>0</v>
      </c>
      <c r="GZ102" s="12">
        <f t="shared" si="160"/>
        <v>0</v>
      </c>
      <c r="HA102" s="12">
        <f t="shared" si="161"/>
        <v>0</v>
      </c>
      <c r="HB102" s="12">
        <f t="shared" si="162"/>
        <v>0</v>
      </c>
      <c r="HC102" s="12">
        <f t="shared" si="163"/>
        <v>0</v>
      </c>
      <c r="HD102" s="12">
        <f t="shared" si="164"/>
        <v>0</v>
      </c>
      <c r="HE102" s="12">
        <f t="shared" si="165"/>
        <v>0</v>
      </c>
      <c r="HF102" s="12">
        <f t="shared" si="166"/>
        <v>0</v>
      </c>
      <c r="HG102" s="12">
        <f t="shared" si="167"/>
        <v>0</v>
      </c>
      <c r="HH102" s="12">
        <f t="shared" si="168"/>
        <v>0</v>
      </c>
      <c r="HI102" s="12">
        <f t="shared" si="169"/>
        <v>0</v>
      </c>
      <c r="HJ102" s="12">
        <f t="shared" si="170"/>
        <v>0</v>
      </c>
      <c r="HK102" s="12">
        <f t="shared" si="171"/>
        <v>0</v>
      </c>
      <c r="HL102" s="12">
        <f t="shared" si="172"/>
        <v>0</v>
      </c>
      <c r="HM102" s="12">
        <f t="shared" si="173"/>
        <v>0</v>
      </c>
      <c r="HN102" s="12">
        <f t="shared" si="174"/>
        <v>0</v>
      </c>
      <c r="HO102" s="12">
        <f t="shared" si="175"/>
        <v>0</v>
      </c>
      <c r="HP102" s="12">
        <f t="shared" si="176"/>
        <v>0</v>
      </c>
      <c r="HQ102" s="12">
        <f t="shared" si="177"/>
        <v>0</v>
      </c>
      <c r="HR102" s="12">
        <f t="shared" si="178"/>
        <v>0</v>
      </c>
      <c r="HS102" s="12">
        <f t="shared" si="179"/>
        <v>0</v>
      </c>
      <c r="HT102" s="12">
        <f t="shared" si="180"/>
        <v>0</v>
      </c>
      <c r="HU102" s="12">
        <f t="shared" si="181"/>
        <v>0</v>
      </c>
      <c r="HV102" s="12">
        <f t="shared" si="182"/>
        <v>0</v>
      </c>
      <c r="HW102" s="12">
        <f t="shared" si="183"/>
        <v>0</v>
      </c>
      <c r="HX102" s="12">
        <f t="shared" si="184"/>
        <v>0</v>
      </c>
      <c r="HY102" s="12">
        <f t="shared" si="185"/>
        <v>0</v>
      </c>
      <c r="HZ102" s="12">
        <f t="shared" si="186"/>
        <v>0</v>
      </c>
      <c r="IA102" s="12">
        <f t="shared" si="187"/>
        <v>0</v>
      </c>
      <c r="IB102" s="12">
        <f t="shared" si="188"/>
        <v>0</v>
      </c>
      <c r="IC102" s="12">
        <f t="shared" si="189"/>
        <v>0</v>
      </c>
      <c r="ID102" s="12">
        <f t="shared" si="190"/>
        <v>0</v>
      </c>
      <c r="IE102" s="12">
        <f t="shared" si="191"/>
        <v>0</v>
      </c>
      <c r="IF102" s="12">
        <f t="shared" si="192"/>
        <v>0</v>
      </c>
      <c r="IG102" s="12">
        <f t="shared" si="193"/>
        <v>0</v>
      </c>
      <c r="IH102" s="12">
        <f t="shared" si="194"/>
        <v>0</v>
      </c>
      <c r="II102" s="12">
        <f t="shared" si="195"/>
        <v>0</v>
      </c>
      <c r="IJ102" s="12">
        <f t="shared" si="196"/>
        <v>0</v>
      </c>
      <c r="IK102" s="12">
        <f t="shared" si="197"/>
        <v>0</v>
      </c>
      <c r="IL102" s="12">
        <f t="shared" si="198"/>
        <v>0</v>
      </c>
      <c r="IM102" s="12">
        <f t="shared" si="199"/>
        <v>0</v>
      </c>
      <c r="IN102" s="12">
        <f t="shared" si="200"/>
        <v>0</v>
      </c>
      <c r="IO102" s="12">
        <f t="shared" si="201"/>
        <v>0</v>
      </c>
      <c r="IP102" s="12">
        <f t="shared" si="202"/>
        <v>0</v>
      </c>
      <c r="IQ102" s="12">
        <f t="shared" si="203"/>
        <v>0</v>
      </c>
      <c r="IR102" s="12">
        <f t="shared" si="204"/>
        <v>0</v>
      </c>
      <c r="IS102" s="12">
        <f t="shared" si="205"/>
        <v>0</v>
      </c>
      <c r="IT102" s="12">
        <f t="shared" si="206"/>
        <v>0</v>
      </c>
      <c r="IU102" s="12">
        <f t="shared" si="207"/>
        <v>0</v>
      </c>
      <c r="IV102" s="12">
        <f t="shared" si="208"/>
        <v>0</v>
      </c>
      <c r="IW102" s="12">
        <f t="shared" si="209"/>
        <v>0</v>
      </c>
      <c r="IX102" s="12">
        <f t="shared" si="210"/>
        <v>0</v>
      </c>
      <c r="IY102" s="12">
        <f t="shared" si="211"/>
        <v>0</v>
      </c>
      <c r="IZ102" s="12">
        <f t="shared" si="212"/>
        <v>0</v>
      </c>
      <c r="JA102" s="13">
        <f t="shared" si="213"/>
        <v>0</v>
      </c>
      <c r="JB102" s="13">
        <f t="shared" si="214"/>
        <v>0</v>
      </c>
      <c r="JC102" s="13">
        <f t="shared" si="215"/>
        <v>0</v>
      </c>
      <c r="JD102" s="13">
        <f t="shared" si="216"/>
        <v>0</v>
      </c>
      <c r="JE102" s="13">
        <f t="shared" si="217"/>
        <v>0</v>
      </c>
      <c r="JF102" s="13">
        <f t="shared" si="218"/>
        <v>0</v>
      </c>
      <c r="JG102" s="13">
        <f t="shared" si="219"/>
        <v>0</v>
      </c>
      <c r="JH102" s="13">
        <f t="shared" si="220"/>
        <v>0</v>
      </c>
      <c r="JI102" s="13">
        <f t="shared" si="221"/>
        <v>0</v>
      </c>
      <c r="JJ102" s="13">
        <f t="shared" si="222"/>
        <v>0</v>
      </c>
      <c r="JK102" s="13">
        <f t="shared" si="223"/>
        <v>0</v>
      </c>
      <c r="JL102" s="13">
        <f t="shared" si="224"/>
        <v>0</v>
      </c>
      <c r="JM102" s="13">
        <f t="shared" si="225"/>
        <v>0</v>
      </c>
      <c r="JN102" s="13">
        <f t="shared" si="226"/>
        <v>0</v>
      </c>
      <c r="JO102" s="13">
        <f t="shared" si="227"/>
        <v>0</v>
      </c>
      <c r="JP102" s="13">
        <f t="shared" si="228"/>
        <v>0</v>
      </c>
      <c r="JQ102" s="13">
        <f t="shared" si="229"/>
        <v>0</v>
      </c>
      <c r="JR102" s="13">
        <f t="shared" si="230"/>
        <v>0</v>
      </c>
      <c r="JS102" s="13">
        <f t="shared" si="231"/>
        <v>0</v>
      </c>
      <c r="JT102" s="13">
        <f t="shared" si="232"/>
        <v>0</v>
      </c>
      <c r="JU102" s="13">
        <f t="shared" si="233"/>
        <v>0</v>
      </c>
      <c r="JV102" s="12">
        <f t="shared" si="234"/>
        <v>0</v>
      </c>
      <c r="JW102" s="12">
        <f t="shared" si="235"/>
        <v>0</v>
      </c>
      <c r="JX102" s="12">
        <f t="shared" si="236"/>
        <v>0</v>
      </c>
      <c r="JY102" s="12">
        <f t="shared" si="237"/>
        <v>0</v>
      </c>
      <c r="JZ102" s="12">
        <f t="shared" si="238"/>
        <v>0</v>
      </c>
      <c r="KA102" s="12">
        <f t="shared" si="239"/>
        <v>0</v>
      </c>
      <c r="KB102" s="12">
        <f t="shared" si="240"/>
        <v>0</v>
      </c>
      <c r="KC102" s="12">
        <f t="shared" si="241"/>
        <v>0</v>
      </c>
      <c r="KD102" s="12">
        <f t="shared" si="242"/>
        <v>0</v>
      </c>
      <c r="KE102" s="12">
        <f t="shared" si="243"/>
        <v>0</v>
      </c>
      <c r="KF102" s="12">
        <f t="shared" si="244"/>
        <v>0</v>
      </c>
      <c r="KG102" s="12">
        <f t="shared" si="245"/>
        <v>0</v>
      </c>
      <c r="KH102" s="12">
        <f t="shared" si="246"/>
        <v>0</v>
      </c>
      <c r="KI102" s="12">
        <f t="shared" si="247"/>
        <v>0</v>
      </c>
      <c r="KJ102" s="12">
        <f t="shared" si="248"/>
        <v>0</v>
      </c>
      <c r="KK102" s="12">
        <f t="shared" si="249"/>
        <v>0</v>
      </c>
      <c r="KL102" s="12">
        <f t="shared" si="250"/>
        <v>0</v>
      </c>
      <c r="KM102" s="12">
        <f t="shared" si="251"/>
        <v>0</v>
      </c>
      <c r="KN102" s="12">
        <f t="shared" si="252"/>
        <v>0</v>
      </c>
      <c r="KO102" s="12">
        <f t="shared" si="253"/>
        <v>0</v>
      </c>
      <c r="KP102" s="12">
        <f t="shared" si="254"/>
        <v>0</v>
      </c>
      <c r="KQ102" s="12">
        <f t="shared" si="255"/>
        <v>0</v>
      </c>
      <c r="KR102" s="12">
        <f t="shared" si="256"/>
        <v>0</v>
      </c>
      <c r="KS102" s="12">
        <f t="shared" si="257"/>
        <v>0</v>
      </c>
      <c r="KT102" s="12">
        <f t="shared" si="258"/>
        <v>0</v>
      </c>
      <c r="KU102" s="12">
        <f t="shared" si="259"/>
        <v>0</v>
      </c>
      <c r="KV102" s="12">
        <f t="shared" si="260"/>
        <v>0</v>
      </c>
      <c r="KW102" s="12">
        <f t="shared" si="261"/>
        <v>0</v>
      </c>
      <c r="KX102" s="12">
        <f t="shared" si="262"/>
        <v>0</v>
      </c>
      <c r="KY102" s="12">
        <f t="shared" si="263"/>
        <v>0</v>
      </c>
      <c r="KZ102" s="12">
        <f t="shared" si="264"/>
        <v>0</v>
      </c>
      <c r="LA102" s="12">
        <f t="shared" si="265"/>
        <v>0</v>
      </c>
      <c r="LB102" s="12">
        <f t="shared" si="266"/>
        <v>0</v>
      </c>
      <c r="LC102" s="12">
        <f t="shared" si="267"/>
        <v>0</v>
      </c>
      <c r="LD102" s="12">
        <f t="shared" si="268"/>
        <v>0</v>
      </c>
      <c r="LE102" s="12">
        <f t="shared" si="269"/>
        <v>0</v>
      </c>
      <c r="LF102" s="12">
        <f t="shared" si="270"/>
        <v>0</v>
      </c>
      <c r="LG102" s="12">
        <f t="shared" si="271"/>
        <v>0</v>
      </c>
      <c r="LH102" s="12">
        <f t="shared" si="272"/>
        <v>0</v>
      </c>
      <c r="LI102" s="12">
        <f t="shared" si="273"/>
        <v>0</v>
      </c>
      <c r="LJ102" s="12">
        <f t="shared" si="274"/>
        <v>0</v>
      </c>
      <c r="LK102" s="12">
        <f t="shared" si="275"/>
        <v>0</v>
      </c>
      <c r="LL102" s="12">
        <f t="shared" si="276"/>
        <v>0</v>
      </c>
      <c r="LM102" s="12">
        <f t="shared" si="277"/>
        <v>0</v>
      </c>
      <c r="LN102" s="12">
        <f t="shared" si="278"/>
        <v>0</v>
      </c>
      <c r="LO102" s="12">
        <f t="shared" si="279"/>
        <v>0</v>
      </c>
      <c r="LP102" s="12">
        <f t="shared" si="280"/>
        <v>0</v>
      </c>
      <c r="LQ102" s="12">
        <f t="shared" si="281"/>
        <v>0</v>
      </c>
      <c r="LR102" s="12">
        <f t="shared" si="282"/>
        <v>0</v>
      </c>
      <c r="LS102" s="12">
        <f t="shared" si="283"/>
        <v>0</v>
      </c>
      <c r="LT102" s="13">
        <f t="shared" si="284"/>
        <v>0</v>
      </c>
      <c r="LU102" s="13">
        <f t="shared" si="285"/>
        <v>0</v>
      </c>
      <c r="LV102" s="13">
        <f t="shared" si="286"/>
        <v>0</v>
      </c>
      <c r="LW102" s="13">
        <f t="shared" si="287"/>
        <v>0</v>
      </c>
      <c r="LX102" s="13">
        <f t="shared" si="288"/>
        <v>0</v>
      </c>
      <c r="LY102" s="13">
        <f t="shared" si="289"/>
        <v>0</v>
      </c>
      <c r="LZ102" s="13">
        <f t="shared" si="290"/>
        <v>0</v>
      </c>
      <c r="MA102" s="13">
        <f t="shared" si="291"/>
        <v>0</v>
      </c>
      <c r="MB102" s="13">
        <f t="shared" si="292"/>
        <v>0</v>
      </c>
      <c r="MC102" s="13">
        <f t="shared" si="293"/>
        <v>0</v>
      </c>
      <c r="MD102" s="13">
        <f t="shared" si="294"/>
        <v>0</v>
      </c>
      <c r="ME102" s="13">
        <f t="shared" si="295"/>
        <v>0</v>
      </c>
      <c r="MF102" s="13">
        <f t="shared" si="296"/>
        <v>0</v>
      </c>
      <c r="MG102" s="13">
        <f t="shared" si="297"/>
        <v>0</v>
      </c>
      <c r="MH102" s="13">
        <f t="shared" si="298"/>
        <v>0</v>
      </c>
      <c r="MI102" s="13">
        <f t="shared" si="299"/>
        <v>0</v>
      </c>
      <c r="MJ102" s="13">
        <f t="shared" si="300"/>
        <v>0</v>
      </c>
      <c r="MK102" s="13">
        <f t="shared" si="301"/>
        <v>0</v>
      </c>
      <c r="ML102" s="14">
        <f t="shared" si="302"/>
        <v>0</v>
      </c>
      <c r="MM102" s="14">
        <f t="shared" si="303"/>
        <v>0</v>
      </c>
      <c r="MN102" s="14">
        <f t="shared" si="304"/>
        <v>0</v>
      </c>
      <c r="MO102" s="14">
        <f t="shared" si="305"/>
        <v>1</v>
      </c>
      <c r="MP102" s="14">
        <f t="shared" si="306"/>
        <v>0</v>
      </c>
      <c r="MQ102" s="14">
        <f t="shared" si="307"/>
        <v>0</v>
      </c>
      <c r="MR102" s="14">
        <f t="shared" si="308"/>
        <v>0</v>
      </c>
      <c r="MS102" s="14">
        <f t="shared" si="309"/>
        <v>0</v>
      </c>
      <c r="MT102" s="14">
        <f t="shared" si="310"/>
        <v>0</v>
      </c>
      <c r="MU102" s="14">
        <f t="shared" si="311"/>
        <v>0</v>
      </c>
      <c r="MV102" s="14">
        <f t="shared" si="312"/>
        <v>0</v>
      </c>
      <c r="MW102" s="14">
        <f t="shared" si="313"/>
        <v>0</v>
      </c>
      <c r="MX102" s="14">
        <f t="shared" si="314"/>
        <v>0</v>
      </c>
      <c r="MY102" s="14">
        <f t="shared" si="315"/>
        <v>0</v>
      </c>
      <c r="MZ102" s="14">
        <f t="shared" si="316"/>
        <v>0</v>
      </c>
      <c r="NA102" s="14">
        <f t="shared" si="317"/>
        <v>0</v>
      </c>
      <c r="NB102" s="14">
        <f t="shared" si="318"/>
        <v>0</v>
      </c>
    </row>
    <row r="103" ht="15.75" customHeight="1">
      <c r="A103" s="2">
        <v>286.0</v>
      </c>
      <c r="B103" s="2" t="s">
        <v>2121</v>
      </c>
      <c r="C103" s="2" t="s">
        <v>2122</v>
      </c>
      <c r="D103" s="2" t="s">
        <v>2123</v>
      </c>
      <c r="E103" s="2">
        <v>2019.0</v>
      </c>
      <c r="F103" s="2" t="s">
        <v>2124</v>
      </c>
      <c r="G103" s="2" t="s">
        <v>472</v>
      </c>
      <c r="H103" s="2" t="s">
        <v>603</v>
      </c>
      <c r="I103" s="2" t="s">
        <v>2125</v>
      </c>
      <c r="M103" s="2">
        <v>9.0</v>
      </c>
      <c r="N103" s="2" t="s">
        <v>2126</v>
      </c>
      <c r="O103" s="2" t="s">
        <v>2127</v>
      </c>
      <c r="P103" s="2" t="s">
        <v>2128</v>
      </c>
      <c r="Q103" s="2" t="s">
        <v>2129</v>
      </c>
      <c r="R103" s="2" t="s">
        <v>2130</v>
      </c>
      <c r="S103" s="2" t="s">
        <v>2131</v>
      </c>
      <c r="T103" s="2" t="s">
        <v>2132</v>
      </c>
      <c r="Y103" s="2" t="s">
        <v>2133</v>
      </c>
      <c r="AB103" s="2" t="s">
        <v>687</v>
      </c>
      <c r="AG103" s="2" t="s">
        <v>2134</v>
      </c>
      <c r="AK103" s="2" t="s">
        <v>2124</v>
      </c>
      <c r="AL103" s="2" t="s">
        <v>384</v>
      </c>
      <c r="AM103" s="2" t="s">
        <v>484</v>
      </c>
      <c r="AN103" s="2" t="s">
        <v>386</v>
      </c>
      <c r="AO103" s="2" t="s">
        <v>2135</v>
      </c>
      <c r="AP103" s="2" t="s">
        <v>386</v>
      </c>
      <c r="AQ103" s="2">
        <v>1149.0</v>
      </c>
      <c r="AR103" s="2" t="s">
        <v>2123</v>
      </c>
      <c r="AS103" s="2" t="b">
        <v>1</v>
      </c>
      <c r="AT103" s="3">
        <v>0.0</v>
      </c>
      <c r="AU103" s="4"/>
      <c r="AV103" s="4"/>
      <c r="AW103" s="5">
        <f t="shared" si="432"/>
        <v>0</v>
      </c>
      <c r="AX103" s="5">
        <f t="shared" si="4"/>
        <v>0</v>
      </c>
      <c r="AY103" s="5">
        <f t="shared" si="5"/>
        <v>0</v>
      </c>
      <c r="AZ103" s="5">
        <f t="shared" si="6"/>
        <v>0</v>
      </c>
      <c r="BA103" s="5">
        <f t="shared" si="7"/>
        <v>0</v>
      </c>
      <c r="BB103" s="5">
        <f t="shared" si="8"/>
        <v>0</v>
      </c>
      <c r="BC103" s="5">
        <f t="shared" si="9"/>
        <v>0</v>
      </c>
      <c r="BD103" s="5">
        <f t="shared" si="10"/>
        <v>0</v>
      </c>
      <c r="BE103" s="5">
        <f t="shared" si="11"/>
        <v>0</v>
      </c>
      <c r="BF103" s="5">
        <f t="shared" si="12"/>
        <v>0</v>
      </c>
      <c r="BG103" s="5">
        <f t="shared" si="13"/>
        <v>0</v>
      </c>
      <c r="BH103" s="5">
        <f t="shared" si="14"/>
        <v>0</v>
      </c>
      <c r="BI103" s="5">
        <f t="shared" si="15"/>
        <v>0</v>
      </c>
      <c r="BJ103" s="5">
        <f t="shared" si="16"/>
        <v>0</v>
      </c>
      <c r="BK103" s="5">
        <f t="shared" si="17"/>
        <v>0</v>
      </c>
      <c r="BL103" s="5">
        <f t="shared" si="18"/>
        <v>0</v>
      </c>
      <c r="BM103" s="5">
        <f t="shared" si="19"/>
        <v>0</v>
      </c>
      <c r="BN103" s="5">
        <f t="shared" si="20"/>
        <v>0</v>
      </c>
      <c r="BO103" s="5">
        <f t="shared" si="21"/>
        <v>0</v>
      </c>
      <c r="BP103" s="5">
        <f t="shared" si="22"/>
        <v>0</v>
      </c>
      <c r="BQ103" s="5">
        <f t="shared" si="23"/>
        <v>0</v>
      </c>
      <c r="BR103" s="5">
        <f t="shared" si="24"/>
        <v>0</v>
      </c>
      <c r="BS103" s="5">
        <f t="shared" si="25"/>
        <v>0</v>
      </c>
      <c r="BT103" s="5">
        <f t="shared" si="26"/>
        <v>0</v>
      </c>
      <c r="BU103" s="5">
        <f t="shared" si="27"/>
        <v>0</v>
      </c>
      <c r="BV103" s="5">
        <f t="shared" ref="BV103:BW103" si="548">IF(OR(ISNUMBER(SEARCH("grit",$D103)),ISNUMBER(SEARCH("grit",$T103)),ISNUMBER(SEARCH("grit",$R103)),ISNUMBER(SEARCH("grit",$S103)),
ISNUMBER(SEARCH("determination",$D103)),ISNUMBER(SEARCH("determination",$T103)),ISNUMBER(SEARCH("determination",$R103)),ISNUMBER(SEARCH("determination",$S103)),
ISNUMBER(SEARCH("tenacity",$D103)),ISNUMBER(SEARCH("tenacity",$T103)),ISNUMBER(SEARCH("tenacity",$R103)),ISNUMBER(SEARCH("tenacity",$S103)),
ISNUMBER(SEARCH("endurance",$D103)),ISNUMBER(SEARCH("endurance",$T103)),ISNUMBER(SEARCH("endurance",$R103)),ISNUMBER(SEARCH("endurance",$S103)),
ISNUMBER(SEARCH("fortitude",$D103)),ISNUMBER(SEARCH("fortitude",$T103)),ISNUMBER(SEARCH("fortitude",$R103)),ISNUMBER(SEARCH("fortitude",$S103)),
ISNUMBER(SEARCH("resolve",$D103)),ISNUMBER(SEARCH("resolve",$T103)),ISNUMBER(SEARCH("resolve",$R103)),ISNUMBER(SEARCH("resolve",$S103)),
ISNUMBER(SEARCH("stamina",$D103)),ISNUMBER(SEARCH("stamina",$T103)),ISNUMBER(SEARCH("stamina",$R103)),ISNUMBER(SEARCH("stamina",$S103)),
ISNUMBER(SEARCH("guts",$D103)),ISNUMBER(SEARCH("guts",$T103)),ISNUMBER(SEARCH("guts",$R103)),ISNUMBER(SEARCH("guts",$S103)),
ISNUMBER(SEARCH("spunk",$D103)),ISNUMBER(SEARCH("spunk",$T103)),ISNUMBER(SEARCH("spunk",$R103)),ISNUMBER(SEARCH("spunk",$S103))), 1, 0)</f>
        <v>0</v>
      </c>
      <c r="BW103" s="5">
        <f t="shared" si="548"/>
        <v>0</v>
      </c>
      <c r="BX103" s="5">
        <f t="shared" si="29"/>
        <v>0</v>
      </c>
      <c r="BY103" s="5">
        <f t="shared" si="30"/>
        <v>0</v>
      </c>
      <c r="BZ103" s="5">
        <f t="shared" si="31"/>
        <v>0</v>
      </c>
      <c r="CA103" s="5">
        <f t="shared" si="32"/>
        <v>0</v>
      </c>
      <c r="CB103" s="5">
        <f t="shared" si="33"/>
        <v>0</v>
      </c>
      <c r="CC103" s="5">
        <f t="shared" si="34"/>
        <v>0</v>
      </c>
      <c r="CD103" s="5">
        <f t="shared" si="35"/>
        <v>0</v>
      </c>
      <c r="CE103" s="5">
        <f t="shared" si="36"/>
        <v>0</v>
      </c>
      <c r="CF103" s="5">
        <f t="shared" si="37"/>
        <v>0</v>
      </c>
      <c r="CG103" s="5">
        <f t="shared" si="38"/>
        <v>0</v>
      </c>
      <c r="CH103" s="5">
        <f t="shared" si="39"/>
        <v>0</v>
      </c>
      <c r="CI103" s="5">
        <f t="shared" si="40"/>
        <v>0</v>
      </c>
      <c r="CJ103" s="5">
        <f t="shared" si="41"/>
        <v>0</v>
      </c>
      <c r="CK103" s="5">
        <f t="shared" si="42"/>
        <v>0</v>
      </c>
      <c r="CL103" s="5">
        <f t="shared" si="43"/>
        <v>0</v>
      </c>
      <c r="CM103" s="5">
        <f t="shared" si="44"/>
        <v>0</v>
      </c>
      <c r="CN103" s="5">
        <f t="shared" si="45"/>
        <v>0</v>
      </c>
      <c r="CO103" s="5">
        <f t="shared" si="46"/>
        <v>0</v>
      </c>
      <c r="CP103" s="6">
        <f t="shared" si="47"/>
        <v>0</v>
      </c>
      <c r="CQ103" s="6">
        <f t="shared" si="48"/>
        <v>0</v>
      </c>
      <c r="CR103" s="6">
        <f t="shared" si="49"/>
        <v>0</v>
      </c>
      <c r="CS103" s="6">
        <f t="shared" si="50"/>
        <v>0</v>
      </c>
      <c r="CT103" s="6">
        <f t="shared" ref="CT103:CT116" si="551">IF(OR(ISNUMBER(SEARCH("optimism", $D103)), ISNUMBER(SEARCH("optimism", $T103)), ISNUMBER(SEARCH("optimism", $R103)), ISNUMBER(SEARCH("optimism", $S103))), 1, 0)</f>
        <v>0</v>
      </c>
      <c r="CU103" s="6">
        <f t="shared" si="52"/>
        <v>0</v>
      </c>
      <c r="CV103" s="6">
        <f t="shared" si="53"/>
        <v>0</v>
      </c>
      <c r="CW103" s="6">
        <f t="shared" si="54"/>
        <v>0</v>
      </c>
      <c r="CX103" s="6">
        <f t="shared" si="55"/>
        <v>0</v>
      </c>
      <c r="CY103" s="6">
        <f t="shared" si="56"/>
        <v>0</v>
      </c>
      <c r="CZ103" s="6">
        <f t="shared" si="57"/>
        <v>0</v>
      </c>
      <c r="DA103" s="6">
        <f t="shared" si="58"/>
        <v>0</v>
      </c>
      <c r="DB103" s="6">
        <f t="shared" si="59"/>
        <v>0</v>
      </c>
      <c r="DC103" s="6">
        <f t="shared" si="60"/>
        <v>0</v>
      </c>
      <c r="DD103" s="6">
        <f t="shared" si="61"/>
        <v>0</v>
      </c>
      <c r="DE103" s="6">
        <f t="shared" si="62"/>
        <v>0</v>
      </c>
      <c r="DF103" s="6">
        <f t="shared" si="63"/>
        <v>0</v>
      </c>
      <c r="DG103" s="6">
        <f t="shared" si="64"/>
        <v>0</v>
      </c>
      <c r="DH103" s="6">
        <f t="shared" si="509"/>
        <v>0</v>
      </c>
      <c r="DI103" s="6">
        <f t="shared" si="66"/>
        <v>0</v>
      </c>
      <c r="DJ103" s="6">
        <f t="shared" si="510"/>
        <v>0</v>
      </c>
      <c r="DK103" s="7">
        <f t="shared" si="68"/>
        <v>0</v>
      </c>
      <c r="DL103" s="7">
        <f t="shared" si="498"/>
        <v>0</v>
      </c>
      <c r="DM103" s="7">
        <f t="shared" si="70"/>
        <v>0</v>
      </c>
      <c r="DN103" s="7">
        <f t="shared" si="71"/>
        <v>0</v>
      </c>
      <c r="DO103" s="7">
        <f t="shared" si="72"/>
        <v>1</v>
      </c>
      <c r="DP103" s="8">
        <f t="shared" si="73"/>
        <v>0</v>
      </c>
      <c r="DQ103" s="8">
        <f t="shared" si="74"/>
        <v>1</v>
      </c>
      <c r="DR103" s="7">
        <f t="shared" si="75"/>
        <v>0</v>
      </c>
      <c r="DS103" s="7">
        <f t="shared" si="76"/>
        <v>0</v>
      </c>
      <c r="DT103" s="7">
        <f t="shared" si="77"/>
        <v>0</v>
      </c>
      <c r="DU103" s="9">
        <f t="shared" si="78"/>
        <v>0</v>
      </c>
      <c r="DV103" s="9">
        <f t="shared" si="79"/>
        <v>0</v>
      </c>
      <c r="DW103" s="9">
        <f t="shared" si="80"/>
        <v>0</v>
      </c>
      <c r="DX103" s="9">
        <f t="shared" si="81"/>
        <v>0</v>
      </c>
      <c r="DY103" s="9">
        <f t="shared" si="82"/>
        <v>0</v>
      </c>
      <c r="DZ103" s="9">
        <f t="shared" si="83"/>
        <v>0</v>
      </c>
      <c r="EA103" s="9">
        <f t="shared" si="84"/>
        <v>0</v>
      </c>
      <c r="EB103" s="9">
        <f t="shared" si="85"/>
        <v>0</v>
      </c>
      <c r="EC103" s="9">
        <f t="shared" si="86"/>
        <v>0</v>
      </c>
      <c r="ED103" s="9">
        <f t="shared" si="87"/>
        <v>0</v>
      </c>
      <c r="EE103" s="9">
        <f t="shared" si="88"/>
        <v>0</v>
      </c>
      <c r="EF103" s="9">
        <f t="shared" si="89"/>
        <v>0</v>
      </c>
      <c r="EG103" s="9">
        <f t="shared" si="90"/>
        <v>0</v>
      </c>
      <c r="EH103" s="9">
        <f t="shared" si="91"/>
        <v>0</v>
      </c>
      <c r="EI103" s="9">
        <f t="shared" si="92"/>
        <v>0</v>
      </c>
      <c r="EJ103" s="10">
        <f t="shared" si="93"/>
        <v>0</v>
      </c>
      <c r="EK103" s="10">
        <f t="shared" si="94"/>
        <v>0</v>
      </c>
      <c r="EL103" s="10">
        <f t="shared" ref="EL103:EM103" si="549">IF(OR(ISNUMBER(SEARCH("ai software toolkit", $D103)), ISNUMBER(SEARCH("ai software toolkit", $T103)), ISNUMBER(SEARCH("ai software toolkit", $R103)), ISNUMBER(SEARCH("ai software toolkit", $S103))), 1, 0)</f>
        <v>0</v>
      </c>
      <c r="EM103" s="10">
        <f t="shared" si="549"/>
        <v>0</v>
      </c>
      <c r="EN103" s="10">
        <f t="shared" si="96"/>
        <v>0</v>
      </c>
      <c r="EO103" s="10">
        <f t="shared" si="97"/>
        <v>0</v>
      </c>
      <c r="EP103" s="10">
        <f t="shared" si="98"/>
        <v>0</v>
      </c>
      <c r="EQ103" s="10">
        <f t="shared" si="99"/>
        <v>0</v>
      </c>
      <c r="ER103" s="10">
        <f t="shared" si="100"/>
        <v>0</v>
      </c>
      <c r="ES103" s="10">
        <f t="shared" si="101"/>
        <v>0</v>
      </c>
      <c r="ET103" s="10">
        <f t="shared" si="102"/>
        <v>0</v>
      </c>
      <c r="EU103" s="10">
        <f t="shared" si="103"/>
        <v>0</v>
      </c>
      <c r="EV103" s="10">
        <f t="shared" si="104"/>
        <v>0</v>
      </c>
      <c r="EW103" s="10">
        <f t="shared" si="105"/>
        <v>0</v>
      </c>
      <c r="EX103" s="10">
        <f t="shared" si="106"/>
        <v>0</v>
      </c>
      <c r="EY103" s="10">
        <f t="shared" si="107"/>
        <v>0</v>
      </c>
      <c r="EZ103" s="10">
        <f t="shared" si="108"/>
        <v>0</v>
      </c>
      <c r="FA103" s="10">
        <f t="shared" si="109"/>
        <v>0</v>
      </c>
      <c r="FB103" s="10">
        <f t="shared" si="110"/>
        <v>0</v>
      </c>
      <c r="FC103" s="10">
        <f t="shared" si="111"/>
        <v>0</v>
      </c>
      <c r="FD103" s="10">
        <f t="shared" si="112"/>
        <v>0</v>
      </c>
      <c r="FE103" s="10">
        <f t="shared" si="113"/>
        <v>0</v>
      </c>
      <c r="FF103" s="10">
        <f t="shared" si="114"/>
        <v>0</v>
      </c>
      <c r="FG103" s="10">
        <f t="shared" si="115"/>
        <v>0</v>
      </c>
      <c r="FH103" s="10">
        <f t="shared" si="116"/>
        <v>0</v>
      </c>
      <c r="FI103" s="10">
        <f t="shared" si="117"/>
        <v>0</v>
      </c>
      <c r="FJ103" s="10">
        <f t="shared" si="118"/>
        <v>0</v>
      </c>
      <c r="FK103" s="10">
        <f t="shared" si="119"/>
        <v>0</v>
      </c>
      <c r="FL103" s="10">
        <f t="shared" si="120"/>
        <v>0</v>
      </c>
      <c r="FM103" s="10">
        <f t="shared" si="121"/>
        <v>0</v>
      </c>
      <c r="FN103" s="10">
        <f t="shared" si="122"/>
        <v>0</v>
      </c>
      <c r="FO103" s="10">
        <f t="shared" si="123"/>
        <v>0</v>
      </c>
      <c r="FP103" s="10">
        <f t="shared" si="124"/>
        <v>0</v>
      </c>
      <c r="FQ103" s="10">
        <f t="shared" si="125"/>
        <v>1</v>
      </c>
      <c r="FR103" s="11">
        <f t="shared" si="543"/>
        <v>0</v>
      </c>
      <c r="FS103" s="11">
        <f t="shared" si="127"/>
        <v>0</v>
      </c>
      <c r="FT103" s="11">
        <f t="shared" si="128"/>
        <v>0</v>
      </c>
      <c r="FU103" s="11">
        <f t="shared" si="129"/>
        <v>0</v>
      </c>
      <c r="FV103" s="11">
        <f t="shared" si="130"/>
        <v>0</v>
      </c>
      <c r="FW103" s="11">
        <f t="shared" si="131"/>
        <v>0</v>
      </c>
      <c r="FX103" s="11">
        <f t="shared" si="132"/>
        <v>0</v>
      </c>
      <c r="FY103" s="11">
        <f t="shared" si="133"/>
        <v>0</v>
      </c>
      <c r="FZ103" s="11">
        <f t="shared" si="134"/>
        <v>0</v>
      </c>
      <c r="GA103" s="11">
        <f t="shared" si="135"/>
        <v>0</v>
      </c>
      <c r="GB103" s="11">
        <f t="shared" si="136"/>
        <v>0</v>
      </c>
      <c r="GC103" s="11">
        <f t="shared" si="137"/>
        <v>0</v>
      </c>
      <c r="GD103" s="11">
        <f t="shared" si="138"/>
        <v>0</v>
      </c>
      <c r="GE103" s="11">
        <f t="shared" si="139"/>
        <v>0</v>
      </c>
      <c r="GF103" s="11">
        <f t="shared" si="140"/>
        <v>0</v>
      </c>
      <c r="GG103" s="11">
        <f t="shared" si="141"/>
        <v>0</v>
      </c>
      <c r="GH103" s="11">
        <f t="shared" si="142"/>
        <v>0</v>
      </c>
      <c r="GI103" s="11">
        <f t="shared" si="143"/>
        <v>0</v>
      </c>
      <c r="GJ103" s="11">
        <f t="shared" si="144"/>
        <v>0</v>
      </c>
      <c r="GK103" s="11">
        <f t="shared" si="145"/>
        <v>0</v>
      </c>
      <c r="GL103" s="11">
        <f t="shared" si="146"/>
        <v>0</v>
      </c>
      <c r="GM103" s="11">
        <f t="shared" si="147"/>
        <v>0</v>
      </c>
      <c r="GN103" s="11">
        <f t="shared" si="148"/>
        <v>0</v>
      </c>
      <c r="GO103" s="11">
        <f t="shared" si="149"/>
        <v>0</v>
      </c>
      <c r="GP103" s="11">
        <f t="shared" si="150"/>
        <v>0</v>
      </c>
      <c r="GQ103" s="11">
        <f t="shared" si="151"/>
        <v>0</v>
      </c>
      <c r="GR103" s="11">
        <f t="shared" si="152"/>
        <v>1</v>
      </c>
      <c r="GS103" s="11">
        <f t="shared" si="153"/>
        <v>0</v>
      </c>
      <c r="GT103" s="11">
        <f t="shared" si="154"/>
        <v>1</v>
      </c>
      <c r="GU103" s="12">
        <f t="shared" si="155"/>
        <v>0</v>
      </c>
      <c r="GV103" s="12">
        <f t="shared" si="156"/>
        <v>0</v>
      </c>
      <c r="GW103" s="12">
        <f t="shared" si="157"/>
        <v>0</v>
      </c>
      <c r="GX103" s="12">
        <f t="shared" si="158"/>
        <v>0</v>
      </c>
      <c r="GY103" s="12">
        <f t="shared" si="159"/>
        <v>0</v>
      </c>
      <c r="GZ103" s="12">
        <f t="shared" si="160"/>
        <v>0</v>
      </c>
      <c r="HA103" s="12">
        <f t="shared" si="161"/>
        <v>0</v>
      </c>
      <c r="HB103" s="12">
        <f t="shared" si="162"/>
        <v>0</v>
      </c>
      <c r="HC103" s="12">
        <f t="shared" si="163"/>
        <v>0</v>
      </c>
      <c r="HD103" s="12">
        <f t="shared" si="164"/>
        <v>0</v>
      </c>
      <c r="HE103" s="12">
        <f t="shared" si="165"/>
        <v>0</v>
      </c>
      <c r="HF103" s="12">
        <f t="shared" si="166"/>
        <v>0</v>
      </c>
      <c r="HG103" s="12">
        <f t="shared" si="167"/>
        <v>0</v>
      </c>
      <c r="HH103" s="12">
        <f t="shared" si="168"/>
        <v>0</v>
      </c>
      <c r="HI103" s="12">
        <f t="shared" si="169"/>
        <v>0</v>
      </c>
      <c r="HJ103" s="12">
        <f t="shared" si="170"/>
        <v>0</v>
      </c>
      <c r="HK103" s="12">
        <f t="shared" si="171"/>
        <v>0</v>
      </c>
      <c r="HL103" s="12">
        <f t="shared" si="172"/>
        <v>0</v>
      </c>
      <c r="HM103" s="12">
        <f t="shared" si="173"/>
        <v>0</v>
      </c>
      <c r="HN103" s="12">
        <f t="shared" si="174"/>
        <v>0</v>
      </c>
      <c r="HO103" s="12">
        <f t="shared" si="175"/>
        <v>0</v>
      </c>
      <c r="HP103" s="12">
        <f t="shared" si="176"/>
        <v>0</v>
      </c>
      <c r="HQ103" s="12">
        <f t="shared" si="177"/>
        <v>0</v>
      </c>
      <c r="HR103" s="12">
        <f t="shared" si="178"/>
        <v>0</v>
      </c>
      <c r="HS103" s="12">
        <f t="shared" si="179"/>
        <v>0</v>
      </c>
      <c r="HT103" s="12">
        <f t="shared" si="180"/>
        <v>0</v>
      </c>
      <c r="HU103" s="12">
        <f t="shared" si="181"/>
        <v>0</v>
      </c>
      <c r="HV103" s="12">
        <f t="shared" si="182"/>
        <v>0</v>
      </c>
      <c r="HW103" s="12">
        <f t="shared" si="183"/>
        <v>0</v>
      </c>
      <c r="HX103" s="12">
        <f t="shared" si="184"/>
        <v>0</v>
      </c>
      <c r="HY103" s="12">
        <f t="shared" si="185"/>
        <v>0</v>
      </c>
      <c r="HZ103" s="12">
        <f t="shared" si="186"/>
        <v>0</v>
      </c>
      <c r="IA103" s="12">
        <f t="shared" si="187"/>
        <v>0</v>
      </c>
      <c r="IB103" s="12">
        <f t="shared" si="188"/>
        <v>0</v>
      </c>
      <c r="IC103" s="12">
        <f t="shared" si="189"/>
        <v>0</v>
      </c>
      <c r="ID103" s="12">
        <f t="shared" si="190"/>
        <v>0</v>
      </c>
      <c r="IE103" s="12">
        <f t="shared" si="191"/>
        <v>0</v>
      </c>
      <c r="IF103" s="12">
        <f t="shared" si="192"/>
        <v>0</v>
      </c>
      <c r="IG103" s="12">
        <f t="shared" si="193"/>
        <v>0</v>
      </c>
      <c r="IH103" s="12">
        <f t="shared" si="194"/>
        <v>0</v>
      </c>
      <c r="II103" s="12">
        <f t="shared" si="195"/>
        <v>0</v>
      </c>
      <c r="IJ103" s="12">
        <f t="shared" si="196"/>
        <v>0</v>
      </c>
      <c r="IK103" s="12">
        <f t="shared" si="197"/>
        <v>0</v>
      </c>
      <c r="IL103" s="12">
        <f t="shared" si="198"/>
        <v>0</v>
      </c>
      <c r="IM103" s="12">
        <f t="shared" si="199"/>
        <v>0</v>
      </c>
      <c r="IN103" s="12">
        <f t="shared" si="200"/>
        <v>0</v>
      </c>
      <c r="IO103" s="12">
        <f t="shared" si="201"/>
        <v>0</v>
      </c>
      <c r="IP103" s="12">
        <f t="shared" si="202"/>
        <v>0</v>
      </c>
      <c r="IQ103" s="12">
        <f t="shared" si="203"/>
        <v>0</v>
      </c>
      <c r="IR103" s="12">
        <f t="shared" si="204"/>
        <v>0</v>
      </c>
      <c r="IS103" s="12">
        <f t="shared" si="205"/>
        <v>0</v>
      </c>
      <c r="IT103" s="12">
        <f t="shared" si="206"/>
        <v>0</v>
      </c>
      <c r="IU103" s="12">
        <f t="shared" si="207"/>
        <v>0</v>
      </c>
      <c r="IV103" s="12">
        <f t="shared" si="208"/>
        <v>0</v>
      </c>
      <c r="IW103" s="12">
        <f t="shared" si="209"/>
        <v>0</v>
      </c>
      <c r="IX103" s="12">
        <f t="shared" si="210"/>
        <v>0</v>
      </c>
      <c r="IY103" s="12">
        <f t="shared" si="211"/>
        <v>0</v>
      </c>
      <c r="IZ103" s="12">
        <f t="shared" si="212"/>
        <v>1</v>
      </c>
      <c r="JA103" s="13">
        <f t="shared" si="213"/>
        <v>0</v>
      </c>
      <c r="JB103" s="13">
        <f t="shared" si="214"/>
        <v>1</v>
      </c>
      <c r="JC103" s="13">
        <f t="shared" si="215"/>
        <v>0</v>
      </c>
      <c r="JD103" s="13">
        <f t="shared" si="216"/>
        <v>0</v>
      </c>
      <c r="JE103" s="13">
        <f t="shared" si="217"/>
        <v>0</v>
      </c>
      <c r="JF103" s="13">
        <f t="shared" si="218"/>
        <v>0</v>
      </c>
      <c r="JG103" s="13">
        <f t="shared" si="219"/>
        <v>0</v>
      </c>
      <c r="JH103" s="13">
        <f t="shared" si="220"/>
        <v>0</v>
      </c>
      <c r="JI103" s="13">
        <f t="shared" si="221"/>
        <v>0</v>
      </c>
      <c r="JJ103" s="13">
        <f t="shared" si="222"/>
        <v>0</v>
      </c>
      <c r="JK103" s="13">
        <f t="shared" si="223"/>
        <v>0</v>
      </c>
      <c r="JL103" s="13">
        <f t="shared" si="224"/>
        <v>0</v>
      </c>
      <c r="JM103" s="13">
        <f t="shared" si="225"/>
        <v>0</v>
      </c>
      <c r="JN103" s="13">
        <f t="shared" si="226"/>
        <v>0</v>
      </c>
      <c r="JO103" s="13">
        <f t="shared" si="227"/>
        <v>0</v>
      </c>
      <c r="JP103" s="13">
        <f t="shared" si="228"/>
        <v>0</v>
      </c>
      <c r="JQ103" s="13">
        <f t="shared" si="229"/>
        <v>0</v>
      </c>
      <c r="JR103" s="13">
        <f t="shared" si="230"/>
        <v>0</v>
      </c>
      <c r="JS103" s="13">
        <f t="shared" si="231"/>
        <v>0</v>
      </c>
      <c r="JT103" s="13">
        <f t="shared" si="232"/>
        <v>0</v>
      </c>
      <c r="JU103" s="13">
        <f t="shared" si="233"/>
        <v>1</v>
      </c>
      <c r="JV103" s="12">
        <f t="shared" si="234"/>
        <v>0</v>
      </c>
      <c r="JW103" s="12">
        <f t="shared" si="235"/>
        <v>0</v>
      </c>
      <c r="JX103" s="12">
        <f t="shared" si="236"/>
        <v>0</v>
      </c>
      <c r="JY103" s="12">
        <f t="shared" si="237"/>
        <v>0</v>
      </c>
      <c r="JZ103" s="12">
        <f t="shared" si="238"/>
        <v>0</v>
      </c>
      <c r="KA103" s="12">
        <f t="shared" si="239"/>
        <v>0</v>
      </c>
      <c r="KB103" s="12">
        <f t="shared" si="240"/>
        <v>0</v>
      </c>
      <c r="KC103" s="12">
        <f t="shared" si="241"/>
        <v>0</v>
      </c>
      <c r="KD103" s="12">
        <f t="shared" si="242"/>
        <v>0</v>
      </c>
      <c r="KE103" s="12">
        <f t="shared" si="243"/>
        <v>0</v>
      </c>
      <c r="KF103" s="12">
        <f t="shared" si="244"/>
        <v>0</v>
      </c>
      <c r="KG103" s="12">
        <f t="shared" si="245"/>
        <v>0</v>
      </c>
      <c r="KH103" s="12">
        <f t="shared" si="246"/>
        <v>0</v>
      </c>
      <c r="KI103" s="12">
        <f t="shared" si="247"/>
        <v>0</v>
      </c>
      <c r="KJ103" s="12">
        <f t="shared" si="248"/>
        <v>0</v>
      </c>
      <c r="KK103" s="12">
        <f t="shared" si="249"/>
        <v>0</v>
      </c>
      <c r="KL103" s="12">
        <f t="shared" si="250"/>
        <v>0</v>
      </c>
      <c r="KM103" s="12">
        <f t="shared" si="251"/>
        <v>0</v>
      </c>
      <c r="KN103" s="12">
        <f t="shared" si="252"/>
        <v>0</v>
      </c>
      <c r="KO103" s="12">
        <f t="shared" si="253"/>
        <v>0</v>
      </c>
      <c r="KP103" s="12">
        <f t="shared" si="254"/>
        <v>0</v>
      </c>
      <c r="KQ103" s="12">
        <f t="shared" si="255"/>
        <v>0</v>
      </c>
      <c r="KR103" s="12">
        <f t="shared" si="256"/>
        <v>0</v>
      </c>
      <c r="KS103" s="12">
        <f t="shared" si="257"/>
        <v>0</v>
      </c>
      <c r="KT103" s="12">
        <f t="shared" si="258"/>
        <v>0</v>
      </c>
      <c r="KU103" s="12">
        <f t="shared" si="259"/>
        <v>0</v>
      </c>
      <c r="KV103" s="12">
        <f t="shared" si="260"/>
        <v>0</v>
      </c>
      <c r="KW103" s="12">
        <f t="shared" si="261"/>
        <v>0</v>
      </c>
      <c r="KX103" s="12">
        <f t="shared" si="262"/>
        <v>0</v>
      </c>
      <c r="KY103" s="12">
        <f t="shared" si="263"/>
        <v>0</v>
      </c>
      <c r="KZ103" s="12">
        <f t="shared" si="264"/>
        <v>0</v>
      </c>
      <c r="LA103" s="12">
        <f t="shared" si="265"/>
        <v>0</v>
      </c>
      <c r="LB103" s="12">
        <f t="shared" si="266"/>
        <v>0</v>
      </c>
      <c r="LC103" s="12">
        <f t="shared" si="267"/>
        <v>0</v>
      </c>
      <c r="LD103" s="12">
        <f t="shared" si="268"/>
        <v>0</v>
      </c>
      <c r="LE103" s="12">
        <f t="shared" si="269"/>
        <v>0</v>
      </c>
      <c r="LF103" s="12">
        <f t="shared" si="270"/>
        <v>0</v>
      </c>
      <c r="LG103" s="12">
        <f t="shared" si="271"/>
        <v>0</v>
      </c>
      <c r="LH103" s="12">
        <f t="shared" si="272"/>
        <v>0</v>
      </c>
      <c r="LI103" s="12">
        <f t="shared" si="273"/>
        <v>0</v>
      </c>
      <c r="LJ103" s="12">
        <f t="shared" si="274"/>
        <v>0</v>
      </c>
      <c r="LK103" s="12">
        <f t="shared" si="275"/>
        <v>0</v>
      </c>
      <c r="LL103" s="12">
        <f t="shared" si="276"/>
        <v>0</v>
      </c>
      <c r="LM103" s="12">
        <f t="shared" si="277"/>
        <v>0</v>
      </c>
      <c r="LN103" s="12">
        <f t="shared" si="278"/>
        <v>0</v>
      </c>
      <c r="LO103" s="12">
        <f t="shared" si="279"/>
        <v>0</v>
      </c>
      <c r="LP103" s="12">
        <f t="shared" si="280"/>
        <v>0</v>
      </c>
      <c r="LQ103" s="12">
        <f t="shared" si="281"/>
        <v>0</v>
      </c>
      <c r="LR103" s="12">
        <f t="shared" si="282"/>
        <v>0</v>
      </c>
      <c r="LS103" s="12">
        <f t="shared" si="283"/>
        <v>0</v>
      </c>
      <c r="LT103" s="13">
        <f t="shared" si="284"/>
        <v>0</v>
      </c>
      <c r="LU103" s="13">
        <f t="shared" si="285"/>
        <v>0</v>
      </c>
      <c r="LV103" s="13">
        <f t="shared" si="286"/>
        <v>0</v>
      </c>
      <c r="LW103" s="13">
        <f t="shared" si="287"/>
        <v>0</v>
      </c>
      <c r="LX103" s="13">
        <f t="shared" si="288"/>
        <v>0</v>
      </c>
      <c r="LY103" s="13">
        <f t="shared" si="289"/>
        <v>0</v>
      </c>
      <c r="LZ103" s="13">
        <f t="shared" si="290"/>
        <v>0</v>
      </c>
      <c r="MA103" s="13">
        <f t="shared" si="291"/>
        <v>0</v>
      </c>
      <c r="MB103" s="13">
        <f t="shared" si="292"/>
        <v>0</v>
      </c>
      <c r="MC103" s="13">
        <f t="shared" si="293"/>
        <v>0</v>
      </c>
      <c r="MD103" s="13">
        <f t="shared" si="294"/>
        <v>0</v>
      </c>
      <c r="ME103" s="13">
        <f t="shared" si="295"/>
        <v>0</v>
      </c>
      <c r="MF103" s="13">
        <f t="shared" si="296"/>
        <v>0</v>
      </c>
      <c r="MG103" s="13">
        <f t="shared" si="297"/>
        <v>0</v>
      </c>
      <c r="MH103" s="13">
        <f t="shared" si="298"/>
        <v>0</v>
      </c>
      <c r="MI103" s="13">
        <f t="shared" si="299"/>
        <v>0</v>
      </c>
      <c r="MJ103" s="13">
        <f t="shared" si="300"/>
        <v>0</v>
      </c>
      <c r="MK103" s="13">
        <f t="shared" si="301"/>
        <v>0</v>
      </c>
      <c r="ML103" s="14">
        <f t="shared" si="302"/>
        <v>0</v>
      </c>
      <c r="MM103" s="14">
        <f t="shared" si="303"/>
        <v>0</v>
      </c>
      <c r="MN103" s="14">
        <f t="shared" si="304"/>
        <v>0</v>
      </c>
      <c r="MO103" s="14">
        <f t="shared" si="305"/>
        <v>0</v>
      </c>
      <c r="MP103" s="14">
        <f t="shared" si="306"/>
        <v>0</v>
      </c>
      <c r="MQ103" s="14">
        <f t="shared" si="307"/>
        <v>0</v>
      </c>
      <c r="MR103" s="14">
        <f t="shared" si="308"/>
        <v>0</v>
      </c>
      <c r="MS103" s="14">
        <f t="shared" si="309"/>
        <v>0</v>
      </c>
      <c r="MT103" s="14">
        <f t="shared" si="310"/>
        <v>0</v>
      </c>
      <c r="MU103" s="14">
        <f t="shared" si="311"/>
        <v>0</v>
      </c>
      <c r="MV103" s="14">
        <f t="shared" si="312"/>
        <v>0</v>
      </c>
      <c r="MW103" s="14">
        <f t="shared" si="313"/>
        <v>0</v>
      </c>
      <c r="MX103" s="14">
        <f t="shared" si="314"/>
        <v>0</v>
      </c>
      <c r="MY103" s="14">
        <f t="shared" si="315"/>
        <v>0</v>
      </c>
      <c r="MZ103" s="14">
        <f t="shared" si="316"/>
        <v>0</v>
      </c>
      <c r="NA103" s="14">
        <f t="shared" si="317"/>
        <v>0</v>
      </c>
      <c r="NB103" s="14">
        <f t="shared" si="318"/>
        <v>0</v>
      </c>
    </row>
    <row r="104" ht="15.75" customHeight="1">
      <c r="A104" s="2">
        <v>406.0</v>
      </c>
      <c r="B104" s="2" t="s">
        <v>2136</v>
      </c>
      <c r="C104" s="2" t="s">
        <v>2137</v>
      </c>
      <c r="D104" s="2" t="s">
        <v>2138</v>
      </c>
      <c r="E104" s="2">
        <v>2014.0</v>
      </c>
      <c r="F104" s="2" t="s">
        <v>2139</v>
      </c>
      <c r="G104" s="2" t="s">
        <v>564</v>
      </c>
      <c r="H104" s="2" t="s">
        <v>452</v>
      </c>
      <c r="J104" s="2" t="s">
        <v>2140</v>
      </c>
      <c r="K104" s="2" t="s">
        <v>2141</v>
      </c>
      <c r="M104" s="2">
        <v>9.0</v>
      </c>
      <c r="N104" s="2" t="s">
        <v>2142</v>
      </c>
      <c r="O104" s="2" t="s">
        <v>2143</v>
      </c>
      <c r="P104" s="2" t="s">
        <v>2144</v>
      </c>
      <c r="Q104" s="2" t="s">
        <v>2145</v>
      </c>
      <c r="R104" s="2" t="s">
        <v>2146</v>
      </c>
      <c r="S104" s="2" t="s">
        <v>2147</v>
      </c>
      <c r="Y104" s="2" t="s">
        <v>2148</v>
      </c>
      <c r="AB104" s="2" t="s">
        <v>2149</v>
      </c>
      <c r="AG104" s="2" t="s">
        <v>2150</v>
      </c>
      <c r="AK104" s="2" t="s">
        <v>2151</v>
      </c>
      <c r="AL104" s="2" t="s">
        <v>384</v>
      </c>
      <c r="AN104" s="2" t="s">
        <v>386</v>
      </c>
      <c r="AO104" s="2" t="s">
        <v>2152</v>
      </c>
      <c r="AP104" s="2" t="s">
        <v>386</v>
      </c>
      <c r="AQ104" s="2">
        <v>1599.0</v>
      </c>
      <c r="AR104" s="2" t="s">
        <v>2138</v>
      </c>
      <c r="AS104" s="2" t="b">
        <v>1</v>
      </c>
      <c r="AT104" s="3">
        <v>0.0</v>
      </c>
      <c r="AU104" s="4"/>
      <c r="AV104" s="4"/>
      <c r="AW104" s="5">
        <f t="shared" si="432"/>
        <v>0</v>
      </c>
      <c r="AX104" s="5">
        <f t="shared" si="4"/>
        <v>0</v>
      </c>
      <c r="AY104" s="5">
        <f t="shared" si="5"/>
        <v>0</v>
      </c>
      <c r="AZ104" s="5">
        <f t="shared" si="6"/>
        <v>0</v>
      </c>
      <c r="BA104" s="5">
        <f t="shared" si="7"/>
        <v>0</v>
      </c>
      <c r="BB104" s="5">
        <f t="shared" si="8"/>
        <v>0</v>
      </c>
      <c r="BC104" s="5">
        <f t="shared" si="9"/>
        <v>0</v>
      </c>
      <c r="BD104" s="5">
        <f t="shared" si="10"/>
        <v>0</v>
      </c>
      <c r="BE104" s="5">
        <f t="shared" si="11"/>
        <v>0</v>
      </c>
      <c r="BF104" s="5">
        <f t="shared" si="12"/>
        <v>0</v>
      </c>
      <c r="BG104" s="5">
        <f t="shared" si="13"/>
        <v>0</v>
      </c>
      <c r="BH104" s="5">
        <f t="shared" si="14"/>
        <v>0</v>
      </c>
      <c r="BI104" s="5">
        <f t="shared" si="15"/>
        <v>0</v>
      </c>
      <c r="BJ104" s="5">
        <f t="shared" si="16"/>
        <v>0</v>
      </c>
      <c r="BK104" s="5">
        <f t="shared" si="17"/>
        <v>0</v>
      </c>
      <c r="BL104" s="5">
        <f t="shared" si="18"/>
        <v>0</v>
      </c>
      <c r="BM104" s="5">
        <f t="shared" si="19"/>
        <v>0</v>
      </c>
      <c r="BN104" s="5">
        <f t="shared" si="20"/>
        <v>0</v>
      </c>
      <c r="BO104" s="5">
        <f t="shared" si="21"/>
        <v>0</v>
      </c>
      <c r="BP104" s="5">
        <f t="shared" si="22"/>
        <v>0</v>
      </c>
      <c r="BQ104" s="5">
        <f t="shared" si="23"/>
        <v>0</v>
      </c>
      <c r="BR104" s="5">
        <f t="shared" si="24"/>
        <v>0</v>
      </c>
      <c r="BS104" s="5">
        <f t="shared" si="25"/>
        <v>1</v>
      </c>
      <c r="BT104" s="5">
        <f t="shared" si="26"/>
        <v>0</v>
      </c>
      <c r="BU104" s="5">
        <f t="shared" si="27"/>
        <v>1</v>
      </c>
      <c r="BV104" s="5">
        <f t="shared" ref="BV104:BW104" si="550">IF(OR(ISNUMBER(SEARCH("grit",$D104)),ISNUMBER(SEARCH("grit",$T104)),ISNUMBER(SEARCH("grit",$R104)),ISNUMBER(SEARCH("grit",$S104)),
ISNUMBER(SEARCH("determination",$D104)),ISNUMBER(SEARCH("determination",$T104)),ISNUMBER(SEARCH("determination",$R104)),ISNUMBER(SEARCH("determination",$S104)),
ISNUMBER(SEARCH("tenacity",$D104)),ISNUMBER(SEARCH("tenacity",$T104)),ISNUMBER(SEARCH("tenacity",$R104)),ISNUMBER(SEARCH("tenacity",$S104)),
ISNUMBER(SEARCH("endurance",$D104)),ISNUMBER(SEARCH("endurance",$T104)),ISNUMBER(SEARCH("endurance",$R104)),ISNUMBER(SEARCH("endurance",$S104)),
ISNUMBER(SEARCH("fortitude",$D104)),ISNUMBER(SEARCH("fortitude",$T104)),ISNUMBER(SEARCH("fortitude",$R104)),ISNUMBER(SEARCH("fortitude",$S104)),
ISNUMBER(SEARCH("resolve",$D104)),ISNUMBER(SEARCH("resolve",$T104)),ISNUMBER(SEARCH("resolve",$R104)),ISNUMBER(SEARCH("resolve",$S104)),
ISNUMBER(SEARCH("stamina",$D104)),ISNUMBER(SEARCH("stamina",$T104)),ISNUMBER(SEARCH("stamina",$R104)),ISNUMBER(SEARCH("stamina",$S104)),
ISNUMBER(SEARCH("guts",$D104)),ISNUMBER(SEARCH("guts",$T104)),ISNUMBER(SEARCH("guts",$R104)),ISNUMBER(SEARCH("guts",$S104)),
ISNUMBER(SEARCH("spunk",$D104)),ISNUMBER(SEARCH("spunk",$T104)),ISNUMBER(SEARCH("spunk",$R104)),ISNUMBER(SEARCH("spunk",$S104))), 1, 0)</f>
        <v>0</v>
      </c>
      <c r="BW104" s="5">
        <f t="shared" si="550"/>
        <v>0</v>
      </c>
      <c r="BX104" s="5">
        <f t="shared" si="29"/>
        <v>0</v>
      </c>
      <c r="BY104" s="5">
        <f t="shared" si="30"/>
        <v>0</v>
      </c>
      <c r="BZ104" s="5">
        <f t="shared" si="31"/>
        <v>0</v>
      </c>
      <c r="CA104" s="5">
        <f t="shared" si="32"/>
        <v>0</v>
      </c>
      <c r="CB104" s="5">
        <f t="shared" si="33"/>
        <v>0</v>
      </c>
      <c r="CC104" s="5">
        <f t="shared" si="34"/>
        <v>0</v>
      </c>
      <c r="CD104" s="5">
        <f t="shared" si="35"/>
        <v>0</v>
      </c>
      <c r="CE104" s="5">
        <f t="shared" si="36"/>
        <v>0</v>
      </c>
      <c r="CF104" s="5">
        <f t="shared" si="37"/>
        <v>0</v>
      </c>
      <c r="CG104" s="5">
        <f t="shared" si="38"/>
        <v>0</v>
      </c>
      <c r="CH104" s="5">
        <f t="shared" si="39"/>
        <v>0</v>
      </c>
      <c r="CI104" s="5">
        <f t="shared" si="40"/>
        <v>0</v>
      </c>
      <c r="CJ104" s="5">
        <f t="shared" si="41"/>
        <v>0</v>
      </c>
      <c r="CK104" s="5">
        <f t="shared" si="42"/>
        <v>0</v>
      </c>
      <c r="CL104" s="5">
        <f t="shared" si="43"/>
        <v>0</v>
      </c>
      <c r="CM104" s="5">
        <f t="shared" si="44"/>
        <v>0</v>
      </c>
      <c r="CN104" s="5">
        <f t="shared" si="45"/>
        <v>0</v>
      </c>
      <c r="CO104" s="5">
        <f t="shared" si="46"/>
        <v>0</v>
      </c>
      <c r="CP104" s="6">
        <f t="shared" si="47"/>
        <v>0</v>
      </c>
      <c r="CQ104" s="6">
        <f t="shared" si="48"/>
        <v>0</v>
      </c>
      <c r="CR104" s="6">
        <f t="shared" si="49"/>
        <v>0</v>
      </c>
      <c r="CS104" s="6">
        <f t="shared" si="50"/>
        <v>0</v>
      </c>
      <c r="CT104" s="6">
        <f t="shared" si="551"/>
        <v>0</v>
      </c>
      <c r="CU104" s="6">
        <f t="shared" si="52"/>
        <v>0</v>
      </c>
      <c r="CV104" s="6">
        <f t="shared" si="53"/>
        <v>0</v>
      </c>
      <c r="CW104" s="6">
        <f t="shared" si="54"/>
        <v>0</v>
      </c>
      <c r="CX104" s="6">
        <f t="shared" si="55"/>
        <v>0</v>
      </c>
      <c r="CY104" s="6">
        <f t="shared" si="56"/>
        <v>0</v>
      </c>
      <c r="CZ104" s="6">
        <f t="shared" si="57"/>
        <v>0</v>
      </c>
      <c r="DA104" s="6">
        <f t="shared" si="58"/>
        <v>0</v>
      </c>
      <c r="DB104" s="6">
        <f t="shared" si="59"/>
        <v>0</v>
      </c>
      <c r="DC104" s="6">
        <f t="shared" si="60"/>
        <v>0</v>
      </c>
      <c r="DD104" s="6">
        <f t="shared" si="61"/>
        <v>0</v>
      </c>
      <c r="DE104" s="6">
        <f t="shared" si="62"/>
        <v>0</v>
      </c>
      <c r="DF104" s="6">
        <f t="shared" si="63"/>
        <v>0</v>
      </c>
      <c r="DG104" s="6">
        <f t="shared" si="64"/>
        <v>0</v>
      </c>
      <c r="DH104" s="6">
        <f t="shared" si="509"/>
        <v>0</v>
      </c>
      <c r="DI104" s="6">
        <f t="shared" si="66"/>
        <v>0</v>
      </c>
      <c r="DJ104" s="6">
        <f t="shared" si="510"/>
        <v>0</v>
      </c>
      <c r="DK104" s="7">
        <f t="shared" si="68"/>
        <v>0</v>
      </c>
      <c r="DL104" s="7">
        <f t="shared" si="498"/>
        <v>0</v>
      </c>
      <c r="DM104" s="7">
        <f t="shared" si="70"/>
        <v>0</v>
      </c>
      <c r="DN104" s="7">
        <f t="shared" si="71"/>
        <v>0</v>
      </c>
      <c r="DO104" s="7">
        <f t="shared" si="72"/>
        <v>1</v>
      </c>
      <c r="DP104" s="8">
        <f t="shared" si="73"/>
        <v>0</v>
      </c>
      <c r="DQ104" s="8">
        <f t="shared" si="74"/>
        <v>0</v>
      </c>
      <c r="DR104" s="7">
        <f t="shared" si="75"/>
        <v>0</v>
      </c>
      <c r="DS104" s="7">
        <f t="shared" si="76"/>
        <v>0</v>
      </c>
      <c r="DT104" s="7">
        <f t="shared" si="77"/>
        <v>0</v>
      </c>
      <c r="DU104" s="9">
        <f t="shared" si="78"/>
        <v>0</v>
      </c>
      <c r="DV104" s="9">
        <f t="shared" si="79"/>
        <v>0</v>
      </c>
      <c r="DW104" s="9">
        <f t="shared" si="80"/>
        <v>0</v>
      </c>
      <c r="DX104" s="9">
        <f t="shared" si="81"/>
        <v>0</v>
      </c>
      <c r="DY104" s="9">
        <f t="shared" si="82"/>
        <v>0</v>
      </c>
      <c r="DZ104" s="9">
        <f t="shared" si="83"/>
        <v>0</v>
      </c>
      <c r="EA104" s="9">
        <f t="shared" si="84"/>
        <v>0</v>
      </c>
      <c r="EB104" s="9">
        <f t="shared" si="85"/>
        <v>0</v>
      </c>
      <c r="EC104" s="9">
        <f t="shared" si="86"/>
        <v>0</v>
      </c>
      <c r="ED104" s="9">
        <f t="shared" si="87"/>
        <v>0</v>
      </c>
      <c r="EE104" s="9">
        <f t="shared" si="88"/>
        <v>0</v>
      </c>
      <c r="EF104" s="9">
        <f t="shared" si="89"/>
        <v>0</v>
      </c>
      <c r="EG104" s="9">
        <f t="shared" si="90"/>
        <v>0</v>
      </c>
      <c r="EH104" s="9">
        <f t="shared" si="91"/>
        <v>0</v>
      </c>
      <c r="EI104" s="9">
        <f t="shared" si="92"/>
        <v>0</v>
      </c>
      <c r="EJ104" s="10">
        <f t="shared" si="93"/>
        <v>0</v>
      </c>
      <c r="EK104" s="10">
        <f t="shared" si="94"/>
        <v>0</v>
      </c>
      <c r="EL104" s="10">
        <f t="shared" ref="EL104:EM104" si="552">IF(OR(ISNUMBER(SEARCH("ai software toolkit", $D104)), ISNUMBER(SEARCH("ai software toolkit", $T104)), ISNUMBER(SEARCH("ai software toolkit", $R104)), ISNUMBER(SEARCH("ai software toolkit", $S104))), 1, 0)</f>
        <v>0</v>
      </c>
      <c r="EM104" s="10">
        <f t="shared" si="552"/>
        <v>0</v>
      </c>
      <c r="EN104" s="10">
        <f t="shared" si="96"/>
        <v>0</v>
      </c>
      <c r="EO104" s="10">
        <f t="shared" si="97"/>
        <v>0</v>
      </c>
      <c r="EP104" s="10">
        <f t="shared" si="98"/>
        <v>0</v>
      </c>
      <c r="EQ104" s="10">
        <f t="shared" si="99"/>
        <v>0</v>
      </c>
      <c r="ER104" s="10">
        <f t="shared" si="100"/>
        <v>0</v>
      </c>
      <c r="ES104" s="10">
        <f t="shared" si="101"/>
        <v>0</v>
      </c>
      <c r="ET104" s="10">
        <f t="shared" si="102"/>
        <v>0</v>
      </c>
      <c r="EU104" s="10">
        <f t="shared" si="103"/>
        <v>0</v>
      </c>
      <c r="EV104" s="10">
        <f t="shared" si="104"/>
        <v>0</v>
      </c>
      <c r="EW104" s="10">
        <f t="shared" si="105"/>
        <v>0</v>
      </c>
      <c r="EX104" s="10">
        <f t="shared" si="106"/>
        <v>0</v>
      </c>
      <c r="EY104" s="10">
        <f t="shared" si="107"/>
        <v>0</v>
      </c>
      <c r="EZ104" s="10">
        <f t="shared" si="108"/>
        <v>0</v>
      </c>
      <c r="FA104" s="10">
        <f t="shared" si="109"/>
        <v>0</v>
      </c>
      <c r="FB104" s="10">
        <f t="shared" si="110"/>
        <v>0</v>
      </c>
      <c r="FC104" s="10">
        <f t="shared" si="111"/>
        <v>0</v>
      </c>
      <c r="FD104" s="10">
        <f t="shared" si="112"/>
        <v>0</v>
      </c>
      <c r="FE104" s="10">
        <f t="shared" si="113"/>
        <v>0</v>
      </c>
      <c r="FF104" s="10">
        <f t="shared" si="114"/>
        <v>0</v>
      </c>
      <c r="FG104" s="10">
        <f t="shared" si="115"/>
        <v>0</v>
      </c>
      <c r="FH104" s="10">
        <f t="shared" si="116"/>
        <v>0</v>
      </c>
      <c r="FI104" s="10">
        <f t="shared" si="117"/>
        <v>0</v>
      </c>
      <c r="FJ104" s="10">
        <f t="shared" si="118"/>
        <v>0</v>
      </c>
      <c r="FK104" s="10">
        <f t="shared" si="119"/>
        <v>0</v>
      </c>
      <c r="FL104" s="10">
        <f t="shared" si="120"/>
        <v>0</v>
      </c>
      <c r="FM104" s="10">
        <f t="shared" si="121"/>
        <v>0</v>
      </c>
      <c r="FN104" s="10">
        <f t="shared" si="122"/>
        <v>0</v>
      </c>
      <c r="FO104" s="10">
        <f t="shared" si="123"/>
        <v>0</v>
      </c>
      <c r="FP104" s="10">
        <f t="shared" si="124"/>
        <v>0</v>
      </c>
      <c r="FQ104" s="10">
        <f t="shared" si="125"/>
        <v>0</v>
      </c>
      <c r="FR104" s="11">
        <f t="shared" si="543"/>
        <v>0</v>
      </c>
      <c r="FS104" s="11">
        <f t="shared" si="127"/>
        <v>1</v>
      </c>
      <c r="FT104" s="11">
        <f t="shared" si="128"/>
        <v>0</v>
      </c>
      <c r="FU104" s="11">
        <f t="shared" si="129"/>
        <v>0</v>
      </c>
      <c r="FV104" s="11">
        <f t="shared" si="130"/>
        <v>0</v>
      </c>
      <c r="FW104" s="11">
        <f t="shared" si="131"/>
        <v>0</v>
      </c>
      <c r="FX104" s="11">
        <f t="shared" si="132"/>
        <v>0</v>
      </c>
      <c r="FY104" s="11">
        <f t="shared" si="133"/>
        <v>0</v>
      </c>
      <c r="FZ104" s="11">
        <f t="shared" si="134"/>
        <v>0</v>
      </c>
      <c r="GA104" s="11">
        <f t="shared" si="135"/>
        <v>0</v>
      </c>
      <c r="GB104" s="11">
        <f t="shared" si="136"/>
        <v>0</v>
      </c>
      <c r="GC104" s="11">
        <f t="shared" si="137"/>
        <v>0</v>
      </c>
      <c r="GD104" s="11">
        <f t="shared" si="138"/>
        <v>0</v>
      </c>
      <c r="GE104" s="11">
        <f t="shared" si="139"/>
        <v>0</v>
      </c>
      <c r="GF104" s="11">
        <f t="shared" si="140"/>
        <v>0</v>
      </c>
      <c r="GG104" s="11">
        <f t="shared" si="141"/>
        <v>0</v>
      </c>
      <c r="GH104" s="11">
        <f t="shared" si="142"/>
        <v>0</v>
      </c>
      <c r="GI104" s="11">
        <f t="shared" si="143"/>
        <v>0</v>
      </c>
      <c r="GJ104" s="11">
        <f t="shared" si="144"/>
        <v>0</v>
      </c>
      <c r="GK104" s="11">
        <f t="shared" si="145"/>
        <v>0</v>
      </c>
      <c r="GL104" s="11">
        <f t="shared" si="146"/>
        <v>0</v>
      </c>
      <c r="GM104" s="11">
        <f t="shared" si="147"/>
        <v>0</v>
      </c>
      <c r="GN104" s="11">
        <f t="shared" si="148"/>
        <v>0</v>
      </c>
      <c r="GO104" s="11">
        <f t="shared" si="149"/>
        <v>0</v>
      </c>
      <c r="GP104" s="11">
        <f t="shared" si="150"/>
        <v>0</v>
      </c>
      <c r="GQ104" s="11">
        <f t="shared" si="151"/>
        <v>0</v>
      </c>
      <c r="GR104" s="11">
        <f t="shared" si="152"/>
        <v>0</v>
      </c>
      <c r="GS104" s="11">
        <f t="shared" si="153"/>
        <v>0</v>
      </c>
      <c r="GT104" s="11">
        <f t="shared" si="154"/>
        <v>1</v>
      </c>
      <c r="GU104" s="12">
        <f t="shared" si="155"/>
        <v>0</v>
      </c>
      <c r="GV104" s="12">
        <f t="shared" si="156"/>
        <v>0</v>
      </c>
      <c r="GW104" s="12">
        <f t="shared" si="157"/>
        <v>0</v>
      </c>
      <c r="GX104" s="12">
        <f t="shared" si="158"/>
        <v>0</v>
      </c>
      <c r="GY104" s="12">
        <f t="shared" si="159"/>
        <v>0</v>
      </c>
      <c r="GZ104" s="12">
        <f t="shared" si="160"/>
        <v>0</v>
      </c>
      <c r="HA104" s="12">
        <f t="shared" si="161"/>
        <v>0</v>
      </c>
      <c r="HB104" s="12">
        <f t="shared" si="162"/>
        <v>0</v>
      </c>
      <c r="HC104" s="12">
        <f t="shared" si="163"/>
        <v>0</v>
      </c>
      <c r="HD104" s="12">
        <f t="shared" si="164"/>
        <v>0</v>
      </c>
      <c r="HE104" s="12">
        <f t="shared" si="165"/>
        <v>0</v>
      </c>
      <c r="HF104" s="12">
        <f t="shared" si="166"/>
        <v>0</v>
      </c>
      <c r="HG104" s="12">
        <f t="shared" si="167"/>
        <v>0</v>
      </c>
      <c r="HH104" s="12">
        <f t="shared" si="168"/>
        <v>0</v>
      </c>
      <c r="HI104" s="12">
        <f t="shared" si="169"/>
        <v>0</v>
      </c>
      <c r="HJ104" s="12">
        <f t="shared" si="170"/>
        <v>0</v>
      </c>
      <c r="HK104" s="12">
        <f t="shared" si="171"/>
        <v>0</v>
      </c>
      <c r="HL104" s="12">
        <f t="shared" si="172"/>
        <v>0</v>
      </c>
      <c r="HM104" s="12">
        <f t="shared" si="173"/>
        <v>0</v>
      </c>
      <c r="HN104" s="12">
        <f t="shared" si="174"/>
        <v>0</v>
      </c>
      <c r="HO104" s="12">
        <f t="shared" si="175"/>
        <v>0</v>
      </c>
      <c r="HP104" s="12">
        <f t="shared" si="176"/>
        <v>0</v>
      </c>
      <c r="HQ104" s="12">
        <f t="shared" si="177"/>
        <v>0</v>
      </c>
      <c r="HR104" s="12">
        <f t="shared" si="178"/>
        <v>0</v>
      </c>
      <c r="HS104" s="12">
        <f t="shared" si="179"/>
        <v>0</v>
      </c>
      <c r="HT104" s="12">
        <f t="shared" si="180"/>
        <v>0</v>
      </c>
      <c r="HU104" s="12">
        <f t="shared" si="181"/>
        <v>0</v>
      </c>
      <c r="HV104" s="12">
        <f t="shared" si="182"/>
        <v>1</v>
      </c>
      <c r="HW104" s="12">
        <f t="shared" si="183"/>
        <v>0</v>
      </c>
      <c r="HX104" s="12">
        <f t="shared" si="184"/>
        <v>0</v>
      </c>
      <c r="HY104" s="12">
        <f t="shared" si="185"/>
        <v>0</v>
      </c>
      <c r="HZ104" s="12">
        <f t="shared" si="186"/>
        <v>0</v>
      </c>
      <c r="IA104" s="12">
        <f t="shared" si="187"/>
        <v>0</v>
      </c>
      <c r="IB104" s="12">
        <f t="shared" si="188"/>
        <v>0</v>
      </c>
      <c r="IC104" s="12">
        <f t="shared" si="189"/>
        <v>0</v>
      </c>
      <c r="ID104" s="12">
        <f t="shared" si="190"/>
        <v>0</v>
      </c>
      <c r="IE104" s="12">
        <f t="shared" si="191"/>
        <v>0</v>
      </c>
      <c r="IF104" s="12">
        <f t="shared" si="192"/>
        <v>0</v>
      </c>
      <c r="IG104" s="12">
        <f t="shared" si="193"/>
        <v>0</v>
      </c>
      <c r="IH104" s="12">
        <f t="shared" si="194"/>
        <v>0</v>
      </c>
      <c r="II104" s="12">
        <f t="shared" si="195"/>
        <v>0</v>
      </c>
      <c r="IJ104" s="12">
        <f t="shared" si="196"/>
        <v>0</v>
      </c>
      <c r="IK104" s="12">
        <f t="shared" si="197"/>
        <v>0</v>
      </c>
      <c r="IL104" s="12">
        <f t="shared" si="198"/>
        <v>0</v>
      </c>
      <c r="IM104" s="12">
        <f t="shared" si="199"/>
        <v>0</v>
      </c>
      <c r="IN104" s="12">
        <f t="shared" si="200"/>
        <v>0</v>
      </c>
      <c r="IO104" s="12">
        <f t="shared" si="201"/>
        <v>0</v>
      </c>
      <c r="IP104" s="12">
        <f t="shared" si="202"/>
        <v>0</v>
      </c>
      <c r="IQ104" s="12">
        <f t="shared" si="203"/>
        <v>0</v>
      </c>
      <c r="IR104" s="12">
        <f t="shared" si="204"/>
        <v>0</v>
      </c>
      <c r="IS104" s="12">
        <f t="shared" si="205"/>
        <v>0</v>
      </c>
      <c r="IT104" s="12">
        <f t="shared" si="206"/>
        <v>0</v>
      </c>
      <c r="IU104" s="12">
        <f t="shared" si="207"/>
        <v>0</v>
      </c>
      <c r="IV104" s="12">
        <f t="shared" si="208"/>
        <v>0</v>
      </c>
      <c r="IW104" s="12">
        <f t="shared" si="209"/>
        <v>0</v>
      </c>
      <c r="IX104" s="12">
        <f t="shared" si="210"/>
        <v>0</v>
      </c>
      <c r="IY104" s="12">
        <f t="shared" si="211"/>
        <v>0</v>
      </c>
      <c r="IZ104" s="12">
        <f t="shared" si="212"/>
        <v>1</v>
      </c>
      <c r="JA104" s="13">
        <f t="shared" si="213"/>
        <v>0</v>
      </c>
      <c r="JB104" s="13">
        <f t="shared" si="214"/>
        <v>0</v>
      </c>
      <c r="JC104" s="13">
        <f t="shared" si="215"/>
        <v>0</v>
      </c>
      <c r="JD104" s="13">
        <f t="shared" si="216"/>
        <v>0</v>
      </c>
      <c r="JE104" s="13">
        <f t="shared" si="217"/>
        <v>0</v>
      </c>
      <c r="JF104" s="13">
        <f t="shared" si="218"/>
        <v>0</v>
      </c>
      <c r="JG104" s="13">
        <f t="shared" si="219"/>
        <v>0</v>
      </c>
      <c r="JH104" s="13">
        <f t="shared" si="220"/>
        <v>0</v>
      </c>
      <c r="JI104" s="13">
        <f t="shared" si="221"/>
        <v>0</v>
      </c>
      <c r="JJ104" s="13">
        <f t="shared" si="222"/>
        <v>0</v>
      </c>
      <c r="JK104" s="13">
        <f t="shared" si="223"/>
        <v>0</v>
      </c>
      <c r="JL104" s="13">
        <f t="shared" si="224"/>
        <v>0</v>
      </c>
      <c r="JM104" s="13">
        <f t="shared" si="225"/>
        <v>0</v>
      </c>
      <c r="JN104" s="13">
        <f t="shared" si="226"/>
        <v>0</v>
      </c>
      <c r="JO104" s="13">
        <f t="shared" si="227"/>
        <v>0</v>
      </c>
      <c r="JP104" s="13">
        <f t="shared" si="228"/>
        <v>0</v>
      </c>
      <c r="JQ104" s="13">
        <f t="shared" si="229"/>
        <v>0</v>
      </c>
      <c r="JR104" s="13">
        <f t="shared" si="230"/>
        <v>0</v>
      </c>
      <c r="JS104" s="13">
        <f t="shared" si="231"/>
        <v>0</v>
      </c>
      <c r="JT104" s="13">
        <f t="shared" si="232"/>
        <v>0</v>
      </c>
      <c r="JU104" s="13">
        <f t="shared" si="233"/>
        <v>0</v>
      </c>
      <c r="JV104" s="12">
        <f t="shared" si="234"/>
        <v>0</v>
      </c>
      <c r="JW104" s="12">
        <f t="shared" si="235"/>
        <v>0</v>
      </c>
      <c r="JX104" s="12">
        <f t="shared" si="236"/>
        <v>0</v>
      </c>
      <c r="JY104" s="12">
        <f t="shared" si="237"/>
        <v>0</v>
      </c>
      <c r="JZ104" s="12">
        <f t="shared" si="238"/>
        <v>0</v>
      </c>
      <c r="KA104" s="12">
        <f t="shared" si="239"/>
        <v>0</v>
      </c>
      <c r="KB104" s="12">
        <f t="shared" si="240"/>
        <v>0</v>
      </c>
      <c r="KC104" s="12">
        <f t="shared" si="241"/>
        <v>0</v>
      </c>
      <c r="KD104" s="12">
        <f t="shared" si="242"/>
        <v>0</v>
      </c>
      <c r="KE104" s="12">
        <f t="shared" si="243"/>
        <v>0</v>
      </c>
      <c r="KF104" s="12">
        <f t="shared" si="244"/>
        <v>0</v>
      </c>
      <c r="KG104" s="12">
        <f t="shared" si="245"/>
        <v>0</v>
      </c>
      <c r="KH104" s="12">
        <f t="shared" si="246"/>
        <v>0</v>
      </c>
      <c r="KI104" s="12">
        <f t="shared" si="247"/>
        <v>0</v>
      </c>
      <c r="KJ104" s="12">
        <f t="shared" si="248"/>
        <v>0</v>
      </c>
      <c r="KK104" s="12">
        <f t="shared" si="249"/>
        <v>0</v>
      </c>
      <c r="KL104" s="12">
        <f t="shared" si="250"/>
        <v>0</v>
      </c>
      <c r="KM104" s="12">
        <f t="shared" si="251"/>
        <v>0</v>
      </c>
      <c r="KN104" s="12">
        <f t="shared" si="252"/>
        <v>0</v>
      </c>
      <c r="KO104" s="12">
        <f t="shared" si="253"/>
        <v>0</v>
      </c>
      <c r="KP104" s="12">
        <f t="shared" si="254"/>
        <v>0</v>
      </c>
      <c r="KQ104" s="12">
        <f t="shared" si="255"/>
        <v>0</v>
      </c>
      <c r="KR104" s="12">
        <f t="shared" si="256"/>
        <v>0</v>
      </c>
      <c r="KS104" s="12">
        <f t="shared" si="257"/>
        <v>0</v>
      </c>
      <c r="KT104" s="12">
        <f t="shared" si="258"/>
        <v>0</v>
      </c>
      <c r="KU104" s="12">
        <f t="shared" si="259"/>
        <v>0</v>
      </c>
      <c r="KV104" s="12">
        <f t="shared" si="260"/>
        <v>0</v>
      </c>
      <c r="KW104" s="12">
        <f t="shared" si="261"/>
        <v>0</v>
      </c>
      <c r="KX104" s="12">
        <f t="shared" si="262"/>
        <v>0</v>
      </c>
      <c r="KY104" s="12">
        <f t="shared" si="263"/>
        <v>0</v>
      </c>
      <c r="KZ104" s="12">
        <f t="shared" si="264"/>
        <v>0</v>
      </c>
      <c r="LA104" s="12">
        <f t="shared" si="265"/>
        <v>0</v>
      </c>
      <c r="LB104" s="12">
        <f t="shared" si="266"/>
        <v>0</v>
      </c>
      <c r="LC104" s="12">
        <f t="shared" si="267"/>
        <v>0</v>
      </c>
      <c r="LD104" s="12">
        <f t="shared" si="268"/>
        <v>0</v>
      </c>
      <c r="LE104" s="12">
        <f t="shared" si="269"/>
        <v>0</v>
      </c>
      <c r="LF104" s="12">
        <f t="shared" si="270"/>
        <v>0</v>
      </c>
      <c r="LG104" s="12">
        <f t="shared" si="271"/>
        <v>0</v>
      </c>
      <c r="LH104" s="12">
        <f t="shared" si="272"/>
        <v>0</v>
      </c>
      <c r="LI104" s="12">
        <f t="shared" si="273"/>
        <v>0</v>
      </c>
      <c r="LJ104" s="12">
        <f t="shared" si="274"/>
        <v>0</v>
      </c>
      <c r="LK104" s="12">
        <f t="shared" si="275"/>
        <v>0</v>
      </c>
      <c r="LL104" s="12">
        <f t="shared" si="276"/>
        <v>0</v>
      </c>
      <c r="LM104" s="12">
        <f t="shared" si="277"/>
        <v>0</v>
      </c>
      <c r="LN104" s="12">
        <f t="shared" si="278"/>
        <v>0</v>
      </c>
      <c r="LO104" s="12">
        <f t="shared" si="279"/>
        <v>0</v>
      </c>
      <c r="LP104" s="12">
        <f t="shared" si="280"/>
        <v>0</v>
      </c>
      <c r="LQ104" s="12">
        <f t="shared" si="281"/>
        <v>0</v>
      </c>
      <c r="LR104" s="12">
        <f t="shared" si="282"/>
        <v>0</v>
      </c>
      <c r="LS104" s="12">
        <f t="shared" si="283"/>
        <v>0</v>
      </c>
      <c r="LT104" s="13">
        <f t="shared" si="284"/>
        <v>0</v>
      </c>
      <c r="LU104" s="13">
        <f t="shared" si="285"/>
        <v>0</v>
      </c>
      <c r="LV104" s="13">
        <f t="shared" si="286"/>
        <v>0</v>
      </c>
      <c r="LW104" s="13">
        <f t="shared" si="287"/>
        <v>0</v>
      </c>
      <c r="LX104" s="13">
        <f t="shared" si="288"/>
        <v>0</v>
      </c>
      <c r="LY104" s="13">
        <f t="shared" si="289"/>
        <v>0</v>
      </c>
      <c r="LZ104" s="13">
        <f t="shared" si="290"/>
        <v>0</v>
      </c>
      <c r="MA104" s="13">
        <f t="shared" si="291"/>
        <v>0</v>
      </c>
      <c r="MB104" s="13">
        <f t="shared" si="292"/>
        <v>0</v>
      </c>
      <c r="MC104" s="13">
        <f t="shared" si="293"/>
        <v>0</v>
      </c>
      <c r="MD104" s="13">
        <f t="shared" si="294"/>
        <v>0</v>
      </c>
      <c r="ME104" s="13">
        <f t="shared" si="295"/>
        <v>0</v>
      </c>
      <c r="MF104" s="13">
        <f t="shared" si="296"/>
        <v>0</v>
      </c>
      <c r="MG104" s="13">
        <f t="shared" si="297"/>
        <v>0</v>
      </c>
      <c r="MH104" s="13">
        <f t="shared" si="298"/>
        <v>0</v>
      </c>
      <c r="MI104" s="13">
        <f t="shared" si="299"/>
        <v>0</v>
      </c>
      <c r="MJ104" s="13">
        <f t="shared" si="300"/>
        <v>0</v>
      </c>
      <c r="MK104" s="13">
        <f t="shared" si="301"/>
        <v>0</v>
      </c>
      <c r="ML104" s="14">
        <f t="shared" si="302"/>
        <v>0</v>
      </c>
      <c r="MM104" s="14">
        <f t="shared" si="303"/>
        <v>0</v>
      </c>
      <c r="MN104" s="14">
        <f t="shared" si="304"/>
        <v>0</v>
      </c>
      <c r="MO104" s="14">
        <f t="shared" si="305"/>
        <v>0</v>
      </c>
      <c r="MP104" s="14">
        <f t="shared" si="306"/>
        <v>0</v>
      </c>
      <c r="MQ104" s="14">
        <f t="shared" si="307"/>
        <v>0</v>
      </c>
      <c r="MR104" s="14">
        <f t="shared" si="308"/>
        <v>0</v>
      </c>
      <c r="MS104" s="14">
        <f t="shared" si="309"/>
        <v>0</v>
      </c>
      <c r="MT104" s="14">
        <f t="shared" si="310"/>
        <v>0</v>
      </c>
      <c r="MU104" s="14">
        <f t="shared" si="311"/>
        <v>0</v>
      </c>
      <c r="MV104" s="14">
        <f t="shared" si="312"/>
        <v>0</v>
      </c>
      <c r="MW104" s="14">
        <f t="shared" si="313"/>
        <v>0</v>
      </c>
      <c r="MX104" s="14">
        <f t="shared" si="314"/>
        <v>0</v>
      </c>
      <c r="MY104" s="14">
        <f t="shared" si="315"/>
        <v>0</v>
      </c>
      <c r="MZ104" s="14">
        <f t="shared" si="316"/>
        <v>0</v>
      </c>
      <c r="NA104" s="14">
        <f t="shared" si="317"/>
        <v>0</v>
      </c>
      <c r="NB104" s="14">
        <f t="shared" si="318"/>
        <v>0</v>
      </c>
    </row>
    <row r="105" ht="15.75" customHeight="1">
      <c r="A105" s="2">
        <v>289.0</v>
      </c>
      <c r="B105" s="2" t="s">
        <v>2153</v>
      </c>
      <c r="C105" s="2" t="s">
        <v>2154</v>
      </c>
      <c r="D105" s="2" t="s">
        <v>2155</v>
      </c>
      <c r="E105" s="2">
        <v>2019.0</v>
      </c>
      <c r="F105" s="2" t="s">
        <v>2156</v>
      </c>
      <c r="G105" s="2" t="s">
        <v>1160</v>
      </c>
      <c r="H105" s="2" t="s">
        <v>656</v>
      </c>
      <c r="I105" s="2" t="s">
        <v>2157</v>
      </c>
      <c r="M105" s="2">
        <v>9.0</v>
      </c>
      <c r="N105" s="2" t="s">
        <v>2158</v>
      </c>
      <c r="O105" s="2" t="s">
        <v>2159</v>
      </c>
      <c r="P105" s="2" t="s">
        <v>2160</v>
      </c>
      <c r="Q105" s="2" t="s">
        <v>2161</v>
      </c>
      <c r="R105" s="2" t="s">
        <v>2162</v>
      </c>
      <c r="S105" s="2" t="s">
        <v>2163</v>
      </c>
      <c r="Y105" s="2" t="s">
        <v>2164</v>
      </c>
      <c r="AB105" s="2" t="s">
        <v>687</v>
      </c>
      <c r="AG105" s="2" t="s">
        <v>2165</v>
      </c>
      <c r="AK105" s="2" t="s">
        <v>2166</v>
      </c>
      <c r="AL105" s="2" t="s">
        <v>384</v>
      </c>
      <c r="AM105" s="2" t="s">
        <v>484</v>
      </c>
      <c r="AN105" s="2" t="s">
        <v>386</v>
      </c>
      <c r="AO105" s="2" t="s">
        <v>2167</v>
      </c>
      <c r="AP105" s="2" t="s">
        <v>386</v>
      </c>
      <c r="AQ105" s="2">
        <v>1160.0</v>
      </c>
      <c r="AR105" s="2" t="s">
        <v>2155</v>
      </c>
      <c r="AS105" s="2" t="b">
        <v>1</v>
      </c>
      <c r="AT105" s="3">
        <v>0.0</v>
      </c>
      <c r="AU105" s="4"/>
      <c r="AV105" s="4"/>
      <c r="AW105" s="5">
        <f t="shared" si="432"/>
        <v>0</v>
      </c>
      <c r="AX105" s="5">
        <f t="shared" si="4"/>
        <v>0</v>
      </c>
      <c r="AY105" s="5">
        <f t="shared" si="5"/>
        <v>0</v>
      </c>
      <c r="AZ105" s="5">
        <f t="shared" si="6"/>
        <v>0</v>
      </c>
      <c r="BA105" s="5">
        <f t="shared" si="7"/>
        <v>0</v>
      </c>
      <c r="BB105" s="5">
        <f t="shared" si="8"/>
        <v>0</v>
      </c>
      <c r="BC105" s="5">
        <f t="shared" si="9"/>
        <v>0</v>
      </c>
      <c r="BD105" s="5">
        <f t="shared" si="10"/>
        <v>0</v>
      </c>
      <c r="BE105" s="5">
        <f t="shared" si="11"/>
        <v>0</v>
      </c>
      <c r="BF105" s="5">
        <f t="shared" si="12"/>
        <v>0</v>
      </c>
      <c r="BG105" s="5">
        <f t="shared" si="13"/>
        <v>0</v>
      </c>
      <c r="BH105" s="5">
        <f t="shared" si="14"/>
        <v>0</v>
      </c>
      <c r="BI105" s="5">
        <f t="shared" si="15"/>
        <v>0</v>
      </c>
      <c r="BJ105" s="5">
        <f t="shared" si="16"/>
        <v>0</v>
      </c>
      <c r="BK105" s="5">
        <f t="shared" si="17"/>
        <v>0</v>
      </c>
      <c r="BL105" s="5">
        <f t="shared" si="18"/>
        <v>0</v>
      </c>
      <c r="BM105" s="5">
        <f t="shared" si="19"/>
        <v>0</v>
      </c>
      <c r="BN105" s="5">
        <f t="shared" si="20"/>
        <v>0</v>
      </c>
      <c r="BO105" s="5">
        <f t="shared" si="21"/>
        <v>0</v>
      </c>
      <c r="BP105" s="5">
        <f t="shared" si="22"/>
        <v>0</v>
      </c>
      <c r="BQ105" s="5">
        <f t="shared" si="23"/>
        <v>0</v>
      </c>
      <c r="BR105" s="5">
        <f t="shared" si="24"/>
        <v>0</v>
      </c>
      <c r="BS105" s="5">
        <f t="shared" si="25"/>
        <v>0</v>
      </c>
      <c r="BT105" s="5">
        <f t="shared" si="26"/>
        <v>0</v>
      </c>
      <c r="BU105" s="5">
        <f t="shared" si="27"/>
        <v>0</v>
      </c>
      <c r="BV105" s="5">
        <f t="shared" ref="BV105:BW105" si="553">IF(OR(ISNUMBER(SEARCH("grit",$D105)),ISNUMBER(SEARCH("grit",$T105)),ISNUMBER(SEARCH("grit",$R105)),ISNUMBER(SEARCH("grit",$S105)),
ISNUMBER(SEARCH("determination",$D105)),ISNUMBER(SEARCH("determination",$T105)),ISNUMBER(SEARCH("determination",$R105)),ISNUMBER(SEARCH("determination",$S105)),
ISNUMBER(SEARCH("tenacity",$D105)),ISNUMBER(SEARCH("tenacity",$T105)),ISNUMBER(SEARCH("tenacity",$R105)),ISNUMBER(SEARCH("tenacity",$S105)),
ISNUMBER(SEARCH("endurance",$D105)),ISNUMBER(SEARCH("endurance",$T105)),ISNUMBER(SEARCH("endurance",$R105)),ISNUMBER(SEARCH("endurance",$S105)),
ISNUMBER(SEARCH("fortitude",$D105)),ISNUMBER(SEARCH("fortitude",$T105)),ISNUMBER(SEARCH("fortitude",$R105)),ISNUMBER(SEARCH("fortitude",$S105)),
ISNUMBER(SEARCH("resolve",$D105)),ISNUMBER(SEARCH("resolve",$T105)),ISNUMBER(SEARCH("resolve",$R105)),ISNUMBER(SEARCH("resolve",$S105)),
ISNUMBER(SEARCH("stamina",$D105)),ISNUMBER(SEARCH("stamina",$T105)),ISNUMBER(SEARCH("stamina",$R105)),ISNUMBER(SEARCH("stamina",$S105)),
ISNUMBER(SEARCH("guts",$D105)),ISNUMBER(SEARCH("guts",$T105)),ISNUMBER(SEARCH("guts",$R105)),ISNUMBER(SEARCH("guts",$S105)),
ISNUMBER(SEARCH("spunk",$D105)),ISNUMBER(SEARCH("spunk",$T105)),ISNUMBER(SEARCH("spunk",$R105)),ISNUMBER(SEARCH("spunk",$S105))), 1, 0)</f>
        <v>0</v>
      </c>
      <c r="BW105" s="5">
        <f t="shared" si="553"/>
        <v>0</v>
      </c>
      <c r="BX105" s="5">
        <f t="shared" si="29"/>
        <v>0</v>
      </c>
      <c r="BY105" s="5">
        <f t="shared" si="30"/>
        <v>0</v>
      </c>
      <c r="BZ105" s="5">
        <f t="shared" si="31"/>
        <v>0</v>
      </c>
      <c r="CA105" s="5">
        <f t="shared" si="32"/>
        <v>0</v>
      </c>
      <c r="CB105" s="5">
        <f t="shared" si="33"/>
        <v>1</v>
      </c>
      <c r="CC105" s="5">
        <f t="shared" si="34"/>
        <v>0</v>
      </c>
      <c r="CD105" s="5">
        <f t="shared" si="35"/>
        <v>0</v>
      </c>
      <c r="CE105" s="5">
        <f t="shared" si="36"/>
        <v>0</v>
      </c>
      <c r="CF105" s="5">
        <f t="shared" si="37"/>
        <v>0</v>
      </c>
      <c r="CG105" s="5">
        <f t="shared" si="38"/>
        <v>0</v>
      </c>
      <c r="CH105" s="5">
        <f t="shared" si="39"/>
        <v>0</v>
      </c>
      <c r="CI105" s="5">
        <f t="shared" si="40"/>
        <v>0</v>
      </c>
      <c r="CJ105" s="5">
        <f t="shared" si="41"/>
        <v>0</v>
      </c>
      <c r="CK105" s="5">
        <f t="shared" si="42"/>
        <v>0</v>
      </c>
      <c r="CL105" s="5">
        <f t="shared" si="43"/>
        <v>0</v>
      </c>
      <c r="CM105" s="5">
        <f t="shared" si="44"/>
        <v>0</v>
      </c>
      <c r="CN105" s="5">
        <f t="shared" si="45"/>
        <v>0</v>
      </c>
      <c r="CO105" s="5">
        <f t="shared" si="46"/>
        <v>0</v>
      </c>
      <c r="CP105" s="6">
        <f t="shared" si="47"/>
        <v>1</v>
      </c>
      <c r="CQ105" s="6">
        <f t="shared" si="48"/>
        <v>0</v>
      </c>
      <c r="CR105" s="6">
        <f t="shared" si="49"/>
        <v>0</v>
      </c>
      <c r="CS105" s="6">
        <f t="shared" si="50"/>
        <v>1</v>
      </c>
      <c r="CT105" s="6">
        <f t="shared" si="551"/>
        <v>0</v>
      </c>
      <c r="CU105" s="6">
        <f t="shared" si="52"/>
        <v>0</v>
      </c>
      <c r="CV105" s="6">
        <f t="shared" si="53"/>
        <v>0</v>
      </c>
      <c r="CW105" s="6">
        <f t="shared" si="54"/>
        <v>0</v>
      </c>
      <c r="CX105" s="6">
        <f t="shared" si="55"/>
        <v>0</v>
      </c>
      <c r="CY105" s="6">
        <f t="shared" si="56"/>
        <v>0</v>
      </c>
      <c r="CZ105" s="6">
        <f t="shared" si="57"/>
        <v>0</v>
      </c>
      <c r="DA105" s="6">
        <f t="shared" si="58"/>
        <v>0</v>
      </c>
      <c r="DB105" s="6">
        <f t="shared" si="59"/>
        <v>0</v>
      </c>
      <c r="DC105" s="6">
        <f t="shared" si="60"/>
        <v>1</v>
      </c>
      <c r="DD105" s="6">
        <f t="shared" si="61"/>
        <v>0</v>
      </c>
      <c r="DE105" s="6">
        <f t="shared" si="62"/>
        <v>0</v>
      </c>
      <c r="DF105" s="6">
        <f t="shared" si="63"/>
        <v>0</v>
      </c>
      <c r="DG105" s="6">
        <f t="shared" si="64"/>
        <v>0</v>
      </c>
      <c r="DH105" s="6">
        <f t="shared" si="509"/>
        <v>0</v>
      </c>
      <c r="DI105" s="6">
        <f t="shared" si="66"/>
        <v>0</v>
      </c>
      <c r="DJ105" s="6">
        <f t="shared" si="510"/>
        <v>0</v>
      </c>
      <c r="DK105" s="7">
        <f t="shared" si="68"/>
        <v>0</v>
      </c>
      <c r="DL105" s="7">
        <f t="shared" si="498"/>
        <v>0</v>
      </c>
      <c r="DM105" s="7">
        <f t="shared" si="70"/>
        <v>0</v>
      </c>
      <c r="DN105" s="7">
        <f t="shared" si="71"/>
        <v>0</v>
      </c>
      <c r="DO105" s="7">
        <f t="shared" si="72"/>
        <v>0</v>
      </c>
      <c r="DP105" s="8">
        <f t="shared" si="73"/>
        <v>0</v>
      </c>
      <c r="DQ105" s="8">
        <f t="shared" si="74"/>
        <v>0</v>
      </c>
      <c r="DR105" s="7">
        <f t="shared" si="75"/>
        <v>0</v>
      </c>
      <c r="DS105" s="7">
        <f t="shared" si="76"/>
        <v>0</v>
      </c>
      <c r="DT105" s="7">
        <f t="shared" si="77"/>
        <v>0</v>
      </c>
      <c r="DU105" s="9">
        <f t="shared" si="78"/>
        <v>0</v>
      </c>
      <c r="DV105" s="9">
        <f t="shared" si="79"/>
        <v>0</v>
      </c>
      <c r="DW105" s="9">
        <f t="shared" si="80"/>
        <v>0</v>
      </c>
      <c r="DX105" s="9">
        <f t="shared" si="81"/>
        <v>0</v>
      </c>
      <c r="DY105" s="9">
        <f t="shared" si="82"/>
        <v>0</v>
      </c>
      <c r="DZ105" s="9">
        <f t="shared" si="83"/>
        <v>0</v>
      </c>
      <c r="EA105" s="9">
        <f t="shared" si="84"/>
        <v>0</v>
      </c>
      <c r="EB105" s="9">
        <f t="shared" si="85"/>
        <v>0</v>
      </c>
      <c r="EC105" s="9">
        <f t="shared" si="86"/>
        <v>0</v>
      </c>
      <c r="ED105" s="9">
        <f t="shared" si="87"/>
        <v>0</v>
      </c>
      <c r="EE105" s="9">
        <f t="shared" si="88"/>
        <v>0</v>
      </c>
      <c r="EF105" s="9">
        <f t="shared" si="89"/>
        <v>0</v>
      </c>
      <c r="EG105" s="9">
        <f t="shared" si="90"/>
        <v>0</v>
      </c>
      <c r="EH105" s="9">
        <f t="shared" si="91"/>
        <v>0</v>
      </c>
      <c r="EI105" s="9">
        <f t="shared" si="92"/>
        <v>0</v>
      </c>
      <c r="EJ105" s="10">
        <f t="shared" si="93"/>
        <v>0</v>
      </c>
      <c r="EK105" s="10">
        <f t="shared" si="94"/>
        <v>0</v>
      </c>
      <c r="EL105" s="10">
        <f t="shared" ref="EL105:EM105" si="554">IF(OR(ISNUMBER(SEARCH("ai software toolkit", $D105)), ISNUMBER(SEARCH("ai software toolkit", $T105)), ISNUMBER(SEARCH("ai software toolkit", $R105)), ISNUMBER(SEARCH("ai software toolkit", $S105))), 1, 0)</f>
        <v>0</v>
      </c>
      <c r="EM105" s="10">
        <f t="shared" si="554"/>
        <v>0</v>
      </c>
      <c r="EN105" s="10">
        <f t="shared" si="96"/>
        <v>0</v>
      </c>
      <c r="EO105" s="10">
        <f t="shared" si="97"/>
        <v>0</v>
      </c>
      <c r="EP105" s="10">
        <f t="shared" si="98"/>
        <v>0</v>
      </c>
      <c r="EQ105" s="10">
        <f t="shared" si="99"/>
        <v>0</v>
      </c>
      <c r="ER105" s="10">
        <f t="shared" si="100"/>
        <v>0</v>
      </c>
      <c r="ES105" s="10">
        <f t="shared" si="101"/>
        <v>0</v>
      </c>
      <c r="ET105" s="10">
        <f t="shared" si="102"/>
        <v>0</v>
      </c>
      <c r="EU105" s="10">
        <f t="shared" si="103"/>
        <v>0</v>
      </c>
      <c r="EV105" s="10">
        <f t="shared" si="104"/>
        <v>0</v>
      </c>
      <c r="EW105" s="10">
        <f t="shared" si="105"/>
        <v>0</v>
      </c>
      <c r="EX105" s="10">
        <f t="shared" si="106"/>
        <v>0</v>
      </c>
      <c r="EY105" s="10">
        <f t="shared" si="107"/>
        <v>0</v>
      </c>
      <c r="EZ105" s="10">
        <f t="shared" si="108"/>
        <v>0</v>
      </c>
      <c r="FA105" s="10">
        <f t="shared" si="109"/>
        <v>0</v>
      </c>
      <c r="FB105" s="10">
        <f t="shared" si="110"/>
        <v>0</v>
      </c>
      <c r="FC105" s="10">
        <f t="shared" si="111"/>
        <v>0</v>
      </c>
      <c r="FD105" s="10">
        <f t="shared" si="112"/>
        <v>0</v>
      </c>
      <c r="FE105" s="10">
        <f t="shared" si="113"/>
        <v>0</v>
      </c>
      <c r="FF105" s="10">
        <f t="shared" si="114"/>
        <v>0</v>
      </c>
      <c r="FG105" s="10">
        <f t="shared" si="115"/>
        <v>0</v>
      </c>
      <c r="FH105" s="10">
        <f t="shared" si="116"/>
        <v>0</v>
      </c>
      <c r="FI105" s="10">
        <f t="shared" si="117"/>
        <v>0</v>
      </c>
      <c r="FJ105" s="10">
        <f t="shared" si="118"/>
        <v>0</v>
      </c>
      <c r="FK105" s="10">
        <f t="shared" si="119"/>
        <v>0</v>
      </c>
      <c r="FL105" s="10">
        <f t="shared" si="120"/>
        <v>0</v>
      </c>
      <c r="FM105" s="10">
        <f t="shared" si="121"/>
        <v>0</v>
      </c>
      <c r="FN105" s="10">
        <f t="shared" si="122"/>
        <v>0</v>
      </c>
      <c r="FO105" s="10">
        <f t="shared" si="123"/>
        <v>0</v>
      </c>
      <c r="FP105" s="10">
        <f t="shared" si="124"/>
        <v>0</v>
      </c>
      <c r="FQ105" s="10">
        <f t="shared" si="125"/>
        <v>0</v>
      </c>
      <c r="FR105" s="11">
        <f t="shared" si="543"/>
        <v>0</v>
      </c>
      <c r="FS105" s="11">
        <f t="shared" si="127"/>
        <v>0</v>
      </c>
      <c r="FT105" s="11">
        <f t="shared" si="128"/>
        <v>0</v>
      </c>
      <c r="FU105" s="11">
        <f t="shared" si="129"/>
        <v>0</v>
      </c>
      <c r="FV105" s="11">
        <f t="shared" si="130"/>
        <v>0</v>
      </c>
      <c r="FW105" s="11">
        <f t="shared" si="131"/>
        <v>0</v>
      </c>
      <c r="FX105" s="11">
        <f t="shared" si="132"/>
        <v>0</v>
      </c>
      <c r="FY105" s="11">
        <f t="shared" si="133"/>
        <v>0</v>
      </c>
      <c r="FZ105" s="11">
        <f t="shared" si="134"/>
        <v>0</v>
      </c>
      <c r="GA105" s="11">
        <f t="shared" si="135"/>
        <v>0</v>
      </c>
      <c r="GB105" s="11">
        <f t="shared" si="136"/>
        <v>0</v>
      </c>
      <c r="GC105" s="11">
        <f t="shared" si="137"/>
        <v>0</v>
      </c>
      <c r="GD105" s="11">
        <f t="shared" si="138"/>
        <v>0</v>
      </c>
      <c r="GE105" s="11">
        <f t="shared" si="139"/>
        <v>0</v>
      </c>
      <c r="GF105" s="11">
        <f t="shared" si="140"/>
        <v>0</v>
      </c>
      <c r="GG105" s="11">
        <f t="shared" si="141"/>
        <v>0</v>
      </c>
      <c r="GH105" s="11">
        <f t="shared" si="142"/>
        <v>0</v>
      </c>
      <c r="GI105" s="11">
        <f t="shared" si="143"/>
        <v>0</v>
      </c>
      <c r="GJ105" s="11">
        <f t="shared" si="144"/>
        <v>0</v>
      </c>
      <c r="GK105" s="11">
        <f t="shared" si="145"/>
        <v>0</v>
      </c>
      <c r="GL105" s="11">
        <f t="shared" si="146"/>
        <v>0</v>
      </c>
      <c r="GM105" s="11">
        <f t="shared" si="147"/>
        <v>0</v>
      </c>
      <c r="GN105" s="11">
        <f t="shared" si="148"/>
        <v>0</v>
      </c>
      <c r="GO105" s="11">
        <f t="shared" si="149"/>
        <v>0</v>
      </c>
      <c r="GP105" s="11">
        <f t="shared" si="150"/>
        <v>0</v>
      </c>
      <c r="GQ105" s="11">
        <f t="shared" si="151"/>
        <v>0</v>
      </c>
      <c r="GR105" s="11">
        <f t="shared" si="152"/>
        <v>0</v>
      </c>
      <c r="GS105" s="11">
        <f t="shared" si="153"/>
        <v>0</v>
      </c>
      <c r="GT105" s="11">
        <f t="shared" si="154"/>
        <v>0</v>
      </c>
      <c r="GU105" s="12">
        <f t="shared" si="155"/>
        <v>0</v>
      </c>
      <c r="GV105" s="12">
        <f t="shared" si="156"/>
        <v>0</v>
      </c>
      <c r="GW105" s="12">
        <f t="shared" si="157"/>
        <v>0</v>
      </c>
      <c r="GX105" s="12">
        <f t="shared" si="158"/>
        <v>0</v>
      </c>
      <c r="GY105" s="12">
        <f t="shared" si="159"/>
        <v>0</v>
      </c>
      <c r="GZ105" s="12">
        <f t="shared" si="160"/>
        <v>0</v>
      </c>
      <c r="HA105" s="12">
        <f t="shared" si="161"/>
        <v>0</v>
      </c>
      <c r="HB105" s="12">
        <f t="shared" si="162"/>
        <v>0</v>
      </c>
      <c r="HC105" s="12">
        <f t="shared" si="163"/>
        <v>0</v>
      </c>
      <c r="HD105" s="12">
        <f t="shared" si="164"/>
        <v>0</v>
      </c>
      <c r="HE105" s="12">
        <f t="shared" si="165"/>
        <v>0</v>
      </c>
      <c r="HF105" s="12">
        <f t="shared" si="166"/>
        <v>0</v>
      </c>
      <c r="HG105" s="12">
        <f t="shared" si="167"/>
        <v>0</v>
      </c>
      <c r="HH105" s="12">
        <f t="shared" si="168"/>
        <v>0</v>
      </c>
      <c r="HI105" s="12">
        <f t="shared" si="169"/>
        <v>0</v>
      </c>
      <c r="HJ105" s="12">
        <f t="shared" si="170"/>
        <v>0</v>
      </c>
      <c r="HK105" s="12">
        <f t="shared" si="171"/>
        <v>0</v>
      </c>
      <c r="HL105" s="12">
        <f t="shared" si="172"/>
        <v>0</v>
      </c>
      <c r="HM105" s="12">
        <f t="shared" si="173"/>
        <v>0</v>
      </c>
      <c r="HN105" s="12">
        <f t="shared" si="174"/>
        <v>0</v>
      </c>
      <c r="HO105" s="12">
        <f t="shared" si="175"/>
        <v>0</v>
      </c>
      <c r="HP105" s="12">
        <f t="shared" si="176"/>
        <v>0</v>
      </c>
      <c r="HQ105" s="12">
        <f t="shared" si="177"/>
        <v>0</v>
      </c>
      <c r="HR105" s="12">
        <f t="shared" si="178"/>
        <v>0</v>
      </c>
      <c r="HS105" s="12">
        <f t="shared" si="179"/>
        <v>0</v>
      </c>
      <c r="HT105" s="12">
        <f t="shared" si="180"/>
        <v>0</v>
      </c>
      <c r="HU105" s="12">
        <f t="shared" si="181"/>
        <v>0</v>
      </c>
      <c r="HV105" s="12">
        <f t="shared" si="182"/>
        <v>0</v>
      </c>
      <c r="HW105" s="12">
        <f t="shared" si="183"/>
        <v>0</v>
      </c>
      <c r="HX105" s="12">
        <f t="shared" si="184"/>
        <v>0</v>
      </c>
      <c r="HY105" s="12">
        <f t="shared" si="185"/>
        <v>0</v>
      </c>
      <c r="HZ105" s="12">
        <f t="shared" si="186"/>
        <v>0</v>
      </c>
      <c r="IA105" s="12">
        <f t="shared" si="187"/>
        <v>0</v>
      </c>
      <c r="IB105" s="12">
        <f t="shared" si="188"/>
        <v>0</v>
      </c>
      <c r="IC105" s="12">
        <f t="shared" si="189"/>
        <v>0</v>
      </c>
      <c r="ID105" s="12">
        <f t="shared" si="190"/>
        <v>0</v>
      </c>
      <c r="IE105" s="12">
        <f t="shared" si="191"/>
        <v>0</v>
      </c>
      <c r="IF105" s="12">
        <f t="shared" si="192"/>
        <v>0</v>
      </c>
      <c r="IG105" s="12">
        <f t="shared" si="193"/>
        <v>0</v>
      </c>
      <c r="IH105" s="12">
        <f t="shared" si="194"/>
        <v>0</v>
      </c>
      <c r="II105" s="12">
        <f t="shared" si="195"/>
        <v>0</v>
      </c>
      <c r="IJ105" s="12">
        <f t="shared" si="196"/>
        <v>0</v>
      </c>
      <c r="IK105" s="12">
        <f t="shared" si="197"/>
        <v>0</v>
      </c>
      <c r="IL105" s="12">
        <f t="shared" si="198"/>
        <v>0</v>
      </c>
      <c r="IM105" s="12">
        <f t="shared" si="199"/>
        <v>0</v>
      </c>
      <c r="IN105" s="12">
        <f t="shared" si="200"/>
        <v>0</v>
      </c>
      <c r="IO105" s="12">
        <f t="shared" si="201"/>
        <v>0</v>
      </c>
      <c r="IP105" s="12">
        <f t="shared" si="202"/>
        <v>0</v>
      </c>
      <c r="IQ105" s="12">
        <f t="shared" si="203"/>
        <v>0</v>
      </c>
      <c r="IR105" s="12">
        <f t="shared" si="204"/>
        <v>0</v>
      </c>
      <c r="IS105" s="12">
        <f t="shared" si="205"/>
        <v>0</v>
      </c>
      <c r="IT105" s="12">
        <f t="shared" si="206"/>
        <v>0</v>
      </c>
      <c r="IU105" s="12">
        <f t="shared" si="207"/>
        <v>0</v>
      </c>
      <c r="IV105" s="12">
        <f t="shared" si="208"/>
        <v>0</v>
      </c>
      <c r="IW105" s="12">
        <f t="shared" si="209"/>
        <v>0</v>
      </c>
      <c r="IX105" s="12">
        <f t="shared" si="210"/>
        <v>0</v>
      </c>
      <c r="IY105" s="12">
        <f t="shared" si="211"/>
        <v>0</v>
      </c>
      <c r="IZ105" s="12">
        <f t="shared" si="212"/>
        <v>0</v>
      </c>
      <c r="JA105" s="13">
        <f t="shared" si="213"/>
        <v>0</v>
      </c>
      <c r="JB105" s="13">
        <f t="shared" si="214"/>
        <v>0</v>
      </c>
      <c r="JC105" s="13">
        <f t="shared" si="215"/>
        <v>0</v>
      </c>
      <c r="JD105" s="13">
        <f t="shared" si="216"/>
        <v>0</v>
      </c>
      <c r="JE105" s="13">
        <f t="shared" si="217"/>
        <v>0</v>
      </c>
      <c r="JF105" s="13">
        <f t="shared" si="218"/>
        <v>0</v>
      </c>
      <c r="JG105" s="13">
        <f t="shared" si="219"/>
        <v>0</v>
      </c>
      <c r="JH105" s="13">
        <f t="shared" si="220"/>
        <v>0</v>
      </c>
      <c r="JI105" s="13">
        <f t="shared" si="221"/>
        <v>0</v>
      </c>
      <c r="JJ105" s="13">
        <f t="shared" si="222"/>
        <v>0</v>
      </c>
      <c r="JK105" s="13">
        <f t="shared" si="223"/>
        <v>0</v>
      </c>
      <c r="JL105" s="13">
        <f t="shared" si="224"/>
        <v>0</v>
      </c>
      <c r="JM105" s="13">
        <f t="shared" si="225"/>
        <v>0</v>
      </c>
      <c r="JN105" s="13">
        <f t="shared" si="226"/>
        <v>0</v>
      </c>
      <c r="JO105" s="13">
        <f t="shared" si="227"/>
        <v>0</v>
      </c>
      <c r="JP105" s="13">
        <f t="shared" si="228"/>
        <v>0</v>
      </c>
      <c r="JQ105" s="13">
        <f t="shared" si="229"/>
        <v>0</v>
      </c>
      <c r="JR105" s="13">
        <f t="shared" si="230"/>
        <v>0</v>
      </c>
      <c r="JS105" s="13">
        <f t="shared" si="231"/>
        <v>0</v>
      </c>
      <c r="JT105" s="13">
        <f t="shared" si="232"/>
        <v>0</v>
      </c>
      <c r="JU105" s="13">
        <f t="shared" si="233"/>
        <v>0</v>
      </c>
      <c r="JV105" s="12">
        <f t="shared" si="234"/>
        <v>0</v>
      </c>
      <c r="JW105" s="12">
        <f t="shared" si="235"/>
        <v>0</v>
      </c>
      <c r="JX105" s="12">
        <f t="shared" si="236"/>
        <v>0</v>
      </c>
      <c r="JY105" s="12">
        <f t="shared" si="237"/>
        <v>0</v>
      </c>
      <c r="JZ105" s="12">
        <f t="shared" si="238"/>
        <v>0</v>
      </c>
      <c r="KA105" s="12">
        <f t="shared" si="239"/>
        <v>0</v>
      </c>
      <c r="KB105" s="12">
        <f t="shared" si="240"/>
        <v>0</v>
      </c>
      <c r="KC105" s="12">
        <f t="shared" si="241"/>
        <v>0</v>
      </c>
      <c r="KD105" s="12">
        <f t="shared" si="242"/>
        <v>0</v>
      </c>
      <c r="KE105" s="12">
        <f t="shared" si="243"/>
        <v>0</v>
      </c>
      <c r="KF105" s="12">
        <f t="shared" si="244"/>
        <v>0</v>
      </c>
      <c r="KG105" s="12">
        <f t="shared" si="245"/>
        <v>0</v>
      </c>
      <c r="KH105" s="12">
        <f t="shared" si="246"/>
        <v>0</v>
      </c>
      <c r="KI105" s="12">
        <f t="shared" si="247"/>
        <v>0</v>
      </c>
      <c r="KJ105" s="12">
        <f t="shared" si="248"/>
        <v>0</v>
      </c>
      <c r="KK105" s="12">
        <f t="shared" si="249"/>
        <v>0</v>
      </c>
      <c r="KL105" s="12">
        <f t="shared" si="250"/>
        <v>0</v>
      </c>
      <c r="KM105" s="12">
        <f t="shared" si="251"/>
        <v>0</v>
      </c>
      <c r="KN105" s="12">
        <f t="shared" si="252"/>
        <v>0</v>
      </c>
      <c r="KO105" s="12">
        <f t="shared" si="253"/>
        <v>0</v>
      </c>
      <c r="KP105" s="12">
        <f t="shared" si="254"/>
        <v>0</v>
      </c>
      <c r="KQ105" s="12">
        <f t="shared" si="255"/>
        <v>0</v>
      </c>
      <c r="KR105" s="12">
        <f t="shared" si="256"/>
        <v>0</v>
      </c>
      <c r="KS105" s="12">
        <f t="shared" si="257"/>
        <v>0</v>
      </c>
      <c r="KT105" s="12">
        <f t="shared" si="258"/>
        <v>0</v>
      </c>
      <c r="KU105" s="12">
        <f t="shared" si="259"/>
        <v>0</v>
      </c>
      <c r="KV105" s="12">
        <f t="shared" si="260"/>
        <v>0</v>
      </c>
      <c r="KW105" s="12">
        <f t="shared" si="261"/>
        <v>0</v>
      </c>
      <c r="KX105" s="12">
        <f t="shared" si="262"/>
        <v>0</v>
      </c>
      <c r="KY105" s="12">
        <f t="shared" si="263"/>
        <v>0</v>
      </c>
      <c r="KZ105" s="12">
        <f t="shared" si="264"/>
        <v>0</v>
      </c>
      <c r="LA105" s="12">
        <f t="shared" si="265"/>
        <v>0</v>
      </c>
      <c r="LB105" s="12">
        <f t="shared" si="266"/>
        <v>0</v>
      </c>
      <c r="LC105" s="12">
        <f t="shared" si="267"/>
        <v>0</v>
      </c>
      <c r="LD105" s="12">
        <f t="shared" si="268"/>
        <v>0</v>
      </c>
      <c r="LE105" s="12">
        <f t="shared" si="269"/>
        <v>0</v>
      </c>
      <c r="LF105" s="12">
        <f t="shared" si="270"/>
        <v>0</v>
      </c>
      <c r="LG105" s="12">
        <f t="shared" si="271"/>
        <v>0</v>
      </c>
      <c r="LH105" s="12">
        <f t="shared" si="272"/>
        <v>0</v>
      </c>
      <c r="LI105" s="12">
        <f t="shared" si="273"/>
        <v>0</v>
      </c>
      <c r="LJ105" s="12">
        <f t="shared" si="274"/>
        <v>0</v>
      </c>
      <c r="LK105" s="12">
        <f t="shared" si="275"/>
        <v>0</v>
      </c>
      <c r="LL105" s="12">
        <f t="shared" si="276"/>
        <v>0</v>
      </c>
      <c r="LM105" s="12">
        <f t="shared" si="277"/>
        <v>0</v>
      </c>
      <c r="LN105" s="12">
        <f t="shared" si="278"/>
        <v>0</v>
      </c>
      <c r="LO105" s="12">
        <f t="shared" si="279"/>
        <v>0</v>
      </c>
      <c r="LP105" s="12">
        <f t="shared" si="280"/>
        <v>0</v>
      </c>
      <c r="LQ105" s="12">
        <f t="shared" si="281"/>
        <v>0</v>
      </c>
      <c r="LR105" s="12">
        <f t="shared" si="282"/>
        <v>0</v>
      </c>
      <c r="LS105" s="12">
        <f t="shared" si="283"/>
        <v>0</v>
      </c>
      <c r="LT105" s="13">
        <f t="shared" si="284"/>
        <v>0</v>
      </c>
      <c r="LU105" s="13">
        <f t="shared" si="285"/>
        <v>0</v>
      </c>
      <c r="LV105" s="13">
        <f t="shared" si="286"/>
        <v>0</v>
      </c>
      <c r="LW105" s="13">
        <f t="shared" si="287"/>
        <v>0</v>
      </c>
      <c r="LX105" s="13">
        <f t="shared" si="288"/>
        <v>0</v>
      </c>
      <c r="LY105" s="13">
        <f t="shared" si="289"/>
        <v>0</v>
      </c>
      <c r="LZ105" s="13">
        <f t="shared" si="290"/>
        <v>0</v>
      </c>
      <c r="MA105" s="13">
        <f t="shared" si="291"/>
        <v>0</v>
      </c>
      <c r="MB105" s="13">
        <f t="shared" si="292"/>
        <v>0</v>
      </c>
      <c r="MC105" s="13">
        <f t="shared" si="293"/>
        <v>0</v>
      </c>
      <c r="MD105" s="13">
        <f t="shared" si="294"/>
        <v>0</v>
      </c>
      <c r="ME105" s="13">
        <f t="shared" si="295"/>
        <v>0</v>
      </c>
      <c r="MF105" s="13">
        <f t="shared" si="296"/>
        <v>0</v>
      </c>
      <c r="MG105" s="13">
        <f t="shared" si="297"/>
        <v>0</v>
      </c>
      <c r="MH105" s="13">
        <f t="shared" si="298"/>
        <v>0</v>
      </c>
      <c r="MI105" s="13">
        <f t="shared" si="299"/>
        <v>0</v>
      </c>
      <c r="MJ105" s="13">
        <f t="shared" si="300"/>
        <v>0</v>
      </c>
      <c r="MK105" s="13">
        <f t="shared" si="301"/>
        <v>0</v>
      </c>
      <c r="ML105" s="14">
        <f t="shared" si="302"/>
        <v>0</v>
      </c>
      <c r="MM105" s="14">
        <f t="shared" si="303"/>
        <v>0</v>
      </c>
      <c r="MN105" s="14">
        <f t="shared" si="304"/>
        <v>0</v>
      </c>
      <c r="MO105" s="14">
        <f t="shared" si="305"/>
        <v>0</v>
      </c>
      <c r="MP105" s="14">
        <f t="shared" si="306"/>
        <v>0</v>
      </c>
      <c r="MQ105" s="14">
        <f t="shared" si="307"/>
        <v>0</v>
      </c>
      <c r="MR105" s="14">
        <f t="shared" si="308"/>
        <v>0</v>
      </c>
      <c r="MS105" s="14">
        <f t="shared" si="309"/>
        <v>0</v>
      </c>
      <c r="MT105" s="14">
        <f t="shared" si="310"/>
        <v>0</v>
      </c>
      <c r="MU105" s="14">
        <f t="shared" si="311"/>
        <v>0</v>
      </c>
      <c r="MV105" s="14">
        <f t="shared" si="312"/>
        <v>0</v>
      </c>
      <c r="MW105" s="14">
        <f t="shared" si="313"/>
        <v>0</v>
      </c>
      <c r="MX105" s="14">
        <f t="shared" si="314"/>
        <v>0</v>
      </c>
      <c r="MY105" s="14">
        <f t="shared" si="315"/>
        <v>0</v>
      </c>
      <c r="MZ105" s="14">
        <f t="shared" si="316"/>
        <v>0</v>
      </c>
      <c r="NA105" s="14">
        <f t="shared" si="317"/>
        <v>0</v>
      </c>
      <c r="NB105" s="14">
        <f t="shared" si="318"/>
        <v>0</v>
      </c>
    </row>
    <row r="106" ht="15.75" customHeight="1">
      <c r="A106" s="2">
        <v>96.0</v>
      </c>
      <c r="B106" s="2" t="s">
        <v>2168</v>
      </c>
      <c r="C106" s="2" t="s">
        <v>2169</v>
      </c>
      <c r="D106" s="2" t="s">
        <v>2170</v>
      </c>
      <c r="E106" s="2">
        <v>2021.0</v>
      </c>
      <c r="F106" s="2" t="s">
        <v>830</v>
      </c>
      <c r="G106" s="2" t="s">
        <v>907</v>
      </c>
      <c r="H106" s="2" t="s">
        <v>471</v>
      </c>
      <c r="I106" s="2" t="s">
        <v>2171</v>
      </c>
      <c r="J106" s="2" t="s">
        <v>2172</v>
      </c>
      <c r="K106" s="2" t="s">
        <v>2173</v>
      </c>
      <c r="M106" s="2">
        <v>9.0</v>
      </c>
      <c r="N106" s="2" t="s">
        <v>2174</v>
      </c>
      <c r="O106" s="2" t="s">
        <v>2175</v>
      </c>
      <c r="P106" s="2" t="s">
        <v>2176</v>
      </c>
      <c r="Q106" s="2" t="s">
        <v>2177</v>
      </c>
      <c r="R106" s="2" t="s">
        <v>2178</v>
      </c>
      <c r="S106" s="2" t="s">
        <v>2179</v>
      </c>
      <c r="T106" s="2" t="s">
        <v>2180</v>
      </c>
      <c r="Y106" s="2" t="s">
        <v>2181</v>
      </c>
      <c r="AB106" s="2" t="s">
        <v>668</v>
      </c>
      <c r="AG106" s="2" t="s">
        <v>843</v>
      </c>
      <c r="AI106" s="2" t="s">
        <v>404</v>
      </c>
      <c r="AJ106" s="2">
        <v>3.3156796E7</v>
      </c>
      <c r="AK106" s="2" t="s">
        <v>844</v>
      </c>
      <c r="AL106" s="2" t="s">
        <v>384</v>
      </c>
      <c r="AN106" s="2" t="s">
        <v>386</v>
      </c>
      <c r="AO106" s="2" t="s">
        <v>2182</v>
      </c>
      <c r="AP106" s="2" t="s">
        <v>386</v>
      </c>
      <c r="AQ106" s="2">
        <v>312.0</v>
      </c>
      <c r="AR106" s="2" t="s">
        <v>2183</v>
      </c>
      <c r="AS106" s="2" t="b">
        <v>1</v>
      </c>
      <c r="AT106" s="3">
        <v>0.0</v>
      </c>
      <c r="AU106" s="4"/>
      <c r="AV106" s="4"/>
      <c r="AW106" s="5">
        <f t="shared" si="432"/>
        <v>0</v>
      </c>
      <c r="AX106" s="5">
        <f t="shared" si="4"/>
        <v>0</v>
      </c>
      <c r="AY106" s="5">
        <f t="shared" si="5"/>
        <v>0</v>
      </c>
      <c r="AZ106" s="5">
        <f t="shared" si="6"/>
        <v>0</v>
      </c>
      <c r="BA106" s="5">
        <f t="shared" si="7"/>
        <v>0</v>
      </c>
      <c r="BB106" s="5">
        <f t="shared" si="8"/>
        <v>0</v>
      </c>
      <c r="BC106" s="5">
        <f t="shared" si="9"/>
        <v>0</v>
      </c>
      <c r="BD106" s="5">
        <f t="shared" si="10"/>
        <v>0</v>
      </c>
      <c r="BE106" s="5">
        <f t="shared" si="11"/>
        <v>0</v>
      </c>
      <c r="BF106" s="5">
        <f t="shared" si="12"/>
        <v>0</v>
      </c>
      <c r="BG106" s="5">
        <f t="shared" si="13"/>
        <v>0</v>
      </c>
      <c r="BH106" s="5">
        <f t="shared" si="14"/>
        <v>0</v>
      </c>
      <c r="BI106" s="5">
        <f t="shared" si="15"/>
        <v>0</v>
      </c>
      <c r="BJ106" s="5">
        <f t="shared" si="16"/>
        <v>0</v>
      </c>
      <c r="BK106" s="5">
        <f t="shared" si="17"/>
        <v>0</v>
      </c>
      <c r="BL106" s="5">
        <f t="shared" si="18"/>
        <v>0</v>
      </c>
      <c r="BM106" s="5">
        <f t="shared" si="19"/>
        <v>0</v>
      </c>
      <c r="BN106" s="5">
        <f t="shared" si="20"/>
        <v>0</v>
      </c>
      <c r="BO106" s="5">
        <f t="shared" si="21"/>
        <v>0</v>
      </c>
      <c r="BP106" s="5">
        <f t="shared" si="22"/>
        <v>0</v>
      </c>
      <c r="BQ106" s="5">
        <f t="shared" si="23"/>
        <v>0</v>
      </c>
      <c r="BR106" s="5">
        <f t="shared" si="24"/>
        <v>0</v>
      </c>
      <c r="BS106" s="5">
        <f t="shared" si="25"/>
        <v>0</v>
      </c>
      <c r="BT106" s="5">
        <f t="shared" si="26"/>
        <v>0</v>
      </c>
      <c r="BU106" s="5">
        <f t="shared" si="27"/>
        <v>0</v>
      </c>
      <c r="BV106" s="5">
        <f t="shared" ref="BV106:BW106" si="555">IF(OR(ISNUMBER(SEARCH("grit",$D106)),ISNUMBER(SEARCH("grit",$T106)),ISNUMBER(SEARCH("grit",$R106)),ISNUMBER(SEARCH("grit",$S106)),
ISNUMBER(SEARCH("determination",$D106)),ISNUMBER(SEARCH("determination",$T106)),ISNUMBER(SEARCH("determination",$R106)),ISNUMBER(SEARCH("determination",$S106)),
ISNUMBER(SEARCH("tenacity",$D106)),ISNUMBER(SEARCH("tenacity",$T106)),ISNUMBER(SEARCH("tenacity",$R106)),ISNUMBER(SEARCH("tenacity",$S106)),
ISNUMBER(SEARCH("endurance",$D106)),ISNUMBER(SEARCH("endurance",$T106)),ISNUMBER(SEARCH("endurance",$R106)),ISNUMBER(SEARCH("endurance",$S106)),
ISNUMBER(SEARCH("fortitude",$D106)),ISNUMBER(SEARCH("fortitude",$T106)),ISNUMBER(SEARCH("fortitude",$R106)),ISNUMBER(SEARCH("fortitude",$S106)),
ISNUMBER(SEARCH("resolve",$D106)),ISNUMBER(SEARCH("resolve",$T106)),ISNUMBER(SEARCH("resolve",$R106)),ISNUMBER(SEARCH("resolve",$S106)),
ISNUMBER(SEARCH("stamina",$D106)),ISNUMBER(SEARCH("stamina",$T106)),ISNUMBER(SEARCH("stamina",$R106)),ISNUMBER(SEARCH("stamina",$S106)),
ISNUMBER(SEARCH("guts",$D106)),ISNUMBER(SEARCH("guts",$T106)),ISNUMBER(SEARCH("guts",$R106)),ISNUMBER(SEARCH("guts",$S106)),
ISNUMBER(SEARCH("spunk",$D106)),ISNUMBER(SEARCH("spunk",$T106)),ISNUMBER(SEARCH("spunk",$R106)),ISNUMBER(SEARCH("spunk",$S106))), 1, 0)</f>
        <v>0</v>
      </c>
      <c r="BW106" s="5">
        <f t="shared" si="555"/>
        <v>0</v>
      </c>
      <c r="BX106" s="5">
        <f t="shared" si="29"/>
        <v>0</v>
      </c>
      <c r="BY106" s="5">
        <f t="shared" si="30"/>
        <v>0</v>
      </c>
      <c r="BZ106" s="5">
        <f t="shared" si="31"/>
        <v>0</v>
      </c>
      <c r="CA106" s="5">
        <f t="shared" si="32"/>
        <v>0</v>
      </c>
      <c r="CB106" s="5">
        <f t="shared" si="33"/>
        <v>0</v>
      </c>
      <c r="CC106" s="5">
        <f t="shared" si="34"/>
        <v>0</v>
      </c>
      <c r="CD106" s="5">
        <f t="shared" si="35"/>
        <v>0</v>
      </c>
      <c r="CE106" s="5">
        <f t="shared" si="36"/>
        <v>0</v>
      </c>
      <c r="CF106" s="5">
        <f t="shared" si="37"/>
        <v>0</v>
      </c>
      <c r="CG106" s="5">
        <f t="shared" si="38"/>
        <v>0</v>
      </c>
      <c r="CH106" s="5">
        <f t="shared" si="39"/>
        <v>0</v>
      </c>
      <c r="CI106" s="5">
        <f t="shared" si="40"/>
        <v>0</v>
      </c>
      <c r="CJ106" s="5">
        <f t="shared" si="41"/>
        <v>0</v>
      </c>
      <c r="CK106" s="5">
        <f t="shared" si="42"/>
        <v>0</v>
      </c>
      <c r="CL106" s="5">
        <f t="shared" si="43"/>
        <v>0</v>
      </c>
      <c r="CM106" s="5">
        <f t="shared" si="44"/>
        <v>0</v>
      </c>
      <c r="CN106" s="5">
        <f t="shared" si="45"/>
        <v>0</v>
      </c>
      <c r="CO106" s="5">
        <f t="shared" si="46"/>
        <v>0</v>
      </c>
      <c r="CP106" s="6">
        <f t="shared" si="47"/>
        <v>0</v>
      </c>
      <c r="CQ106" s="6">
        <f t="shared" si="48"/>
        <v>0</v>
      </c>
      <c r="CR106" s="6">
        <f t="shared" si="49"/>
        <v>0</v>
      </c>
      <c r="CS106" s="6">
        <f t="shared" si="50"/>
        <v>0</v>
      </c>
      <c r="CT106" s="6">
        <f t="shared" si="551"/>
        <v>0</v>
      </c>
      <c r="CU106" s="6">
        <f t="shared" si="52"/>
        <v>0</v>
      </c>
      <c r="CV106" s="6">
        <f t="shared" si="53"/>
        <v>0</v>
      </c>
      <c r="CW106" s="6">
        <f t="shared" si="54"/>
        <v>0</v>
      </c>
      <c r="CX106" s="6">
        <f t="shared" si="55"/>
        <v>0</v>
      </c>
      <c r="CY106" s="6">
        <f t="shared" si="56"/>
        <v>0</v>
      </c>
      <c r="CZ106" s="6">
        <f t="shared" si="57"/>
        <v>0</v>
      </c>
      <c r="DA106" s="6">
        <f t="shared" si="58"/>
        <v>0</v>
      </c>
      <c r="DB106" s="6">
        <f t="shared" si="59"/>
        <v>0</v>
      </c>
      <c r="DC106" s="6">
        <f t="shared" si="60"/>
        <v>0</v>
      </c>
      <c r="DD106" s="6">
        <f t="shared" si="61"/>
        <v>0</v>
      </c>
      <c r="DE106" s="6">
        <f t="shared" si="62"/>
        <v>0</v>
      </c>
      <c r="DF106" s="6">
        <f t="shared" si="63"/>
        <v>0</v>
      </c>
      <c r="DG106" s="6">
        <f t="shared" si="64"/>
        <v>0</v>
      </c>
      <c r="DH106" s="6">
        <f t="shared" si="509"/>
        <v>0</v>
      </c>
      <c r="DI106" s="6">
        <f t="shared" si="66"/>
        <v>0</v>
      </c>
      <c r="DJ106" s="6">
        <f t="shared" si="510"/>
        <v>0</v>
      </c>
      <c r="DK106" s="7">
        <f t="shared" si="68"/>
        <v>0</v>
      </c>
      <c r="DL106" s="7">
        <f t="shared" si="498"/>
        <v>0</v>
      </c>
      <c r="DM106" s="7">
        <f t="shared" si="70"/>
        <v>0</v>
      </c>
      <c r="DN106" s="7">
        <f t="shared" si="71"/>
        <v>0</v>
      </c>
      <c r="DO106" s="7">
        <f t="shared" si="72"/>
        <v>1</v>
      </c>
      <c r="DP106" s="8">
        <f t="shared" si="73"/>
        <v>0</v>
      </c>
      <c r="DQ106" s="8">
        <f t="shared" si="74"/>
        <v>1</v>
      </c>
      <c r="DR106" s="7">
        <f t="shared" si="75"/>
        <v>0</v>
      </c>
      <c r="DS106" s="7">
        <f t="shared" si="76"/>
        <v>0</v>
      </c>
      <c r="DT106" s="7">
        <f t="shared" si="77"/>
        <v>0</v>
      </c>
      <c r="DU106" s="9">
        <f t="shared" si="78"/>
        <v>0</v>
      </c>
      <c r="DV106" s="9">
        <f t="shared" si="79"/>
        <v>0</v>
      </c>
      <c r="DW106" s="9">
        <f t="shared" si="80"/>
        <v>0</v>
      </c>
      <c r="DX106" s="9">
        <f t="shared" si="81"/>
        <v>0</v>
      </c>
      <c r="DY106" s="9">
        <f t="shared" si="82"/>
        <v>0</v>
      </c>
      <c r="DZ106" s="9">
        <f t="shared" si="83"/>
        <v>0</v>
      </c>
      <c r="EA106" s="9">
        <f t="shared" si="84"/>
        <v>0</v>
      </c>
      <c r="EB106" s="9">
        <f t="shared" si="85"/>
        <v>0</v>
      </c>
      <c r="EC106" s="9">
        <f t="shared" si="86"/>
        <v>0</v>
      </c>
      <c r="ED106" s="9">
        <f t="shared" si="87"/>
        <v>0</v>
      </c>
      <c r="EE106" s="9">
        <f t="shared" si="88"/>
        <v>0</v>
      </c>
      <c r="EF106" s="9">
        <f t="shared" si="89"/>
        <v>0</v>
      </c>
      <c r="EG106" s="9">
        <f t="shared" si="90"/>
        <v>0</v>
      </c>
      <c r="EH106" s="9">
        <f t="shared" si="91"/>
        <v>0</v>
      </c>
      <c r="EI106" s="9">
        <f t="shared" si="92"/>
        <v>0</v>
      </c>
      <c r="EJ106" s="10">
        <f t="shared" si="93"/>
        <v>0</v>
      </c>
      <c r="EK106" s="10">
        <f t="shared" si="94"/>
        <v>0</v>
      </c>
      <c r="EL106" s="10">
        <f t="shared" ref="EL106:EM106" si="556">IF(OR(ISNUMBER(SEARCH("ai software toolkit", $D106)), ISNUMBER(SEARCH("ai software toolkit", $T106)), ISNUMBER(SEARCH("ai software toolkit", $R106)), ISNUMBER(SEARCH("ai software toolkit", $S106))), 1, 0)</f>
        <v>0</v>
      </c>
      <c r="EM106" s="10">
        <f t="shared" si="556"/>
        <v>0</v>
      </c>
      <c r="EN106" s="10">
        <f t="shared" si="96"/>
        <v>0</v>
      </c>
      <c r="EO106" s="10">
        <f t="shared" si="97"/>
        <v>0</v>
      </c>
      <c r="EP106" s="10">
        <f t="shared" si="98"/>
        <v>0</v>
      </c>
      <c r="EQ106" s="10">
        <f t="shared" si="99"/>
        <v>0</v>
      </c>
      <c r="ER106" s="10">
        <f t="shared" si="100"/>
        <v>0</v>
      </c>
      <c r="ES106" s="10">
        <f t="shared" si="101"/>
        <v>0</v>
      </c>
      <c r="ET106" s="10">
        <f t="shared" si="102"/>
        <v>0</v>
      </c>
      <c r="EU106" s="10">
        <f t="shared" si="103"/>
        <v>0</v>
      </c>
      <c r="EV106" s="10">
        <f t="shared" si="104"/>
        <v>1</v>
      </c>
      <c r="EW106" s="10">
        <f t="shared" si="105"/>
        <v>0</v>
      </c>
      <c r="EX106" s="10">
        <f t="shared" si="106"/>
        <v>0</v>
      </c>
      <c r="EY106" s="10">
        <f t="shared" si="107"/>
        <v>0</v>
      </c>
      <c r="EZ106" s="10">
        <f t="shared" si="108"/>
        <v>0</v>
      </c>
      <c r="FA106" s="10">
        <f t="shared" si="109"/>
        <v>0</v>
      </c>
      <c r="FB106" s="10">
        <f t="shared" si="110"/>
        <v>0</v>
      </c>
      <c r="FC106" s="10">
        <f t="shared" si="111"/>
        <v>0</v>
      </c>
      <c r="FD106" s="10">
        <f t="shared" si="112"/>
        <v>0</v>
      </c>
      <c r="FE106" s="10">
        <f t="shared" si="113"/>
        <v>1</v>
      </c>
      <c r="FF106" s="10">
        <f t="shared" si="114"/>
        <v>0</v>
      </c>
      <c r="FG106" s="10">
        <f t="shared" si="115"/>
        <v>0</v>
      </c>
      <c r="FH106" s="10">
        <f t="shared" si="116"/>
        <v>0</v>
      </c>
      <c r="FI106" s="10">
        <f t="shared" si="117"/>
        <v>0</v>
      </c>
      <c r="FJ106" s="10">
        <f t="shared" si="118"/>
        <v>0</v>
      </c>
      <c r="FK106" s="10">
        <f t="shared" si="119"/>
        <v>0</v>
      </c>
      <c r="FL106" s="10">
        <f t="shared" si="120"/>
        <v>0</v>
      </c>
      <c r="FM106" s="10">
        <f t="shared" si="121"/>
        <v>0</v>
      </c>
      <c r="FN106" s="10">
        <f t="shared" si="122"/>
        <v>0</v>
      </c>
      <c r="FO106" s="10">
        <f t="shared" si="123"/>
        <v>0</v>
      </c>
      <c r="FP106" s="10">
        <f t="shared" si="124"/>
        <v>0</v>
      </c>
      <c r="FQ106" s="10">
        <f t="shared" si="125"/>
        <v>0</v>
      </c>
      <c r="FR106" s="11">
        <f t="shared" si="543"/>
        <v>0</v>
      </c>
      <c r="FS106" s="11">
        <f t="shared" si="127"/>
        <v>0</v>
      </c>
      <c r="FT106" s="11">
        <f t="shared" si="128"/>
        <v>0</v>
      </c>
      <c r="FU106" s="11">
        <f t="shared" si="129"/>
        <v>0</v>
      </c>
      <c r="FV106" s="11">
        <f t="shared" si="130"/>
        <v>0</v>
      </c>
      <c r="FW106" s="11">
        <f t="shared" si="131"/>
        <v>0</v>
      </c>
      <c r="FX106" s="11">
        <f t="shared" si="132"/>
        <v>0</v>
      </c>
      <c r="FY106" s="11">
        <f t="shared" si="133"/>
        <v>0</v>
      </c>
      <c r="FZ106" s="11">
        <f t="shared" si="134"/>
        <v>0</v>
      </c>
      <c r="GA106" s="11">
        <f t="shared" si="135"/>
        <v>0</v>
      </c>
      <c r="GB106" s="11">
        <f t="shared" si="136"/>
        <v>0</v>
      </c>
      <c r="GC106" s="11">
        <f t="shared" si="137"/>
        <v>0</v>
      </c>
      <c r="GD106" s="11">
        <f t="shared" si="138"/>
        <v>0</v>
      </c>
      <c r="GE106" s="11">
        <f t="shared" si="139"/>
        <v>0</v>
      </c>
      <c r="GF106" s="11">
        <f t="shared" si="140"/>
        <v>0</v>
      </c>
      <c r="GG106" s="11">
        <f t="shared" si="141"/>
        <v>0</v>
      </c>
      <c r="GH106" s="11">
        <f t="shared" si="142"/>
        <v>0</v>
      </c>
      <c r="GI106" s="11">
        <f t="shared" si="143"/>
        <v>0</v>
      </c>
      <c r="GJ106" s="11">
        <f t="shared" si="144"/>
        <v>0</v>
      </c>
      <c r="GK106" s="11">
        <f t="shared" si="145"/>
        <v>0</v>
      </c>
      <c r="GL106" s="11">
        <f t="shared" si="146"/>
        <v>0</v>
      </c>
      <c r="GM106" s="11">
        <f t="shared" si="147"/>
        <v>0</v>
      </c>
      <c r="GN106" s="11">
        <f t="shared" si="148"/>
        <v>0</v>
      </c>
      <c r="GO106" s="11">
        <f t="shared" si="149"/>
        <v>0</v>
      </c>
      <c r="GP106" s="11">
        <f t="shared" si="150"/>
        <v>0</v>
      </c>
      <c r="GQ106" s="11">
        <f t="shared" si="151"/>
        <v>0</v>
      </c>
      <c r="GR106" s="11">
        <f t="shared" si="152"/>
        <v>0</v>
      </c>
      <c r="GS106" s="11">
        <f t="shared" si="153"/>
        <v>0</v>
      </c>
      <c r="GT106" s="11">
        <f t="shared" si="154"/>
        <v>0</v>
      </c>
      <c r="GU106" s="12">
        <f t="shared" si="155"/>
        <v>0</v>
      </c>
      <c r="GV106" s="12">
        <f t="shared" si="156"/>
        <v>0</v>
      </c>
      <c r="GW106" s="12">
        <f t="shared" si="157"/>
        <v>0</v>
      </c>
      <c r="GX106" s="12">
        <f t="shared" si="158"/>
        <v>0</v>
      </c>
      <c r="GY106" s="12">
        <f t="shared" si="159"/>
        <v>0</v>
      </c>
      <c r="GZ106" s="12">
        <f t="shared" si="160"/>
        <v>0</v>
      </c>
      <c r="HA106" s="12">
        <f t="shared" si="161"/>
        <v>0</v>
      </c>
      <c r="HB106" s="12">
        <f t="shared" si="162"/>
        <v>0</v>
      </c>
      <c r="HC106" s="12">
        <f t="shared" si="163"/>
        <v>0</v>
      </c>
      <c r="HD106" s="12">
        <f t="shared" si="164"/>
        <v>0</v>
      </c>
      <c r="HE106" s="12">
        <f t="shared" si="165"/>
        <v>0</v>
      </c>
      <c r="HF106" s="12">
        <f t="shared" si="166"/>
        <v>0</v>
      </c>
      <c r="HG106" s="12">
        <f t="shared" si="167"/>
        <v>0</v>
      </c>
      <c r="HH106" s="12">
        <f t="shared" si="168"/>
        <v>0</v>
      </c>
      <c r="HI106" s="12">
        <f t="shared" si="169"/>
        <v>0</v>
      </c>
      <c r="HJ106" s="12">
        <f t="shared" si="170"/>
        <v>0</v>
      </c>
      <c r="HK106" s="12">
        <f t="shared" si="171"/>
        <v>0</v>
      </c>
      <c r="HL106" s="12">
        <f t="shared" si="172"/>
        <v>0</v>
      </c>
      <c r="HM106" s="12">
        <f t="shared" si="173"/>
        <v>0</v>
      </c>
      <c r="HN106" s="12">
        <f t="shared" si="174"/>
        <v>0</v>
      </c>
      <c r="HO106" s="12">
        <f t="shared" si="175"/>
        <v>0</v>
      </c>
      <c r="HP106" s="12">
        <f t="shared" si="176"/>
        <v>0</v>
      </c>
      <c r="HQ106" s="12">
        <f t="shared" si="177"/>
        <v>0</v>
      </c>
      <c r="HR106" s="12">
        <f t="shared" si="178"/>
        <v>0</v>
      </c>
      <c r="HS106" s="12">
        <f t="shared" si="179"/>
        <v>0</v>
      </c>
      <c r="HT106" s="12">
        <f t="shared" si="180"/>
        <v>0</v>
      </c>
      <c r="HU106" s="12">
        <f t="shared" si="181"/>
        <v>0</v>
      </c>
      <c r="HV106" s="12">
        <f t="shared" si="182"/>
        <v>0</v>
      </c>
      <c r="HW106" s="12">
        <f t="shared" si="183"/>
        <v>0</v>
      </c>
      <c r="HX106" s="12">
        <f t="shared" si="184"/>
        <v>0</v>
      </c>
      <c r="HY106" s="12">
        <f t="shared" si="185"/>
        <v>0</v>
      </c>
      <c r="HZ106" s="12">
        <f t="shared" si="186"/>
        <v>0</v>
      </c>
      <c r="IA106" s="12">
        <f t="shared" si="187"/>
        <v>0</v>
      </c>
      <c r="IB106" s="12">
        <f t="shared" si="188"/>
        <v>0</v>
      </c>
      <c r="IC106" s="12">
        <f t="shared" si="189"/>
        <v>0</v>
      </c>
      <c r="ID106" s="12">
        <f t="shared" si="190"/>
        <v>0</v>
      </c>
      <c r="IE106" s="12">
        <f t="shared" si="191"/>
        <v>0</v>
      </c>
      <c r="IF106" s="12">
        <f t="shared" si="192"/>
        <v>0</v>
      </c>
      <c r="IG106" s="12">
        <f t="shared" si="193"/>
        <v>0</v>
      </c>
      <c r="IH106" s="12">
        <f t="shared" si="194"/>
        <v>0</v>
      </c>
      <c r="II106" s="12">
        <f t="shared" si="195"/>
        <v>0</v>
      </c>
      <c r="IJ106" s="12">
        <f t="shared" si="196"/>
        <v>0</v>
      </c>
      <c r="IK106" s="12">
        <f t="shared" si="197"/>
        <v>0</v>
      </c>
      <c r="IL106" s="12">
        <f t="shared" si="198"/>
        <v>0</v>
      </c>
      <c r="IM106" s="12">
        <f t="shared" si="199"/>
        <v>0</v>
      </c>
      <c r="IN106" s="12">
        <f t="shared" si="200"/>
        <v>0</v>
      </c>
      <c r="IO106" s="12">
        <f t="shared" si="201"/>
        <v>0</v>
      </c>
      <c r="IP106" s="12">
        <f t="shared" si="202"/>
        <v>0</v>
      </c>
      <c r="IQ106" s="12">
        <f t="shared" si="203"/>
        <v>0</v>
      </c>
      <c r="IR106" s="12">
        <f t="shared" si="204"/>
        <v>0</v>
      </c>
      <c r="IS106" s="12">
        <f t="shared" si="205"/>
        <v>0</v>
      </c>
      <c r="IT106" s="12">
        <f t="shared" si="206"/>
        <v>0</v>
      </c>
      <c r="IU106" s="12">
        <f t="shared" si="207"/>
        <v>0</v>
      </c>
      <c r="IV106" s="12">
        <f t="shared" si="208"/>
        <v>0</v>
      </c>
      <c r="IW106" s="12">
        <f t="shared" si="209"/>
        <v>0</v>
      </c>
      <c r="IX106" s="12">
        <f t="shared" si="210"/>
        <v>0</v>
      </c>
      <c r="IY106" s="12">
        <f t="shared" si="211"/>
        <v>0</v>
      </c>
      <c r="IZ106" s="12">
        <f t="shared" si="212"/>
        <v>1</v>
      </c>
      <c r="JA106" s="13">
        <f t="shared" si="213"/>
        <v>0</v>
      </c>
      <c r="JB106" s="13">
        <f t="shared" si="214"/>
        <v>0</v>
      </c>
      <c r="JC106" s="13">
        <f t="shared" si="215"/>
        <v>0</v>
      </c>
      <c r="JD106" s="13">
        <f t="shared" si="216"/>
        <v>0</v>
      </c>
      <c r="JE106" s="13">
        <f t="shared" si="217"/>
        <v>0</v>
      </c>
      <c r="JF106" s="13">
        <f t="shared" si="218"/>
        <v>0</v>
      </c>
      <c r="JG106" s="13">
        <f t="shared" si="219"/>
        <v>0</v>
      </c>
      <c r="JH106" s="13">
        <f t="shared" si="220"/>
        <v>0</v>
      </c>
      <c r="JI106" s="13">
        <f t="shared" si="221"/>
        <v>0</v>
      </c>
      <c r="JJ106" s="13">
        <f t="shared" si="222"/>
        <v>0</v>
      </c>
      <c r="JK106" s="13">
        <f t="shared" si="223"/>
        <v>0</v>
      </c>
      <c r="JL106" s="13">
        <f t="shared" si="224"/>
        <v>0</v>
      </c>
      <c r="JM106" s="13">
        <f t="shared" si="225"/>
        <v>0</v>
      </c>
      <c r="JN106" s="13">
        <f t="shared" si="226"/>
        <v>0</v>
      </c>
      <c r="JO106" s="13">
        <f t="shared" si="227"/>
        <v>0</v>
      </c>
      <c r="JP106" s="13">
        <f t="shared" si="228"/>
        <v>0</v>
      </c>
      <c r="JQ106" s="13">
        <f t="shared" si="229"/>
        <v>0</v>
      </c>
      <c r="JR106" s="13">
        <f t="shared" si="230"/>
        <v>0</v>
      </c>
      <c r="JS106" s="13">
        <f t="shared" si="231"/>
        <v>0</v>
      </c>
      <c r="JT106" s="13">
        <f t="shared" si="232"/>
        <v>0</v>
      </c>
      <c r="JU106" s="13">
        <f t="shared" si="233"/>
        <v>0</v>
      </c>
      <c r="JV106" s="12">
        <f t="shared" si="234"/>
        <v>0</v>
      </c>
      <c r="JW106" s="12">
        <f t="shared" si="235"/>
        <v>0</v>
      </c>
      <c r="JX106" s="12">
        <f t="shared" si="236"/>
        <v>0</v>
      </c>
      <c r="JY106" s="12">
        <f t="shared" si="237"/>
        <v>0</v>
      </c>
      <c r="JZ106" s="12">
        <f t="shared" si="238"/>
        <v>0</v>
      </c>
      <c r="KA106" s="12">
        <f t="shared" si="239"/>
        <v>0</v>
      </c>
      <c r="KB106" s="12">
        <f t="shared" si="240"/>
        <v>0</v>
      </c>
      <c r="KC106" s="12">
        <f t="shared" si="241"/>
        <v>0</v>
      </c>
      <c r="KD106" s="12">
        <f t="shared" si="242"/>
        <v>0</v>
      </c>
      <c r="KE106" s="12">
        <f t="shared" si="243"/>
        <v>0</v>
      </c>
      <c r="KF106" s="12">
        <f t="shared" si="244"/>
        <v>0</v>
      </c>
      <c r="KG106" s="12">
        <f t="shared" si="245"/>
        <v>0</v>
      </c>
      <c r="KH106" s="12">
        <f t="shared" si="246"/>
        <v>0</v>
      </c>
      <c r="KI106" s="12">
        <f t="shared" si="247"/>
        <v>0</v>
      </c>
      <c r="KJ106" s="12">
        <f t="shared" si="248"/>
        <v>0</v>
      </c>
      <c r="KK106" s="12">
        <f t="shared" si="249"/>
        <v>0</v>
      </c>
      <c r="KL106" s="12">
        <f t="shared" si="250"/>
        <v>0</v>
      </c>
      <c r="KM106" s="12">
        <f t="shared" si="251"/>
        <v>0</v>
      </c>
      <c r="KN106" s="12">
        <f t="shared" si="252"/>
        <v>0</v>
      </c>
      <c r="KO106" s="12">
        <f t="shared" si="253"/>
        <v>0</v>
      </c>
      <c r="KP106" s="12">
        <f t="shared" si="254"/>
        <v>0</v>
      </c>
      <c r="KQ106" s="12">
        <f t="shared" si="255"/>
        <v>0</v>
      </c>
      <c r="KR106" s="12">
        <f t="shared" si="256"/>
        <v>0</v>
      </c>
      <c r="KS106" s="12">
        <f t="shared" si="257"/>
        <v>0</v>
      </c>
      <c r="KT106" s="12">
        <f t="shared" si="258"/>
        <v>0</v>
      </c>
      <c r="KU106" s="12">
        <f t="shared" si="259"/>
        <v>0</v>
      </c>
      <c r="KV106" s="12">
        <f t="shared" si="260"/>
        <v>0</v>
      </c>
      <c r="KW106" s="12">
        <f t="shared" si="261"/>
        <v>0</v>
      </c>
      <c r="KX106" s="12">
        <f t="shared" si="262"/>
        <v>0</v>
      </c>
      <c r="KY106" s="12">
        <f t="shared" si="263"/>
        <v>0</v>
      </c>
      <c r="KZ106" s="12">
        <f t="shared" si="264"/>
        <v>0</v>
      </c>
      <c r="LA106" s="12">
        <f t="shared" si="265"/>
        <v>0</v>
      </c>
      <c r="LB106" s="12">
        <f t="shared" si="266"/>
        <v>0</v>
      </c>
      <c r="LC106" s="12">
        <f t="shared" si="267"/>
        <v>0</v>
      </c>
      <c r="LD106" s="12">
        <f t="shared" si="268"/>
        <v>0</v>
      </c>
      <c r="LE106" s="12">
        <f t="shared" si="269"/>
        <v>0</v>
      </c>
      <c r="LF106" s="12">
        <f t="shared" si="270"/>
        <v>0</v>
      </c>
      <c r="LG106" s="12">
        <f t="shared" si="271"/>
        <v>0</v>
      </c>
      <c r="LH106" s="12">
        <f t="shared" si="272"/>
        <v>0</v>
      </c>
      <c r="LI106" s="12">
        <f t="shared" si="273"/>
        <v>0</v>
      </c>
      <c r="LJ106" s="12">
        <f t="shared" si="274"/>
        <v>0</v>
      </c>
      <c r="LK106" s="12">
        <f t="shared" si="275"/>
        <v>0</v>
      </c>
      <c r="LL106" s="12">
        <f t="shared" si="276"/>
        <v>0</v>
      </c>
      <c r="LM106" s="12">
        <f t="shared" si="277"/>
        <v>0</v>
      </c>
      <c r="LN106" s="12">
        <f t="shared" si="278"/>
        <v>0</v>
      </c>
      <c r="LO106" s="12">
        <f t="shared" si="279"/>
        <v>0</v>
      </c>
      <c r="LP106" s="12">
        <f t="shared" si="280"/>
        <v>0</v>
      </c>
      <c r="LQ106" s="12">
        <f t="shared" si="281"/>
        <v>0</v>
      </c>
      <c r="LR106" s="12">
        <f t="shared" si="282"/>
        <v>0</v>
      </c>
      <c r="LS106" s="12">
        <f t="shared" si="283"/>
        <v>0</v>
      </c>
      <c r="LT106" s="13">
        <f t="shared" si="284"/>
        <v>0</v>
      </c>
      <c r="LU106" s="13">
        <f t="shared" si="285"/>
        <v>0</v>
      </c>
      <c r="LV106" s="13">
        <f t="shared" si="286"/>
        <v>0</v>
      </c>
      <c r="LW106" s="13">
        <f t="shared" si="287"/>
        <v>0</v>
      </c>
      <c r="LX106" s="13">
        <f t="shared" si="288"/>
        <v>0</v>
      </c>
      <c r="LY106" s="13">
        <f t="shared" si="289"/>
        <v>0</v>
      </c>
      <c r="LZ106" s="13">
        <f t="shared" si="290"/>
        <v>0</v>
      </c>
      <c r="MA106" s="13">
        <f t="shared" si="291"/>
        <v>0</v>
      </c>
      <c r="MB106" s="13">
        <f t="shared" si="292"/>
        <v>0</v>
      </c>
      <c r="MC106" s="13">
        <f t="shared" si="293"/>
        <v>0</v>
      </c>
      <c r="MD106" s="13">
        <f t="shared" si="294"/>
        <v>0</v>
      </c>
      <c r="ME106" s="13">
        <f t="shared" si="295"/>
        <v>0</v>
      </c>
      <c r="MF106" s="13">
        <f t="shared" si="296"/>
        <v>0</v>
      </c>
      <c r="MG106" s="13">
        <f t="shared" si="297"/>
        <v>0</v>
      </c>
      <c r="MH106" s="13">
        <f t="shared" si="298"/>
        <v>0</v>
      </c>
      <c r="MI106" s="13">
        <f t="shared" si="299"/>
        <v>0</v>
      </c>
      <c r="MJ106" s="13">
        <f t="shared" si="300"/>
        <v>0</v>
      </c>
      <c r="MK106" s="13">
        <f t="shared" si="301"/>
        <v>0</v>
      </c>
      <c r="ML106" s="14">
        <f t="shared" si="302"/>
        <v>0</v>
      </c>
      <c r="MM106" s="14">
        <f t="shared" si="303"/>
        <v>0</v>
      </c>
      <c r="MN106" s="14">
        <f t="shared" si="304"/>
        <v>0</v>
      </c>
      <c r="MO106" s="14">
        <f t="shared" si="305"/>
        <v>0</v>
      </c>
      <c r="MP106" s="14">
        <f t="shared" si="306"/>
        <v>1</v>
      </c>
      <c r="MQ106" s="14">
        <f t="shared" si="307"/>
        <v>0</v>
      </c>
      <c r="MR106" s="14">
        <f t="shared" si="308"/>
        <v>0</v>
      </c>
      <c r="MS106" s="14">
        <f t="shared" si="309"/>
        <v>0</v>
      </c>
      <c r="MT106" s="14">
        <f t="shared" si="310"/>
        <v>0</v>
      </c>
      <c r="MU106" s="14">
        <f t="shared" si="311"/>
        <v>0</v>
      </c>
      <c r="MV106" s="14">
        <f t="shared" si="312"/>
        <v>0</v>
      </c>
      <c r="MW106" s="14">
        <f t="shared" si="313"/>
        <v>0</v>
      </c>
      <c r="MX106" s="14">
        <f t="shared" si="314"/>
        <v>0</v>
      </c>
      <c r="MY106" s="14">
        <f t="shared" si="315"/>
        <v>0</v>
      </c>
      <c r="MZ106" s="14">
        <f t="shared" si="316"/>
        <v>0</v>
      </c>
      <c r="NA106" s="14">
        <f t="shared" si="317"/>
        <v>0</v>
      </c>
      <c r="NB106" s="14">
        <f t="shared" si="318"/>
        <v>0</v>
      </c>
    </row>
    <row r="107" ht="15.75" customHeight="1">
      <c r="A107" s="2">
        <v>338.0</v>
      </c>
      <c r="B107" s="2" t="s">
        <v>2184</v>
      </c>
      <c r="C107" s="2" t="s">
        <v>2185</v>
      </c>
      <c r="D107" s="2" t="s">
        <v>2186</v>
      </c>
      <c r="E107" s="2">
        <v>2018.0</v>
      </c>
      <c r="F107" s="2" t="s">
        <v>2187</v>
      </c>
      <c r="G107" s="2" t="s">
        <v>694</v>
      </c>
      <c r="I107" s="2" t="s">
        <v>2188</v>
      </c>
      <c r="M107" s="2">
        <v>9.0</v>
      </c>
      <c r="N107" s="2" t="s">
        <v>2189</v>
      </c>
      <c r="O107" s="2" t="s">
        <v>2190</v>
      </c>
      <c r="P107" s="2" t="s">
        <v>2191</v>
      </c>
      <c r="Q107" s="2" t="s">
        <v>2192</v>
      </c>
      <c r="R107" s="2" t="s">
        <v>2193</v>
      </c>
      <c r="S107" s="2" t="s">
        <v>2194</v>
      </c>
      <c r="T107" s="2" t="s">
        <v>2195</v>
      </c>
      <c r="Y107" s="2" t="s">
        <v>2196</v>
      </c>
      <c r="AB107" s="2" t="s">
        <v>1829</v>
      </c>
      <c r="AG107" s="2" t="s">
        <v>2197</v>
      </c>
      <c r="AJ107" s="2">
        <v>3.0066654E7</v>
      </c>
      <c r="AK107" s="2" t="s">
        <v>2198</v>
      </c>
      <c r="AL107" s="2" t="s">
        <v>384</v>
      </c>
      <c r="AM107" s="2" t="s">
        <v>484</v>
      </c>
      <c r="AN107" s="2" t="s">
        <v>386</v>
      </c>
      <c r="AO107" s="2" t="s">
        <v>2199</v>
      </c>
      <c r="AP107" s="2" t="s">
        <v>386</v>
      </c>
      <c r="AQ107" s="2">
        <v>1310.0</v>
      </c>
      <c r="AR107" s="2" t="s">
        <v>2200</v>
      </c>
      <c r="AS107" s="2" t="b">
        <v>0</v>
      </c>
      <c r="AT107" s="3">
        <v>0.0</v>
      </c>
      <c r="AU107" s="4"/>
      <c r="AV107" s="4"/>
      <c r="AW107" s="5">
        <f t="shared" si="432"/>
        <v>0</v>
      </c>
      <c r="AX107" s="5">
        <f t="shared" si="4"/>
        <v>0</v>
      </c>
      <c r="AY107" s="5">
        <f t="shared" si="5"/>
        <v>0</v>
      </c>
      <c r="AZ107" s="5">
        <f t="shared" si="6"/>
        <v>0</v>
      </c>
      <c r="BA107" s="5">
        <f t="shared" si="7"/>
        <v>0</v>
      </c>
      <c r="BB107" s="5">
        <f t="shared" si="8"/>
        <v>0</v>
      </c>
      <c r="BC107" s="5">
        <f t="shared" si="9"/>
        <v>0</v>
      </c>
      <c r="BD107" s="5">
        <f t="shared" si="10"/>
        <v>0</v>
      </c>
      <c r="BE107" s="5">
        <f t="shared" si="11"/>
        <v>0</v>
      </c>
      <c r="BF107" s="5">
        <f t="shared" si="12"/>
        <v>0</v>
      </c>
      <c r="BG107" s="5">
        <f t="shared" si="13"/>
        <v>0</v>
      </c>
      <c r="BH107" s="5">
        <f t="shared" si="14"/>
        <v>0</v>
      </c>
      <c r="BI107" s="5">
        <f t="shared" si="15"/>
        <v>0</v>
      </c>
      <c r="BJ107" s="5">
        <f t="shared" si="16"/>
        <v>0</v>
      </c>
      <c r="BK107" s="5">
        <f t="shared" si="17"/>
        <v>0</v>
      </c>
      <c r="BL107" s="5">
        <f t="shared" si="18"/>
        <v>0</v>
      </c>
      <c r="BM107" s="5">
        <f t="shared" si="19"/>
        <v>0</v>
      </c>
      <c r="BN107" s="5">
        <f t="shared" si="20"/>
        <v>0</v>
      </c>
      <c r="BO107" s="5">
        <f t="shared" si="21"/>
        <v>0</v>
      </c>
      <c r="BP107" s="5">
        <f t="shared" si="22"/>
        <v>0</v>
      </c>
      <c r="BQ107" s="5">
        <f t="shared" si="23"/>
        <v>0</v>
      </c>
      <c r="BR107" s="5">
        <f t="shared" si="24"/>
        <v>0</v>
      </c>
      <c r="BS107" s="5">
        <f t="shared" si="25"/>
        <v>0</v>
      </c>
      <c r="BT107" s="5">
        <f t="shared" si="26"/>
        <v>0</v>
      </c>
      <c r="BU107" s="5">
        <f t="shared" si="27"/>
        <v>0</v>
      </c>
      <c r="BV107" s="5">
        <f t="shared" ref="BV107:BW107" si="557">IF(OR(ISNUMBER(SEARCH("grit",$D107)),ISNUMBER(SEARCH("grit",$T107)),ISNUMBER(SEARCH("grit",$R107)),ISNUMBER(SEARCH("grit",$S107)),
ISNUMBER(SEARCH("determination",$D107)),ISNUMBER(SEARCH("determination",$T107)),ISNUMBER(SEARCH("determination",$R107)),ISNUMBER(SEARCH("determination",$S107)),
ISNUMBER(SEARCH("tenacity",$D107)),ISNUMBER(SEARCH("tenacity",$T107)),ISNUMBER(SEARCH("tenacity",$R107)),ISNUMBER(SEARCH("tenacity",$S107)),
ISNUMBER(SEARCH("endurance",$D107)),ISNUMBER(SEARCH("endurance",$T107)),ISNUMBER(SEARCH("endurance",$R107)),ISNUMBER(SEARCH("endurance",$S107)),
ISNUMBER(SEARCH("fortitude",$D107)),ISNUMBER(SEARCH("fortitude",$T107)),ISNUMBER(SEARCH("fortitude",$R107)),ISNUMBER(SEARCH("fortitude",$S107)),
ISNUMBER(SEARCH("resolve",$D107)),ISNUMBER(SEARCH("resolve",$T107)),ISNUMBER(SEARCH("resolve",$R107)),ISNUMBER(SEARCH("resolve",$S107)),
ISNUMBER(SEARCH("stamina",$D107)),ISNUMBER(SEARCH("stamina",$T107)),ISNUMBER(SEARCH("stamina",$R107)),ISNUMBER(SEARCH("stamina",$S107)),
ISNUMBER(SEARCH("guts",$D107)),ISNUMBER(SEARCH("guts",$T107)),ISNUMBER(SEARCH("guts",$R107)),ISNUMBER(SEARCH("guts",$S107)),
ISNUMBER(SEARCH("spunk",$D107)),ISNUMBER(SEARCH("spunk",$T107)),ISNUMBER(SEARCH("spunk",$R107)),ISNUMBER(SEARCH("spunk",$S107))), 1, 0)</f>
        <v>0</v>
      </c>
      <c r="BW107" s="5">
        <f t="shared" si="557"/>
        <v>0</v>
      </c>
      <c r="BX107" s="5">
        <f t="shared" si="29"/>
        <v>0</v>
      </c>
      <c r="BY107" s="5">
        <f t="shared" si="30"/>
        <v>0</v>
      </c>
      <c r="BZ107" s="5">
        <f t="shared" si="31"/>
        <v>0</v>
      </c>
      <c r="CA107" s="5">
        <f t="shared" si="32"/>
        <v>0</v>
      </c>
      <c r="CB107" s="5">
        <f t="shared" si="33"/>
        <v>0</v>
      </c>
      <c r="CC107" s="5">
        <f t="shared" si="34"/>
        <v>0</v>
      </c>
      <c r="CD107" s="5">
        <f t="shared" si="35"/>
        <v>0</v>
      </c>
      <c r="CE107" s="5">
        <f t="shared" si="36"/>
        <v>0</v>
      </c>
      <c r="CF107" s="5">
        <f t="shared" si="37"/>
        <v>0</v>
      </c>
      <c r="CG107" s="5">
        <f t="shared" si="38"/>
        <v>0</v>
      </c>
      <c r="CH107" s="5">
        <f t="shared" si="39"/>
        <v>0</v>
      </c>
      <c r="CI107" s="5">
        <f t="shared" si="40"/>
        <v>0</v>
      </c>
      <c r="CJ107" s="5">
        <f t="shared" si="41"/>
        <v>0</v>
      </c>
      <c r="CK107" s="5">
        <f t="shared" si="42"/>
        <v>0</v>
      </c>
      <c r="CL107" s="5">
        <f t="shared" si="43"/>
        <v>0</v>
      </c>
      <c r="CM107" s="5">
        <f t="shared" si="44"/>
        <v>0</v>
      </c>
      <c r="CN107" s="5">
        <f t="shared" si="45"/>
        <v>0</v>
      </c>
      <c r="CO107" s="5">
        <f t="shared" si="46"/>
        <v>0</v>
      </c>
      <c r="CP107" s="6">
        <f t="shared" si="47"/>
        <v>0</v>
      </c>
      <c r="CQ107" s="6">
        <f t="shared" si="48"/>
        <v>0</v>
      </c>
      <c r="CR107" s="6">
        <f t="shared" si="49"/>
        <v>0</v>
      </c>
      <c r="CS107" s="6">
        <f t="shared" si="50"/>
        <v>0</v>
      </c>
      <c r="CT107" s="6">
        <f t="shared" si="551"/>
        <v>0</v>
      </c>
      <c r="CU107" s="6">
        <f t="shared" si="52"/>
        <v>0</v>
      </c>
      <c r="CV107" s="6">
        <f t="shared" si="53"/>
        <v>0</v>
      </c>
      <c r="CW107" s="6">
        <f t="shared" si="54"/>
        <v>0</v>
      </c>
      <c r="CX107" s="6">
        <f t="shared" si="55"/>
        <v>0</v>
      </c>
      <c r="CY107" s="6">
        <f t="shared" si="56"/>
        <v>0</v>
      </c>
      <c r="CZ107" s="6">
        <f t="shared" si="57"/>
        <v>0</v>
      </c>
      <c r="DA107" s="6">
        <f t="shared" si="58"/>
        <v>0</v>
      </c>
      <c r="DB107" s="6">
        <f t="shared" si="59"/>
        <v>0</v>
      </c>
      <c r="DC107" s="6">
        <f t="shared" si="60"/>
        <v>0</v>
      </c>
      <c r="DD107" s="6">
        <f t="shared" si="61"/>
        <v>0</v>
      </c>
      <c r="DE107" s="6">
        <f t="shared" si="62"/>
        <v>0</v>
      </c>
      <c r="DF107" s="6">
        <f t="shared" si="63"/>
        <v>0</v>
      </c>
      <c r="DG107" s="6">
        <f t="shared" si="64"/>
        <v>0</v>
      </c>
      <c r="DH107" s="6">
        <f t="shared" si="509"/>
        <v>0</v>
      </c>
      <c r="DI107" s="6">
        <f t="shared" si="66"/>
        <v>0</v>
      </c>
      <c r="DJ107" s="6">
        <f t="shared" si="510"/>
        <v>0</v>
      </c>
      <c r="DK107" s="7">
        <f t="shared" si="68"/>
        <v>1</v>
      </c>
      <c r="DL107" s="7">
        <f t="shared" si="498"/>
        <v>0</v>
      </c>
      <c r="DM107" s="7">
        <f t="shared" si="70"/>
        <v>1</v>
      </c>
      <c r="DN107" s="7">
        <f t="shared" si="71"/>
        <v>0</v>
      </c>
      <c r="DO107" s="7">
        <f t="shared" si="72"/>
        <v>0</v>
      </c>
      <c r="DP107" s="8">
        <f t="shared" si="73"/>
        <v>0</v>
      </c>
      <c r="DQ107" s="8">
        <f t="shared" si="74"/>
        <v>0</v>
      </c>
      <c r="DR107" s="7">
        <f t="shared" si="75"/>
        <v>0</v>
      </c>
      <c r="DS107" s="7">
        <f t="shared" si="76"/>
        <v>0</v>
      </c>
      <c r="DT107" s="7">
        <f t="shared" si="77"/>
        <v>0</v>
      </c>
      <c r="DU107" s="9">
        <f t="shared" si="78"/>
        <v>0</v>
      </c>
      <c r="DV107" s="9">
        <f t="shared" si="79"/>
        <v>0</v>
      </c>
      <c r="DW107" s="9">
        <f t="shared" si="80"/>
        <v>0</v>
      </c>
      <c r="DX107" s="9">
        <f t="shared" si="81"/>
        <v>0</v>
      </c>
      <c r="DY107" s="9">
        <f t="shared" si="82"/>
        <v>0</v>
      </c>
      <c r="DZ107" s="9">
        <f t="shared" si="83"/>
        <v>0</v>
      </c>
      <c r="EA107" s="9">
        <f t="shared" si="84"/>
        <v>0</v>
      </c>
      <c r="EB107" s="9">
        <f t="shared" si="85"/>
        <v>0</v>
      </c>
      <c r="EC107" s="9">
        <f t="shared" si="86"/>
        <v>0</v>
      </c>
      <c r="ED107" s="9">
        <f t="shared" si="87"/>
        <v>0</v>
      </c>
      <c r="EE107" s="9">
        <f t="shared" si="88"/>
        <v>0</v>
      </c>
      <c r="EF107" s="9">
        <f t="shared" si="89"/>
        <v>0</v>
      </c>
      <c r="EG107" s="9">
        <f t="shared" si="90"/>
        <v>0</v>
      </c>
      <c r="EH107" s="9">
        <f t="shared" si="91"/>
        <v>0</v>
      </c>
      <c r="EI107" s="9">
        <f t="shared" si="92"/>
        <v>0</v>
      </c>
      <c r="EJ107" s="10">
        <f t="shared" si="93"/>
        <v>0</v>
      </c>
      <c r="EK107" s="10">
        <f t="shared" si="94"/>
        <v>0</v>
      </c>
      <c r="EL107" s="10">
        <f t="shared" ref="EL107:EM107" si="558">IF(OR(ISNUMBER(SEARCH("ai software toolkit", $D107)), ISNUMBER(SEARCH("ai software toolkit", $T107)), ISNUMBER(SEARCH("ai software toolkit", $R107)), ISNUMBER(SEARCH("ai software toolkit", $S107))), 1, 0)</f>
        <v>0</v>
      </c>
      <c r="EM107" s="10">
        <f t="shared" si="558"/>
        <v>0</v>
      </c>
      <c r="EN107" s="10">
        <f t="shared" si="96"/>
        <v>0</v>
      </c>
      <c r="EO107" s="10">
        <f t="shared" si="97"/>
        <v>0</v>
      </c>
      <c r="EP107" s="10">
        <f t="shared" si="98"/>
        <v>0</v>
      </c>
      <c r="EQ107" s="10">
        <f t="shared" si="99"/>
        <v>0</v>
      </c>
      <c r="ER107" s="10">
        <f t="shared" si="100"/>
        <v>0</v>
      </c>
      <c r="ES107" s="10">
        <f t="shared" si="101"/>
        <v>0</v>
      </c>
      <c r="ET107" s="10">
        <f t="shared" si="102"/>
        <v>0</v>
      </c>
      <c r="EU107" s="10">
        <f t="shared" si="103"/>
        <v>0</v>
      </c>
      <c r="EV107" s="10">
        <f t="shared" si="104"/>
        <v>0</v>
      </c>
      <c r="EW107" s="10">
        <f t="shared" si="105"/>
        <v>0</v>
      </c>
      <c r="EX107" s="10">
        <f t="shared" si="106"/>
        <v>0</v>
      </c>
      <c r="EY107" s="10">
        <f t="shared" si="107"/>
        <v>0</v>
      </c>
      <c r="EZ107" s="10">
        <f t="shared" si="108"/>
        <v>0</v>
      </c>
      <c r="FA107" s="10">
        <f t="shared" si="109"/>
        <v>0</v>
      </c>
      <c r="FB107" s="10">
        <f t="shared" si="110"/>
        <v>0</v>
      </c>
      <c r="FC107" s="10">
        <f t="shared" si="111"/>
        <v>0</v>
      </c>
      <c r="FD107" s="10">
        <f t="shared" si="112"/>
        <v>0</v>
      </c>
      <c r="FE107" s="10">
        <f t="shared" si="113"/>
        <v>0</v>
      </c>
      <c r="FF107" s="10">
        <f t="shared" si="114"/>
        <v>0</v>
      </c>
      <c r="FG107" s="10">
        <f t="shared" si="115"/>
        <v>0</v>
      </c>
      <c r="FH107" s="10">
        <f t="shared" si="116"/>
        <v>0</v>
      </c>
      <c r="FI107" s="10">
        <f t="shared" si="117"/>
        <v>0</v>
      </c>
      <c r="FJ107" s="10">
        <f t="shared" si="118"/>
        <v>0</v>
      </c>
      <c r="FK107" s="10">
        <f t="shared" si="119"/>
        <v>0</v>
      </c>
      <c r="FL107" s="10">
        <f t="shared" si="120"/>
        <v>0</v>
      </c>
      <c r="FM107" s="10">
        <f t="shared" si="121"/>
        <v>0</v>
      </c>
      <c r="FN107" s="10">
        <f t="shared" si="122"/>
        <v>0</v>
      </c>
      <c r="FO107" s="10">
        <f t="shared" si="123"/>
        <v>0</v>
      </c>
      <c r="FP107" s="10">
        <f t="shared" si="124"/>
        <v>0</v>
      </c>
      <c r="FQ107" s="10">
        <f t="shared" si="125"/>
        <v>0</v>
      </c>
      <c r="FR107" s="11">
        <f t="shared" si="543"/>
        <v>0</v>
      </c>
      <c r="FS107" s="11">
        <f t="shared" si="127"/>
        <v>0</v>
      </c>
      <c r="FT107" s="11">
        <f t="shared" si="128"/>
        <v>0</v>
      </c>
      <c r="FU107" s="11">
        <f t="shared" si="129"/>
        <v>0</v>
      </c>
      <c r="FV107" s="11">
        <f t="shared" si="130"/>
        <v>0</v>
      </c>
      <c r="FW107" s="11">
        <f t="shared" si="131"/>
        <v>0</v>
      </c>
      <c r="FX107" s="11">
        <f t="shared" si="132"/>
        <v>0</v>
      </c>
      <c r="FY107" s="11">
        <f t="shared" si="133"/>
        <v>0</v>
      </c>
      <c r="FZ107" s="11">
        <f t="shared" si="134"/>
        <v>0</v>
      </c>
      <c r="GA107" s="11">
        <f t="shared" si="135"/>
        <v>0</v>
      </c>
      <c r="GB107" s="11">
        <f t="shared" si="136"/>
        <v>0</v>
      </c>
      <c r="GC107" s="11">
        <f t="shared" si="137"/>
        <v>0</v>
      </c>
      <c r="GD107" s="11">
        <f t="shared" si="138"/>
        <v>0</v>
      </c>
      <c r="GE107" s="11">
        <f t="shared" si="139"/>
        <v>0</v>
      </c>
      <c r="GF107" s="11">
        <f t="shared" si="140"/>
        <v>0</v>
      </c>
      <c r="GG107" s="11">
        <f t="shared" si="141"/>
        <v>0</v>
      </c>
      <c r="GH107" s="11">
        <f t="shared" si="142"/>
        <v>0</v>
      </c>
      <c r="GI107" s="11">
        <f t="shared" si="143"/>
        <v>0</v>
      </c>
      <c r="GJ107" s="11">
        <f t="shared" si="144"/>
        <v>0</v>
      </c>
      <c r="GK107" s="11">
        <f t="shared" si="145"/>
        <v>0</v>
      </c>
      <c r="GL107" s="11">
        <f t="shared" si="146"/>
        <v>0</v>
      </c>
      <c r="GM107" s="11">
        <f t="shared" si="147"/>
        <v>0</v>
      </c>
      <c r="GN107" s="11">
        <f t="shared" si="148"/>
        <v>0</v>
      </c>
      <c r="GO107" s="11">
        <f t="shared" si="149"/>
        <v>0</v>
      </c>
      <c r="GP107" s="11">
        <f t="shared" si="150"/>
        <v>0</v>
      </c>
      <c r="GQ107" s="11">
        <f t="shared" si="151"/>
        <v>0</v>
      </c>
      <c r="GR107" s="11">
        <f t="shared" si="152"/>
        <v>0</v>
      </c>
      <c r="GS107" s="11">
        <f t="shared" si="153"/>
        <v>0</v>
      </c>
      <c r="GT107" s="11">
        <f t="shared" si="154"/>
        <v>0</v>
      </c>
      <c r="GU107" s="12">
        <f t="shared" si="155"/>
        <v>0</v>
      </c>
      <c r="GV107" s="12">
        <f t="shared" si="156"/>
        <v>0</v>
      </c>
      <c r="GW107" s="12">
        <f t="shared" si="157"/>
        <v>0</v>
      </c>
      <c r="GX107" s="12">
        <f t="shared" si="158"/>
        <v>0</v>
      </c>
      <c r="GY107" s="12">
        <f t="shared" si="159"/>
        <v>0</v>
      </c>
      <c r="GZ107" s="12">
        <f t="shared" si="160"/>
        <v>0</v>
      </c>
      <c r="HA107" s="12">
        <f t="shared" si="161"/>
        <v>0</v>
      </c>
      <c r="HB107" s="12">
        <f t="shared" si="162"/>
        <v>0</v>
      </c>
      <c r="HC107" s="12">
        <f t="shared" si="163"/>
        <v>0</v>
      </c>
      <c r="HD107" s="12">
        <f t="shared" si="164"/>
        <v>0</v>
      </c>
      <c r="HE107" s="12">
        <f t="shared" si="165"/>
        <v>0</v>
      </c>
      <c r="HF107" s="12">
        <f t="shared" si="166"/>
        <v>0</v>
      </c>
      <c r="HG107" s="12">
        <f t="shared" si="167"/>
        <v>0</v>
      </c>
      <c r="HH107" s="12">
        <f t="shared" si="168"/>
        <v>0</v>
      </c>
      <c r="HI107" s="12">
        <f t="shared" si="169"/>
        <v>0</v>
      </c>
      <c r="HJ107" s="12">
        <f t="shared" si="170"/>
        <v>0</v>
      </c>
      <c r="HK107" s="12">
        <f t="shared" si="171"/>
        <v>0</v>
      </c>
      <c r="HL107" s="12">
        <f t="shared" si="172"/>
        <v>0</v>
      </c>
      <c r="HM107" s="12">
        <f t="shared" si="173"/>
        <v>0</v>
      </c>
      <c r="HN107" s="12">
        <f t="shared" si="174"/>
        <v>0</v>
      </c>
      <c r="HO107" s="12">
        <f t="shared" si="175"/>
        <v>0</v>
      </c>
      <c r="HP107" s="12">
        <f t="shared" si="176"/>
        <v>0</v>
      </c>
      <c r="HQ107" s="12">
        <f t="shared" si="177"/>
        <v>0</v>
      </c>
      <c r="HR107" s="12">
        <f t="shared" si="178"/>
        <v>0</v>
      </c>
      <c r="HS107" s="12">
        <f t="shared" si="179"/>
        <v>0</v>
      </c>
      <c r="HT107" s="12">
        <f t="shared" si="180"/>
        <v>0</v>
      </c>
      <c r="HU107" s="12">
        <f t="shared" si="181"/>
        <v>0</v>
      </c>
      <c r="HV107" s="12">
        <f t="shared" si="182"/>
        <v>0</v>
      </c>
      <c r="HW107" s="12">
        <f t="shared" si="183"/>
        <v>0</v>
      </c>
      <c r="HX107" s="12">
        <f t="shared" si="184"/>
        <v>0</v>
      </c>
      <c r="HY107" s="12">
        <f t="shared" si="185"/>
        <v>0</v>
      </c>
      <c r="HZ107" s="12">
        <f t="shared" si="186"/>
        <v>0</v>
      </c>
      <c r="IA107" s="12">
        <f t="shared" si="187"/>
        <v>0</v>
      </c>
      <c r="IB107" s="12">
        <f t="shared" si="188"/>
        <v>0</v>
      </c>
      <c r="IC107" s="12">
        <f t="shared" si="189"/>
        <v>0</v>
      </c>
      <c r="ID107" s="12">
        <f t="shared" si="190"/>
        <v>0</v>
      </c>
      <c r="IE107" s="12">
        <f t="shared" si="191"/>
        <v>0</v>
      </c>
      <c r="IF107" s="12">
        <f t="shared" si="192"/>
        <v>0</v>
      </c>
      <c r="IG107" s="12">
        <f t="shared" si="193"/>
        <v>0</v>
      </c>
      <c r="IH107" s="12">
        <f t="shared" si="194"/>
        <v>0</v>
      </c>
      <c r="II107" s="12">
        <f t="shared" si="195"/>
        <v>0</v>
      </c>
      <c r="IJ107" s="12">
        <f t="shared" si="196"/>
        <v>0</v>
      </c>
      <c r="IK107" s="12">
        <f t="shared" si="197"/>
        <v>0</v>
      </c>
      <c r="IL107" s="12">
        <f t="shared" si="198"/>
        <v>0</v>
      </c>
      <c r="IM107" s="12">
        <f t="shared" si="199"/>
        <v>0</v>
      </c>
      <c r="IN107" s="12">
        <f t="shared" si="200"/>
        <v>0</v>
      </c>
      <c r="IO107" s="12">
        <f t="shared" si="201"/>
        <v>0</v>
      </c>
      <c r="IP107" s="12">
        <f t="shared" si="202"/>
        <v>0</v>
      </c>
      <c r="IQ107" s="12">
        <f t="shared" si="203"/>
        <v>0</v>
      </c>
      <c r="IR107" s="12">
        <f t="shared" si="204"/>
        <v>0</v>
      </c>
      <c r="IS107" s="12">
        <f t="shared" si="205"/>
        <v>0</v>
      </c>
      <c r="IT107" s="12">
        <f t="shared" si="206"/>
        <v>0</v>
      </c>
      <c r="IU107" s="12">
        <f t="shared" si="207"/>
        <v>0</v>
      </c>
      <c r="IV107" s="12">
        <f t="shared" si="208"/>
        <v>0</v>
      </c>
      <c r="IW107" s="12">
        <f t="shared" si="209"/>
        <v>0</v>
      </c>
      <c r="IX107" s="12">
        <f t="shared" si="210"/>
        <v>0</v>
      </c>
      <c r="IY107" s="12">
        <f t="shared" si="211"/>
        <v>0</v>
      </c>
      <c r="IZ107" s="12">
        <f t="shared" si="212"/>
        <v>0</v>
      </c>
      <c r="JA107" s="13">
        <f t="shared" si="213"/>
        <v>0</v>
      </c>
      <c r="JB107" s="13">
        <f t="shared" si="214"/>
        <v>0</v>
      </c>
      <c r="JC107" s="13">
        <f t="shared" si="215"/>
        <v>0</v>
      </c>
      <c r="JD107" s="13">
        <f t="shared" si="216"/>
        <v>0</v>
      </c>
      <c r="JE107" s="13">
        <f t="shared" si="217"/>
        <v>0</v>
      </c>
      <c r="JF107" s="13">
        <f t="shared" si="218"/>
        <v>0</v>
      </c>
      <c r="JG107" s="13">
        <f t="shared" si="219"/>
        <v>0</v>
      </c>
      <c r="JH107" s="13">
        <f t="shared" si="220"/>
        <v>0</v>
      </c>
      <c r="JI107" s="13">
        <f t="shared" si="221"/>
        <v>0</v>
      </c>
      <c r="JJ107" s="13">
        <f t="shared" si="222"/>
        <v>0</v>
      </c>
      <c r="JK107" s="13">
        <f t="shared" si="223"/>
        <v>0</v>
      </c>
      <c r="JL107" s="13">
        <f t="shared" si="224"/>
        <v>0</v>
      </c>
      <c r="JM107" s="13">
        <f t="shared" si="225"/>
        <v>0</v>
      </c>
      <c r="JN107" s="13">
        <f t="shared" si="226"/>
        <v>0</v>
      </c>
      <c r="JO107" s="13">
        <f t="shared" si="227"/>
        <v>0</v>
      </c>
      <c r="JP107" s="13">
        <f t="shared" si="228"/>
        <v>0</v>
      </c>
      <c r="JQ107" s="13">
        <f t="shared" si="229"/>
        <v>0</v>
      </c>
      <c r="JR107" s="13">
        <f t="shared" si="230"/>
        <v>0</v>
      </c>
      <c r="JS107" s="13">
        <f t="shared" si="231"/>
        <v>0</v>
      </c>
      <c r="JT107" s="13">
        <f t="shared" si="232"/>
        <v>0</v>
      </c>
      <c r="JU107" s="13">
        <f t="shared" si="233"/>
        <v>0</v>
      </c>
      <c r="JV107" s="12">
        <f t="shared" si="234"/>
        <v>0</v>
      </c>
      <c r="JW107" s="12">
        <f t="shared" si="235"/>
        <v>0</v>
      </c>
      <c r="JX107" s="12">
        <f t="shared" si="236"/>
        <v>0</v>
      </c>
      <c r="JY107" s="12">
        <f t="shared" si="237"/>
        <v>0</v>
      </c>
      <c r="JZ107" s="12">
        <f t="shared" si="238"/>
        <v>0</v>
      </c>
      <c r="KA107" s="12">
        <f t="shared" si="239"/>
        <v>0</v>
      </c>
      <c r="KB107" s="12">
        <f t="shared" si="240"/>
        <v>0</v>
      </c>
      <c r="KC107" s="12">
        <f t="shared" si="241"/>
        <v>0</v>
      </c>
      <c r="KD107" s="12">
        <f t="shared" si="242"/>
        <v>0</v>
      </c>
      <c r="KE107" s="12">
        <f t="shared" si="243"/>
        <v>0</v>
      </c>
      <c r="KF107" s="12">
        <f t="shared" si="244"/>
        <v>0</v>
      </c>
      <c r="KG107" s="12">
        <f t="shared" si="245"/>
        <v>0</v>
      </c>
      <c r="KH107" s="12">
        <f t="shared" si="246"/>
        <v>0</v>
      </c>
      <c r="KI107" s="12">
        <f t="shared" si="247"/>
        <v>0</v>
      </c>
      <c r="KJ107" s="12">
        <f t="shared" si="248"/>
        <v>0</v>
      </c>
      <c r="KK107" s="12">
        <f t="shared" si="249"/>
        <v>0</v>
      </c>
      <c r="KL107" s="12">
        <f t="shared" si="250"/>
        <v>0</v>
      </c>
      <c r="KM107" s="12">
        <f t="shared" si="251"/>
        <v>0</v>
      </c>
      <c r="KN107" s="12">
        <f t="shared" si="252"/>
        <v>0</v>
      </c>
      <c r="KO107" s="12">
        <f t="shared" si="253"/>
        <v>0</v>
      </c>
      <c r="KP107" s="12">
        <f t="shared" si="254"/>
        <v>0</v>
      </c>
      <c r="KQ107" s="12">
        <f t="shared" si="255"/>
        <v>0</v>
      </c>
      <c r="KR107" s="12">
        <f t="shared" si="256"/>
        <v>0</v>
      </c>
      <c r="KS107" s="12">
        <f t="shared" si="257"/>
        <v>0</v>
      </c>
      <c r="KT107" s="12">
        <f t="shared" si="258"/>
        <v>0</v>
      </c>
      <c r="KU107" s="12">
        <f t="shared" si="259"/>
        <v>0</v>
      </c>
      <c r="KV107" s="12">
        <f t="shared" si="260"/>
        <v>0</v>
      </c>
      <c r="KW107" s="12">
        <f t="shared" si="261"/>
        <v>0</v>
      </c>
      <c r="KX107" s="12">
        <f t="shared" si="262"/>
        <v>0</v>
      </c>
      <c r="KY107" s="12">
        <f t="shared" si="263"/>
        <v>0</v>
      </c>
      <c r="KZ107" s="12">
        <f t="shared" si="264"/>
        <v>0</v>
      </c>
      <c r="LA107" s="12">
        <f t="shared" si="265"/>
        <v>0</v>
      </c>
      <c r="LB107" s="12">
        <f t="shared" si="266"/>
        <v>0</v>
      </c>
      <c r="LC107" s="12">
        <f t="shared" si="267"/>
        <v>0</v>
      </c>
      <c r="LD107" s="12">
        <f t="shared" si="268"/>
        <v>0</v>
      </c>
      <c r="LE107" s="12">
        <f t="shared" si="269"/>
        <v>0</v>
      </c>
      <c r="LF107" s="12">
        <f t="shared" si="270"/>
        <v>0</v>
      </c>
      <c r="LG107" s="12">
        <f t="shared" si="271"/>
        <v>0</v>
      </c>
      <c r="LH107" s="12">
        <f t="shared" si="272"/>
        <v>0</v>
      </c>
      <c r="LI107" s="12">
        <f t="shared" si="273"/>
        <v>0</v>
      </c>
      <c r="LJ107" s="12">
        <f t="shared" si="274"/>
        <v>0</v>
      </c>
      <c r="LK107" s="12">
        <f t="shared" si="275"/>
        <v>0</v>
      </c>
      <c r="LL107" s="12">
        <f t="shared" si="276"/>
        <v>0</v>
      </c>
      <c r="LM107" s="12">
        <f t="shared" si="277"/>
        <v>0</v>
      </c>
      <c r="LN107" s="12">
        <f t="shared" si="278"/>
        <v>0</v>
      </c>
      <c r="LO107" s="12">
        <f t="shared" si="279"/>
        <v>0</v>
      </c>
      <c r="LP107" s="12">
        <f t="shared" si="280"/>
        <v>0</v>
      </c>
      <c r="LQ107" s="12">
        <f t="shared" si="281"/>
        <v>0</v>
      </c>
      <c r="LR107" s="12">
        <f t="shared" si="282"/>
        <v>0</v>
      </c>
      <c r="LS107" s="12">
        <f t="shared" si="283"/>
        <v>0</v>
      </c>
      <c r="LT107" s="13">
        <f t="shared" si="284"/>
        <v>0</v>
      </c>
      <c r="LU107" s="13">
        <f t="shared" si="285"/>
        <v>0</v>
      </c>
      <c r="LV107" s="13">
        <f t="shared" si="286"/>
        <v>0</v>
      </c>
      <c r="LW107" s="13">
        <f t="shared" si="287"/>
        <v>0</v>
      </c>
      <c r="LX107" s="13">
        <f t="shared" si="288"/>
        <v>0</v>
      </c>
      <c r="LY107" s="13">
        <f t="shared" si="289"/>
        <v>0</v>
      </c>
      <c r="LZ107" s="13">
        <f t="shared" si="290"/>
        <v>0</v>
      </c>
      <c r="MA107" s="13">
        <f t="shared" si="291"/>
        <v>0</v>
      </c>
      <c r="MB107" s="13">
        <f t="shared" si="292"/>
        <v>0</v>
      </c>
      <c r="MC107" s="13">
        <f t="shared" si="293"/>
        <v>0</v>
      </c>
      <c r="MD107" s="13">
        <f t="shared" si="294"/>
        <v>0</v>
      </c>
      <c r="ME107" s="13">
        <f t="shared" si="295"/>
        <v>0</v>
      </c>
      <c r="MF107" s="13">
        <f t="shared" si="296"/>
        <v>0</v>
      </c>
      <c r="MG107" s="13">
        <f t="shared" si="297"/>
        <v>0</v>
      </c>
      <c r="MH107" s="13">
        <f t="shared" si="298"/>
        <v>0</v>
      </c>
      <c r="MI107" s="13">
        <f t="shared" si="299"/>
        <v>0</v>
      </c>
      <c r="MJ107" s="13">
        <f t="shared" si="300"/>
        <v>0</v>
      </c>
      <c r="MK107" s="13">
        <f t="shared" si="301"/>
        <v>0</v>
      </c>
      <c r="ML107" s="14">
        <f t="shared" si="302"/>
        <v>0</v>
      </c>
      <c r="MM107" s="14">
        <f t="shared" si="303"/>
        <v>0</v>
      </c>
      <c r="MN107" s="14">
        <f t="shared" si="304"/>
        <v>0</v>
      </c>
      <c r="MO107" s="14">
        <f t="shared" si="305"/>
        <v>0</v>
      </c>
      <c r="MP107" s="14">
        <f t="shared" si="306"/>
        <v>0</v>
      </c>
      <c r="MQ107" s="14">
        <f t="shared" si="307"/>
        <v>0</v>
      </c>
      <c r="MR107" s="14">
        <f t="shared" si="308"/>
        <v>0</v>
      </c>
      <c r="MS107" s="14">
        <f t="shared" si="309"/>
        <v>0</v>
      </c>
      <c r="MT107" s="14">
        <f t="shared" si="310"/>
        <v>0</v>
      </c>
      <c r="MU107" s="14">
        <f t="shared" si="311"/>
        <v>0</v>
      </c>
      <c r="MV107" s="14">
        <f t="shared" si="312"/>
        <v>0</v>
      </c>
      <c r="MW107" s="14">
        <f t="shared" si="313"/>
        <v>0</v>
      </c>
      <c r="MX107" s="14">
        <f t="shared" si="314"/>
        <v>0</v>
      </c>
      <c r="MY107" s="14">
        <f t="shared" si="315"/>
        <v>0</v>
      </c>
      <c r="MZ107" s="14">
        <f t="shared" si="316"/>
        <v>0</v>
      </c>
      <c r="NA107" s="14">
        <f t="shared" si="317"/>
        <v>0</v>
      </c>
      <c r="NB107" s="14">
        <f t="shared" si="318"/>
        <v>0</v>
      </c>
    </row>
    <row r="108" ht="15.75" customHeight="1">
      <c r="A108" s="2">
        <v>340.0</v>
      </c>
      <c r="B108" s="2" t="s">
        <v>2201</v>
      </c>
      <c r="C108" s="2" t="s">
        <v>2202</v>
      </c>
      <c r="D108" s="2" t="s">
        <v>2203</v>
      </c>
      <c r="E108" s="2">
        <v>2018.0</v>
      </c>
      <c r="F108" s="2" t="s">
        <v>2204</v>
      </c>
      <c r="G108" s="2" t="s">
        <v>831</v>
      </c>
      <c r="H108" s="2" t="s">
        <v>432</v>
      </c>
      <c r="J108" s="2" t="s">
        <v>1398</v>
      </c>
      <c r="K108" s="2" t="s">
        <v>2205</v>
      </c>
      <c r="M108" s="2">
        <v>8.0</v>
      </c>
      <c r="N108" s="2" t="s">
        <v>2206</v>
      </c>
      <c r="O108" s="2" t="s">
        <v>2207</v>
      </c>
      <c r="P108" s="2" t="s">
        <v>2208</v>
      </c>
      <c r="Q108" s="2" t="s">
        <v>2209</v>
      </c>
      <c r="R108" s="2" t="s">
        <v>2210</v>
      </c>
      <c r="S108" s="2" t="s">
        <v>2211</v>
      </c>
      <c r="T108" s="2" t="s">
        <v>2212</v>
      </c>
      <c r="Y108" s="2" t="s">
        <v>2213</v>
      </c>
      <c r="AB108" s="2" t="s">
        <v>2214</v>
      </c>
      <c r="AG108" s="2" t="s">
        <v>2215</v>
      </c>
      <c r="AI108" s="2" t="s">
        <v>2216</v>
      </c>
      <c r="AJ108" s="2">
        <v>2.749686E7</v>
      </c>
      <c r="AK108" s="2" t="s">
        <v>2217</v>
      </c>
      <c r="AL108" s="2" t="s">
        <v>384</v>
      </c>
      <c r="AN108" s="2" t="s">
        <v>386</v>
      </c>
      <c r="AO108" s="2" t="s">
        <v>2218</v>
      </c>
      <c r="AP108" s="2" t="s">
        <v>386</v>
      </c>
      <c r="AQ108" s="2">
        <v>1328.0</v>
      </c>
      <c r="AR108" s="2" t="s">
        <v>2219</v>
      </c>
      <c r="AS108" s="2" t="b">
        <v>0</v>
      </c>
      <c r="AT108" s="3">
        <v>0.0</v>
      </c>
      <c r="AU108" s="4"/>
      <c r="AV108" s="4"/>
      <c r="AW108" s="5">
        <f t="shared" si="432"/>
        <v>0</v>
      </c>
      <c r="AX108" s="5">
        <f t="shared" si="4"/>
        <v>0</v>
      </c>
      <c r="AY108" s="5">
        <f t="shared" si="5"/>
        <v>0</v>
      </c>
      <c r="AZ108" s="5">
        <f t="shared" si="6"/>
        <v>0</v>
      </c>
      <c r="BA108" s="5">
        <f t="shared" si="7"/>
        <v>0</v>
      </c>
      <c r="BB108" s="5">
        <f t="shared" si="8"/>
        <v>0</v>
      </c>
      <c r="BC108" s="5">
        <f t="shared" si="9"/>
        <v>0</v>
      </c>
      <c r="BD108" s="5">
        <f t="shared" si="10"/>
        <v>0</v>
      </c>
      <c r="BE108" s="5">
        <f t="shared" si="11"/>
        <v>0</v>
      </c>
      <c r="BF108" s="5">
        <f t="shared" si="12"/>
        <v>0</v>
      </c>
      <c r="BG108" s="5">
        <f t="shared" si="13"/>
        <v>0</v>
      </c>
      <c r="BH108" s="5">
        <f t="shared" si="14"/>
        <v>0</v>
      </c>
      <c r="BI108" s="5">
        <f t="shared" si="15"/>
        <v>0</v>
      </c>
      <c r="BJ108" s="5">
        <f t="shared" si="16"/>
        <v>0</v>
      </c>
      <c r="BK108" s="5">
        <f t="shared" si="17"/>
        <v>0</v>
      </c>
      <c r="BL108" s="5">
        <f t="shared" si="18"/>
        <v>0</v>
      </c>
      <c r="BM108" s="5">
        <f t="shared" si="19"/>
        <v>0</v>
      </c>
      <c r="BN108" s="5">
        <f t="shared" si="20"/>
        <v>0</v>
      </c>
      <c r="BO108" s="5">
        <f t="shared" si="21"/>
        <v>0</v>
      </c>
      <c r="BP108" s="5">
        <f t="shared" si="22"/>
        <v>0</v>
      </c>
      <c r="BQ108" s="5">
        <f t="shared" si="23"/>
        <v>0</v>
      </c>
      <c r="BR108" s="5">
        <f t="shared" si="24"/>
        <v>0</v>
      </c>
      <c r="BS108" s="5">
        <f t="shared" si="25"/>
        <v>0</v>
      </c>
      <c r="BT108" s="5">
        <f t="shared" si="26"/>
        <v>0</v>
      </c>
      <c r="BU108" s="5">
        <f t="shared" si="27"/>
        <v>0</v>
      </c>
      <c r="BV108" s="5">
        <f t="shared" ref="BV108:BW108" si="559">IF(OR(ISNUMBER(SEARCH("grit",$D108)),ISNUMBER(SEARCH("grit",$T108)),ISNUMBER(SEARCH("grit",$R108)),ISNUMBER(SEARCH("grit",$S108)),
ISNUMBER(SEARCH("determination",$D108)),ISNUMBER(SEARCH("determination",$T108)),ISNUMBER(SEARCH("determination",$R108)),ISNUMBER(SEARCH("determination",$S108)),
ISNUMBER(SEARCH("tenacity",$D108)),ISNUMBER(SEARCH("tenacity",$T108)),ISNUMBER(SEARCH("tenacity",$R108)),ISNUMBER(SEARCH("tenacity",$S108)),
ISNUMBER(SEARCH("endurance",$D108)),ISNUMBER(SEARCH("endurance",$T108)),ISNUMBER(SEARCH("endurance",$R108)),ISNUMBER(SEARCH("endurance",$S108)),
ISNUMBER(SEARCH("fortitude",$D108)),ISNUMBER(SEARCH("fortitude",$T108)),ISNUMBER(SEARCH("fortitude",$R108)),ISNUMBER(SEARCH("fortitude",$S108)),
ISNUMBER(SEARCH("resolve",$D108)),ISNUMBER(SEARCH("resolve",$T108)),ISNUMBER(SEARCH("resolve",$R108)),ISNUMBER(SEARCH("resolve",$S108)),
ISNUMBER(SEARCH("stamina",$D108)),ISNUMBER(SEARCH("stamina",$T108)),ISNUMBER(SEARCH("stamina",$R108)),ISNUMBER(SEARCH("stamina",$S108)),
ISNUMBER(SEARCH("guts",$D108)),ISNUMBER(SEARCH("guts",$T108)),ISNUMBER(SEARCH("guts",$R108)),ISNUMBER(SEARCH("guts",$S108)),
ISNUMBER(SEARCH("spunk",$D108)),ISNUMBER(SEARCH("spunk",$T108)),ISNUMBER(SEARCH("spunk",$R108)),ISNUMBER(SEARCH("spunk",$S108))), 1, 0)</f>
        <v>0</v>
      </c>
      <c r="BW108" s="5">
        <f t="shared" si="559"/>
        <v>0</v>
      </c>
      <c r="BX108" s="5">
        <f t="shared" si="29"/>
        <v>0</v>
      </c>
      <c r="BY108" s="5">
        <f t="shared" si="30"/>
        <v>1</v>
      </c>
      <c r="BZ108" s="5">
        <f t="shared" si="31"/>
        <v>0</v>
      </c>
      <c r="CA108" s="5">
        <f t="shared" si="32"/>
        <v>1</v>
      </c>
      <c r="CB108" s="5">
        <f t="shared" si="33"/>
        <v>0</v>
      </c>
      <c r="CC108" s="5">
        <f t="shared" si="34"/>
        <v>0</v>
      </c>
      <c r="CD108" s="5">
        <f t="shared" si="35"/>
        <v>0</v>
      </c>
      <c r="CE108" s="5">
        <f t="shared" si="36"/>
        <v>0</v>
      </c>
      <c r="CF108" s="5">
        <f t="shared" si="37"/>
        <v>0</v>
      </c>
      <c r="CG108" s="5">
        <f t="shared" si="38"/>
        <v>0</v>
      </c>
      <c r="CH108" s="5">
        <f t="shared" si="39"/>
        <v>0</v>
      </c>
      <c r="CI108" s="5">
        <f t="shared" si="40"/>
        <v>0</v>
      </c>
      <c r="CJ108" s="5">
        <f t="shared" si="41"/>
        <v>0</v>
      </c>
      <c r="CK108" s="5">
        <f t="shared" si="42"/>
        <v>0</v>
      </c>
      <c r="CL108" s="5">
        <f t="shared" si="43"/>
        <v>0</v>
      </c>
      <c r="CM108" s="5">
        <f t="shared" si="44"/>
        <v>0</v>
      </c>
      <c r="CN108" s="5">
        <f t="shared" si="45"/>
        <v>0</v>
      </c>
      <c r="CO108" s="5">
        <f t="shared" si="46"/>
        <v>0</v>
      </c>
      <c r="CP108" s="6">
        <f t="shared" si="47"/>
        <v>0</v>
      </c>
      <c r="CQ108" s="6">
        <f t="shared" si="48"/>
        <v>0</v>
      </c>
      <c r="CR108" s="6">
        <f t="shared" si="49"/>
        <v>0</v>
      </c>
      <c r="CS108" s="6">
        <f t="shared" si="50"/>
        <v>0</v>
      </c>
      <c r="CT108" s="6">
        <f t="shared" si="551"/>
        <v>0</v>
      </c>
      <c r="CU108" s="6">
        <f t="shared" si="52"/>
        <v>0</v>
      </c>
      <c r="CV108" s="6">
        <f t="shared" si="53"/>
        <v>0</v>
      </c>
      <c r="CW108" s="6">
        <f t="shared" si="54"/>
        <v>0</v>
      </c>
      <c r="CX108" s="6">
        <f t="shared" si="55"/>
        <v>0</v>
      </c>
      <c r="CY108" s="6">
        <f t="shared" si="56"/>
        <v>0</v>
      </c>
      <c r="CZ108" s="6">
        <f t="shared" si="57"/>
        <v>0</v>
      </c>
      <c r="DA108" s="6">
        <f t="shared" si="58"/>
        <v>0</v>
      </c>
      <c r="DB108" s="6">
        <f t="shared" si="59"/>
        <v>0</v>
      </c>
      <c r="DC108" s="6">
        <f t="shared" si="60"/>
        <v>0</v>
      </c>
      <c r="DD108" s="6">
        <f t="shared" si="61"/>
        <v>0</v>
      </c>
      <c r="DE108" s="6">
        <f t="shared" si="62"/>
        <v>0</v>
      </c>
      <c r="DF108" s="6">
        <f t="shared" si="63"/>
        <v>0</v>
      </c>
      <c r="DG108" s="6">
        <f t="shared" si="64"/>
        <v>0</v>
      </c>
      <c r="DH108" s="6">
        <f t="shared" si="509"/>
        <v>0</v>
      </c>
      <c r="DI108" s="6">
        <f t="shared" si="66"/>
        <v>0</v>
      </c>
      <c r="DJ108" s="6">
        <f t="shared" si="510"/>
        <v>0</v>
      </c>
      <c r="DK108" s="7">
        <f t="shared" si="68"/>
        <v>0</v>
      </c>
      <c r="DL108" s="7">
        <f t="shared" si="498"/>
        <v>0</v>
      </c>
      <c r="DM108" s="7">
        <f t="shared" si="70"/>
        <v>0</v>
      </c>
      <c r="DN108" s="7">
        <f t="shared" si="71"/>
        <v>0</v>
      </c>
      <c r="DO108" s="7">
        <f t="shared" si="72"/>
        <v>0</v>
      </c>
      <c r="DP108" s="8">
        <f t="shared" si="73"/>
        <v>0</v>
      </c>
      <c r="DQ108" s="8">
        <f t="shared" si="74"/>
        <v>0</v>
      </c>
      <c r="DR108" s="7">
        <f t="shared" si="75"/>
        <v>0</v>
      </c>
      <c r="DS108" s="7">
        <f t="shared" si="76"/>
        <v>0</v>
      </c>
      <c r="DT108" s="7">
        <f t="shared" si="77"/>
        <v>0</v>
      </c>
      <c r="DU108" s="9">
        <f t="shared" si="78"/>
        <v>0</v>
      </c>
      <c r="DV108" s="9">
        <f t="shared" si="79"/>
        <v>0</v>
      </c>
      <c r="DW108" s="9">
        <f t="shared" si="80"/>
        <v>0</v>
      </c>
      <c r="DX108" s="9">
        <f t="shared" si="81"/>
        <v>0</v>
      </c>
      <c r="DY108" s="9">
        <f t="shared" si="82"/>
        <v>0</v>
      </c>
      <c r="DZ108" s="9">
        <f t="shared" si="83"/>
        <v>0</v>
      </c>
      <c r="EA108" s="9">
        <f t="shared" si="84"/>
        <v>0</v>
      </c>
      <c r="EB108" s="9">
        <f t="shared" si="85"/>
        <v>0</v>
      </c>
      <c r="EC108" s="9">
        <f t="shared" si="86"/>
        <v>0</v>
      </c>
      <c r="ED108" s="9">
        <f t="shared" si="87"/>
        <v>0</v>
      </c>
      <c r="EE108" s="9">
        <f t="shared" si="88"/>
        <v>0</v>
      </c>
      <c r="EF108" s="9">
        <f t="shared" si="89"/>
        <v>0</v>
      </c>
      <c r="EG108" s="9">
        <f t="shared" si="90"/>
        <v>0</v>
      </c>
      <c r="EH108" s="9">
        <f t="shared" si="91"/>
        <v>0</v>
      </c>
      <c r="EI108" s="9">
        <f t="shared" si="92"/>
        <v>0</v>
      </c>
      <c r="EJ108" s="10">
        <f t="shared" si="93"/>
        <v>0</v>
      </c>
      <c r="EK108" s="10">
        <f t="shared" si="94"/>
        <v>0</v>
      </c>
      <c r="EL108" s="10">
        <f t="shared" ref="EL108:EM108" si="560">IF(OR(ISNUMBER(SEARCH("ai software toolkit", $D108)), ISNUMBER(SEARCH("ai software toolkit", $T108)), ISNUMBER(SEARCH("ai software toolkit", $R108)), ISNUMBER(SEARCH("ai software toolkit", $S108))), 1, 0)</f>
        <v>0</v>
      </c>
      <c r="EM108" s="10">
        <f t="shared" si="560"/>
        <v>0</v>
      </c>
      <c r="EN108" s="10">
        <f t="shared" si="96"/>
        <v>0</v>
      </c>
      <c r="EO108" s="10">
        <f t="shared" si="97"/>
        <v>1</v>
      </c>
      <c r="EP108" s="10">
        <f t="shared" si="98"/>
        <v>0</v>
      </c>
      <c r="EQ108" s="10">
        <f t="shared" si="99"/>
        <v>0</v>
      </c>
      <c r="ER108" s="10">
        <f t="shared" si="100"/>
        <v>0</v>
      </c>
      <c r="ES108" s="10">
        <f t="shared" si="101"/>
        <v>0</v>
      </c>
      <c r="ET108" s="10">
        <f t="shared" si="102"/>
        <v>0</v>
      </c>
      <c r="EU108" s="10">
        <f t="shared" si="103"/>
        <v>0</v>
      </c>
      <c r="EV108" s="10">
        <f t="shared" si="104"/>
        <v>0</v>
      </c>
      <c r="EW108" s="10">
        <f t="shared" si="105"/>
        <v>0</v>
      </c>
      <c r="EX108" s="10">
        <f t="shared" si="106"/>
        <v>0</v>
      </c>
      <c r="EY108" s="10">
        <f t="shared" si="107"/>
        <v>0</v>
      </c>
      <c r="EZ108" s="10">
        <f t="shared" si="108"/>
        <v>0</v>
      </c>
      <c r="FA108" s="10">
        <f t="shared" si="109"/>
        <v>0</v>
      </c>
      <c r="FB108" s="10">
        <f t="shared" si="110"/>
        <v>0</v>
      </c>
      <c r="FC108" s="10">
        <f t="shared" si="111"/>
        <v>0</v>
      </c>
      <c r="FD108" s="10">
        <f t="shared" si="112"/>
        <v>0</v>
      </c>
      <c r="FE108" s="10">
        <f t="shared" si="113"/>
        <v>1</v>
      </c>
      <c r="FF108" s="10">
        <f t="shared" si="114"/>
        <v>0</v>
      </c>
      <c r="FG108" s="10">
        <f t="shared" si="115"/>
        <v>0</v>
      </c>
      <c r="FH108" s="10">
        <f t="shared" si="116"/>
        <v>0</v>
      </c>
      <c r="FI108" s="10">
        <f t="shared" si="117"/>
        <v>0</v>
      </c>
      <c r="FJ108" s="10">
        <f t="shared" si="118"/>
        <v>0</v>
      </c>
      <c r="FK108" s="10">
        <f t="shared" si="119"/>
        <v>0</v>
      </c>
      <c r="FL108" s="10">
        <f t="shared" si="120"/>
        <v>0</v>
      </c>
      <c r="FM108" s="10">
        <f t="shared" si="121"/>
        <v>0</v>
      </c>
      <c r="FN108" s="10">
        <f t="shared" si="122"/>
        <v>0</v>
      </c>
      <c r="FO108" s="10">
        <f t="shared" si="123"/>
        <v>0</v>
      </c>
      <c r="FP108" s="10">
        <f t="shared" si="124"/>
        <v>0</v>
      </c>
      <c r="FQ108" s="10">
        <f t="shared" si="125"/>
        <v>1</v>
      </c>
      <c r="FR108" s="11">
        <f t="shared" si="543"/>
        <v>0</v>
      </c>
      <c r="FS108" s="11">
        <f t="shared" si="127"/>
        <v>0</v>
      </c>
      <c r="FT108" s="11">
        <f t="shared" si="128"/>
        <v>0</v>
      </c>
      <c r="FU108" s="11">
        <f t="shared" si="129"/>
        <v>0</v>
      </c>
      <c r="FV108" s="11">
        <f t="shared" si="130"/>
        <v>0</v>
      </c>
      <c r="FW108" s="11">
        <f t="shared" si="131"/>
        <v>0</v>
      </c>
      <c r="FX108" s="11">
        <f t="shared" si="132"/>
        <v>0</v>
      </c>
      <c r="FY108" s="11">
        <f t="shared" si="133"/>
        <v>0</v>
      </c>
      <c r="FZ108" s="11">
        <f t="shared" si="134"/>
        <v>0</v>
      </c>
      <c r="GA108" s="11">
        <f t="shared" si="135"/>
        <v>0</v>
      </c>
      <c r="GB108" s="11">
        <f t="shared" si="136"/>
        <v>0</v>
      </c>
      <c r="GC108" s="11">
        <f t="shared" si="137"/>
        <v>0</v>
      </c>
      <c r="GD108" s="11">
        <f t="shared" si="138"/>
        <v>0</v>
      </c>
      <c r="GE108" s="11">
        <f t="shared" si="139"/>
        <v>0</v>
      </c>
      <c r="GF108" s="11">
        <f t="shared" si="140"/>
        <v>0</v>
      </c>
      <c r="GG108" s="11">
        <f t="shared" si="141"/>
        <v>0</v>
      </c>
      <c r="GH108" s="11">
        <f t="shared" si="142"/>
        <v>0</v>
      </c>
      <c r="GI108" s="11">
        <f t="shared" si="143"/>
        <v>0</v>
      </c>
      <c r="GJ108" s="11">
        <f t="shared" si="144"/>
        <v>0</v>
      </c>
      <c r="GK108" s="11">
        <f t="shared" si="145"/>
        <v>0</v>
      </c>
      <c r="GL108" s="11">
        <f t="shared" si="146"/>
        <v>0</v>
      </c>
      <c r="GM108" s="11">
        <f t="shared" si="147"/>
        <v>0</v>
      </c>
      <c r="GN108" s="11">
        <f t="shared" si="148"/>
        <v>0</v>
      </c>
      <c r="GO108" s="11">
        <f t="shared" si="149"/>
        <v>0</v>
      </c>
      <c r="GP108" s="11">
        <f t="shared" si="150"/>
        <v>0</v>
      </c>
      <c r="GQ108" s="11">
        <f t="shared" si="151"/>
        <v>0</v>
      </c>
      <c r="GR108" s="11">
        <f t="shared" si="152"/>
        <v>1</v>
      </c>
      <c r="GS108" s="11">
        <f t="shared" si="153"/>
        <v>0</v>
      </c>
      <c r="GT108" s="11">
        <f t="shared" si="154"/>
        <v>0</v>
      </c>
      <c r="GU108" s="12">
        <f t="shared" si="155"/>
        <v>0</v>
      </c>
      <c r="GV108" s="12">
        <f t="shared" si="156"/>
        <v>0</v>
      </c>
      <c r="GW108" s="12">
        <f t="shared" si="157"/>
        <v>0</v>
      </c>
      <c r="GX108" s="12">
        <f t="shared" si="158"/>
        <v>0</v>
      </c>
      <c r="GY108" s="12">
        <f t="shared" si="159"/>
        <v>0</v>
      </c>
      <c r="GZ108" s="12">
        <f t="shared" si="160"/>
        <v>0</v>
      </c>
      <c r="HA108" s="12">
        <f t="shared" si="161"/>
        <v>0</v>
      </c>
      <c r="HB108" s="12">
        <f t="shared" si="162"/>
        <v>0</v>
      </c>
      <c r="HC108" s="12">
        <f t="shared" si="163"/>
        <v>0</v>
      </c>
      <c r="HD108" s="12">
        <f t="shared" si="164"/>
        <v>0</v>
      </c>
      <c r="HE108" s="12">
        <f t="shared" si="165"/>
        <v>0</v>
      </c>
      <c r="HF108" s="12">
        <f t="shared" si="166"/>
        <v>0</v>
      </c>
      <c r="HG108" s="12">
        <f t="shared" si="167"/>
        <v>0</v>
      </c>
      <c r="HH108" s="12">
        <f t="shared" si="168"/>
        <v>0</v>
      </c>
      <c r="HI108" s="12">
        <f t="shared" si="169"/>
        <v>0</v>
      </c>
      <c r="HJ108" s="12">
        <f t="shared" si="170"/>
        <v>0</v>
      </c>
      <c r="HK108" s="12">
        <f t="shared" si="171"/>
        <v>0</v>
      </c>
      <c r="HL108" s="12">
        <f t="shared" si="172"/>
        <v>0</v>
      </c>
      <c r="HM108" s="12">
        <f t="shared" si="173"/>
        <v>0</v>
      </c>
      <c r="HN108" s="12">
        <f t="shared" si="174"/>
        <v>0</v>
      </c>
      <c r="HO108" s="12">
        <f t="shared" si="175"/>
        <v>0</v>
      </c>
      <c r="HP108" s="12">
        <f t="shared" si="176"/>
        <v>0</v>
      </c>
      <c r="HQ108" s="12">
        <f t="shared" si="177"/>
        <v>0</v>
      </c>
      <c r="HR108" s="12">
        <f t="shared" si="178"/>
        <v>0</v>
      </c>
      <c r="HS108" s="12">
        <f t="shared" si="179"/>
        <v>0</v>
      </c>
      <c r="HT108" s="12">
        <f t="shared" si="180"/>
        <v>0</v>
      </c>
      <c r="HU108" s="12">
        <f t="shared" si="181"/>
        <v>0</v>
      </c>
      <c r="HV108" s="12">
        <f t="shared" si="182"/>
        <v>0</v>
      </c>
      <c r="HW108" s="12">
        <f t="shared" si="183"/>
        <v>0</v>
      </c>
      <c r="HX108" s="12">
        <f t="shared" si="184"/>
        <v>0</v>
      </c>
      <c r="HY108" s="12">
        <f t="shared" si="185"/>
        <v>0</v>
      </c>
      <c r="HZ108" s="12">
        <f t="shared" si="186"/>
        <v>0</v>
      </c>
      <c r="IA108" s="12">
        <f t="shared" si="187"/>
        <v>0</v>
      </c>
      <c r="IB108" s="12">
        <f t="shared" si="188"/>
        <v>0</v>
      </c>
      <c r="IC108" s="12">
        <f t="shared" si="189"/>
        <v>0</v>
      </c>
      <c r="ID108" s="12">
        <f t="shared" si="190"/>
        <v>0</v>
      </c>
      <c r="IE108" s="12">
        <f t="shared" si="191"/>
        <v>0</v>
      </c>
      <c r="IF108" s="12">
        <f t="shared" si="192"/>
        <v>0</v>
      </c>
      <c r="IG108" s="12">
        <f t="shared" si="193"/>
        <v>0</v>
      </c>
      <c r="IH108" s="12">
        <f t="shared" si="194"/>
        <v>0</v>
      </c>
      <c r="II108" s="12">
        <f t="shared" si="195"/>
        <v>0</v>
      </c>
      <c r="IJ108" s="12">
        <f t="shared" si="196"/>
        <v>0</v>
      </c>
      <c r="IK108" s="12">
        <f t="shared" si="197"/>
        <v>0</v>
      </c>
      <c r="IL108" s="12">
        <f t="shared" si="198"/>
        <v>0</v>
      </c>
      <c r="IM108" s="12">
        <f t="shared" si="199"/>
        <v>0</v>
      </c>
      <c r="IN108" s="12">
        <f t="shared" si="200"/>
        <v>0</v>
      </c>
      <c r="IO108" s="12">
        <f t="shared" si="201"/>
        <v>0</v>
      </c>
      <c r="IP108" s="12">
        <f t="shared" si="202"/>
        <v>0</v>
      </c>
      <c r="IQ108" s="12">
        <f t="shared" si="203"/>
        <v>0</v>
      </c>
      <c r="IR108" s="12">
        <f t="shared" si="204"/>
        <v>0</v>
      </c>
      <c r="IS108" s="12">
        <f t="shared" si="205"/>
        <v>0</v>
      </c>
      <c r="IT108" s="12">
        <f t="shared" si="206"/>
        <v>0</v>
      </c>
      <c r="IU108" s="12">
        <f t="shared" si="207"/>
        <v>0</v>
      </c>
      <c r="IV108" s="12">
        <f t="shared" si="208"/>
        <v>0</v>
      </c>
      <c r="IW108" s="12">
        <f t="shared" si="209"/>
        <v>0</v>
      </c>
      <c r="IX108" s="12">
        <f t="shared" si="210"/>
        <v>0</v>
      </c>
      <c r="IY108" s="12">
        <f t="shared" si="211"/>
        <v>0</v>
      </c>
      <c r="IZ108" s="12">
        <f t="shared" si="212"/>
        <v>0</v>
      </c>
      <c r="JA108" s="13">
        <f t="shared" si="213"/>
        <v>0</v>
      </c>
      <c r="JB108" s="13">
        <f t="shared" si="214"/>
        <v>0</v>
      </c>
      <c r="JC108" s="13">
        <f t="shared" si="215"/>
        <v>0</v>
      </c>
      <c r="JD108" s="13">
        <f t="shared" si="216"/>
        <v>0</v>
      </c>
      <c r="JE108" s="13">
        <f t="shared" si="217"/>
        <v>0</v>
      </c>
      <c r="JF108" s="13">
        <f t="shared" si="218"/>
        <v>0</v>
      </c>
      <c r="JG108" s="13">
        <f t="shared" si="219"/>
        <v>0</v>
      </c>
      <c r="JH108" s="13">
        <f t="shared" si="220"/>
        <v>0</v>
      </c>
      <c r="JI108" s="13">
        <f t="shared" si="221"/>
        <v>0</v>
      </c>
      <c r="JJ108" s="13">
        <f t="shared" si="222"/>
        <v>0</v>
      </c>
      <c r="JK108" s="13">
        <f t="shared" si="223"/>
        <v>0</v>
      </c>
      <c r="JL108" s="13">
        <f t="shared" si="224"/>
        <v>0</v>
      </c>
      <c r="JM108" s="13">
        <f t="shared" si="225"/>
        <v>0</v>
      </c>
      <c r="JN108" s="13">
        <f t="shared" si="226"/>
        <v>0</v>
      </c>
      <c r="JO108" s="13">
        <f t="shared" si="227"/>
        <v>0</v>
      </c>
      <c r="JP108" s="13">
        <f t="shared" si="228"/>
        <v>0</v>
      </c>
      <c r="JQ108" s="13">
        <f t="shared" si="229"/>
        <v>0</v>
      </c>
      <c r="JR108" s="13">
        <f t="shared" si="230"/>
        <v>0</v>
      </c>
      <c r="JS108" s="13">
        <f t="shared" si="231"/>
        <v>0</v>
      </c>
      <c r="JT108" s="13">
        <f t="shared" si="232"/>
        <v>0</v>
      </c>
      <c r="JU108" s="13">
        <f t="shared" si="233"/>
        <v>0</v>
      </c>
      <c r="JV108" s="12">
        <f t="shared" si="234"/>
        <v>0</v>
      </c>
      <c r="JW108" s="12">
        <f t="shared" si="235"/>
        <v>0</v>
      </c>
      <c r="JX108" s="12">
        <f t="shared" si="236"/>
        <v>0</v>
      </c>
      <c r="JY108" s="12">
        <f t="shared" si="237"/>
        <v>0</v>
      </c>
      <c r="JZ108" s="12">
        <f t="shared" si="238"/>
        <v>0</v>
      </c>
      <c r="KA108" s="12">
        <f t="shared" si="239"/>
        <v>0</v>
      </c>
      <c r="KB108" s="12">
        <f t="shared" si="240"/>
        <v>0</v>
      </c>
      <c r="KC108" s="12">
        <f t="shared" si="241"/>
        <v>0</v>
      </c>
      <c r="KD108" s="12">
        <f t="shared" si="242"/>
        <v>0</v>
      </c>
      <c r="KE108" s="12">
        <f t="shared" si="243"/>
        <v>0</v>
      </c>
      <c r="KF108" s="12">
        <f t="shared" si="244"/>
        <v>0</v>
      </c>
      <c r="KG108" s="12">
        <f t="shared" si="245"/>
        <v>0</v>
      </c>
      <c r="KH108" s="12">
        <f t="shared" si="246"/>
        <v>0</v>
      </c>
      <c r="KI108" s="12">
        <f t="shared" si="247"/>
        <v>0</v>
      </c>
      <c r="KJ108" s="12">
        <f t="shared" si="248"/>
        <v>0</v>
      </c>
      <c r="KK108" s="12">
        <f t="shared" si="249"/>
        <v>0</v>
      </c>
      <c r="KL108" s="12">
        <f t="shared" si="250"/>
        <v>0</v>
      </c>
      <c r="KM108" s="12">
        <f t="shared" si="251"/>
        <v>0</v>
      </c>
      <c r="KN108" s="12">
        <f t="shared" si="252"/>
        <v>0</v>
      </c>
      <c r="KO108" s="12">
        <f t="shared" si="253"/>
        <v>0</v>
      </c>
      <c r="KP108" s="12">
        <f t="shared" si="254"/>
        <v>0</v>
      </c>
      <c r="KQ108" s="12">
        <f t="shared" si="255"/>
        <v>0</v>
      </c>
      <c r="KR108" s="12">
        <f t="shared" si="256"/>
        <v>0</v>
      </c>
      <c r="KS108" s="12">
        <f t="shared" si="257"/>
        <v>0</v>
      </c>
      <c r="KT108" s="12">
        <f t="shared" si="258"/>
        <v>0</v>
      </c>
      <c r="KU108" s="12">
        <f t="shared" si="259"/>
        <v>0</v>
      </c>
      <c r="KV108" s="12">
        <f t="shared" si="260"/>
        <v>0</v>
      </c>
      <c r="KW108" s="12">
        <f t="shared" si="261"/>
        <v>0</v>
      </c>
      <c r="KX108" s="12">
        <f t="shared" si="262"/>
        <v>0</v>
      </c>
      <c r="KY108" s="12">
        <f t="shared" si="263"/>
        <v>0</v>
      </c>
      <c r="KZ108" s="12">
        <f t="shared" si="264"/>
        <v>0</v>
      </c>
      <c r="LA108" s="12">
        <f t="shared" si="265"/>
        <v>0</v>
      </c>
      <c r="LB108" s="12">
        <f t="shared" si="266"/>
        <v>0</v>
      </c>
      <c r="LC108" s="12">
        <f t="shared" si="267"/>
        <v>0</v>
      </c>
      <c r="LD108" s="12">
        <f t="shared" si="268"/>
        <v>0</v>
      </c>
      <c r="LE108" s="12">
        <f t="shared" si="269"/>
        <v>0</v>
      </c>
      <c r="LF108" s="12">
        <f t="shared" si="270"/>
        <v>0</v>
      </c>
      <c r="LG108" s="12">
        <f t="shared" si="271"/>
        <v>0</v>
      </c>
      <c r="LH108" s="12">
        <f t="shared" si="272"/>
        <v>0</v>
      </c>
      <c r="LI108" s="12">
        <f t="shared" si="273"/>
        <v>0</v>
      </c>
      <c r="LJ108" s="12">
        <f t="shared" si="274"/>
        <v>0</v>
      </c>
      <c r="LK108" s="12">
        <f t="shared" si="275"/>
        <v>0</v>
      </c>
      <c r="LL108" s="12">
        <f t="shared" si="276"/>
        <v>0</v>
      </c>
      <c r="LM108" s="12">
        <f t="shared" si="277"/>
        <v>0</v>
      </c>
      <c r="LN108" s="12">
        <f t="shared" si="278"/>
        <v>0</v>
      </c>
      <c r="LO108" s="12">
        <f t="shared" si="279"/>
        <v>0</v>
      </c>
      <c r="LP108" s="12">
        <f t="shared" si="280"/>
        <v>0</v>
      </c>
      <c r="LQ108" s="12">
        <f t="shared" si="281"/>
        <v>0</v>
      </c>
      <c r="LR108" s="12">
        <f t="shared" si="282"/>
        <v>0</v>
      </c>
      <c r="LS108" s="12">
        <f t="shared" si="283"/>
        <v>0</v>
      </c>
      <c r="LT108" s="13">
        <f t="shared" si="284"/>
        <v>0</v>
      </c>
      <c r="LU108" s="13">
        <f t="shared" si="285"/>
        <v>0</v>
      </c>
      <c r="LV108" s="13">
        <f t="shared" si="286"/>
        <v>0</v>
      </c>
      <c r="LW108" s="13">
        <f t="shared" si="287"/>
        <v>0</v>
      </c>
      <c r="LX108" s="13">
        <f t="shared" si="288"/>
        <v>0</v>
      </c>
      <c r="LY108" s="13">
        <f t="shared" si="289"/>
        <v>0</v>
      </c>
      <c r="LZ108" s="13">
        <f t="shared" si="290"/>
        <v>0</v>
      </c>
      <c r="MA108" s="13">
        <f t="shared" si="291"/>
        <v>0</v>
      </c>
      <c r="MB108" s="13">
        <f t="shared" si="292"/>
        <v>0</v>
      </c>
      <c r="MC108" s="13">
        <f t="shared" si="293"/>
        <v>0</v>
      </c>
      <c r="MD108" s="13">
        <f t="shared" si="294"/>
        <v>0</v>
      </c>
      <c r="ME108" s="13">
        <f t="shared" si="295"/>
        <v>0</v>
      </c>
      <c r="MF108" s="13">
        <f t="shared" si="296"/>
        <v>0</v>
      </c>
      <c r="MG108" s="13">
        <f t="shared" si="297"/>
        <v>0</v>
      </c>
      <c r="MH108" s="13">
        <f t="shared" si="298"/>
        <v>0</v>
      </c>
      <c r="MI108" s="13">
        <f t="shared" si="299"/>
        <v>0</v>
      </c>
      <c r="MJ108" s="13">
        <f t="shared" si="300"/>
        <v>0</v>
      </c>
      <c r="MK108" s="13">
        <f t="shared" si="301"/>
        <v>0</v>
      </c>
      <c r="ML108" s="14">
        <f t="shared" si="302"/>
        <v>0</v>
      </c>
      <c r="MM108" s="14">
        <f t="shared" si="303"/>
        <v>0</v>
      </c>
      <c r="MN108" s="14">
        <f t="shared" si="304"/>
        <v>0</v>
      </c>
      <c r="MO108" s="14">
        <f t="shared" si="305"/>
        <v>0</v>
      </c>
      <c r="MP108" s="14">
        <f t="shared" si="306"/>
        <v>0</v>
      </c>
      <c r="MQ108" s="14">
        <f t="shared" si="307"/>
        <v>0</v>
      </c>
      <c r="MR108" s="14">
        <f t="shared" si="308"/>
        <v>0</v>
      </c>
      <c r="MS108" s="14">
        <f t="shared" si="309"/>
        <v>0</v>
      </c>
      <c r="MT108" s="14">
        <f t="shared" si="310"/>
        <v>0</v>
      </c>
      <c r="MU108" s="14">
        <f t="shared" si="311"/>
        <v>0</v>
      </c>
      <c r="MV108" s="14">
        <f t="shared" si="312"/>
        <v>0</v>
      </c>
      <c r="MW108" s="14">
        <f t="shared" si="313"/>
        <v>0</v>
      </c>
      <c r="MX108" s="14">
        <f t="shared" si="314"/>
        <v>0</v>
      </c>
      <c r="MY108" s="14">
        <f t="shared" si="315"/>
        <v>0</v>
      </c>
      <c r="MZ108" s="14">
        <f t="shared" si="316"/>
        <v>0</v>
      </c>
      <c r="NA108" s="14">
        <f t="shared" si="317"/>
        <v>0</v>
      </c>
      <c r="NB108" s="14">
        <f t="shared" si="318"/>
        <v>0</v>
      </c>
    </row>
    <row r="109" ht="15.75" customHeight="1">
      <c r="A109" s="2">
        <v>315.0</v>
      </c>
      <c r="B109" s="2" t="s">
        <v>2220</v>
      </c>
      <c r="C109" s="2" t="s">
        <v>2221</v>
      </c>
      <c r="D109" s="2" t="s">
        <v>2222</v>
      </c>
      <c r="E109" s="2">
        <v>2019.0</v>
      </c>
      <c r="F109" s="2" t="s">
        <v>1125</v>
      </c>
      <c r="G109" s="2" t="s">
        <v>1069</v>
      </c>
      <c r="H109" s="2" t="s">
        <v>2223</v>
      </c>
      <c r="I109" s="2" t="s">
        <v>2224</v>
      </c>
      <c r="M109" s="2">
        <v>8.0</v>
      </c>
      <c r="N109" s="2" t="s">
        <v>2225</v>
      </c>
      <c r="O109" s="2" t="s">
        <v>2226</v>
      </c>
      <c r="P109" s="2" t="s">
        <v>2227</v>
      </c>
      <c r="Q109" s="2" t="s">
        <v>2228</v>
      </c>
      <c r="R109" s="2" t="s">
        <v>2229</v>
      </c>
      <c r="S109" s="2" t="s">
        <v>2230</v>
      </c>
      <c r="Y109" s="2" t="s">
        <v>2231</v>
      </c>
      <c r="AB109" s="2" t="s">
        <v>1039</v>
      </c>
      <c r="AG109" s="2" t="s">
        <v>1134</v>
      </c>
      <c r="AK109" s="2" t="s">
        <v>1135</v>
      </c>
      <c r="AL109" s="2" t="s">
        <v>384</v>
      </c>
      <c r="AM109" s="2" t="s">
        <v>484</v>
      </c>
      <c r="AN109" s="2" t="s">
        <v>386</v>
      </c>
      <c r="AO109" s="2" t="s">
        <v>2232</v>
      </c>
      <c r="AP109" s="2" t="s">
        <v>386</v>
      </c>
      <c r="AQ109" s="2">
        <v>1245.0</v>
      </c>
      <c r="AR109" s="2" t="s">
        <v>2233</v>
      </c>
      <c r="AS109" s="2" t="b">
        <v>1</v>
      </c>
      <c r="AT109" s="3">
        <v>0.0</v>
      </c>
      <c r="AU109" s="4"/>
      <c r="AV109" s="4"/>
      <c r="AW109" s="5">
        <f t="shared" si="432"/>
        <v>0</v>
      </c>
      <c r="AX109" s="5">
        <f t="shared" si="4"/>
        <v>0</v>
      </c>
      <c r="AY109" s="5">
        <f t="shared" si="5"/>
        <v>0</v>
      </c>
      <c r="AZ109" s="5">
        <f t="shared" si="6"/>
        <v>0</v>
      </c>
      <c r="BA109" s="5">
        <f t="shared" si="7"/>
        <v>0</v>
      </c>
      <c r="BB109" s="5">
        <f t="shared" si="8"/>
        <v>0</v>
      </c>
      <c r="BC109" s="5">
        <f t="shared" si="9"/>
        <v>0</v>
      </c>
      <c r="BD109" s="5">
        <f t="shared" si="10"/>
        <v>0</v>
      </c>
      <c r="BE109" s="5">
        <f t="shared" si="11"/>
        <v>0</v>
      </c>
      <c r="BF109" s="5">
        <f t="shared" si="12"/>
        <v>0</v>
      </c>
      <c r="BG109" s="5">
        <f t="shared" si="13"/>
        <v>0</v>
      </c>
      <c r="BH109" s="5">
        <f t="shared" si="14"/>
        <v>0</v>
      </c>
      <c r="BI109" s="5">
        <f t="shared" si="15"/>
        <v>0</v>
      </c>
      <c r="BJ109" s="5">
        <f t="shared" si="16"/>
        <v>0</v>
      </c>
      <c r="BK109" s="5">
        <f t="shared" si="17"/>
        <v>0</v>
      </c>
      <c r="BL109" s="5">
        <f t="shared" si="18"/>
        <v>0</v>
      </c>
      <c r="BM109" s="5">
        <f t="shared" si="19"/>
        <v>0</v>
      </c>
      <c r="BN109" s="5">
        <f t="shared" si="20"/>
        <v>0</v>
      </c>
      <c r="BO109" s="5">
        <f t="shared" si="21"/>
        <v>0</v>
      </c>
      <c r="BP109" s="5">
        <f t="shared" si="22"/>
        <v>0</v>
      </c>
      <c r="BQ109" s="5">
        <f t="shared" si="23"/>
        <v>0</v>
      </c>
      <c r="BR109" s="5">
        <f t="shared" si="24"/>
        <v>0</v>
      </c>
      <c r="BS109" s="5">
        <f t="shared" si="25"/>
        <v>0</v>
      </c>
      <c r="BT109" s="5">
        <f t="shared" si="26"/>
        <v>0</v>
      </c>
      <c r="BU109" s="5">
        <f t="shared" si="27"/>
        <v>0</v>
      </c>
      <c r="BV109" s="5">
        <f t="shared" ref="BV109:BW109" si="561">IF(OR(ISNUMBER(SEARCH("grit",$D109)),ISNUMBER(SEARCH("grit",$T109)),ISNUMBER(SEARCH("grit",$R109)),ISNUMBER(SEARCH("grit",$S109)),
ISNUMBER(SEARCH("determination",$D109)),ISNUMBER(SEARCH("determination",$T109)),ISNUMBER(SEARCH("determination",$R109)),ISNUMBER(SEARCH("determination",$S109)),
ISNUMBER(SEARCH("tenacity",$D109)),ISNUMBER(SEARCH("tenacity",$T109)),ISNUMBER(SEARCH("tenacity",$R109)),ISNUMBER(SEARCH("tenacity",$S109)),
ISNUMBER(SEARCH("endurance",$D109)),ISNUMBER(SEARCH("endurance",$T109)),ISNUMBER(SEARCH("endurance",$R109)),ISNUMBER(SEARCH("endurance",$S109)),
ISNUMBER(SEARCH("fortitude",$D109)),ISNUMBER(SEARCH("fortitude",$T109)),ISNUMBER(SEARCH("fortitude",$R109)),ISNUMBER(SEARCH("fortitude",$S109)),
ISNUMBER(SEARCH("resolve",$D109)),ISNUMBER(SEARCH("resolve",$T109)),ISNUMBER(SEARCH("resolve",$R109)),ISNUMBER(SEARCH("resolve",$S109)),
ISNUMBER(SEARCH("stamina",$D109)),ISNUMBER(SEARCH("stamina",$T109)),ISNUMBER(SEARCH("stamina",$R109)),ISNUMBER(SEARCH("stamina",$S109)),
ISNUMBER(SEARCH("guts",$D109)),ISNUMBER(SEARCH("guts",$T109)),ISNUMBER(SEARCH("guts",$R109)),ISNUMBER(SEARCH("guts",$S109)),
ISNUMBER(SEARCH("spunk",$D109)),ISNUMBER(SEARCH("spunk",$T109)),ISNUMBER(SEARCH("spunk",$R109)),ISNUMBER(SEARCH("spunk",$S109))), 1, 0)</f>
        <v>0</v>
      </c>
      <c r="BW109" s="5">
        <f t="shared" si="561"/>
        <v>0</v>
      </c>
      <c r="BX109" s="5">
        <f t="shared" si="29"/>
        <v>0</v>
      </c>
      <c r="BY109" s="5">
        <f t="shared" si="30"/>
        <v>0</v>
      </c>
      <c r="BZ109" s="5">
        <f t="shared" si="31"/>
        <v>0</v>
      </c>
      <c r="CA109" s="5">
        <f t="shared" si="32"/>
        <v>0</v>
      </c>
      <c r="CB109" s="5">
        <f t="shared" si="33"/>
        <v>0</v>
      </c>
      <c r="CC109" s="5">
        <f t="shared" si="34"/>
        <v>0</v>
      </c>
      <c r="CD109" s="5">
        <f t="shared" si="35"/>
        <v>0</v>
      </c>
      <c r="CE109" s="5">
        <f t="shared" si="36"/>
        <v>0</v>
      </c>
      <c r="CF109" s="5">
        <f t="shared" si="37"/>
        <v>0</v>
      </c>
      <c r="CG109" s="5">
        <f t="shared" si="38"/>
        <v>0</v>
      </c>
      <c r="CH109" s="5">
        <f t="shared" si="39"/>
        <v>0</v>
      </c>
      <c r="CI109" s="5">
        <f t="shared" si="40"/>
        <v>0</v>
      </c>
      <c r="CJ109" s="5">
        <f t="shared" si="41"/>
        <v>0</v>
      </c>
      <c r="CK109" s="5">
        <f t="shared" si="42"/>
        <v>1</v>
      </c>
      <c r="CL109" s="5">
        <f t="shared" si="43"/>
        <v>0</v>
      </c>
      <c r="CM109" s="5">
        <f t="shared" si="44"/>
        <v>0</v>
      </c>
      <c r="CN109" s="5">
        <f t="shared" si="45"/>
        <v>0</v>
      </c>
      <c r="CO109" s="5">
        <f t="shared" si="46"/>
        <v>0</v>
      </c>
      <c r="CP109" s="6">
        <f t="shared" si="47"/>
        <v>0</v>
      </c>
      <c r="CQ109" s="6">
        <f t="shared" si="48"/>
        <v>0</v>
      </c>
      <c r="CR109" s="6">
        <f t="shared" si="49"/>
        <v>0</v>
      </c>
      <c r="CS109" s="6">
        <f t="shared" si="50"/>
        <v>0</v>
      </c>
      <c r="CT109" s="6">
        <f t="shared" si="551"/>
        <v>0</v>
      </c>
      <c r="CU109" s="6">
        <f t="shared" si="52"/>
        <v>0</v>
      </c>
      <c r="CV109" s="6">
        <f t="shared" si="53"/>
        <v>0</v>
      </c>
      <c r="CW109" s="6">
        <f t="shared" si="54"/>
        <v>0</v>
      </c>
      <c r="CX109" s="6">
        <f t="shared" si="55"/>
        <v>0</v>
      </c>
      <c r="CY109" s="6">
        <f t="shared" si="56"/>
        <v>0</v>
      </c>
      <c r="CZ109" s="6">
        <f t="shared" si="57"/>
        <v>0</v>
      </c>
      <c r="DA109" s="6">
        <f t="shared" si="58"/>
        <v>0</v>
      </c>
      <c r="DB109" s="6">
        <f t="shared" si="59"/>
        <v>0</v>
      </c>
      <c r="DC109" s="6">
        <f t="shared" si="60"/>
        <v>0</v>
      </c>
      <c r="DD109" s="6">
        <f t="shared" si="61"/>
        <v>0</v>
      </c>
      <c r="DE109" s="6">
        <f t="shared" si="62"/>
        <v>0</v>
      </c>
      <c r="DF109" s="6">
        <f t="shared" si="63"/>
        <v>0</v>
      </c>
      <c r="DG109" s="6">
        <f t="shared" si="64"/>
        <v>0</v>
      </c>
      <c r="DH109" s="6">
        <f t="shared" si="509"/>
        <v>0</v>
      </c>
      <c r="DI109" s="6">
        <f t="shared" si="66"/>
        <v>0</v>
      </c>
      <c r="DJ109" s="6">
        <f t="shared" si="510"/>
        <v>0</v>
      </c>
      <c r="DK109" s="7">
        <f t="shared" si="68"/>
        <v>0</v>
      </c>
      <c r="DL109" s="7">
        <f t="shared" si="498"/>
        <v>0</v>
      </c>
      <c r="DM109" s="7">
        <f t="shared" si="70"/>
        <v>0</v>
      </c>
      <c r="DN109" s="7">
        <f t="shared" si="71"/>
        <v>0</v>
      </c>
      <c r="DO109" s="7">
        <f t="shared" si="72"/>
        <v>1</v>
      </c>
      <c r="DP109" s="8">
        <f t="shared" si="73"/>
        <v>0</v>
      </c>
      <c r="DQ109" s="8">
        <f t="shared" si="74"/>
        <v>1</v>
      </c>
      <c r="DR109" s="7">
        <f t="shared" si="75"/>
        <v>0</v>
      </c>
      <c r="DS109" s="7">
        <f t="shared" si="76"/>
        <v>0</v>
      </c>
      <c r="DT109" s="7">
        <f t="shared" si="77"/>
        <v>0</v>
      </c>
      <c r="DU109" s="9">
        <f t="shared" si="78"/>
        <v>0</v>
      </c>
      <c r="DV109" s="9">
        <f t="shared" si="79"/>
        <v>0</v>
      </c>
      <c r="DW109" s="9">
        <f t="shared" si="80"/>
        <v>0</v>
      </c>
      <c r="DX109" s="9">
        <f t="shared" si="81"/>
        <v>0</v>
      </c>
      <c r="DY109" s="9">
        <f t="shared" si="82"/>
        <v>0</v>
      </c>
      <c r="DZ109" s="9">
        <f t="shared" si="83"/>
        <v>0</v>
      </c>
      <c r="EA109" s="9">
        <f t="shared" si="84"/>
        <v>0</v>
      </c>
      <c r="EB109" s="9">
        <f t="shared" si="85"/>
        <v>0</v>
      </c>
      <c r="EC109" s="9">
        <f t="shared" si="86"/>
        <v>0</v>
      </c>
      <c r="ED109" s="9">
        <f t="shared" si="87"/>
        <v>0</v>
      </c>
      <c r="EE109" s="9">
        <f t="shared" si="88"/>
        <v>0</v>
      </c>
      <c r="EF109" s="9">
        <f t="shared" si="89"/>
        <v>0</v>
      </c>
      <c r="EG109" s="9">
        <f t="shared" si="90"/>
        <v>0</v>
      </c>
      <c r="EH109" s="9">
        <f t="shared" si="91"/>
        <v>0</v>
      </c>
      <c r="EI109" s="9">
        <f t="shared" si="92"/>
        <v>0</v>
      </c>
      <c r="EJ109" s="10">
        <f t="shared" si="93"/>
        <v>0</v>
      </c>
      <c r="EK109" s="10">
        <f t="shared" si="94"/>
        <v>0</v>
      </c>
      <c r="EL109" s="10">
        <f t="shared" ref="EL109:EM109" si="562">IF(OR(ISNUMBER(SEARCH("ai software toolkit", $D109)), ISNUMBER(SEARCH("ai software toolkit", $T109)), ISNUMBER(SEARCH("ai software toolkit", $R109)), ISNUMBER(SEARCH("ai software toolkit", $S109))), 1, 0)</f>
        <v>0</v>
      </c>
      <c r="EM109" s="10">
        <f t="shared" si="562"/>
        <v>0</v>
      </c>
      <c r="EN109" s="10">
        <f t="shared" si="96"/>
        <v>0</v>
      </c>
      <c r="EO109" s="10">
        <f t="shared" si="97"/>
        <v>0</v>
      </c>
      <c r="EP109" s="10">
        <f t="shared" si="98"/>
        <v>0</v>
      </c>
      <c r="EQ109" s="10">
        <f t="shared" si="99"/>
        <v>0</v>
      </c>
      <c r="ER109" s="10">
        <f t="shared" si="100"/>
        <v>0</v>
      </c>
      <c r="ES109" s="10">
        <f t="shared" si="101"/>
        <v>0</v>
      </c>
      <c r="ET109" s="10">
        <f t="shared" si="102"/>
        <v>0</v>
      </c>
      <c r="EU109" s="10">
        <f t="shared" si="103"/>
        <v>0</v>
      </c>
      <c r="EV109" s="10">
        <f t="shared" si="104"/>
        <v>0</v>
      </c>
      <c r="EW109" s="10">
        <f t="shared" si="105"/>
        <v>0</v>
      </c>
      <c r="EX109" s="10">
        <f t="shared" si="106"/>
        <v>0</v>
      </c>
      <c r="EY109" s="10">
        <f t="shared" si="107"/>
        <v>0</v>
      </c>
      <c r="EZ109" s="10">
        <f t="shared" si="108"/>
        <v>0</v>
      </c>
      <c r="FA109" s="10">
        <f t="shared" si="109"/>
        <v>0</v>
      </c>
      <c r="FB109" s="10">
        <f t="shared" si="110"/>
        <v>0</v>
      </c>
      <c r="FC109" s="10">
        <f t="shared" si="111"/>
        <v>0</v>
      </c>
      <c r="FD109" s="10">
        <f t="shared" si="112"/>
        <v>0</v>
      </c>
      <c r="FE109" s="10">
        <f t="shared" si="113"/>
        <v>0</v>
      </c>
      <c r="FF109" s="10">
        <f t="shared" si="114"/>
        <v>0</v>
      </c>
      <c r="FG109" s="10">
        <f t="shared" si="115"/>
        <v>0</v>
      </c>
      <c r="FH109" s="10">
        <f t="shared" si="116"/>
        <v>0</v>
      </c>
      <c r="FI109" s="10">
        <f t="shared" si="117"/>
        <v>0</v>
      </c>
      <c r="FJ109" s="10">
        <f t="shared" si="118"/>
        <v>0</v>
      </c>
      <c r="FK109" s="10">
        <f t="shared" si="119"/>
        <v>0</v>
      </c>
      <c r="FL109" s="10">
        <f t="shared" si="120"/>
        <v>0</v>
      </c>
      <c r="FM109" s="10">
        <f t="shared" si="121"/>
        <v>0</v>
      </c>
      <c r="FN109" s="10">
        <f t="shared" si="122"/>
        <v>0</v>
      </c>
      <c r="FO109" s="10">
        <f t="shared" si="123"/>
        <v>0</v>
      </c>
      <c r="FP109" s="10">
        <f t="shared" si="124"/>
        <v>0</v>
      </c>
      <c r="FQ109" s="10">
        <f t="shared" si="125"/>
        <v>0</v>
      </c>
      <c r="FR109" s="11">
        <f t="shared" si="543"/>
        <v>0</v>
      </c>
      <c r="FS109" s="11">
        <f t="shared" si="127"/>
        <v>0</v>
      </c>
      <c r="FT109" s="11">
        <f t="shared" si="128"/>
        <v>0</v>
      </c>
      <c r="FU109" s="11">
        <f t="shared" si="129"/>
        <v>0</v>
      </c>
      <c r="FV109" s="11">
        <f t="shared" si="130"/>
        <v>0</v>
      </c>
      <c r="FW109" s="11">
        <f t="shared" si="131"/>
        <v>0</v>
      </c>
      <c r="FX109" s="11">
        <f t="shared" si="132"/>
        <v>0</v>
      </c>
      <c r="FY109" s="11">
        <f t="shared" si="133"/>
        <v>0</v>
      </c>
      <c r="FZ109" s="11">
        <f t="shared" si="134"/>
        <v>0</v>
      </c>
      <c r="GA109" s="11">
        <f t="shared" si="135"/>
        <v>0</v>
      </c>
      <c r="GB109" s="11">
        <f t="shared" si="136"/>
        <v>0</v>
      </c>
      <c r="GC109" s="11">
        <f t="shared" si="137"/>
        <v>0</v>
      </c>
      <c r="GD109" s="11">
        <f t="shared" si="138"/>
        <v>0</v>
      </c>
      <c r="GE109" s="11">
        <f t="shared" si="139"/>
        <v>0</v>
      </c>
      <c r="GF109" s="11">
        <f t="shared" si="140"/>
        <v>0</v>
      </c>
      <c r="GG109" s="11">
        <f t="shared" si="141"/>
        <v>0</v>
      </c>
      <c r="GH109" s="11">
        <f t="shared" si="142"/>
        <v>0</v>
      </c>
      <c r="GI109" s="11">
        <f t="shared" si="143"/>
        <v>0</v>
      </c>
      <c r="GJ109" s="11">
        <f t="shared" si="144"/>
        <v>0</v>
      </c>
      <c r="GK109" s="11">
        <f t="shared" si="145"/>
        <v>0</v>
      </c>
      <c r="GL109" s="11">
        <f t="shared" si="146"/>
        <v>0</v>
      </c>
      <c r="GM109" s="11">
        <f t="shared" si="147"/>
        <v>0</v>
      </c>
      <c r="GN109" s="11">
        <f t="shared" si="148"/>
        <v>0</v>
      </c>
      <c r="GO109" s="11">
        <f t="shared" si="149"/>
        <v>0</v>
      </c>
      <c r="GP109" s="11">
        <f t="shared" si="150"/>
        <v>0</v>
      </c>
      <c r="GQ109" s="11">
        <f t="shared" si="151"/>
        <v>0</v>
      </c>
      <c r="GR109" s="11">
        <f t="shared" si="152"/>
        <v>0</v>
      </c>
      <c r="GS109" s="11">
        <f t="shared" si="153"/>
        <v>0</v>
      </c>
      <c r="GT109" s="11">
        <f t="shared" si="154"/>
        <v>0</v>
      </c>
      <c r="GU109" s="12">
        <f t="shared" si="155"/>
        <v>0</v>
      </c>
      <c r="GV109" s="12">
        <f t="shared" si="156"/>
        <v>0</v>
      </c>
      <c r="GW109" s="12">
        <f t="shared" si="157"/>
        <v>0</v>
      </c>
      <c r="GX109" s="12">
        <f t="shared" si="158"/>
        <v>0</v>
      </c>
      <c r="GY109" s="12">
        <f t="shared" si="159"/>
        <v>0</v>
      </c>
      <c r="GZ109" s="12">
        <f t="shared" si="160"/>
        <v>0</v>
      </c>
      <c r="HA109" s="12">
        <f t="shared" si="161"/>
        <v>0</v>
      </c>
      <c r="HB109" s="12">
        <f t="shared" si="162"/>
        <v>0</v>
      </c>
      <c r="HC109" s="12">
        <f t="shared" si="163"/>
        <v>0</v>
      </c>
      <c r="HD109" s="12">
        <f t="shared" si="164"/>
        <v>0</v>
      </c>
      <c r="HE109" s="12">
        <f t="shared" si="165"/>
        <v>0</v>
      </c>
      <c r="HF109" s="12">
        <f t="shared" si="166"/>
        <v>0</v>
      </c>
      <c r="HG109" s="12">
        <f t="shared" si="167"/>
        <v>0</v>
      </c>
      <c r="HH109" s="12">
        <f t="shared" si="168"/>
        <v>0</v>
      </c>
      <c r="HI109" s="12">
        <f t="shared" si="169"/>
        <v>0</v>
      </c>
      <c r="HJ109" s="12">
        <f t="shared" si="170"/>
        <v>0</v>
      </c>
      <c r="HK109" s="12">
        <f t="shared" si="171"/>
        <v>0</v>
      </c>
      <c r="HL109" s="12">
        <f t="shared" si="172"/>
        <v>0</v>
      </c>
      <c r="HM109" s="12">
        <f t="shared" si="173"/>
        <v>0</v>
      </c>
      <c r="HN109" s="12">
        <f t="shared" si="174"/>
        <v>0</v>
      </c>
      <c r="HO109" s="12">
        <f t="shared" si="175"/>
        <v>0</v>
      </c>
      <c r="HP109" s="12">
        <f t="shared" si="176"/>
        <v>0</v>
      </c>
      <c r="HQ109" s="12">
        <f t="shared" si="177"/>
        <v>0</v>
      </c>
      <c r="HR109" s="12">
        <f t="shared" si="178"/>
        <v>0</v>
      </c>
      <c r="HS109" s="12">
        <f t="shared" si="179"/>
        <v>0</v>
      </c>
      <c r="HT109" s="12">
        <f t="shared" si="180"/>
        <v>0</v>
      </c>
      <c r="HU109" s="12">
        <f t="shared" si="181"/>
        <v>0</v>
      </c>
      <c r="HV109" s="12">
        <f t="shared" si="182"/>
        <v>0</v>
      </c>
      <c r="HW109" s="12">
        <f t="shared" si="183"/>
        <v>0</v>
      </c>
      <c r="HX109" s="12">
        <f t="shared" si="184"/>
        <v>0</v>
      </c>
      <c r="HY109" s="12">
        <f t="shared" si="185"/>
        <v>0</v>
      </c>
      <c r="HZ109" s="12">
        <f t="shared" si="186"/>
        <v>0</v>
      </c>
      <c r="IA109" s="12">
        <f t="shared" si="187"/>
        <v>0</v>
      </c>
      <c r="IB109" s="12">
        <f t="shared" si="188"/>
        <v>0</v>
      </c>
      <c r="IC109" s="12">
        <f t="shared" si="189"/>
        <v>0</v>
      </c>
      <c r="ID109" s="12">
        <f t="shared" si="190"/>
        <v>0</v>
      </c>
      <c r="IE109" s="12">
        <f t="shared" si="191"/>
        <v>0</v>
      </c>
      <c r="IF109" s="12">
        <f t="shared" si="192"/>
        <v>0</v>
      </c>
      <c r="IG109" s="12">
        <f t="shared" si="193"/>
        <v>0</v>
      </c>
      <c r="IH109" s="12">
        <f t="shared" si="194"/>
        <v>0</v>
      </c>
      <c r="II109" s="12">
        <f t="shared" si="195"/>
        <v>0</v>
      </c>
      <c r="IJ109" s="12">
        <f t="shared" si="196"/>
        <v>0</v>
      </c>
      <c r="IK109" s="12">
        <f t="shared" si="197"/>
        <v>0</v>
      </c>
      <c r="IL109" s="12">
        <f t="shared" si="198"/>
        <v>0</v>
      </c>
      <c r="IM109" s="12">
        <f t="shared" si="199"/>
        <v>0</v>
      </c>
      <c r="IN109" s="12">
        <f t="shared" si="200"/>
        <v>0</v>
      </c>
      <c r="IO109" s="12">
        <f t="shared" si="201"/>
        <v>0</v>
      </c>
      <c r="IP109" s="12">
        <f t="shared" si="202"/>
        <v>0</v>
      </c>
      <c r="IQ109" s="12">
        <f t="shared" si="203"/>
        <v>0</v>
      </c>
      <c r="IR109" s="12">
        <f t="shared" si="204"/>
        <v>0</v>
      </c>
      <c r="IS109" s="12">
        <f t="shared" si="205"/>
        <v>0</v>
      </c>
      <c r="IT109" s="12">
        <f t="shared" si="206"/>
        <v>0</v>
      </c>
      <c r="IU109" s="12">
        <f t="shared" si="207"/>
        <v>0</v>
      </c>
      <c r="IV109" s="12">
        <f t="shared" si="208"/>
        <v>0</v>
      </c>
      <c r="IW109" s="12">
        <f t="shared" si="209"/>
        <v>0</v>
      </c>
      <c r="IX109" s="12">
        <f t="shared" si="210"/>
        <v>0</v>
      </c>
      <c r="IY109" s="12">
        <f t="shared" si="211"/>
        <v>0</v>
      </c>
      <c r="IZ109" s="12">
        <f t="shared" si="212"/>
        <v>1</v>
      </c>
      <c r="JA109" s="13">
        <f t="shared" si="213"/>
        <v>0</v>
      </c>
      <c r="JB109" s="13">
        <f t="shared" si="214"/>
        <v>0</v>
      </c>
      <c r="JC109" s="13">
        <f t="shared" si="215"/>
        <v>0</v>
      </c>
      <c r="JD109" s="13">
        <f t="shared" si="216"/>
        <v>0</v>
      </c>
      <c r="JE109" s="13">
        <f t="shared" si="217"/>
        <v>0</v>
      </c>
      <c r="JF109" s="13">
        <f t="shared" si="218"/>
        <v>0</v>
      </c>
      <c r="JG109" s="13">
        <f t="shared" si="219"/>
        <v>0</v>
      </c>
      <c r="JH109" s="13">
        <f t="shared" si="220"/>
        <v>0</v>
      </c>
      <c r="JI109" s="13">
        <f t="shared" si="221"/>
        <v>0</v>
      </c>
      <c r="JJ109" s="13">
        <f t="shared" si="222"/>
        <v>0</v>
      </c>
      <c r="JK109" s="13">
        <f t="shared" si="223"/>
        <v>0</v>
      </c>
      <c r="JL109" s="13">
        <f t="shared" si="224"/>
        <v>0</v>
      </c>
      <c r="JM109" s="13">
        <f t="shared" si="225"/>
        <v>0</v>
      </c>
      <c r="JN109" s="13">
        <f t="shared" si="226"/>
        <v>0</v>
      </c>
      <c r="JO109" s="13">
        <f t="shared" si="227"/>
        <v>0</v>
      </c>
      <c r="JP109" s="13">
        <f t="shared" si="228"/>
        <v>0</v>
      </c>
      <c r="JQ109" s="13">
        <f t="shared" si="229"/>
        <v>0</v>
      </c>
      <c r="JR109" s="13">
        <f t="shared" si="230"/>
        <v>0</v>
      </c>
      <c r="JS109" s="13">
        <f t="shared" si="231"/>
        <v>0</v>
      </c>
      <c r="JT109" s="13">
        <f t="shared" si="232"/>
        <v>0</v>
      </c>
      <c r="JU109" s="13">
        <f t="shared" si="233"/>
        <v>0</v>
      </c>
      <c r="JV109" s="12">
        <f t="shared" si="234"/>
        <v>0</v>
      </c>
      <c r="JW109" s="12">
        <f t="shared" si="235"/>
        <v>0</v>
      </c>
      <c r="JX109" s="12">
        <f t="shared" si="236"/>
        <v>0</v>
      </c>
      <c r="JY109" s="12">
        <f t="shared" si="237"/>
        <v>0</v>
      </c>
      <c r="JZ109" s="12">
        <f t="shared" si="238"/>
        <v>0</v>
      </c>
      <c r="KA109" s="12">
        <f t="shared" si="239"/>
        <v>0</v>
      </c>
      <c r="KB109" s="12">
        <f t="shared" si="240"/>
        <v>0</v>
      </c>
      <c r="KC109" s="12">
        <f t="shared" si="241"/>
        <v>0</v>
      </c>
      <c r="KD109" s="12">
        <f t="shared" si="242"/>
        <v>0</v>
      </c>
      <c r="KE109" s="12">
        <f t="shared" si="243"/>
        <v>0</v>
      </c>
      <c r="KF109" s="12">
        <f t="shared" si="244"/>
        <v>0</v>
      </c>
      <c r="KG109" s="12">
        <f t="shared" si="245"/>
        <v>0</v>
      </c>
      <c r="KH109" s="12">
        <f t="shared" si="246"/>
        <v>0</v>
      </c>
      <c r="KI109" s="12">
        <f t="shared" si="247"/>
        <v>0</v>
      </c>
      <c r="KJ109" s="12">
        <f t="shared" si="248"/>
        <v>0</v>
      </c>
      <c r="KK109" s="12">
        <f t="shared" si="249"/>
        <v>0</v>
      </c>
      <c r="KL109" s="12">
        <f t="shared" si="250"/>
        <v>0</v>
      </c>
      <c r="KM109" s="12">
        <f t="shared" si="251"/>
        <v>0</v>
      </c>
      <c r="KN109" s="12">
        <f t="shared" si="252"/>
        <v>0</v>
      </c>
      <c r="KO109" s="12">
        <f t="shared" si="253"/>
        <v>0</v>
      </c>
      <c r="KP109" s="12">
        <f t="shared" si="254"/>
        <v>0</v>
      </c>
      <c r="KQ109" s="12">
        <f t="shared" si="255"/>
        <v>0</v>
      </c>
      <c r="KR109" s="12">
        <f t="shared" si="256"/>
        <v>0</v>
      </c>
      <c r="KS109" s="12">
        <f t="shared" si="257"/>
        <v>0</v>
      </c>
      <c r="KT109" s="12">
        <f t="shared" si="258"/>
        <v>0</v>
      </c>
      <c r="KU109" s="12">
        <f t="shared" si="259"/>
        <v>0</v>
      </c>
      <c r="KV109" s="12">
        <f t="shared" si="260"/>
        <v>0</v>
      </c>
      <c r="KW109" s="12">
        <f t="shared" si="261"/>
        <v>0</v>
      </c>
      <c r="KX109" s="12">
        <f t="shared" si="262"/>
        <v>0</v>
      </c>
      <c r="KY109" s="12">
        <f t="shared" si="263"/>
        <v>0</v>
      </c>
      <c r="KZ109" s="12">
        <f t="shared" si="264"/>
        <v>0</v>
      </c>
      <c r="LA109" s="12">
        <f t="shared" si="265"/>
        <v>0</v>
      </c>
      <c r="LB109" s="12">
        <f t="shared" si="266"/>
        <v>0</v>
      </c>
      <c r="LC109" s="12">
        <f t="shared" si="267"/>
        <v>0</v>
      </c>
      <c r="LD109" s="12">
        <f t="shared" si="268"/>
        <v>0</v>
      </c>
      <c r="LE109" s="12">
        <f t="shared" si="269"/>
        <v>0</v>
      </c>
      <c r="LF109" s="12">
        <f t="shared" si="270"/>
        <v>0</v>
      </c>
      <c r="LG109" s="12">
        <f t="shared" si="271"/>
        <v>0</v>
      </c>
      <c r="LH109" s="12">
        <f t="shared" si="272"/>
        <v>0</v>
      </c>
      <c r="LI109" s="12">
        <f t="shared" si="273"/>
        <v>0</v>
      </c>
      <c r="LJ109" s="12">
        <f t="shared" si="274"/>
        <v>0</v>
      </c>
      <c r="LK109" s="12">
        <f t="shared" si="275"/>
        <v>0</v>
      </c>
      <c r="LL109" s="12">
        <f t="shared" si="276"/>
        <v>0</v>
      </c>
      <c r="LM109" s="12">
        <f t="shared" si="277"/>
        <v>0</v>
      </c>
      <c r="LN109" s="12">
        <f t="shared" si="278"/>
        <v>0</v>
      </c>
      <c r="LO109" s="12">
        <f t="shared" si="279"/>
        <v>0</v>
      </c>
      <c r="LP109" s="12">
        <f t="shared" si="280"/>
        <v>0</v>
      </c>
      <c r="LQ109" s="12">
        <f t="shared" si="281"/>
        <v>0</v>
      </c>
      <c r="LR109" s="12">
        <f t="shared" si="282"/>
        <v>0</v>
      </c>
      <c r="LS109" s="12">
        <f t="shared" si="283"/>
        <v>0</v>
      </c>
      <c r="LT109" s="13">
        <f t="shared" si="284"/>
        <v>0</v>
      </c>
      <c r="LU109" s="13">
        <f t="shared" si="285"/>
        <v>0</v>
      </c>
      <c r="LV109" s="13">
        <f t="shared" si="286"/>
        <v>0</v>
      </c>
      <c r="LW109" s="13">
        <f t="shared" si="287"/>
        <v>0</v>
      </c>
      <c r="LX109" s="13">
        <f t="shared" si="288"/>
        <v>0</v>
      </c>
      <c r="LY109" s="13">
        <f t="shared" si="289"/>
        <v>0</v>
      </c>
      <c r="LZ109" s="13">
        <f t="shared" si="290"/>
        <v>0</v>
      </c>
      <c r="MA109" s="13">
        <f t="shared" si="291"/>
        <v>0</v>
      </c>
      <c r="MB109" s="13">
        <f t="shared" si="292"/>
        <v>0</v>
      </c>
      <c r="MC109" s="13">
        <f t="shared" si="293"/>
        <v>0</v>
      </c>
      <c r="MD109" s="13">
        <f t="shared" si="294"/>
        <v>0</v>
      </c>
      <c r="ME109" s="13">
        <f t="shared" si="295"/>
        <v>0</v>
      </c>
      <c r="MF109" s="13">
        <f t="shared" si="296"/>
        <v>0</v>
      </c>
      <c r="MG109" s="13">
        <f t="shared" si="297"/>
        <v>0</v>
      </c>
      <c r="MH109" s="13">
        <f t="shared" si="298"/>
        <v>0</v>
      </c>
      <c r="MI109" s="13">
        <f t="shared" si="299"/>
        <v>0</v>
      </c>
      <c r="MJ109" s="13">
        <f t="shared" si="300"/>
        <v>0</v>
      </c>
      <c r="MK109" s="13">
        <f t="shared" si="301"/>
        <v>0</v>
      </c>
      <c r="ML109" s="14">
        <f t="shared" si="302"/>
        <v>0</v>
      </c>
      <c r="MM109" s="14">
        <f t="shared" si="303"/>
        <v>0</v>
      </c>
      <c r="MN109" s="14">
        <f t="shared" si="304"/>
        <v>0</v>
      </c>
      <c r="MO109" s="14">
        <f t="shared" si="305"/>
        <v>0</v>
      </c>
      <c r="MP109" s="14">
        <f t="shared" si="306"/>
        <v>0</v>
      </c>
      <c r="MQ109" s="14">
        <f t="shared" si="307"/>
        <v>0</v>
      </c>
      <c r="MR109" s="14">
        <f t="shared" si="308"/>
        <v>0</v>
      </c>
      <c r="MS109" s="14">
        <f t="shared" si="309"/>
        <v>0</v>
      </c>
      <c r="MT109" s="14">
        <f t="shared" si="310"/>
        <v>0</v>
      </c>
      <c r="MU109" s="14">
        <f t="shared" si="311"/>
        <v>0</v>
      </c>
      <c r="MV109" s="14">
        <f t="shared" si="312"/>
        <v>0</v>
      </c>
      <c r="MW109" s="14">
        <f t="shared" si="313"/>
        <v>0</v>
      </c>
      <c r="MX109" s="14">
        <f t="shared" si="314"/>
        <v>0</v>
      </c>
      <c r="MY109" s="14">
        <f t="shared" si="315"/>
        <v>1</v>
      </c>
      <c r="MZ109" s="14">
        <f t="shared" si="316"/>
        <v>0</v>
      </c>
      <c r="NA109" s="14">
        <f t="shared" si="317"/>
        <v>0</v>
      </c>
      <c r="NB109" s="14">
        <f t="shared" si="318"/>
        <v>0</v>
      </c>
    </row>
    <row r="110" ht="15.75" customHeight="1">
      <c r="A110" s="2">
        <v>360.0</v>
      </c>
      <c r="B110" s="2" t="s">
        <v>2234</v>
      </c>
      <c r="C110" s="2" t="s">
        <v>2235</v>
      </c>
      <c r="D110" s="2" t="s">
        <v>2236</v>
      </c>
      <c r="E110" s="2">
        <v>2020.0</v>
      </c>
      <c r="F110" s="2" t="s">
        <v>2237</v>
      </c>
      <c r="G110" s="2" t="s">
        <v>2079</v>
      </c>
      <c r="H110" s="2" t="s">
        <v>603</v>
      </c>
      <c r="J110" s="2" t="s">
        <v>1772</v>
      </c>
      <c r="K110" s="2" t="s">
        <v>2238</v>
      </c>
      <c r="M110" s="2">
        <v>8.0</v>
      </c>
      <c r="N110" s="2" t="s">
        <v>2239</v>
      </c>
      <c r="O110" s="2" t="s">
        <v>2240</v>
      </c>
      <c r="P110" s="2" t="s">
        <v>2241</v>
      </c>
      <c r="Q110" s="2" t="s">
        <v>2242</v>
      </c>
      <c r="R110" s="2" t="s">
        <v>2243</v>
      </c>
      <c r="S110" s="2" t="s">
        <v>2244</v>
      </c>
      <c r="Y110" s="2" t="s">
        <v>2245</v>
      </c>
      <c r="AB110" s="2" t="s">
        <v>1080</v>
      </c>
      <c r="AG110" s="2" t="s">
        <v>2246</v>
      </c>
      <c r="AK110" s="2" t="s">
        <v>2247</v>
      </c>
      <c r="AL110" s="2" t="s">
        <v>384</v>
      </c>
      <c r="AN110" s="2" t="s">
        <v>386</v>
      </c>
      <c r="AO110" s="2" t="s">
        <v>2248</v>
      </c>
      <c r="AP110" s="2" t="s">
        <v>386</v>
      </c>
      <c r="AQ110" s="2">
        <v>720.0</v>
      </c>
      <c r="AR110" s="2" t="s">
        <v>2249</v>
      </c>
      <c r="AS110" s="2" t="b">
        <v>1</v>
      </c>
      <c r="AT110" s="3">
        <v>0.0</v>
      </c>
      <c r="AU110" s="4">
        <v>1.0</v>
      </c>
      <c r="AV110" s="4"/>
      <c r="AW110" s="5">
        <f t="shared" si="432"/>
        <v>0</v>
      </c>
      <c r="AX110" s="5">
        <f t="shared" si="4"/>
        <v>0</v>
      </c>
      <c r="AY110" s="5">
        <f t="shared" si="5"/>
        <v>0</v>
      </c>
      <c r="AZ110" s="5">
        <f t="shared" si="6"/>
        <v>0</v>
      </c>
      <c r="BA110" s="5">
        <f t="shared" si="7"/>
        <v>0</v>
      </c>
      <c r="BB110" s="5">
        <f t="shared" si="8"/>
        <v>1</v>
      </c>
      <c r="BC110" s="5">
        <f t="shared" si="9"/>
        <v>0</v>
      </c>
      <c r="BD110" s="5">
        <f t="shared" si="10"/>
        <v>0</v>
      </c>
      <c r="BE110" s="5">
        <f t="shared" si="11"/>
        <v>0</v>
      </c>
      <c r="BF110" s="5">
        <f t="shared" si="12"/>
        <v>0</v>
      </c>
      <c r="BG110" s="5">
        <f t="shared" si="13"/>
        <v>0</v>
      </c>
      <c r="BH110" s="5">
        <f t="shared" si="14"/>
        <v>0</v>
      </c>
      <c r="BI110" s="5">
        <f t="shared" si="15"/>
        <v>0</v>
      </c>
      <c r="BJ110" s="5">
        <f t="shared" si="16"/>
        <v>0</v>
      </c>
      <c r="BK110" s="5">
        <f t="shared" si="17"/>
        <v>0</v>
      </c>
      <c r="BL110" s="5">
        <f t="shared" si="18"/>
        <v>0</v>
      </c>
      <c r="BM110" s="5">
        <f t="shared" si="19"/>
        <v>0</v>
      </c>
      <c r="BN110" s="5">
        <f t="shared" si="20"/>
        <v>0</v>
      </c>
      <c r="BO110" s="5">
        <f t="shared" si="21"/>
        <v>0</v>
      </c>
      <c r="BP110" s="5">
        <f t="shared" si="22"/>
        <v>0</v>
      </c>
      <c r="BQ110" s="5">
        <f t="shared" si="23"/>
        <v>0</v>
      </c>
      <c r="BR110" s="5">
        <f t="shared" si="24"/>
        <v>0</v>
      </c>
      <c r="BS110" s="5">
        <f t="shared" si="25"/>
        <v>0</v>
      </c>
      <c r="BT110" s="5">
        <f t="shared" si="26"/>
        <v>0</v>
      </c>
      <c r="BU110" s="5">
        <f t="shared" si="27"/>
        <v>0</v>
      </c>
      <c r="BV110" s="5">
        <f t="shared" ref="BV110:BW110" si="563">IF(OR(ISNUMBER(SEARCH("grit",$D110)),ISNUMBER(SEARCH("grit",$T110)),ISNUMBER(SEARCH("grit",$R110)),ISNUMBER(SEARCH("grit",$S110)),
ISNUMBER(SEARCH("determination",$D110)),ISNUMBER(SEARCH("determination",$T110)),ISNUMBER(SEARCH("determination",$R110)),ISNUMBER(SEARCH("determination",$S110)),
ISNUMBER(SEARCH("tenacity",$D110)),ISNUMBER(SEARCH("tenacity",$T110)),ISNUMBER(SEARCH("tenacity",$R110)),ISNUMBER(SEARCH("tenacity",$S110)),
ISNUMBER(SEARCH("endurance",$D110)),ISNUMBER(SEARCH("endurance",$T110)),ISNUMBER(SEARCH("endurance",$R110)),ISNUMBER(SEARCH("endurance",$S110)),
ISNUMBER(SEARCH("fortitude",$D110)),ISNUMBER(SEARCH("fortitude",$T110)),ISNUMBER(SEARCH("fortitude",$R110)),ISNUMBER(SEARCH("fortitude",$S110)),
ISNUMBER(SEARCH("resolve",$D110)),ISNUMBER(SEARCH("resolve",$T110)),ISNUMBER(SEARCH("resolve",$R110)),ISNUMBER(SEARCH("resolve",$S110)),
ISNUMBER(SEARCH("stamina",$D110)),ISNUMBER(SEARCH("stamina",$T110)),ISNUMBER(SEARCH("stamina",$R110)),ISNUMBER(SEARCH("stamina",$S110)),
ISNUMBER(SEARCH("guts",$D110)),ISNUMBER(SEARCH("guts",$T110)),ISNUMBER(SEARCH("guts",$R110)),ISNUMBER(SEARCH("guts",$S110)),
ISNUMBER(SEARCH("spunk",$D110)),ISNUMBER(SEARCH("spunk",$T110)),ISNUMBER(SEARCH("spunk",$R110)),ISNUMBER(SEARCH("spunk",$S110))), 1, 0)</f>
        <v>0</v>
      </c>
      <c r="BW110" s="5">
        <f t="shared" si="563"/>
        <v>0</v>
      </c>
      <c r="BX110" s="5">
        <f t="shared" si="29"/>
        <v>0</v>
      </c>
      <c r="BY110" s="5">
        <f t="shared" si="30"/>
        <v>0</v>
      </c>
      <c r="BZ110" s="5">
        <f t="shared" si="31"/>
        <v>0</v>
      </c>
      <c r="CA110" s="5">
        <f t="shared" si="32"/>
        <v>0</v>
      </c>
      <c r="CB110" s="5">
        <f t="shared" si="33"/>
        <v>0</v>
      </c>
      <c r="CC110" s="5">
        <f t="shared" si="34"/>
        <v>0</v>
      </c>
      <c r="CD110" s="5">
        <f t="shared" si="35"/>
        <v>0</v>
      </c>
      <c r="CE110" s="5">
        <f t="shared" si="36"/>
        <v>0</v>
      </c>
      <c r="CF110" s="5">
        <f t="shared" si="37"/>
        <v>0</v>
      </c>
      <c r="CG110" s="5">
        <f t="shared" si="38"/>
        <v>0</v>
      </c>
      <c r="CH110" s="5">
        <f t="shared" si="39"/>
        <v>0</v>
      </c>
      <c r="CI110" s="5">
        <f t="shared" si="40"/>
        <v>0</v>
      </c>
      <c r="CJ110" s="5">
        <f t="shared" si="41"/>
        <v>0</v>
      </c>
      <c r="CK110" s="5">
        <f t="shared" si="42"/>
        <v>1</v>
      </c>
      <c r="CL110" s="5">
        <f t="shared" si="43"/>
        <v>0</v>
      </c>
      <c r="CM110" s="5">
        <f t="shared" si="44"/>
        <v>0</v>
      </c>
      <c r="CN110" s="5">
        <f t="shared" si="45"/>
        <v>0</v>
      </c>
      <c r="CO110" s="5">
        <f t="shared" si="46"/>
        <v>0</v>
      </c>
      <c r="CP110" s="6">
        <f t="shared" si="47"/>
        <v>0</v>
      </c>
      <c r="CQ110" s="6">
        <f t="shared" si="48"/>
        <v>0</v>
      </c>
      <c r="CR110" s="6">
        <f t="shared" si="49"/>
        <v>0</v>
      </c>
      <c r="CS110" s="6">
        <f t="shared" si="50"/>
        <v>0</v>
      </c>
      <c r="CT110" s="6">
        <f t="shared" si="551"/>
        <v>0</v>
      </c>
      <c r="CU110" s="6">
        <f t="shared" si="52"/>
        <v>0</v>
      </c>
      <c r="CV110" s="6">
        <f t="shared" si="53"/>
        <v>0</v>
      </c>
      <c r="CW110" s="6">
        <f t="shared" si="54"/>
        <v>0</v>
      </c>
      <c r="CX110" s="6">
        <f t="shared" si="55"/>
        <v>0</v>
      </c>
      <c r="CY110" s="6">
        <f t="shared" si="56"/>
        <v>0</v>
      </c>
      <c r="CZ110" s="6">
        <f t="shared" si="57"/>
        <v>0</v>
      </c>
      <c r="DA110" s="6">
        <f t="shared" si="58"/>
        <v>1</v>
      </c>
      <c r="DB110" s="6">
        <f t="shared" si="59"/>
        <v>0</v>
      </c>
      <c r="DC110" s="6">
        <f t="shared" si="60"/>
        <v>0</v>
      </c>
      <c r="DD110" s="6">
        <f t="shared" si="61"/>
        <v>0</v>
      </c>
      <c r="DE110" s="6">
        <f t="shared" si="62"/>
        <v>0</v>
      </c>
      <c r="DF110" s="6">
        <f t="shared" si="63"/>
        <v>0</v>
      </c>
      <c r="DG110" s="6">
        <f t="shared" si="64"/>
        <v>0</v>
      </c>
      <c r="DH110" s="6">
        <f t="shared" si="509"/>
        <v>0</v>
      </c>
      <c r="DI110" s="6">
        <f t="shared" si="66"/>
        <v>0</v>
      </c>
      <c r="DJ110" s="6">
        <f t="shared" si="510"/>
        <v>0</v>
      </c>
      <c r="DK110" s="7">
        <f t="shared" si="68"/>
        <v>0</v>
      </c>
      <c r="DL110" s="7">
        <f t="shared" si="498"/>
        <v>0</v>
      </c>
      <c r="DM110" s="7">
        <f t="shared" si="70"/>
        <v>0</v>
      </c>
      <c r="DN110" s="7">
        <f t="shared" si="71"/>
        <v>0</v>
      </c>
      <c r="DO110" s="7">
        <f t="shared" si="72"/>
        <v>1</v>
      </c>
      <c r="DP110" s="8">
        <f t="shared" si="73"/>
        <v>0</v>
      </c>
      <c r="DQ110" s="8">
        <f t="shared" si="74"/>
        <v>0</v>
      </c>
      <c r="DR110" s="7">
        <f t="shared" si="75"/>
        <v>0</v>
      </c>
      <c r="DS110" s="7">
        <f t="shared" si="76"/>
        <v>0</v>
      </c>
      <c r="DT110" s="7">
        <f t="shared" si="77"/>
        <v>0</v>
      </c>
      <c r="DU110" s="9">
        <f t="shared" si="78"/>
        <v>0</v>
      </c>
      <c r="DV110" s="9">
        <f t="shared" si="79"/>
        <v>0</v>
      </c>
      <c r="DW110" s="9">
        <f t="shared" si="80"/>
        <v>0</v>
      </c>
      <c r="DX110" s="9">
        <f t="shared" si="81"/>
        <v>0</v>
      </c>
      <c r="DY110" s="9">
        <f t="shared" si="82"/>
        <v>0</v>
      </c>
      <c r="DZ110" s="9">
        <f t="shared" si="83"/>
        <v>0</v>
      </c>
      <c r="EA110" s="9">
        <f t="shared" si="84"/>
        <v>0</v>
      </c>
      <c r="EB110" s="9">
        <f t="shared" si="85"/>
        <v>0</v>
      </c>
      <c r="EC110" s="9">
        <f t="shared" si="86"/>
        <v>0</v>
      </c>
      <c r="ED110" s="9">
        <f t="shared" si="87"/>
        <v>0</v>
      </c>
      <c r="EE110" s="9">
        <f t="shared" si="88"/>
        <v>0</v>
      </c>
      <c r="EF110" s="9">
        <f t="shared" si="89"/>
        <v>0</v>
      </c>
      <c r="EG110" s="9">
        <f t="shared" si="90"/>
        <v>0</v>
      </c>
      <c r="EH110" s="9">
        <f t="shared" si="91"/>
        <v>0</v>
      </c>
      <c r="EI110" s="9">
        <f t="shared" si="92"/>
        <v>0</v>
      </c>
      <c r="EJ110" s="10">
        <f t="shared" si="93"/>
        <v>0</v>
      </c>
      <c r="EK110" s="10">
        <f t="shared" si="94"/>
        <v>0</v>
      </c>
      <c r="EL110" s="10">
        <f t="shared" ref="EL110:EM110" si="564">IF(OR(ISNUMBER(SEARCH("ai software toolkit", $D110)), ISNUMBER(SEARCH("ai software toolkit", $T110)), ISNUMBER(SEARCH("ai software toolkit", $R110)), ISNUMBER(SEARCH("ai software toolkit", $S110))), 1, 0)</f>
        <v>0</v>
      </c>
      <c r="EM110" s="10">
        <f t="shared" si="564"/>
        <v>0</v>
      </c>
      <c r="EN110" s="10">
        <f t="shared" si="96"/>
        <v>0</v>
      </c>
      <c r="EO110" s="10">
        <f t="shared" si="97"/>
        <v>0</v>
      </c>
      <c r="EP110" s="10">
        <f t="shared" si="98"/>
        <v>0</v>
      </c>
      <c r="EQ110" s="10">
        <f t="shared" si="99"/>
        <v>0</v>
      </c>
      <c r="ER110" s="10">
        <f t="shared" si="100"/>
        <v>0</v>
      </c>
      <c r="ES110" s="10">
        <f t="shared" si="101"/>
        <v>0</v>
      </c>
      <c r="ET110" s="10">
        <f t="shared" si="102"/>
        <v>0</v>
      </c>
      <c r="EU110" s="10">
        <f t="shared" si="103"/>
        <v>0</v>
      </c>
      <c r="EV110" s="10">
        <f t="shared" si="104"/>
        <v>0</v>
      </c>
      <c r="EW110" s="10">
        <f t="shared" si="105"/>
        <v>0</v>
      </c>
      <c r="EX110" s="10">
        <f t="shared" si="106"/>
        <v>0</v>
      </c>
      <c r="EY110" s="10">
        <f t="shared" si="107"/>
        <v>0</v>
      </c>
      <c r="EZ110" s="10">
        <f t="shared" si="108"/>
        <v>0</v>
      </c>
      <c r="FA110" s="10">
        <f t="shared" si="109"/>
        <v>0</v>
      </c>
      <c r="FB110" s="10">
        <f t="shared" si="110"/>
        <v>0</v>
      </c>
      <c r="FC110" s="10">
        <f t="shared" si="111"/>
        <v>0</v>
      </c>
      <c r="FD110" s="10">
        <f t="shared" si="112"/>
        <v>0</v>
      </c>
      <c r="FE110" s="10">
        <f t="shared" si="113"/>
        <v>0</v>
      </c>
      <c r="FF110" s="10">
        <f t="shared" si="114"/>
        <v>0</v>
      </c>
      <c r="FG110" s="10">
        <f t="shared" si="115"/>
        <v>0</v>
      </c>
      <c r="FH110" s="10">
        <f t="shared" si="116"/>
        <v>0</v>
      </c>
      <c r="FI110" s="10">
        <f t="shared" si="117"/>
        <v>0</v>
      </c>
      <c r="FJ110" s="10">
        <f t="shared" si="118"/>
        <v>0</v>
      </c>
      <c r="FK110" s="10">
        <f t="shared" si="119"/>
        <v>0</v>
      </c>
      <c r="FL110" s="10">
        <f t="shared" si="120"/>
        <v>0</v>
      </c>
      <c r="FM110" s="10">
        <f t="shared" si="121"/>
        <v>0</v>
      </c>
      <c r="FN110" s="10">
        <f t="shared" si="122"/>
        <v>0</v>
      </c>
      <c r="FO110" s="10">
        <f t="shared" si="123"/>
        <v>0</v>
      </c>
      <c r="FP110" s="10">
        <f t="shared" si="124"/>
        <v>0</v>
      </c>
      <c r="FQ110" s="10">
        <f t="shared" si="125"/>
        <v>0</v>
      </c>
      <c r="FR110" s="11">
        <f t="shared" si="543"/>
        <v>0</v>
      </c>
      <c r="FS110" s="11">
        <f t="shared" si="127"/>
        <v>0</v>
      </c>
      <c r="FT110" s="11">
        <f t="shared" si="128"/>
        <v>0</v>
      </c>
      <c r="FU110" s="11">
        <f t="shared" si="129"/>
        <v>0</v>
      </c>
      <c r="FV110" s="11">
        <f t="shared" si="130"/>
        <v>0</v>
      </c>
      <c r="FW110" s="11">
        <f t="shared" si="131"/>
        <v>0</v>
      </c>
      <c r="FX110" s="11">
        <f t="shared" si="132"/>
        <v>0</v>
      </c>
      <c r="FY110" s="11">
        <f t="shared" si="133"/>
        <v>0</v>
      </c>
      <c r="FZ110" s="11">
        <f t="shared" si="134"/>
        <v>0</v>
      </c>
      <c r="GA110" s="11">
        <f t="shared" si="135"/>
        <v>0</v>
      </c>
      <c r="GB110" s="11">
        <f t="shared" si="136"/>
        <v>0</v>
      </c>
      <c r="GC110" s="11">
        <f t="shared" si="137"/>
        <v>0</v>
      </c>
      <c r="GD110" s="11">
        <f t="shared" si="138"/>
        <v>0</v>
      </c>
      <c r="GE110" s="11">
        <f t="shared" si="139"/>
        <v>0</v>
      </c>
      <c r="GF110" s="11">
        <f t="shared" si="140"/>
        <v>0</v>
      </c>
      <c r="GG110" s="11">
        <f t="shared" si="141"/>
        <v>0</v>
      </c>
      <c r="GH110" s="11">
        <f t="shared" si="142"/>
        <v>0</v>
      </c>
      <c r="GI110" s="11">
        <f t="shared" si="143"/>
        <v>0</v>
      </c>
      <c r="GJ110" s="11">
        <f t="shared" si="144"/>
        <v>0</v>
      </c>
      <c r="GK110" s="11">
        <f t="shared" si="145"/>
        <v>0</v>
      </c>
      <c r="GL110" s="11">
        <f t="shared" si="146"/>
        <v>0</v>
      </c>
      <c r="GM110" s="11">
        <f t="shared" si="147"/>
        <v>0</v>
      </c>
      <c r="GN110" s="11">
        <f t="shared" si="148"/>
        <v>0</v>
      </c>
      <c r="GO110" s="11">
        <f t="shared" si="149"/>
        <v>0</v>
      </c>
      <c r="GP110" s="11">
        <f t="shared" si="150"/>
        <v>0</v>
      </c>
      <c r="GQ110" s="11">
        <f t="shared" si="151"/>
        <v>0</v>
      </c>
      <c r="GR110" s="11">
        <f t="shared" si="152"/>
        <v>0</v>
      </c>
      <c r="GS110" s="11">
        <f t="shared" si="153"/>
        <v>0</v>
      </c>
      <c r="GT110" s="11">
        <f t="shared" si="154"/>
        <v>1</v>
      </c>
      <c r="GU110" s="12">
        <f t="shared" si="155"/>
        <v>0</v>
      </c>
      <c r="GV110" s="12">
        <f t="shared" si="156"/>
        <v>0</v>
      </c>
      <c r="GW110" s="12">
        <f t="shared" si="157"/>
        <v>0</v>
      </c>
      <c r="GX110" s="12">
        <f t="shared" si="158"/>
        <v>0</v>
      </c>
      <c r="GY110" s="12">
        <f t="shared" si="159"/>
        <v>0</v>
      </c>
      <c r="GZ110" s="12">
        <f t="shared" si="160"/>
        <v>0</v>
      </c>
      <c r="HA110" s="12">
        <f t="shared" si="161"/>
        <v>0</v>
      </c>
      <c r="HB110" s="12">
        <f t="shared" si="162"/>
        <v>0</v>
      </c>
      <c r="HC110" s="12">
        <f t="shared" si="163"/>
        <v>0</v>
      </c>
      <c r="HD110" s="12">
        <f t="shared" si="164"/>
        <v>0</v>
      </c>
      <c r="HE110" s="12">
        <f t="shared" si="165"/>
        <v>0</v>
      </c>
      <c r="HF110" s="12">
        <f t="shared" si="166"/>
        <v>0</v>
      </c>
      <c r="HG110" s="12">
        <f t="shared" si="167"/>
        <v>0</v>
      </c>
      <c r="HH110" s="12">
        <f t="shared" si="168"/>
        <v>0</v>
      </c>
      <c r="HI110" s="12">
        <f t="shared" si="169"/>
        <v>0</v>
      </c>
      <c r="HJ110" s="12">
        <f t="shared" si="170"/>
        <v>0</v>
      </c>
      <c r="HK110" s="12">
        <f t="shared" si="171"/>
        <v>0</v>
      </c>
      <c r="HL110" s="12">
        <f t="shared" si="172"/>
        <v>0</v>
      </c>
      <c r="HM110" s="12">
        <f t="shared" si="173"/>
        <v>0</v>
      </c>
      <c r="HN110" s="12">
        <f t="shared" si="174"/>
        <v>0</v>
      </c>
      <c r="HO110" s="12">
        <f t="shared" si="175"/>
        <v>0</v>
      </c>
      <c r="HP110" s="12">
        <f t="shared" si="176"/>
        <v>0</v>
      </c>
      <c r="HQ110" s="12">
        <f t="shared" si="177"/>
        <v>0</v>
      </c>
      <c r="HR110" s="12">
        <f t="shared" si="178"/>
        <v>0</v>
      </c>
      <c r="HS110" s="12">
        <f t="shared" si="179"/>
        <v>0</v>
      </c>
      <c r="HT110" s="12">
        <f t="shared" si="180"/>
        <v>0</v>
      </c>
      <c r="HU110" s="12">
        <f t="shared" si="181"/>
        <v>0</v>
      </c>
      <c r="HV110" s="12">
        <f t="shared" si="182"/>
        <v>0</v>
      </c>
      <c r="HW110" s="12">
        <f t="shared" si="183"/>
        <v>0</v>
      </c>
      <c r="HX110" s="12">
        <f t="shared" si="184"/>
        <v>0</v>
      </c>
      <c r="HY110" s="12">
        <f t="shared" si="185"/>
        <v>0</v>
      </c>
      <c r="HZ110" s="12">
        <f t="shared" si="186"/>
        <v>0</v>
      </c>
      <c r="IA110" s="12">
        <f t="shared" si="187"/>
        <v>0</v>
      </c>
      <c r="IB110" s="12">
        <f t="shared" si="188"/>
        <v>0</v>
      </c>
      <c r="IC110" s="12">
        <f t="shared" si="189"/>
        <v>0</v>
      </c>
      <c r="ID110" s="12">
        <f t="shared" si="190"/>
        <v>0</v>
      </c>
      <c r="IE110" s="12">
        <f t="shared" si="191"/>
        <v>0</v>
      </c>
      <c r="IF110" s="12">
        <f t="shared" si="192"/>
        <v>0</v>
      </c>
      <c r="IG110" s="12">
        <f t="shared" si="193"/>
        <v>0</v>
      </c>
      <c r="IH110" s="12">
        <f t="shared" si="194"/>
        <v>0</v>
      </c>
      <c r="II110" s="12">
        <f t="shared" si="195"/>
        <v>0</v>
      </c>
      <c r="IJ110" s="12">
        <f t="shared" si="196"/>
        <v>0</v>
      </c>
      <c r="IK110" s="12">
        <f t="shared" si="197"/>
        <v>0</v>
      </c>
      <c r="IL110" s="12">
        <f t="shared" si="198"/>
        <v>0</v>
      </c>
      <c r="IM110" s="12">
        <f t="shared" si="199"/>
        <v>0</v>
      </c>
      <c r="IN110" s="12">
        <f t="shared" si="200"/>
        <v>0</v>
      </c>
      <c r="IO110" s="12">
        <f t="shared" si="201"/>
        <v>0</v>
      </c>
      <c r="IP110" s="12">
        <f t="shared" si="202"/>
        <v>0</v>
      </c>
      <c r="IQ110" s="12">
        <f t="shared" si="203"/>
        <v>0</v>
      </c>
      <c r="IR110" s="12">
        <f t="shared" si="204"/>
        <v>0</v>
      </c>
      <c r="IS110" s="12">
        <f t="shared" si="205"/>
        <v>0</v>
      </c>
      <c r="IT110" s="12">
        <f t="shared" si="206"/>
        <v>0</v>
      </c>
      <c r="IU110" s="12">
        <f t="shared" si="207"/>
        <v>0</v>
      </c>
      <c r="IV110" s="12">
        <f t="shared" si="208"/>
        <v>0</v>
      </c>
      <c r="IW110" s="12">
        <f t="shared" si="209"/>
        <v>0</v>
      </c>
      <c r="IX110" s="12">
        <f t="shared" si="210"/>
        <v>0</v>
      </c>
      <c r="IY110" s="12">
        <f t="shared" si="211"/>
        <v>0</v>
      </c>
      <c r="IZ110" s="12">
        <f t="shared" si="212"/>
        <v>1</v>
      </c>
      <c r="JA110" s="13">
        <f t="shared" si="213"/>
        <v>0</v>
      </c>
      <c r="JB110" s="13">
        <f t="shared" si="214"/>
        <v>0</v>
      </c>
      <c r="JC110" s="13">
        <f t="shared" si="215"/>
        <v>0</v>
      </c>
      <c r="JD110" s="13">
        <f t="shared" si="216"/>
        <v>0</v>
      </c>
      <c r="JE110" s="13">
        <f t="shared" si="217"/>
        <v>0</v>
      </c>
      <c r="JF110" s="13">
        <f t="shared" si="218"/>
        <v>0</v>
      </c>
      <c r="JG110" s="13">
        <f t="shared" si="219"/>
        <v>0</v>
      </c>
      <c r="JH110" s="13">
        <f t="shared" si="220"/>
        <v>0</v>
      </c>
      <c r="JI110" s="13">
        <f t="shared" si="221"/>
        <v>0</v>
      </c>
      <c r="JJ110" s="13">
        <f t="shared" si="222"/>
        <v>0</v>
      </c>
      <c r="JK110" s="13">
        <f t="shared" si="223"/>
        <v>0</v>
      </c>
      <c r="JL110" s="13">
        <f t="shared" si="224"/>
        <v>0</v>
      </c>
      <c r="JM110" s="13">
        <f t="shared" si="225"/>
        <v>0</v>
      </c>
      <c r="JN110" s="13">
        <f t="shared" si="226"/>
        <v>0</v>
      </c>
      <c r="JO110" s="13">
        <f t="shared" si="227"/>
        <v>0</v>
      </c>
      <c r="JP110" s="13">
        <f t="shared" si="228"/>
        <v>0</v>
      </c>
      <c r="JQ110" s="13">
        <f t="shared" si="229"/>
        <v>0</v>
      </c>
      <c r="JR110" s="13">
        <f t="shared" si="230"/>
        <v>0</v>
      </c>
      <c r="JS110" s="13">
        <f t="shared" si="231"/>
        <v>0</v>
      </c>
      <c r="JT110" s="13">
        <f t="shared" si="232"/>
        <v>0</v>
      </c>
      <c r="JU110" s="13">
        <f t="shared" si="233"/>
        <v>0</v>
      </c>
      <c r="JV110" s="12">
        <f t="shared" si="234"/>
        <v>0</v>
      </c>
      <c r="JW110" s="12">
        <f t="shared" si="235"/>
        <v>0</v>
      </c>
      <c r="JX110" s="12">
        <f t="shared" si="236"/>
        <v>0</v>
      </c>
      <c r="JY110" s="12">
        <f t="shared" si="237"/>
        <v>0</v>
      </c>
      <c r="JZ110" s="12">
        <f t="shared" si="238"/>
        <v>0</v>
      </c>
      <c r="KA110" s="12">
        <f t="shared" si="239"/>
        <v>0</v>
      </c>
      <c r="KB110" s="12">
        <f t="shared" si="240"/>
        <v>0</v>
      </c>
      <c r="KC110" s="12">
        <f t="shared" si="241"/>
        <v>0</v>
      </c>
      <c r="KD110" s="12">
        <f t="shared" si="242"/>
        <v>0</v>
      </c>
      <c r="KE110" s="12">
        <f t="shared" si="243"/>
        <v>0</v>
      </c>
      <c r="KF110" s="12">
        <f t="shared" si="244"/>
        <v>0</v>
      </c>
      <c r="KG110" s="12">
        <f t="shared" si="245"/>
        <v>0</v>
      </c>
      <c r="KH110" s="12">
        <f t="shared" si="246"/>
        <v>0</v>
      </c>
      <c r="KI110" s="12">
        <f t="shared" si="247"/>
        <v>0</v>
      </c>
      <c r="KJ110" s="12">
        <f t="shared" si="248"/>
        <v>0</v>
      </c>
      <c r="KK110" s="12">
        <f t="shared" si="249"/>
        <v>0</v>
      </c>
      <c r="KL110" s="12">
        <f t="shared" si="250"/>
        <v>0</v>
      </c>
      <c r="KM110" s="12">
        <f t="shared" si="251"/>
        <v>0</v>
      </c>
      <c r="KN110" s="12">
        <f t="shared" si="252"/>
        <v>0</v>
      </c>
      <c r="KO110" s="12">
        <f t="shared" si="253"/>
        <v>0</v>
      </c>
      <c r="KP110" s="12">
        <f t="shared" si="254"/>
        <v>0</v>
      </c>
      <c r="KQ110" s="12">
        <f t="shared" si="255"/>
        <v>0</v>
      </c>
      <c r="KR110" s="12">
        <f t="shared" si="256"/>
        <v>0</v>
      </c>
      <c r="KS110" s="12">
        <f t="shared" si="257"/>
        <v>0</v>
      </c>
      <c r="KT110" s="12">
        <f t="shared" si="258"/>
        <v>0</v>
      </c>
      <c r="KU110" s="12">
        <f t="shared" si="259"/>
        <v>0</v>
      </c>
      <c r="KV110" s="12">
        <f t="shared" si="260"/>
        <v>0</v>
      </c>
      <c r="KW110" s="12">
        <f t="shared" si="261"/>
        <v>0</v>
      </c>
      <c r="KX110" s="12">
        <f t="shared" si="262"/>
        <v>0</v>
      </c>
      <c r="KY110" s="12">
        <f t="shared" si="263"/>
        <v>0</v>
      </c>
      <c r="KZ110" s="12">
        <f t="shared" si="264"/>
        <v>0</v>
      </c>
      <c r="LA110" s="12">
        <f t="shared" si="265"/>
        <v>0</v>
      </c>
      <c r="LB110" s="12">
        <f t="shared" si="266"/>
        <v>0</v>
      </c>
      <c r="LC110" s="12">
        <f t="shared" si="267"/>
        <v>0</v>
      </c>
      <c r="LD110" s="12">
        <f t="shared" si="268"/>
        <v>0</v>
      </c>
      <c r="LE110" s="12">
        <f t="shared" si="269"/>
        <v>0</v>
      </c>
      <c r="LF110" s="12">
        <f t="shared" si="270"/>
        <v>0</v>
      </c>
      <c r="LG110" s="12">
        <f t="shared" si="271"/>
        <v>0</v>
      </c>
      <c r="LH110" s="12">
        <f t="shared" si="272"/>
        <v>0</v>
      </c>
      <c r="LI110" s="12">
        <f t="shared" si="273"/>
        <v>0</v>
      </c>
      <c r="LJ110" s="12">
        <f t="shared" si="274"/>
        <v>0</v>
      </c>
      <c r="LK110" s="12">
        <f t="shared" si="275"/>
        <v>0</v>
      </c>
      <c r="LL110" s="12">
        <f t="shared" si="276"/>
        <v>0</v>
      </c>
      <c r="LM110" s="12">
        <f t="shared" si="277"/>
        <v>0</v>
      </c>
      <c r="LN110" s="12">
        <f t="shared" si="278"/>
        <v>0</v>
      </c>
      <c r="LO110" s="12">
        <f t="shared" si="279"/>
        <v>0</v>
      </c>
      <c r="LP110" s="12">
        <f t="shared" si="280"/>
        <v>0</v>
      </c>
      <c r="LQ110" s="12">
        <f t="shared" si="281"/>
        <v>0</v>
      </c>
      <c r="LR110" s="12">
        <f t="shared" si="282"/>
        <v>0</v>
      </c>
      <c r="LS110" s="12">
        <f t="shared" si="283"/>
        <v>0</v>
      </c>
      <c r="LT110" s="13">
        <f t="shared" si="284"/>
        <v>0</v>
      </c>
      <c r="LU110" s="13">
        <f t="shared" si="285"/>
        <v>0</v>
      </c>
      <c r="LV110" s="13">
        <f t="shared" si="286"/>
        <v>0</v>
      </c>
      <c r="LW110" s="13">
        <f t="shared" si="287"/>
        <v>0</v>
      </c>
      <c r="LX110" s="13">
        <f t="shared" si="288"/>
        <v>0</v>
      </c>
      <c r="LY110" s="13">
        <f t="shared" si="289"/>
        <v>0</v>
      </c>
      <c r="LZ110" s="13">
        <f t="shared" si="290"/>
        <v>0</v>
      </c>
      <c r="MA110" s="13">
        <f t="shared" si="291"/>
        <v>0</v>
      </c>
      <c r="MB110" s="13">
        <f t="shared" si="292"/>
        <v>0</v>
      </c>
      <c r="MC110" s="13">
        <f t="shared" si="293"/>
        <v>0</v>
      </c>
      <c r="MD110" s="13">
        <f t="shared" si="294"/>
        <v>0</v>
      </c>
      <c r="ME110" s="13">
        <f t="shared" si="295"/>
        <v>0</v>
      </c>
      <c r="MF110" s="13">
        <f t="shared" si="296"/>
        <v>0</v>
      </c>
      <c r="MG110" s="13">
        <f t="shared" si="297"/>
        <v>0</v>
      </c>
      <c r="MH110" s="13">
        <f t="shared" si="298"/>
        <v>0</v>
      </c>
      <c r="MI110" s="13">
        <f t="shared" si="299"/>
        <v>0</v>
      </c>
      <c r="MJ110" s="13">
        <f t="shared" si="300"/>
        <v>0</v>
      </c>
      <c r="MK110" s="13">
        <f t="shared" si="301"/>
        <v>0</v>
      </c>
      <c r="ML110" s="14">
        <f t="shared" si="302"/>
        <v>0</v>
      </c>
      <c r="MM110" s="14">
        <f t="shared" si="303"/>
        <v>0</v>
      </c>
      <c r="MN110" s="14">
        <f t="shared" si="304"/>
        <v>0</v>
      </c>
      <c r="MO110" s="14">
        <f t="shared" si="305"/>
        <v>0</v>
      </c>
      <c r="MP110" s="14">
        <f t="shared" si="306"/>
        <v>0</v>
      </c>
      <c r="MQ110" s="14">
        <f t="shared" si="307"/>
        <v>0</v>
      </c>
      <c r="MR110" s="14">
        <f t="shared" si="308"/>
        <v>0</v>
      </c>
      <c r="MS110" s="14">
        <f t="shared" si="309"/>
        <v>0</v>
      </c>
      <c r="MT110" s="14">
        <f t="shared" si="310"/>
        <v>0</v>
      </c>
      <c r="MU110" s="14">
        <f t="shared" si="311"/>
        <v>0</v>
      </c>
      <c r="MV110" s="14">
        <f t="shared" si="312"/>
        <v>0</v>
      </c>
      <c r="MW110" s="14">
        <f t="shared" si="313"/>
        <v>0</v>
      </c>
      <c r="MX110" s="14">
        <f t="shared" si="314"/>
        <v>0</v>
      </c>
      <c r="MY110" s="14">
        <f t="shared" si="315"/>
        <v>0</v>
      </c>
      <c r="MZ110" s="14">
        <f t="shared" si="316"/>
        <v>0</v>
      </c>
      <c r="NA110" s="14">
        <f t="shared" si="317"/>
        <v>0</v>
      </c>
      <c r="NB110" s="14">
        <f t="shared" si="318"/>
        <v>0</v>
      </c>
    </row>
    <row r="111" ht="15.75" customHeight="1">
      <c r="A111" s="2">
        <v>337.0</v>
      </c>
      <c r="B111" s="2" t="s">
        <v>2250</v>
      </c>
      <c r="C111" s="2" t="s">
        <v>2251</v>
      </c>
      <c r="D111" s="2" t="s">
        <v>2252</v>
      </c>
      <c r="E111" s="2">
        <v>2018.0</v>
      </c>
      <c r="F111" s="2" t="s">
        <v>2253</v>
      </c>
      <c r="G111" s="2" t="s">
        <v>907</v>
      </c>
      <c r="J111" s="2" t="s">
        <v>1572</v>
      </c>
      <c r="K111" s="2" t="s">
        <v>585</v>
      </c>
      <c r="M111" s="2">
        <v>8.0</v>
      </c>
      <c r="N111" s="2" t="s">
        <v>2254</v>
      </c>
      <c r="O111" s="2" t="s">
        <v>2255</v>
      </c>
      <c r="P111" s="2" t="s">
        <v>2256</v>
      </c>
      <c r="Q111" s="2" t="s">
        <v>2257</v>
      </c>
      <c r="R111" s="2" t="s">
        <v>2258</v>
      </c>
      <c r="S111" s="2" t="s">
        <v>2259</v>
      </c>
      <c r="T111" s="2" t="s">
        <v>2260</v>
      </c>
      <c r="Y111" s="2" t="s">
        <v>2261</v>
      </c>
      <c r="AB111" s="2" t="s">
        <v>862</v>
      </c>
      <c r="AG111" s="2" t="s">
        <v>2262</v>
      </c>
      <c r="AK111" s="2" t="s">
        <v>2263</v>
      </c>
      <c r="AL111" s="2" t="s">
        <v>384</v>
      </c>
      <c r="AN111" s="2" t="s">
        <v>386</v>
      </c>
      <c r="AO111" s="2" t="s">
        <v>2264</v>
      </c>
      <c r="AP111" s="2" t="s">
        <v>386</v>
      </c>
      <c r="AQ111" s="2">
        <v>1306.0</v>
      </c>
      <c r="AR111" s="2" t="s">
        <v>2252</v>
      </c>
      <c r="AS111" s="2" t="b">
        <v>0</v>
      </c>
      <c r="AT111" s="3">
        <v>0.0</v>
      </c>
      <c r="AU111" s="4"/>
      <c r="AV111" s="4"/>
      <c r="AW111" s="5">
        <f t="shared" si="432"/>
        <v>0</v>
      </c>
      <c r="AX111" s="5">
        <f t="shared" si="4"/>
        <v>0</v>
      </c>
      <c r="AY111" s="5">
        <f t="shared" si="5"/>
        <v>0</v>
      </c>
      <c r="AZ111" s="5">
        <f t="shared" si="6"/>
        <v>0</v>
      </c>
      <c r="BA111" s="5">
        <f t="shared" si="7"/>
        <v>0</v>
      </c>
      <c r="BB111" s="5">
        <f t="shared" si="8"/>
        <v>0</v>
      </c>
      <c r="BC111" s="5">
        <f t="shared" si="9"/>
        <v>0</v>
      </c>
      <c r="BD111" s="5">
        <f t="shared" si="10"/>
        <v>0</v>
      </c>
      <c r="BE111" s="5">
        <f t="shared" si="11"/>
        <v>0</v>
      </c>
      <c r="BF111" s="5">
        <f t="shared" si="12"/>
        <v>0</v>
      </c>
      <c r="BG111" s="5">
        <f t="shared" si="13"/>
        <v>0</v>
      </c>
      <c r="BH111" s="5">
        <f t="shared" si="14"/>
        <v>0</v>
      </c>
      <c r="BI111" s="5">
        <f t="shared" si="15"/>
        <v>0</v>
      </c>
      <c r="BJ111" s="5">
        <f t="shared" si="16"/>
        <v>0</v>
      </c>
      <c r="BK111" s="5">
        <f t="shared" si="17"/>
        <v>0</v>
      </c>
      <c r="BL111" s="5">
        <f t="shared" si="18"/>
        <v>0</v>
      </c>
      <c r="BM111" s="5">
        <f t="shared" si="19"/>
        <v>0</v>
      </c>
      <c r="BN111" s="5">
        <f t="shared" si="20"/>
        <v>0</v>
      </c>
      <c r="BO111" s="5">
        <f t="shared" si="21"/>
        <v>0</v>
      </c>
      <c r="BP111" s="5">
        <f t="shared" si="22"/>
        <v>0</v>
      </c>
      <c r="BQ111" s="5">
        <f t="shared" si="23"/>
        <v>0</v>
      </c>
      <c r="BR111" s="5">
        <f t="shared" si="24"/>
        <v>0</v>
      </c>
      <c r="BS111" s="5">
        <f t="shared" si="25"/>
        <v>1</v>
      </c>
      <c r="BT111" s="5">
        <f t="shared" si="26"/>
        <v>0</v>
      </c>
      <c r="BU111" s="5">
        <f t="shared" si="27"/>
        <v>0</v>
      </c>
      <c r="BV111" s="5">
        <f t="shared" ref="BV111:BW111" si="565">IF(OR(ISNUMBER(SEARCH("grit",$D111)),ISNUMBER(SEARCH("grit",$T111)),ISNUMBER(SEARCH("grit",$R111)),ISNUMBER(SEARCH("grit",$S111)),
ISNUMBER(SEARCH("determination",$D111)),ISNUMBER(SEARCH("determination",$T111)),ISNUMBER(SEARCH("determination",$R111)),ISNUMBER(SEARCH("determination",$S111)),
ISNUMBER(SEARCH("tenacity",$D111)),ISNUMBER(SEARCH("tenacity",$T111)),ISNUMBER(SEARCH("tenacity",$R111)),ISNUMBER(SEARCH("tenacity",$S111)),
ISNUMBER(SEARCH("endurance",$D111)),ISNUMBER(SEARCH("endurance",$T111)),ISNUMBER(SEARCH("endurance",$R111)),ISNUMBER(SEARCH("endurance",$S111)),
ISNUMBER(SEARCH("fortitude",$D111)),ISNUMBER(SEARCH("fortitude",$T111)),ISNUMBER(SEARCH("fortitude",$R111)),ISNUMBER(SEARCH("fortitude",$S111)),
ISNUMBER(SEARCH("resolve",$D111)),ISNUMBER(SEARCH("resolve",$T111)),ISNUMBER(SEARCH("resolve",$R111)),ISNUMBER(SEARCH("resolve",$S111)),
ISNUMBER(SEARCH("stamina",$D111)),ISNUMBER(SEARCH("stamina",$T111)),ISNUMBER(SEARCH("stamina",$R111)),ISNUMBER(SEARCH("stamina",$S111)),
ISNUMBER(SEARCH("guts",$D111)),ISNUMBER(SEARCH("guts",$T111)),ISNUMBER(SEARCH("guts",$R111)),ISNUMBER(SEARCH("guts",$S111)),
ISNUMBER(SEARCH("spunk",$D111)),ISNUMBER(SEARCH("spunk",$T111)),ISNUMBER(SEARCH("spunk",$R111)),ISNUMBER(SEARCH("spunk",$S111))), 1, 0)</f>
        <v>0</v>
      </c>
      <c r="BW111" s="5">
        <f t="shared" si="565"/>
        <v>0</v>
      </c>
      <c r="BX111" s="5">
        <f t="shared" si="29"/>
        <v>0</v>
      </c>
      <c r="BY111" s="5">
        <f t="shared" si="30"/>
        <v>0</v>
      </c>
      <c r="BZ111" s="5">
        <f t="shared" si="31"/>
        <v>0</v>
      </c>
      <c r="CA111" s="5">
        <f t="shared" si="32"/>
        <v>0</v>
      </c>
      <c r="CB111" s="5">
        <f t="shared" si="33"/>
        <v>0</v>
      </c>
      <c r="CC111" s="5">
        <f t="shared" si="34"/>
        <v>0</v>
      </c>
      <c r="CD111" s="5">
        <f t="shared" si="35"/>
        <v>0</v>
      </c>
      <c r="CE111" s="5">
        <f t="shared" si="36"/>
        <v>0</v>
      </c>
      <c r="CF111" s="5">
        <f t="shared" si="37"/>
        <v>0</v>
      </c>
      <c r="CG111" s="5">
        <f t="shared" si="38"/>
        <v>0</v>
      </c>
      <c r="CH111" s="5">
        <f t="shared" si="39"/>
        <v>0</v>
      </c>
      <c r="CI111" s="5">
        <f t="shared" si="40"/>
        <v>0</v>
      </c>
      <c r="CJ111" s="5">
        <f t="shared" si="41"/>
        <v>1</v>
      </c>
      <c r="CK111" s="5">
        <f t="shared" si="42"/>
        <v>0</v>
      </c>
      <c r="CL111" s="5">
        <f t="shared" si="43"/>
        <v>0</v>
      </c>
      <c r="CM111" s="5">
        <f t="shared" si="44"/>
        <v>0</v>
      </c>
      <c r="CN111" s="5">
        <f t="shared" si="45"/>
        <v>0</v>
      </c>
      <c r="CO111" s="5">
        <f t="shared" si="46"/>
        <v>0</v>
      </c>
      <c r="CP111" s="6">
        <f t="shared" si="47"/>
        <v>0</v>
      </c>
      <c r="CQ111" s="6">
        <f t="shared" si="48"/>
        <v>0</v>
      </c>
      <c r="CR111" s="6">
        <f t="shared" si="49"/>
        <v>0</v>
      </c>
      <c r="CS111" s="6">
        <f t="shared" si="50"/>
        <v>0</v>
      </c>
      <c r="CT111" s="6">
        <f t="shared" si="551"/>
        <v>0</v>
      </c>
      <c r="CU111" s="6">
        <f t="shared" si="52"/>
        <v>0</v>
      </c>
      <c r="CV111" s="6">
        <f t="shared" si="53"/>
        <v>0</v>
      </c>
      <c r="CW111" s="6">
        <f t="shared" si="54"/>
        <v>0</v>
      </c>
      <c r="CX111" s="6">
        <f t="shared" si="55"/>
        <v>0</v>
      </c>
      <c r="CY111" s="6">
        <f t="shared" si="56"/>
        <v>0</v>
      </c>
      <c r="CZ111" s="6">
        <f t="shared" si="57"/>
        <v>0</v>
      </c>
      <c r="DA111" s="6">
        <f t="shared" si="58"/>
        <v>0</v>
      </c>
      <c r="DB111" s="6">
        <f t="shared" si="59"/>
        <v>0</v>
      </c>
      <c r="DC111" s="6">
        <f t="shared" si="60"/>
        <v>0</v>
      </c>
      <c r="DD111" s="6">
        <f t="shared" si="61"/>
        <v>0</v>
      </c>
      <c r="DE111" s="6">
        <f t="shared" si="62"/>
        <v>0</v>
      </c>
      <c r="DF111" s="6">
        <f t="shared" si="63"/>
        <v>0</v>
      </c>
      <c r="DG111" s="6">
        <f t="shared" si="64"/>
        <v>0</v>
      </c>
      <c r="DH111" s="6">
        <f t="shared" si="509"/>
        <v>0</v>
      </c>
      <c r="DI111" s="6">
        <f t="shared" si="66"/>
        <v>0</v>
      </c>
      <c r="DJ111" s="6">
        <f t="shared" si="510"/>
        <v>0</v>
      </c>
      <c r="DK111" s="7">
        <f t="shared" si="68"/>
        <v>0</v>
      </c>
      <c r="DL111" s="7">
        <f t="shared" si="498"/>
        <v>0</v>
      </c>
      <c r="DM111" s="7">
        <f t="shared" si="70"/>
        <v>0</v>
      </c>
      <c r="DN111" s="7">
        <f t="shared" si="71"/>
        <v>0</v>
      </c>
      <c r="DO111" s="7">
        <f t="shared" si="72"/>
        <v>1</v>
      </c>
      <c r="DP111" s="8">
        <f t="shared" si="73"/>
        <v>0</v>
      </c>
      <c r="DQ111" s="8">
        <f t="shared" si="74"/>
        <v>0</v>
      </c>
      <c r="DR111" s="7">
        <f t="shared" si="75"/>
        <v>0</v>
      </c>
      <c r="DS111" s="7">
        <f t="shared" si="76"/>
        <v>0</v>
      </c>
      <c r="DT111" s="7">
        <f t="shared" si="77"/>
        <v>0</v>
      </c>
      <c r="DU111" s="9">
        <f t="shared" si="78"/>
        <v>0</v>
      </c>
      <c r="DV111" s="9">
        <f t="shared" si="79"/>
        <v>0</v>
      </c>
      <c r="DW111" s="9">
        <f t="shared" si="80"/>
        <v>0</v>
      </c>
      <c r="DX111" s="9">
        <f t="shared" si="81"/>
        <v>0</v>
      </c>
      <c r="DY111" s="9">
        <f t="shared" si="82"/>
        <v>1</v>
      </c>
      <c r="DZ111" s="9">
        <f t="shared" si="83"/>
        <v>0</v>
      </c>
      <c r="EA111" s="9">
        <f t="shared" si="84"/>
        <v>0</v>
      </c>
      <c r="EB111" s="9">
        <f t="shared" si="85"/>
        <v>0</v>
      </c>
      <c r="EC111" s="9">
        <f t="shared" si="86"/>
        <v>0</v>
      </c>
      <c r="ED111" s="9">
        <f t="shared" si="87"/>
        <v>0</v>
      </c>
      <c r="EE111" s="9">
        <f t="shared" si="88"/>
        <v>0</v>
      </c>
      <c r="EF111" s="9">
        <f t="shared" si="89"/>
        <v>0</v>
      </c>
      <c r="EG111" s="9">
        <f t="shared" si="90"/>
        <v>0</v>
      </c>
      <c r="EH111" s="9">
        <f t="shared" si="91"/>
        <v>0</v>
      </c>
      <c r="EI111" s="9">
        <f t="shared" si="92"/>
        <v>0</v>
      </c>
      <c r="EJ111" s="10">
        <f t="shared" si="93"/>
        <v>0</v>
      </c>
      <c r="EK111" s="10">
        <f t="shared" si="94"/>
        <v>0</v>
      </c>
      <c r="EL111" s="10">
        <f t="shared" ref="EL111:EM111" si="566">IF(OR(ISNUMBER(SEARCH("ai software toolkit", $D111)), ISNUMBER(SEARCH("ai software toolkit", $T111)), ISNUMBER(SEARCH("ai software toolkit", $R111)), ISNUMBER(SEARCH("ai software toolkit", $S111))), 1, 0)</f>
        <v>0</v>
      </c>
      <c r="EM111" s="10">
        <f t="shared" si="566"/>
        <v>0</v>
      </c>
      <c r="EN111" s="10">
        <f t="shared" si="96"/>
        <v>0</v>
      </c>
      <c r="EO111" s="10">
        <f t="shared" si="97"/>
        <v>0</v>
      </c>
      <c r="EP111" s="10">
        <f t="shared" si="98"/>
        <v>0</v>
      </c>
      <c r="EQ111" s="10">
        <f t="shared" si="99"/>
        <v>0</v>
      </c>
      <c r="ER111" s="10">
        <f t="shared" si="100"/>
        <v>0</v>
      </c>
      <c r="ES111" s="10">
        <f t="shared" si="101"/>
        <v>0</v>
      </c>
      <c r="ET111" s="10">
        <f t="shared" si="102"/>
        <v>0</v>
      </c>
      <c r="EU111" s="10">
        <f t="shared" si="103"/>
        <v>0</v>
      </c>
      <c r="EV111" s="10">
        <f t="shared" si="104"/>
        <v>0</v>
      </c>
      <c r="EW111" s="10">
        <f t="shared" si="105"/>
        <v>0</v>
      </c>
      <c r="EX111" s="10">
        <f t="shared" si="106"/>
        <v>0</v>
      </c>
      <c r="EY111" s="10">
        <f t="shared" si="107"/>
        <v>0</v>
      </c>
      <c r="EZ111" s="10">
        <f t="shared" si="108"/>
        <v>0</v>
      </c>
      <c r="FA111" s="10">
        <f t="shared" si="109"/>
        <v>0</v>
      </c>
      <c r="FB111" s="10">
        <f t="shared" si="110"/>
        <v>0</v>
      </c>
      <c r="FC111" s="10">
        <f t="shared" si="111"/>
        <v>0</v>
      </c>
      <c r="FD111" s="10">
        <f t="shared" si="112"/>
        <v>0</v>
      </c>
      <c r="FE111" s="10">
        <f t="shared" si="113"/>
        <v>0</v>
      </c>
      <c r="FF111" s="10">
        <f t="shared" si="114"/>
        <v>0</v>
      </c>
      <c r="FG111" s="10">
        <f t="shared" si="115"/>
        <v>0</v>
      </c>
      <c r="FH111" s="10">
        <f t="shared" si="116"/>
        <v>0</v>
      </c>
      <c r="FI111" s="10">
        <f t="shared" si="117"/>
        <v>0</v>
      </c>
      <c r="FJ111" s="10">
        <f t="shared" si="118"/>
        <v>0</v>
      </c>
      <c r="FK111" s="10">
        <f t="shared" si="119"/>
        <v>0</v>
      </c>
      <c r="FL111" s="10">
        <f t="shared" si="120"/>
        <v>0</v>
      </c>
      <c r="FM111" s="10">
        <f t="shared" si="121"/>
        <v>0</v>
      </c>
      <c r="FN111" s="10">
        <f t="shared" si="122"/>
        <v>0</v>
      </c>
      <c r="FO111" s="10">
        <f t="shared" si="123"/>
        <v>0</v>
      </c>
      <c r="FP111" s="10">
        <f t="shared" si="124"/>
        <v>0</v>
      </c>
      <c r="FQ111" s="10">
        <f t="shared" si="125"/>
        <v>0</v>
      </c>
      <c r="FR111" s="11">
        <f t="shared" si="543"/>
        <v>0</v>
      </c>
      <c r="FS111" s="11">
        <f t="shared" si="127"/>
        <v>0</v>
      </c>
      <c r="FT111" s="11">
        <f t="shared" si="128"/>
        <v>0</v>
      </c>
      <c r="FU111" s="11">
        <f t="shared" si="129"/>
        <v>0</v>
      </c>
      <c r="FV111" s="11">
        <f t="shared" si="130"/>
        <v>0</v>
      </c>
      <c r="FW111" s="11">
        <f t="shared" si="131"/>
        <v>0</v>
      </c>
      <c r="FX111" s="11">
        <f t="shared" si="132"/>
        <v>0</v>
      </c>
      <c r="FY111" s="11">
        <f t="shared" si="133"/>
        <v>0</v>
      </c>
      <c r="FZ111" s="11">
        <f t="shared" si="134"/>
        <v>0</v>
      </c>
      <c r="GA111" s="11">
        <f t="shared" si="135"/>
        <v>0</v>
      </c>
      <c r="GB111" s="11">
        <f t="shared" si="136"/>
        <v>0</v>
      </c>
      <c r="GC111" s="11">
        <f t="shared" si="137"/>
        <v>0</v>
      </c>
      <c r="GD111" s="11">
        <f t="shared" si="138"/>
        <v>0</v>
      </c>
      <c r="GE111" s="11">
        <f t="shared" si="139"/>
        <v>0</v>
      </c>
      <c r="GF111" s="11">
        <f t="shared" si="140"/>
        <v>0</v>
      </c>
      <c r="GG111" s="11">
        <f t="shared" si="141"/>
        <v>0</v>
      </c>
      <c r="GH111" s="11">
        <f t="shared" si="142"/>
        <v>0</v>
      </c>
      <c r="GI111" s="11">
        <f t="shared" si="143"/>
        <v>0</v>
      </c>
      <c r="GJ111" s="11">
        <f t="shared" si="144"/>
        <v>0</v>
      </c>
      <c r="GK111" s="11">
        <f t="shared" si="145"/>
        <v>0</v>
      </c>
      <c r="GL111" s="11">
        <f t="shared" si="146"/>
        <v>0</v>
      </c>
      <c r="GM111" s="11">
        <f t="shared" si="147"/>
        <v>0</v>
      </c>
      <c r="GN111" s="11">
        <f t="shared" si="148"/>
        <v>0</v>
      </c>
      <c r="GO111" s="11">
        <f t="shared" si="149"/>
        <v>0</v>
      </c>
      <c r="GP111" s="11">
        <f t="shared" si="150"/>
        <v>0</v>
      </c>
      <c r="GQ111" s="11">
        <f t="shared" si="151"/>
        <v>0</v>
      </c>
      <c r="GR111" s="11">
        <f t="shared" si="152"/>
        <v>0</v>
      </c>
      <c r="GS111" s="11">
        <f t="shared" si="153"/>
        <v>0</v>
      </c>
      <c r="GT111" s="11">
        <f t="shared" si="154"/>
        <v>0</v>
      </c>
      <c r="GU111" s="12">
        <f t="shared" si="155"/>
        <v>0</v>
      </c>
      <c r="GV111" s="12">
        <f t="shared" si="156"/>
        <v>0</v>
      </c>
      <c r="GW111" s="12">
        <f t="shared" si="157"/>
        <v>0</v>
      </c>
      <c r="GX111" s="12">
        <f t="shared" si="158"/>
        <v>0</v>
      </c>
      <c r="GY111" s="12">
        <f t="shared" si="159"/>
        <v>0</v>
      </c>
      <c r="GZ111" s="12">
        <f t="shared" si="160"/>
        <v>0</v>
      </c>
      <c r="HA111" s="12">
        <f t="shared" si="161"/>
        <v>0</v>
      </c>
      <c r="HB111" s="12">
        <f t="shared" si="162"/>
        <v>0</v>
      </c>
      <c r="HC111" s="12">
        <f t="shared" si="163"/>
        <v>0</v>
      </c>
      <c r="HD111" s="12">
        <f t="shared" si="164"/>
        <v>0</v>
      </c>
      <c r="HE111" s="12">
        <f t="shared" si="165"/>
        <v>0</v>
      </c>
      <c r="HF111" s="12">
        <f t="shared" si="166"/>
        <v>0</v>
      </c>
      <c r="HG111" s="12">
        <f t="shared" si="167"/>
        <v>0</v>
      </c>
      <c r="HH111" s="12">
        <f t="shared" si="168"/>
        <v>0</v>
      </c>
      <c r="HI111" s="12">
        <f t="shared" si="169"/>
        <v>0</v>
      </c>
      <c r="HJ111" s="12">
        <f t="shared" si="170"/>
        <v>0</v>
      </c>
      <c r="HK111" s="12">
        <f t="shared" si="171"/>
        <v>0</v>
      </c>
      <c r="HL111" s="12">
        <f t="shared" si="172"/>
        <v>0</v>
      </c>
      <c r="HM111" s="12">
        <f t="shared" si="173"/>
        <v>0</v>
      </c>
      <c r="HN111" s="12">
        <f t="shared" si="174"/>
        <v>0</v>
      </c>
      <c r="HO111" s="12">
        <f t="shared" si="175"/>
        <v>0</v>
      </c>
      <c r="HP111" s="12">
        <f t="shared" si="176"/>
        <v>0</v>
      </c>
      <c r="HQ111" s="12">
        <f t="shared" si="177"/>
        <v>0</v>
      </c>
      <c r="HR111" s="12">
        <f t="shared" si="178"/>
        <v>0</v>
      </c>
      <c r="HS111" s="12">
        <f t="shared" si="179"/>
        <v>0</v>
      </c>
      <c r="HT111" s="12">
        <f t="shared" si="180"/>
        <v>0</v>
      </c>
      <c r="HU111" s="12">
        <f t="shared" si="181"/>
        <v>0</v>
      </c>
      <c r="HV111" s="12">
        <f t="shared" si="182"/>
        <v>1</v>
      </c>
      <c r="HW111" s="12">
        <f t="shared" si="183"/>
        <v>0</v>
      </c>
      <c r="HX111" s="12">
        <f t="shared" si="184"/>
        <v>0</v>
      </c>
      <c r="HY111" s="12">
        <f t="shared" si="185"/>
        <v>0</v>
      </c>
      <c r="HZ111" s="12">
        <f t="shared" si="186"/>
        <v>0</v>
      </c>
      <c r="IA111" s="12">
        <f t="shared" si="187"/>
        <v>0</v>
      </c>
      <c r="IB111" s="12">
        <f t="shared" si="188"/>
        <v>0</v>
      </c>
      <c r="IC111" s="12">
        <f t="shared" si="189"/>
        <v>0</v>
      </c>
      <c r="ID111" s="12">
        <f t="shared" si="190"/>
        <v>0</v>
      </c>
      <c r="IE111" s="12">
        <f t="shared" si="191"/>
        <v>0</v>
      </c>
      <c r="IF111" s="12">
        <f t="shared" si="192"/>
        <v>0</v>
      </c>
      <c r="IG111" s="12">
        <f t="shared" si="193"/>
        <v>0</v>
      </c>
      <c r="IH111" s="12">
        <f t="shared" si="194"/>
        <v>0</v>
      </c>
      <c r="II111" s="12">
        <f t="shared" si="195"/>
        <v>0</v>
      </c>
      <c r="IJ111" s="12">
        <f t="shared" si="196"/>
        <v>0</v>
      </c>
      <c r="IK111" s="12">
        <f t="shared" si="197"/>
        <v>0</v>
      </c>
      <c r="IL111" s="12">
        <f t="shared" si="198"/>
        <v>0</v>
      </c>
      <c r="IM111" s="12">
        <f t="shared" si="199"/>
        <v>0</v>
      </c>
      <c r="IN111" s="12">
        <f t="shared" si="200"/>
        <v>0</v>
      </c>
      <c r="IO111" s="12">
        <f t="shared" si="201"/>
        <v>0</v>
      </c>
      <c r="IP111" s="12">
        <f t="shared" si="202"/>
        <v>0</v>
      </c>
      <c r="IQ111" s="12">
        <f t="shared" si="203"/>
        <v>0</v>
      </c>
      <c r="IR111" s="12">
        <f t="shared" si="204"/>
        <v>0</v>
      </c>
      <c r="IS111" s="12">
        <f t="shared" si="205"/>
        <v>0</v>
      </c>
      <c r="IT111" s="12">
        <f t="shared" si="206"/>
        <v>0</v>
      </c>
      <c r="IU111" s="12">
        <f t="shared" si="207"/>
        <v>0</v>
      </c>
      <c r="IV111" s="12">
        <f t="shared" si="208"/>
        <v>0</v>
      </c>
      <c r="IW111" s="12">
        <f t="shared" si="209"/>
        <v>0</v>
      </c>
      <c r="IX111" s="12">
        <f t="shared" si="210"/>
        <v>0</v>
      </c>
      <c r="IY111" s="12">
        <f t="shared" si="211"/>
        <v>0</v>
      </c>
      <c r="IZ111" s="12">
        <f t="shared" si="212"/>
        <v>1</v>
      </c>
      <c r="JA111" s="13">
        <f t="shared" si="213"/>
        <v>0</v>
      </c>
      <c r="JB111" s="13">
        <f t="shared" si="214"/>
        <v>0</v>
      </c>
      <c r="JC111" s="13">
        <f t="shared" si="215"/>
        <v>0</v>
      </c>
      <c r="JD111" s="13">
        <f t="shared" si="216"/>
        <v>0</v>
      </c>
      <c r="JE111" s="13">
        <f t="shared" si="217"/>
        <v>0</v>
      </c>
      <c r="JF111" s="13">
        <f t="shared" si="218"/>
        <v>0</v>
      </c>
      <c r="JG111" s="13">
        <f t="shared" si="219"/>
        <v>0</v>
      </c>
      <c r="JH111" s="13">
        <f t="shared" si="220"/>
        <v>0</v>
      </c>
      <c r="JI111" s="13">
        <f t="shared" si="221"/>
        <v>0</v>
      </c>
      <c r="JJ111" s="13">
        <f t="shared" si="222"/>
        <v>0</v>
      </c>
      <c r="JK111" s="13">
        <f t="shared" si="223"/>
        <v>0</v>
      </c>
      <c r="JL111" s="13">
        <f t="shared" si="224"/>
        <v>0</v>
      </c>
      <c r="JM111" s="13">
        <f t="shared" si="225"/>
        <v>0</v>
      </c>
      <c r="JN111" s="13">
        <f t="shared" si="226"/>
        <v>0</v>
      </c>
      <c r="JO111" s="13">
        <f t="shared" si="227"/>
        <v>0</v>
      </c>
      <c r="JP111" s="13">
        <f t="shared" si="228"/>
        <v>0</v>
      </c>
      <c r="JQ111" s="13">
        <f t="shared" si="229"/>
        <v>0</v>
      </c>
      <c r="JR111" s="13">
        <f t="shared" si="230"/>
        <v>0</v>
      </c>
      <c r="JS111" s="13">
        <f t="shared" si="231"/>
        <v>0</v>
      </c>
      <c r="JT111" s="13">
        <f t="shared" si="232"/>
        <v>0</v>
      </c>
      <c r="JU111" s="13">
        <f t="shared" si="233"/>
        <v>0</v>
      </c>
      <c r="JV111" s="12">
        <f t="shared" si="234"/>
        <v>0</v>
      </c>
      <c r="JW111" s="12">
        <f t="shared" si="235"/>
        <v>0</v>
      </c>
      <c r="JX111" s="12">
        <f t="shared" si="236"/>
        <v>0</v>
      </c>
      <c r="JY111" s="12">
        <f t="shared" si="237"/>
        <v>0</v>
      </c>
      <c r="JZ111" s="12">
        <f t="shared" si="238"/>
        <v>0</v>
      </c>
      <c r="KA111" s="12">
        <f t="shared" si="239"/>
        <v>0</v>
      </c>
      <c r="KB111" s="12">
        <f t="shared" si="240"/>
        <v>0</v>
      </c>
      <c r="KC111" s="12">
        <f t="shared" si="241"/>
        <v>0</v>
      </c>
      <c r="KD111" s="12">
        <f t="shared" si="242"/>
        <v>0</v>
      </c>
      <c r="KE111" s="12">
        <f t="shared" si="243"/>
        <v>0</v>
      </c>
      <c r="KF111" s="12">
        <f t="shared" si="244"/>
        <v>0</v>
      </c>
      <c r="KG111" s="12">
        <f t="shared" si="245"/>
        <v>0</v>
      </c>
      <c r="KH111" s="12">
        <f t="shared" si="246"/>
        <v>0</v>
      </c>
      <c r="KI111" s="12">
        <f t="shared" si="247"/>
        <v>0</v>
      </c>
      <c r="KJ111" s="12">
        <f t="shared" si="248"/>
        <v>0</v>
      </c>
      <c r="KK111" s="12">
        <f t="shared" si="249"/>
        <v>0</v>
      </c>
      <c r="KL111" s="12">
        <f t="shared" si="250"/>
        <v>0</v>
      </c>
      <c r="KM111" s="12">
        <f t="shared" si="251"/>
        <v>0</v>
      </c>
      <c r="KN111" s="12">
        <f t="shared" si="252"/>
        <v>0</v>
      </c>
      <c r="KO111" s="12">
        <f t="shared" si="253"/>
        <v>0</v>
      </c>
      <c r="KP111" s="12">
        <f t="shared" si="254"/>
        <v>0</v>
      </c>
      <c r="KQ111" s="12">
        <f t="shared" si="255"/>
        <v>0</v>
      </c>
      <c r="KR111" s="12">
        <f t="shared" si="256"/>
        <v>0</v>
      </c>
      <c r="KS111" s="12">
        <f t="shared" si="257"/>
        <v>0</v>
      </c>
      <c r="KT111" s="12">
        <f t="shared" si="258"/>
        <v>0</v>
      </c>
      <c r="KU111" s="12">
        <f t="shared" si="259"/>
        <v>0</v>
      </c>
      <c r="KV111" s="12">
        <f t="shared" si="260"/>
        <v>0</v>
      </c>
      <c r="KW111" s="12">
        <f t="shared" si="261"/>
        <v>0</v>
      </c>
      <c r="KX111" s="12">
        <f t="shared" si="262"/>
        <v>0</v>
      </c>
      <c r="KY111" s="12">
        <f t="shared" si="263"/>
        <v>0</v>
      </c>
      <c r="KZ111" s="12">
        <f t="shared" si="264"/>
        <v>0</v>
      </c>
      <c r="LA111" s="12">
        <f t="shared" si="265"/>
        <v>0</v>
      </c>
      <c r="LB111" s="12">
        <f t="shared" si="266"/>
        <v>0</v>
      </c>
      <c r="LC111" s="12">
        <f t="shared" si="267"/>
        <v>0</v>
      </c>
      <c r="LD111" s="12">
        <f t="shared" si="268"/>
        <v>0</v>
      </c>
      <c r="LE111" s="12">
        <f t="shared" si="269"/>
        <v>0</v>
      </c>
      <c r="LF111" s="12">
        <f t="shared" si="270"/>
        <v>0</v>
      </c>
      <c r="LG111" s="12">
        <f t="shared" si="271"/>
        <v>0</v>
      </c>
      <c r="LH111" s="12">
        <f t="shared" si="272"/>
        <v>0</v>
      </c>
      <c r="LI111" s="12">
        <f t="shared" si="273"/>
        <v>0</v>
      </c>
      <c r="LJ111" s="12">
        <f t="shared" si="274"/>
        <v>0</v>
      </c>
      <c r="LK111" s="12">
        <f t="shared" si="275"/>
        <v>0</v>
      </c>
      <c r="LL111" s="12">
        <f t="shared" si="276"/>
        <v>0</v>
      </c>
      <c r="LM111" s="12">
        <f t="shared" si="277"/>
        <v>0</v>
      </c>
      <c r="LN111" s="12">
        <f t="shared" si="278"/>
        <v>0</v>
      </c>
      <c r="LO111" s="12">
        <f t="shared" si="279"/>
        <v>0</v>
      </c>
      <c r="LP111" s="12">
        <f t="shared" si="280"/>
        <v>0</v>
      </c>
      <c r="LQ111" s="12">
        <f t="shared" si="281"/>
        <v>0</v>
      </c>
      <c r="LR111" s="12">
        <f t="shared" si="282"/>
        <v>0</v>
      </c>
      <c r="LS111" s="12">
        <f t="shared" si="283"/>
        <v>0</v>
      </c>
      <c r="LT111" s="13">
        <f t="shared" si="284"/>
        <v>0</v>
      </c>
      <c r="LU111" s="13">
        <f t="shared" si="285"/>
        <v>0</v>
      </c>
      <c r="LV111" s="13">
        <f t="shared" si="286"/>
        <v>0</v>
      </c>
      <c r="LW111" s="13">
        <f t="shared" si="287"/>
        <v>0</v>
      </c>
      <c r="LX111" s="13">
        <f t="shared" si="288"/>
        <v>0</v>
      </c>
      <c r="LY111" s="13">
        <f t="shared" si="289"/>
        <v>0</v>
      </c>
      <c r="LZ111" s="13">
        <f t="shared" si="290"/>
        <v>0</v>
      </c>
      <c r="MA111" s="13">
        <f t="shared" si="291"/>
        <v>0</v>
      </c>
      <c r="MB111" s="13">
        <f t="shared" si="292"/>
        <v>0</v>
      </c>
      <c r="MC111" s="13">
        <f t="shared" si="293"/>
        <v>0</v>
      </c>
      <c r="MD111" s="13">
        <f t="shared" si="294"/>
        <v>0</v>
      </c>
      <c r="ME111" s="13">
        <f t="shared" si="295"/>
        <v>0</v>
      </c>
      <c r="MF111" s="13">
        <f t="shared" si="296"/>
        <v>0</v>
      </c>
      <c r="MG111" s="13">
        <f t="shared" si="297"/>
        <v>0</v>
      </c>
      <c r="MH111" s="13">
        <f t="shared" si="298"/>
        <v>0</v>
      </c>
      <c r="MI111" s="13">
        <f t="shared" si="299"/>
        <v>0</v>
      </c>
      <c r="MJ111" s="13">
        <f t="shared" si="300"/>
        <v>0</v>
      </c>
      <c r="MK111" s="13">
        <f t="shared" si="301"/>
        <v>0</v>
      </c>
      <c r="ML111" s="14">
        <f t="shared" si="302"/>
        <v>0</v>
      </c>
      <c r="MM111" s="14">
        <f t="shared" si="303"/>
        <v>0</v>
      </c>
      <c r="MN111" s="14">
        <f t="shared" si="304"/>
        <v>0</v>
      </c>
      <c r="MO111" s="14">
        <f t="shared" si="305"/>
        <v>0</v>
      </c>
      <c r="MP111" s="14">
        <f t="shared" si="306"/>
        <v>0</v>
      </c>
      <c r="MQ111" s="14">
        <f t="shared" si="307"/>
        <v>0</v>
      </c>
      <c r="MR111" s="14">
        <f t="shared" si="308"/>
        <v>0</v>
      </c>
      <c r="MS111" s="14">
        <f t="shared" si="309"/>
        <v>0</v>
      </c>
      <c r="MT111" s="14">
        <f t="shared" si="310"/>
        <v>0</v>
      </c>
      <c r="MU111" s="14">
        <f t="shared" si="311"/>
        <v>0</v>
      </c>
      <c r="MV111" s="14">
        <f t="shared" si="312"/>
        <v>0</v>
      </c>
      <c r="MW111" s="14">
        <f t="shared" si="313"/>
        <v>0</v>
      </c>
      <c r="MX111" s="14">
        <f t="shared" si="314"/>
        <v>0</v>
      </c>
      <c r="MY111" s="14">
        <f t="shared" si="315"/>
        <v>0</v>
      </c>
      <c r="MZ111" s="14">
        <f t="shared" si="316"/>
        <v>0</v>
      </c>
      <c r="NA111" s="14">
        <f t="shared" si="317"/>
        <v>0</v>
      </c>
      <c r="NB111" s="14">
        <f t="shared" si="318"/>
        <v>0</v>
      </c>
    </row>
    <row r="112" ht="15.75" customHeight="1">
      <c r="A112" s="2">
        <v>318.0</v>
      </c>
      <c r="B112" s="2" t="s">
        <v>2265</v>
      </c>
      <c r="C112" s="2" t="s">
        <v>2266</v>
      </c>
      <c r="D112" s="2" t="s">
        <v>2267</v>
      </c>
      <c r="E112" s="2">
        <v>2019.0</v>
      </c>
      <c r="F112" s="2" t="s">
        <v>2268</v>
      </c>
      <c r="G112" s="2" t="s">
        <v>528</v>
      </c>
      <c r="I112" s="2" t="s">
        <v>2269</v>
      </c>
      <c r="J112" s="2" t="s">
        <v>2270</v>
      </c>
      <c r="K112" s="2" t="s">
        <v>2271</v>
      </c>
      <c r="M112" s="2">
        <v>8.0</v>
      </c>
      <c r="N112" s="2" t="s">
        <v>2272</v>
      </c>
      <c r="O112" s="2" t="s">
        <v>2273</v>
      </c>
      <c r="P112" s="2" t="s">
        <v>2274</v>
      </c>
      <c r="Q112" s="2" t="s">
        <v>2275</v>
      </c>
      <c r="R112" s="2" t="s">
        <v>2276</v>
      </c>
      <c r="S112" s="2" t="s">
        <v>2277</v>
      </c>
      <c r="T112" s="2" t="s">
        <v>2278</v>
      </c>
      <c r="Y112" s="2" t="s">
        <v>2279</v>
      </c>
      <c r="AB112" s="2" t="s">
        <v>668</v>
      </c>
      <c r="AG112" s="2" t="s">
        <v>2280</v>
      </c>
      <c r="AK112" s="2" t="s">
        <v>2268</v>
      </c>
      <c r="AL112" s="2" t="s">
        <v>384</v>
      </c>
      <c r="AM112" s="2" t="s">
        <v>1306</v>
      </c>
      <c r="AN112" s="2" t="s">
        <v>386</v>
      </c>
      <c r="AO112" s="2" t="s">
        <v>2281</v>
      </c>
      <c r="AP112" s="2" t="s">
        <v>386</v>
      </c>
      <c r="AQ112" s="2">
        <v>1251.0</v>
      </c>
      <c r="AR112" s="2" t="s">
        <v>2282</v>
      </c>
      <c r="AS112" s="2" t="b">
        <v>0</v>
      </c>
      <c r="AT112" s="3">
        <v>0.0</v>
      </c>
      <c r="AU112" s="4"/>
      <c r="AV112" s="4"/>
      <c r="AW112" s="5">
        <f t="shared" si="432"/>
        <v>0</v>
      </c>
      <c r="AX112" s="5">
        <f t="shared" si="4"/>
        <v>0</v>
      </c>
      <c r="AY112" s="5">
        <f t="shared" si="5"/>
        <v>0</v>
      </c>
      <c r="AZ112" s="5">
        <f t="shared" si="6"/>
        <v>0</v>
      </c>
      <c r="BA112" s="5">
        <f t="shared" si="7"/>
        <v>0</v>
      </c>
      <c r="BB112" s="5">
        <f t="shared" si="8"/>
        <v>0</v>
      </c>
      <c r="BC112" s="5">
        <f t="shared" si="9"/>
        <v>0</v>
      </c>
      <c r="BD112" s="5">
        <f t="shared" si="10"/>
        <v>0</v>
      </c>
      <c r="BE112" s="5">
        <f t="shared" si="11"/>
        <v>0</v>
      </c>
      <c r="BF112" s="5">
        <f t="shared" si="12"/>
        <v>0</v>
      </c>
      <c r="BG112" s="5">
        <f t="shared" si="13"/>
        <v>0</v>
      </c>
      <c r="BH112" s="5">
        <f t="shared" si="14"/>
        <v>0</v>
      </c>
      <c r="BI112" s="5">
        <f t="shared" si="15"/>
        <v>0</v>
      </c>
      <c r="BJ112" s="5">
        <f t="shared" si="16"/>
        <v>0</v>
      </c>
      <c r="BK112" s="5">
        <f t="shared" si="17"/>
        <v>0</v>
      </c>
      <c r="BL112" s="5">
        <f t="shared" si="18"/>
        <v>0</v>
      </c>
      <c r="BM112" s="5">
        <f t="shared" si="19"/>
        <v>0</v>
      </c>
      <c r="BN112" s="5">
        <f t="shared" si="20"/>
        <v>0</v>
      </c>
      <c r="BO112" s="5">
        <f t="shared" si="21"/>
        <v>0</v>
      </c>
      <c r="BP112" s="5">
        <f t="shared" si="22"/>
        <v>0</v>
      </c>
      <c r="BQ112" s="5">
        <f t="shared" si="23"/>
        <v>0</v>
      </c>
      <c r="BR112" s="5">
        <f t="shared" si="24"/>
        <v>0</v>
      </c>
      <c r="BS112" s="5">
        <f t="shared" si="25"/>
        <v>0</v>
      </c>
      <c r="BT112" s="5">
        <f t="shared" si="26"/>
        <v>0</v>
      </c>
      <c r="BU112" s="5">
        <f t="shared" si="27"/>
        <v>0</v>
      </c>
      <c r="BV112" s="5">
        <f t="shared" ref="BV112:BW112" si="567">IF(OR(ISNUMBER(SEARCH("grit",$D112)),ISNUMBER(SEARCH("grit",$T112)),ISNUMBER(SEARCH("grit",$R112)),ISNUMBER(SEARCH("grit",$S112)),
ISNUMBER(SEARCH("determination",$D112)),ISNUMBER(SEARCH("determination",$T112)),ISNUMBER(SEARCH("determination",$R112)),ISNUMBER(SEARCH("determination",$S112)),
ISNUMBER(SEARCH("tenacity",$D112)),ISNUMBER(SEARCH("tenacity",$T112)),ISNUMBER(SEARCH("tenacity",$R112)),ISNUMBER(SEARCH("tenacity",$S112)),
ISNUMBER(SEARCH("endurance",$D112)),ISNUMBER(SEARCH("endurance",$T112)),ISNUMBER(SEARCH("endurance",$R112)),ISNUMBER(SEARCH("endurance",$S112)),
ISNUMBER(SEARCH("fortitude",$D112)),ISNUMBER(SEARCH("fortitude",$T112)),ISNUMBER(SEARCH("fortitude",$R112)),ISNUMBER(SEARCH("fortitude",$S112)),
ISNUMBER(SEARCH("resolve",$D112)),ISNUMBER(SEARCH("resolve",$T112)),ISNUMBER(SEARCH("resolve",$R112)),ISNUMBER(SEARCH("resolve",$S112)),
ISNUMBER(SEARCH("stamina",$D112)),ISNUMBER(SEARCH("stamina",$T112)),ISNUMBER(SEARCH("stamina",$R112)),ISNUMBER(SEARCH("stamina",$S112)),
ISNUMBER(SEARCH("guts",$D112)),ISNUMBER(SEARCH("guts",$T112)),ISNUMBER(SEARCH("guts",$R112)),ISNUMBER(SEARCH("guts",$S112)),
ISNUMBER(SEARCH("spunk",$D112)),ISNUMBER(SEARCH("spunk",$T112)),ISNUMBER(SEARCH("spunk",$R112)),ISNUMBER(SEARCH("spunk",$S112))), 1, 0)</f>
        <v>0</v>
      </c>
      <c r="BW112" s="5">
        <f t="shared" si="567"/>
        <v>0</v>
      </c>
      <c r="BX112" s="5">
        <f t="shared" si="29"/>
        <v>0</v>
      </c>
      <c r="BY112" s="5">
        <f t="shared" si="30"/>
        <v>0</v>
      </c>
      <c r="BZ112" s="5">
        <f t="shared" si="31"/>
        <v>0</v>
      </c>
      <c r="CA112" s="5">
        <f t="shared" si="32"/>
        <v>0</v>
      </c>
      <c r="CB112" s="5">
        <f t="shared" si="33"/>
        <v>0</v>
      </c>
      <c r="CC112" s="5">
        <f t="shared" si="34"/>
        <v>0</v>
      </c>
      <c r="CD112" s="5">
        <f t="shared" si="35"/>
        <v>0</v>
      </c>
      <c r="CE112" s="5">
        <f t="shared" si="36"/>
        <v>0</v>
      </c>
      <c r="CF112" s="5">
        <f t="shared" si="37"/>
        <v>0</v>
      </c>
      <c r="CG112" s="5">
        <f t="shared" si="38"/>
        <v>0</v>
      </c>
      <c r="CH112" s="5">
        <f t="shared" si="39"/>
        <v>0</v>
      </c>
      <c r="CI112" s="5">
        <f t="shared" si="40"/>
        <v>0</v>
      </c>
      <c r="CJ112" s="5">
        <f t="shared" si="41"/>
        <v>0</v>
      </c>
      <c r="CK112" s="5">
        <f t="shared" si="42"/>
        <v>0</v>
      </c>
      <c r="CL112" s="5">
        <f t="shared" si="43"/>
        <v>0</v>
      </c>
      <c r="CM112" s="5">
        <f t="shared" si="44"/>
        <v>0</v>
      </c>
      <c r="CN112" s="5">
        <f t="shared" si="45"/>
        <v>0</v>
      </c>
      <c r="CO112" s="5">
        <f t="shared" si="46"/>
        <v>0</v>
      </c>
      <c r="CP112" s="6">
        <f t="shared" si="47"/>
        <v>0</v>
      </c>
      <c r="CQ112" s="6">
        <f t="shared" si="48"/>
        <v>0</v>
      </c>
      <c r="CR112" s="6">
        <f t="shared" si="49"/>
        <v>0</v>
      </c>
      <c r="CS112" s="6">
        <f t="shared" si="50"/>
        <v>0</v>
      </c>
      <c r="CT112" s="6">
        <f t="shared" si="551"/>
        <v>0</v>
      </c>
      <c r="CU112" s="6">
        <f t="shared" si="52"/>
        <v>0</v>
      </c>
      <c r="CV112" s="6">
        <f t="shared" si="53"/>
        <v>0</v>
      </c>
      <c r="CW112" s="6">
        <f t="shared" si="54"/>
        <v>0</v>
      </c>
      <c r="CX112" s="6">
        <f t="shared" si="55"/>
        <v>0</v>
      </c>
      <c r="CY112" s="6">
        <f t="shared" si="56"/>
        <v>0</v>
      </c>
      <c r="CZ112" s="6">
        <f t="shared" si="57"/>
        <v>0</v>
      </c>
      <c r="DA112" s="6">
        <f t="shared" si="58"/>
        <v>0</v>
      </c>
      <c r="DB112" s="6">
        <f t="shared" si="59"/>
        <v>0</v>
      </c>
      <c r="DC112" s="6">
        <f t="shared" si="60"/>
        <v>0</v>
      </c>
      <c r="DD112" s="6">
        <f t="shared" si="61"/>
        <v>0</v>
      </c>
      <c r="DE112" s="6">
        <f t="shared" si="62"/>
        <v>0</v>
      </c>
      <c r="DF112" s="6">
        <f t="shared" si="63"/>
        <v>0</v>
      </c>
      <c r="DG112" s="6">
        <f t="shared" si="64"/>
        <v>0</v>
      </c>
      <c r="DH112" s="6">
        <f t="shared" si="509"/>
        <v>0</v>
      </c>
      <c r="DI112" s="6">
        <f t="shared" si="66"/>
        <v>0</v>
      </c>
      <c r="DJ112" s="6">
        <f t="shared" si="510"/>
        <v>0</v>
      </c>
      <c r="DK112" s="7">
        <f t="shared" si="68"/>
        <v>0</v>
      </c>
      <c r="DL112" s="7">
        <f t="shared" si="498"/>
        <v>0</v>
      </c>
      <c r="DM112" s="7">
        <f t="shared" si="70"/>
        <v>0</v>
      </c>
      <c r="DN112" s="7">
        <f t="shared" si="71"/>
        <v>0</v>
      </c>
      <c r="DO112" s="7">
        <f t="shared" si="72"/>
        <v>1</v>
      </c>
      <c r="DP112" s="8">
        <f t="shared" si="73"/>
        <v>0</v>
      </c>
      <c r="DQ112" s="8">
        <f t="shared" si="74"/>
        <v>1</v>
      </c>
      <c r="DR112" s="7">
        <f t="shared" si="75"/>
        <v>0</v>
      </c>
      <c r="DS112" s="7">
        <f t="shared" si="76"/>
        <v>0</v>
      </c>
      <c r="DT112" s="7">
        <f t="shared" si="77"/>
        <v>0</v>
      </c>
      <c r="DU112" s="9">
        <f t="shared" si="78"/>
        <v>0</v>
      </c>
      <c r="DV112" s="9">
        <f t="shared" si="79"/>
        <v>0</v>
      </c>
      <c r="DW112" s="9">
        <f t="shared" si="80"/>
        <v>0</v>
      </c>
      <c r="DX112" s="9">
        <f t="shared" si="81"/>
        <v>0</v>
      </c>
      <c r="DY112" s="9">
        <f t="shared" si="82"/>
        <v>0</v>
      </c>
      <c r="DZ112" s="9">
        <f t="shared" si="83"/>
        <v>0</v>
      </c>
      <c r="EA112" s="9">
        <f t="shared" si="84"/>
        <v>0</v>
      </c>
      <c r="EB112" s="9">
        <f t="shared" si="85"/>
        <v>0</v>
      </c>
      <c r="EC112" s="9">
        <f t="shared" si="86"/>
        <v>0</v>
      </c>
      <c r="ED112" s="9">
        <f t="shared" si="87"/>
        <v>0</v>
      </c>
      <c r="EE112" s="9">
        <f t="shared" si="88"/>
        <v>0</v>
      </c>
      <c r="EF112" s="9">
        <f t="shared" si="89"/>
        <v>0</v>
      </c>
      <c r="EG112" s="9">
        <f t="shared" si="90"/>
        <v>0</v>
      </c>
      <c r="EH112" s="9">
        <f t="shared" si="91"/>
        <v>0</v>
      </c>
      <c r="EI112" s="9">
        <f t="shared" si="92"/>
        <v>0</v>
      </c>
      <c r="EJ112" s="10">
        <f t="shared" si="93"/>
        <v>0</v>
      </c>
      <c r="EK112" s="10">
        <f t="shared" si="94"/>
        <v>0</v>
      </c>
      <c r="EL112" s="10">
        <f t="shared" ref="EL112:EM112" si="568">IF(OR(ISNUMBER(SEARCH("ai software toolkit", $D112)), ISNUMBER(SEARCH("ai software toolkit", $T112)), ISNUMBER(SEARCH("ai software toolkit", $R112)), ISNUMBER(SEARCH("ai software toolkit", $S112))), 1, 0)</f>
        <v>0</v>
      </c>
      <c r="EM112" s="10">
        <f t="shared" si="568"/>
        <v>0</v>
      </c>
      <c r="EN112" s="10">
        <f t="shared" si="96"/>
        <v>0</v>
      </c>
      <c r="EO112" s="10">
        <f t="shared" si="97"/>
        <v>0</v>
      </c>
      <c r="EP112" s="10">
        <f t="shared" si="98"/>
        <v>0</v>
      </c>
      <c r="EQ112" s="10">
        <f t="shared" si="99"/>
        <v>0</v>
      </c>
      <c r="ER112" s="10">
        <f t="shared" si="100"/>
        <v>0</v>
      </c>
      <c r="ES112" s="10">
        <f t="shared" si="101"/>
        <v>0</v>
      </c>
      <c r="ET112" s="10">
        <f t="shared" si="102"/>
        <v>0</v>
      </c>
      <c r="EU112" s="10">
        <f t="shared" si="103"/>
        <v>0</v>
      </c>
      <c r="EV112" s="10">
        <f t="shared" si="104"/>
        <v>0</v>
      </c>
      <c r="EW112" s="10">
        <f t="shared" si="105"/>
        <v>0</v>
      </c>
      <c r="EX112" s="10">
        <f t="shared" si="106"/>
        <v>0</v>
      </c>
      <c r="EY112" s="10">
        <f t="shared" si="107"/>
        <v>0</v>
      </c>
      <c r="EZ112" s="10">
        <f t="shared" si="108"/>
        <v>0</v>
      </c>
      <c r="FA112" s="10">
        <f t="shared" si="109"/>
        <v>0</v>
      </c>
      <c r="FB112" s="10">
        <f t="shared" si="110"/>
        <v>0</v>
      </c>
      <c r="FC112" s="10">
        <f t="shared" si="111"/>
        <v>0</v>
      </c>
      <c r="FD112" s="10">
        <f t="shared" si="112"/>
        <v>0</v>
      </c>
      <c r="FE112" s="10">
        <f t="shared" si="113"/>
        <v>0</v>
      </c>
      <c r="FF112" s="10">
        <f t="shared" si="114"/>
        <v>0</v>
      </c>
      <c r="FG112" s="10">
        <f t="shared" si="115"/>
        <v>0</v>
      </c>
      <c r="FH112" s="10">
        <f t="shared" si="116"/>
        <v>0</v>
      </c>
      <c r="FI112" s="10">
        <f t="shared" si="117"/>
        <v>0</v>
      </c>
      <c r="FJ112" s="10">
        <f t="shared" si="118"/>
        <v>0</v>
      </c>
      <c r="FK112" s="10">
        <f t="shared" si="119"/>
        <v>0</v>
      </c>
      <c r="FL112" s="10">
        <f t="shared" si="120"/>
        <v>0</v>
      </c>
      <c r="FM112" s="10">
        <f t="shared" si="121"/>
        <v>0</v>
      </c>
      <c r="FN112" s="10">
        <f t="shared" si="122"/>
        <v>0</v>
      </c>
      <c r="FO112" s="10">
        <f t="shared" si="123"/>
        <v>0</v>
      </c>
      <c r="FP112" s="10">
        <f t="shared" si="124"/>
        <v>1</v>
      </c>
      <c r="FQ112" s="10">
        <f t="shared" si="125"/>
        <v>1</v>
      </c>
      <c r="FR112" s="11">
        <f t="shared" si="543"/>
        <v>0</v>
      </c>
      <c r="FS112" s="11">
        <f t="shared" si="127"/>
        <v>0</v>
      </c>
      <c r="FT112" s="11">
        <f t="shared" si="128"/>
        <v>0</v>
      </c>
      <c r="FU112" s="11">
        <f t="shared" si="129"/>
        <v>0</v>
      </c>
      <c r="FV112" s="11">
        <f t="shared" si="130"/>
        <v>0</v>
      </c>
      <c r="FW112" s="11">
        <f t="shared" si="131"/>
        <v>0</v>
      </c>
      <c r="FX112" s="11">
        <f t="shared" si="132"/>
        <v>0</v>
      </c>
      <c r="FY112" s="11">
        <f t="shared" si="133"/>
        <v>0</v>
      </c>
      <c r="FZ112" s="11">
        <f t="shared" si="134"/>
        <v>0</v>
      </c>
      <c r="GA112" s="11">
        <f t="shared" si="135"/>
        <v>0</v>
      </c>
      <c r="GB112" s="11">
        <f t="shared" si="136"/>
        <v>0</v>
      </c>
      <c r="GC112" s="11">
        <f t="shared" si="137"/>
        <v>0</v>
      </c>
      <c r="GD112" s="11">
        <f t="shared" si="138"/>
        <v>0</v>
      </c>
      <c r="GE112" s="11">
        <f t="shared" si="139"/>
        <v>0</v>
      </c>
      <c r="GF112" s="11">
        <f t="shared" si="140"/>
        <v>0</v>
      </c>
      <c r="GG112" s="11">
        <f t="shared" si="141"/>
        <v>0</v>
      </c>
      <c r="GH112" s="11">
        <f t="shared" si="142"/>
        <v>0</v>
      </c>
      <c r="GI112" s="11">
        <f t="shared" si="143"/>
        <v>0</v>
      </c>
      <c r="GJ112" s="11">
        <f t="shared" si="144"/>
        <v>0</v>
      </c>
      <c r="GK112" s="11">
        <f t="shared" si="145"/>
        <v>0</v>
      </c>
      <c r="GL112" s="11">
        <f t="shared" si="146"/>
        <v>0</v>
      </c>
      <c r="GM112" s="11">
        <f t="shared" si="147"/>
        <v>0</v>
      </c>
      <c r="GN112" s="11">
        <f t="shared" si="148"/>
        <v>0</v>
      </c>
      <c r="GO112" s="11">
        <f t="shared" si="149"/>
        <v>0</v>
      </c>
      <c r="GP112" s="11">
        <f t="shared" si="150"/>
        <v>0</v>
      </c>
      <c r="GQ112" s="11">
        <f t="shared" si="151"/>
        <v>1</v>
      </c>
      <c r="GR112" s="11">
        <f t="shared" si="152"/>
        <v>1</v>
      </c>
      <c r="GS112" s="11">
        <f t="shared" si="153"/>
        <v>0</v>
      </c>
      <c r="GT112" s="11">
        <f t="shared" si="154"/>
        <v>0</v>
      </c>
      <c r="GU112" s="12">
        <f t="shared" si="155"/>
        <v>0</v>
      </c>
      <c r="GV112" s="12">
        <f t="shared" si="156"/>
        <v>0</v>
      </c>
      <c r="GW112" s="12">
        <f t="shared" si="157"/>
        <v>0</v>
      </c>
      <c r="GX112" s="12">
        <f t="shared" si="158"/>
        <v>0</v>
      </c>
      <c r="GY112" s="12">
        <f t="shared" si="159"/>
        <v>0</v>
      </c>
      <c r="GZ112" s="12">
        <f t="shared" si="160"/>
        <v>0</v>
      </c>
      <c r="HA112" s="12">
        <f t="shared" si="161"/>
        <v>0</v>
      </c>
      <c r="HB112" s="12">
        <f t="shared" si="162"/>
        <v>0</v>
      </c>
      <c r="HC112" s="12">
        <f t="shared" si="163"/>
        <v>0</v>
      </c>
      <c r="HD112" s="12">
        <f t="shared" si="164"/>
        <v>0</v>
      </c>
      <c r="HE112" s="12">
        <f t="shared" si="165"/>
        <v>0</v>
      </c>
      <c r="HF112" s="12">
        <f t="shared" si="166"/>
        <v>0</v>
      </c>
      <c r="HG112" s="12">
        <f t="shared" si="167"/>
        <v>0</v>
      </c>
      <c r="HH112" s="12">
        <f t="shared" si="168"/>
        <v>0</v>
      </c>
      <c r="HI112" s="12">
        <f t="shared" si="169"/>
        <v>0</v>
      </c>
      <c r="HJ112" s="12">
        <f t="shared" si="170"/>
        <v>0</v>
      </c>
      <c r="HK112" s="12">
        <f t="shared" si="171"/>
        <v>0</v>
      </c>
      <c r="HL112" s="12">
        <f t="shared" si="172"/>
        <v>0</v>
      </c>
      <c r="HM112" s="12">
        <f t="shared" si="173"/>
        <v>0</v>
      </c>
      <c r="HN112" s="12">
        <f t="shared" si="174"/>
        <v>0</v>
      </c>
      <c r="HO112" s="12">
        <f t="shared" si="175"/>
        <v>0</v>
      </c>
      <c r="HP112" s="12">
        <f t="shared" si="176"/>
        <v>0</v>
      </c>
      <c r="HQ112" s="12">
        <f t="shared" si="177"/>
        <v>0</v>
      </c>
      <c r="HR112" s="12">
        <f t="shared" si="178"/>
        <v>0</v>
      </c>
      <c r="HS112" s="12">
        <f t="shared" si="179"/>
        <v>0</v>
      </c>
      <c r="HT112" s="12">
        <f t="shared" si="180"/>
        <v>0</v>
      </c>
      <c r="HU112" s="12">
        <f t="shared" si="181"/>
        <v>0</v>
      </c>
      <c r="HV112" s="12">
        <f t="shared" si="182"/>
        <v>0</v>
      </c>
      <c r="HW112" s="12">
        <f t="shared" si="183"/>
        <v>0</v>
      </c>
      <c r="HX112" s="12">
        <f t="shared" si="184"/>
        <v>0</v>
      </c>
      <c r="HY112" s="12">
        <f t="shared" si="185"/>
        <v>0</v>
      </c>
      <c r="HZ112" s="12">
        <f t="shared" si="186"/>
        <v>0</v>
      </c>
      <c r="IA112" s="12">
        <f t="shared" si="187"/>
        <v>0</v>
      </c>
      <c r="IB112" s="12">
        <f t="shared" si="188"/>
        <v>0</v>
      </c>
      <c r="IC112" s="12">
        <f t="shared" si="189"/>
        <v>0</v>
      </c>
      <c r="ID112" s="12">
        <f t="shared" si="190"/>
        <v>0</v>
      </c>
      <c r="IE112" s="12">
        <f t="shared" si="191"/>
        <v>0</v>
      </c>
      <c r="IF112" s="12">
        <f t="shared" si="192"/>
        <v>0</v>
      </c>
      <c r="IG112" s="12">
        <f t="shared" si="193"/>
        <v>0</v>
      </c>
      <c r="IH112" s="12">
        <f t="shared" si="194"/>
        <v>0</v>
      </c>
      <c r="II112" s="12">
        <f t="shared" si="195"/>
        <v>0</v>
      </c>
      <c r="IJ112" s="12">
        <f t="shared" si="196"/>
        <v>0</v>
      </c>
      <c r="IK112" s="12">
        <f t="shared" si="197"/>
        <v>0</v>
      </c>
      <c r="IL112" s="12">
        <f t="shared" si="198"/>
        <v>0</v>
      </c>
      <c r="IM112" s="12">
        <f t="shared" si="199"/>
        <v>0</v>
      </c>
      <c r="IN112" s="12">
        <f t="shared" si="200"/>
        <v>0</v>
      </c>
      <c r="IO112" s="12">
        <f t="shared" si="201"/>
        <v>0</v>
      </c>
      <c r="IP112" s="12">
        <f t="shared" si="202"/>
        <v>0</v>
      </c>
      <c r="IQ112" s="12">
        <f t="shared" si="203"/>
        <v>0</v>
      </c>
      <c r="IR112" s="12">
        <f t="shared" si="204"/>
        <v>0</v>
      </c>
      <c r="IS112" s="12">
        <f t="shared" si="205"/>
        <v>0</v>
      </c>
      <c r="IT112" s="12">
        <f t="shared" si="206"/>
        <v>0</v>
      </c>
      <c r="IU112" s="12">
        <f t="shared" si="207"/>
        <v>0</v>
      </c>
      <c r="IV112" s="12">
        <f t="shared" si="208"/>
        <v>0</v>
      </c>
      <c r="IW112" s="12">
        <f t="shared" si="209"/>
        <v>0</v>
      </c>
      <c r="IX112" s="12">
        <f t="shared" si="210"/>
        <v>0</v>
      </c>
      <c r="IY112" s="12">
        <f t="shared" si="211"/>
        <v>0</v>
      </c>
      <c r="IZ112" s="12">
        <f t="shared" si="212"/>
        <v>0</v>
      </c>
      <c r="JA112" s="13">
        <f t="shared" si="213"/>
        <v>0</v>
      </c>
      <c r="JB112" s="13">
        <f t="shared" si="214"/>
        <v>0</v>
      </c>
      <c r="JC112" s="13">
        <f t="shared" si="215"/>
        <v>0</v>
      </c>
      <c r="JD112" s="13">
        <f t="shared" si="216"/>
        <v>0</v>
      </c>
      <c r="JE112" s="13">
        <f t="shared" si="217"/>
        <v>0</v>
      </c>
      <c r="JF112" s="13">
        <f t="shared" si="218"/>
        <v>0</v>
      </c>
      <c r="JG112" s="13">
        <f t="shared" si="219"/>
        <v>0</v>
      </c>
      <c r="JH112" s="13">
        <f t="shared" si="220"/>
        <v>0</v>
      </c>
      <c r="JI112" s="13">
        <f t="shared" si="221"/>
        <v>0</v>
      </c>
      <c r="JJ112" s="13">
        <f t="shared" si="222"/>
        <v>0</v>
      </c>
      <c r="JK112" s="13">
        <f t="shared" si="223"/>
        <v>0</v>
      </c>
      <c r="JL112" s="13">
        <f t="shared" si="224"/>
        <v>0</v>
      </c>
      <c r="JM112" s="13">
        <f t="shared" si="225"/>
        <v>0</v>
      </c>
      <c r="JN112" s="13">
        <f t="shared" si="226"/>
        <v>0</v>
      </c>
      <c r="JO112" s="13">
        <f t="shared" si="227"/>
        <v>0</v>
      </c>
      <c r="JP112" s="13">
        <f t="shared" si="228"/>
        <v>0</v>
      </c>
      <c r="JQ112" s="13">
        <f t="shared" si="229"/>
        <v>0</v>
      </c>
      <c r="JR112" s="13">
        <f t="shared" si="230"/>
        <v>0</v>
      </c>
      <c r="JS112" s="13">
        <f t="shared" si="231"/>
        <v>0</v>
      </c>
      <c r="JT112" s="13">
        <f t="shared" si="232"/>
        <v>0</v>
      </c>
      <c r="JU112" s="13">
        <f t="shared" si="233"/>
        <v>0</v>
      </c>
      <c r="JV112" s="12">
        <f t="shared" si="234"/>
        <v>0</v>
      </c>
      <c r="JW112" s="12">
        <f t="shared" si="235"/>
        <v>0</v>
      </c>
      <c r="JX112" s="12">
        <f t="shared" si="236"/>
        <v>0</v>
      </c>
      <c r="JY112" s="12">
        <f t="shared" si="237"/>
        <v>0</v>
      </c>
      <c r="JZ112" s="12">
        <f t="shared" si="238"/>
        <v>0</v>
      </c>
      <c r="KA112" s="12">
        <f t="shared" si="239"/>
        <v>0</v>
      </c>
      <c r="KB112" s="12">
        <f t="shared" si="240"/>
        <v>0</v>
      </c>
      <c r="KC112" s="12">
        <f t="shared" si="241"/>
        <v>0</v>
      </c>
      <c r="KD112" s="12">
        <f t="shared" si="242"/>
        <v>0</v>
      </c>
      <c r="KE112" s="12">
        <f t="shared" si="243"/>
        <v>0</v>
      </c>
      <c r="KF112" s="12">
        <f t="shared" si="244"/>
        <v>0</v>
      </c>
      <c r="KG112" s="12">
        <f t="shared" si="245"/>
        <v>0</v>
      </c>
      <c r="KH112" s="12">
        <f t="shared" si="246"/>
        <v>0</v>
      </c>
      <c r="KI112" s="12">
        <f t="shared" si="247"/>
        <v>0</v>
      </c>
      <c r="KJ112" s="12">
        <f t="shared" si="248"/>
        <v>0</v>
      </c>
      <c r="KK112" s="12">
        <f t="shared" si="249"/>
        <v>0</v>
      </c>
      <c r="KL112" s="12">
        <f t="shared" si="250"/>
        <v>0</v>
      </c>
      <c r="KM112" s="12">
        <f t="shared" si="251"/>
        <v>0</v>
      </c>
      <c r="KN112" s="12">
        <f t="shared" si="252"/>
        <v>0</v>
      </c>
      <c r="KO112" s="12">
        <f t="shared" si="253"/>
        <v>0</v>
      </c>
      <c r="KP112" s="12">
        <f t="shared" si="254"/>
        <v>0</v>
      </c>
      <c r="KQ112" s="12">
        <f t="shared" si="255"/>
        <v>0</v>
      </c>
      <c r="KR112" s="12">
        <f t="shared" si="256"/>
        <v>0</v>
      </c>
      <c r="KS112" s="12">
        <f t="shared" si="257"/>
        <v>0</v>
      </c>
      <c r="KT112" s="12">
        <f t="shared" si="258"/>
        <v>0</v>
      </c>
      <c r="KU112" s="12">
        <f t="shared" si="259"/>
        <v>0</v>
      </c>
      <c r="KV112" s="12">
        <f t="shared" si="260"/>
        <v>0</v>
      </c>
      <c r="KW112" s="12">
        <f t="shared" si="261"/>
        <v>0</v>
      </c>
      <c r="KX112" s="12">
        <f t="shared" si="262"/>
        <v>0</v>
      </c>
      <c r="KY112" s="12">
        <f t="shared" si="263"/>
        <v>0</v>
      </c>
      <c r="KZ112" s="12">
        <f t="shared" si="264"/>
        <v>0</v>
      </c>
      <c r="LA112" s="12">
        <f t="shared" si="265"/>
        <v>0</v>
      </c>
      <c r="LB112" s="12">
        <f t="shared" si="266"/>
        <v>0</v>
      </c>
      <c r="LC112" s="12">
        <f t="shared" si="267"/>
        <v>0</v>
      </c>
      <c r="LD112" s="12">
        <f t="shared" si="268"/>
        <v>0</v>
      </c>
      <c r="LE112" s="12">
        <f t="shared" si="269"/>
        <v>0</v>
      </c>
      <c r="LF112" s="12">
        <f t="shared" si="270"/>
        <v>0</v>
      </c>
      <c r="LG112" s="12">
        <f t="shared" si="271"/>
        <v>0</v>
      </c>
      <c r="LH112" s="12">
        <f t="shared" si="272"/>
        <v>0</v>
      </c>
      <c r="LI112" s="12">
        <f t="shared" si="273"/>
        <v>0</v>
      </c>
      <c r="LJ112" s="12">
        <f t="shared" si="274"/>
        <v>0</v>
      </c>
      <c r="LK112" s="12">
        <f t="shared" si="275"/>
        <v>0</v>
      </c>
      <c r="LL112" s="12">
        <f t="shared" si="276"/>
        <v>0</v>
      </c>
      <c r="LM112" s="12">
        <f t="shared" si="277"/>
        <v>0</v>
      </c>
      <c r="LN112" s="12">
        <f t="shared" si="278"/>
        <v>0</v>
      </c>
      <c r="LO112" s="12">
        <f t="shared" si="279"/>
        <v>0</v>
      </c>
      <c r="LP112" s="12">
        <f t="shared" si="280"/>
        <v>0</v>
      </c>
      <c r="LQ112" s="12">
        <f t="shared" si="281"/>
        <v>0</v>
      </c>
      <c r="LR112" s="12">
        <f t="shared" si="282"/>
        <v>0</v>
      </c>
      <c r="LS112" s="12">
        <f t="shared" si="283"/>
        <v>0</v>
      </c>
      <c r="LT112" s="13">
        <f t="shared" si="284"/>
        <v>0</v>
      </c>
      <c r="LU112" s="13">
        <f t="shared" si="285"/>
        <v>0</v>
      </c>
      <c r="LV112" s="13">
        <f t="shared" si="286"/>
        <v>0</v>
      </c>
      <c r="LW112" s="13">
        <f t="shared" si="287"/>
        <v>0</v>
      </c>
      <c r="LX112" s="13">
        <f t="shared" si="288"/>
        <v>0</v>
      </c>
      <c r="LY112" s="13">
        <f t="shared" si="289"/>
        <v>0</v>
      </c>
      <c r="LZ112" s="13">
        <f t="shared" si="290"/>
        <v>0</v>
      </c>
      <c r="MA112" s="13">
        <f t="shared" si="291"/>
        <v>0</v>
      </c>
      <c r="MB112" s="13">
        <f t="shared" si="292"/>
        <v>0</v>
      </c>
      <c r="MC112" s="13">
        <f t="shared" si="293"/>
        <v>0</v>
      </c>
      <c r="MD112" s="13">
        <f t="shared" si="294"/>
        <v>0</v>
      </c>
      <c r="ME112" s="13">
        <f t="shared" si="295"/>
        <v>0</v>
      </c>
      <c r="MF112" s="13">
        <f t="shared" si="296"/>
        <v>0</v>
      </c>
      <c r="MG112" s="13">
        <f t="shared" si="297"/>
        <v>0</v>
      </c>
      <c r="MH112" s="13">
        <f t="shared" si="298"/>
        <v>0</v>
      </c>
      <c r="MI112" s="13">
        <f t="shared" si="299"/>
        <v>0</v>
      </c>
      <c r="MJ112" s="13">
        <f t="shared" si="300"/>
        <v>0</v>
      </c>
      <c r="MK112" s="13">
        <f t="shared" si="301"/>
        <v>0</v>
      </c>
      <c r="ML112" s="14">
        <f t="shared" si="302"/>
        <v>0</v>
      </c>
      <c r="MM112" s="14">
        <f t="shared" si="303"/>
        <v>0</v>
      </c>
      <c r="MN112" s="14">
        <f t="shared" si="304"/>
        <v>0</v>
      </c>
      <c r="MO112" s="14">
        <f t="shared" si="305"/>
        <v>0</v>
      </c>
      <c r="MP112" s="14">
        <f t="shared" si="306"/>
        <v>0</v>
      </c>
      <c r="MQ112" s="14">
        <f t="shared" si="307"/>
        <v>0</v>
      </c>
      <c r="MR112" s="14">
        <f t="shared" si="308"/>
        <v>0</v>
      </c>
      <c r="MS112" s="14">
        <f t="shared" si="309"/>
        <v>0</v>
      </c>
      <c r="MT112" s="14">
        <f t="shared" si="310"/>
        <v>0</v>
      </c>
      <c r="MU112" s="14">
        <f t="shared" si="311"/>
        <v>0</v>
      </c>
      <c r="MV112" s="14">
        <f t="shared" si="312"/>
        <v>0</v>
      </c>
      <c r="MW112" s="14">
        <f t="shared" si="313"/>
        <v>0</v>
      </c>
      <c r="MX112" s="14">
        <f t="shared" si="314"/>
        <v>0</v>
      </c>
      <c r="MY112" s="14">
        <f t="shared" si="315"/>
        <v>0</v>
      </c>
      <c r="MZ112" s="14">
        <f t="shared" si="316"/>
        <v>0</v>
      </c>
      <c r="NA112" s="14">
        <f t="shared" si="317"/>
        <v>0</v>
      </c>
      <c r="NB112" s="14">
        <f t="shared" si="318"/>
        <v>0</v>
      </c>
    </row>
    <row r="113" ht="15.75" customHeight="1">
      <c r="A113" s="2">
        <v>14.0</v>
      </c>
      <c r="B113" s="2" t="s">
        <v>2283</v>
      </c>
      <c r="C113" s="2" t="s">
        <v>2284</v>
      </c>
      <c r="D113" s="2" t="s">
        <v>2285</v>
      </c>
      <c r="E113" s="2">
        <v>2021.0</v>
      </c>
      <c r="F113" s="2" t="s">
        <v>1459</v>
      </c>
      <c r="G113" s="2" t="s">
        <v>1029</v>
      </c>
      <c r="H113" s="2" t="s">
        <v>831</v>
      </c>
      <c r="I113" s="2" t="s">
        <v>2286</v>
      </c>
      <c r="M113" s="2">
        <v>8.0</v>
      </c>
      <c r="N113" s="2" t="s">
        <v>2287</v>
      </c>
      <c r="O113" s="2" t="s">
        <v>2288</v>
      </c>
      <c r="P113" s="2" t="s">
        <v>2289</v>
      </c>
      <c r="Q113" s="2" t="s">
        <v>2290</v>
      </c>
      <c r="R113" s="2" t="s">
        <v>2291</v>
      </c>
      <c r="S113" s="2" t="s">
        <v>2292</v>
      </c>
      <c r="T113" s="2" t="s">
        <v>2293</v>
      </c>
      <c r="Y113" s="2" t="s">
        <v>2294</v>
      </c>
      <c r="AB113" s="2" t="s">
        <v>1303</v>
      </c>
      <c r="AG113" s="2" t="s">
        <v>1469</v>
      </c>
      <c r="AK113" s="2" t="s">
        <v>1470</v>
      </c>
      <c r="AL113" s="2" t="s">
        <v>384</v>
      </c>
      <c r="AM113" s="2" t="s">
        <v>484</v>
      </c>
      <c r="AN113" s="2" t="s">
        <v>386</v>
      </c>
      <c r="AO113" s="2" t="s">
        <v>2295</v>
      </c>
      <c r="AP113" s="2" t="s">
        <v>386</v>
      </c>
      <c r="AQ113" s="2">
        <v>20.0</v>
      </c>
      <c r="AR113" s="2" t="s">
        <v>2296</v>
      </c>
      <c r="AS113" s="2" t="b">
        <v>0</v>
      </c>
      <c r="AT113" s="3">
        <v>0.0</v>
      </c>
      <c r="AU113" s="4"/>
      <c r="AV113" s="4">
        <v>1.0</v>
      </c>
      <c r="AW113" s="5">
        <f t="shared" si="432"/>
        <v>0</v>
      </c>
      <c r="AX113" s="5">
        <f t="shared" si="4"/>
        <v>0</v>
      </c>
      <c r="AY113" s="5">
        <f t="shared" si="5"/>
        <v>0</v>
      </c>
      <c r="AZ113" s="5">
        <f t="shared" si="6"/>
        <v>0</v>
      </c>
      <c r="BA113" s="5">
        <f t="shared" si="7"/>
        <v>0</v>
      </c>
      <c r="BB113" s="5">
        <f t="shared" si="8"/>
        <v>0</v>
      </c>
      <c r="BC113" s="5">
        <f t="shared" si="9"/>
        <v>0</v>
      </c>
      <c r="BD113" s="5">
        <f t="shared" si="10"/>
        <v>0</v>
      </c>
      <c r="BE113" s="5">
        <f t="shared" si="11"/>
        <v>0</v>
      </c>
      <c r="BF113" s="5">
        <f t="shared" si="12"/>
        <v>0</v>
      </c>
      <c r="BG113" s="5">
        <f t="shared" si="13"/>
        <v>0</v>
      </c>
      <c r="BH113" s="5">
        <f t="shared" si="14"/>
        <v>0</v>
      </c>
      <c r="BI113" s="5">
        <f t="shared" si="15"/>
        <v>0</v>
      </c>
      <c r="BJ113" s="5">
        <f t="shared" si="16"/>
        <v>0</v>
      </c>
      <c r="BK113" s="5">
        <f t="shared" si="17"/>
        <v>0</v>
      </c>
      <c r="BL113" s="5">
        <f t="shared" si="18"/>
        <v>0</v>
      </c>
      <c r="BM113" s="5">
        <f t="shared" si="19"/>
        <v>0</v>
      </c>
      <c r="BN113" s="5">
        <f t="shared" si="20"/>
        <v>0</v>
      </c>
      <c r="BO113" s="5">
        <f t="shared" si="21"/>
        <v>0</v>
      </c>
      <c r="BP113" s="5">
        <f t="shared" si="22"/>
        <v>0</v>
      </c>
      <c r="BQ113" s="5">
        <f t="shared" si="23"/>
        <v>0</v>
      </c>
      <c r="BR113" s="5">
        <f t="shared" si="24"/>
        <v>0</v>
      </c>
      <c r="BS113" s="5">
        <f t="shared" si="25"/>
        <v>0</v>
      </c>
      <c r="BT113" s="5">
        <f t="shared" si="26"/>
        <v>0</v>
      </c>
      <c r="BU113" s="5">
        <f t="shared" si="27"/>
        <v>1</v>
      </c>
      <c r="BV113" s="5">
        <f t="shared" ref="BV113:BW113" si="569">IF(OR(ISNUMBER(SEARCH("grit",$D113)),ISNUMBER(SEARCH("grit",$T113)),ISNUMBER(SEARCH("grit",$R113)),ISNUMBER(SEARCH("grit",$S113)),
ISNUMBER(SEARCH("determination",$D113)),ISNUMBER(SEARCH("determination",$T113)),ISNUMBER(SEARCH("determination",$R113)),ISNUMBER(SEARCH("determination",$S113)),
ISNUMBER(SEARCH("tenacity",$D113)),ISNUMBER(SEARCH("tenacity",$T113)),ISNUMBER(SEARCH("tenacity",$R113)),ISNUMBER(SEARCH("tenacity",$S113)),
ISNUMBER(SEARCH("endurance",$D113)),ISNUMBER(SEARCH("endurance",$T113)),ISNUMBER(SEARCH("endurance",$R113)),ISNUMBER(SEARCH("endurance",$S113)),
ISNUMBER(SEARCH("fortitude",$D113)),ISNUMBER(SEARCH("fortitude",$T113)),ISNUMBER(SEARCH("fortitude",$R113)),ISNUMBER(SEARCH("fortitude",$S113)),
ISNUMBER(SEARCH("resolve",$D113)),ISNUMBER(SEARCH("resolve",$T113)),ISNUMBER(SEARCH("resolve",$R113)),ISNUMBER(SEARCH("resolve",$S113)),
ISNUMBER(SEARCH("stamina",$D113)),ISNUMBER(SEARCH("stamina",$T113)),ISNUMBER(SEARCH("stamina",$R113)),ISNUMBER(SEARCH("stamina",$S113)),
ISNUMBER(SEARCH("guts",$D113)),ISNUMBER(SEARCH("guts",$T113)),ISNUMBER(SEARCH("guts",$R113)),ISNUMBER(SEARCH("guts",$S113)),
ISNUMBER(SEARCH("spunk",$D113)),ISNUMBER(SEARCH("spunk",$T113)),ISNUMBER(SEARCH("spunk",$R113)),ISNUMBER(SEARCH("spunk",$S113))), 1, 0)</f>
        <v>0</v>
      </c>
      <c r="BW113" s="5">
        <f t="shared" si="569"/>
        <v>0</v>
      </c>
      <c r="BX113" s="5">
        <f t="shared" si="29"/>
        <v>0</v>
      </c>
      <c r="BY113" s="5">
        <f t="shared" si="30"/>
        <v>0</v>
      </c>
      <c r="BZ113" s="5">
        <f t="shared" si="31"/>
        <v>0</v>
      </c>
      <c r="CA113" s="5">
        <f t="shared" si="32"/>
        <v>0</v>
      </c>
      <c r="CB113" s="5">
        <f t="shared" si="33"/>
        <v>0</v>
      </c>
      <c r="CC113" s="5">
        <f t="shared" si="34"/>
        <v>0</v>
      </c>
      <c r="CD113" s="5">
        <f t="shared" si="35"/>
        <v>0</v>
      </c>
      <c r="CE113" s="5">
        <f t="shared" si="36"/>
        <v>0</v>
      </c>
      <c r="CF113" s="5">
        <f t="shared" si="37"/>
        <v>0</v>
      </c>
      <c r="CG113" s="5">
        <f t="shared" si="38"/>
        <v>0</v>
      </c>
      <c r="CH113" s="5">
        <f t="shared" si="39"/>
        <v>0</v>
      </c>
      <c r="CI113" s="5">
        <f t="shared" si="40"/>
        <v>0</v>
      </c>
      <c r="CJ113" s="5">
        <f t="shared" si="41"/>
        <v>0</v>
      </c>
      <c r="CK113" s="5">
        <f t="shared" si="42"/>
        <v>0</v>
      </c>
      <c r="CL113" s="5">
        <f t="shared" si="43"/>
        <v>0</v>
      </c>
      <c r="CM113" s="5">
        <f t="shared" si="44"/>
        <v>0</v>
      </c>
      <c r="CN113" s="5">
        <f t="shared" si="45"/>
        <v>0</v>
      </c>
      <c r="CO113" s="5">
        <f t="shared" si="46"/>
        <v>0</v>
      </c>
      <c r="CP113" s="6">
        <f t="shared" si="47"/>
        <v>0</v>
      </c>
      <c r="CQ113" s="6">
        <f t="shared" si="48"/>
        <v>0</v>
      </c>
      <c r="CR113" s="6">
        <f t="shared" si="49"/>
        <v>1</v>
      </c>
      <c r="CS113" s="6">
        <f t="shared" si="50"/>
        <v>1</v>
      </c>
      <c r="CT113" s="6">
        <f t="shared" si="551"/>
        <v>0</v>
      </c>
      <c r="CU113" s="6">
        <f t="shared" si="52"/>
        <v>0</v>
      </c>
      <c r="CV113" s="6">
        <f t="shared" si="53"/>
        <v>0</v>
      </c>
      <c r="CW113" s="6">
        <f t="shared" si="54"/>
        <v>0</v>
      </c>
      <c r="CX113" s="6">
        <f t="shared" si="55"/>
        <v>0</v>
      </c>
      <c r="CY113" s="6">
        <f t="shared" si="56"/>
        <v>0</v>
      </c>
      <c r="CZ113" s="6">
        <f t="shared" si="57"/>
        <v>0</v>
      </c>
      <c r="DA113" s="6">
        <f t="shared" si="58"/>
        <v>0</v>
      </c>
      <c r="DB113" s="6">
        <f t="shared" si="59"/>
        <v>0</v>
      </c>
      <c r="DC113" s="6">
        <f t="shared" si="60"/>
        <v>0</v>
      </c>
      <c r="DD113" s="6">
        <f t="shared" si="61"/>
        <v>0</v>
      </c>
      <c r="DE113" s="6">
        <f t="shared" si="62"/>
        <v>0</v>
      </c>
      <c r="DF113" s="6">
        <f t="shared" si="63"/>
        <v>0</v>
      </c>
      <c r="DG113" s="6">
        <f t="shared" si="64"/>
        <v>0</v>
      </c>
      <c r="DH113" s="6">
        <f>IF(
OR(
ISNUMBER(SEARCH("Spirituality",$D113)),ISNUMBER(SEARCH("Spirituality",$T113)),ISNUMBER(SEARCH("Spirituality",$R111)),ISNUMBER(SEARCH("Spirituality",$S113)),
ISNUMBER(SEARCH("religiosity",$D113)),ISNUMBER(SEARCH("religiosity",$T113)),ISNUMBER(SEARCH("religiosity",$R113)),ISNUMBER(SEARCH("religiosity",$S113))), 1, 0)</f>
        <v>0</v>
      </c>
      <c r="DI113" s="6">
        <f t="shared" si="66"/>
        <v>0</v>
      </c>
      <c r="DJ113" s="6">
        <f>IF(OR(ISNUMBER(SEARCH("Emotional Balance", $D113)), ISNUMBER(SEARCH("Emotional Balance", $T113)), ISNUMBER(SEARCH("Emotional Balance", $R113)), ISNUMBER(SEARCH("Emotional Balance", $S113))), 1, 0)</f>
        <v>0</v>
      </c>
      <c r="DK113" s="7">
        <f t="shared" si="68"/>
        <v>0</v>
      </c>
      <c r="DL113" s="7">
        <f t="shared" si="498"/>
        <v>0</v>
      </c>
      <c r="DM113" s="7">
        <f t="shared" si="70"/>
        <v>0</v>
      </c>
      <c r="DN113" s="7">
        <f t="shared" si="71"/>
        <v>0</v>
      </c>
      <c r="DO113" s="7">
        <f t="shared" si="72"/>
        <v>1</v>
      </c>
      <c r="DP113" s="8">
        <f t="shared" si="73"/>
        <v>0</v>
      </c>
      <c r="DQ113" s="8">
        <f t="shared" si="74"/>
        <v>1</v>
      </c>
      <c r="DR113" s="7">
        <f t="shared" si="75"/>
        <v>0</v>
      </c>
      <c r="DS113" s="7">
        <f t="shared" si="76"/>
        <v>0</v>
      </c>
      <c r="DT113" s="7">
        <f t="shared" si="77"/>
        <v>0</v>
      </c>
      <c r="DU113" s="9">
        <f t="shared" si="78"/>
        <v>0</v>
      </c>
      <c r="DV113" s="9">
        <f t="shared" si="79"/>
        <v>0</v>
      </c>
      <c r="DW113" s="9">
        <f t="shared" si="80"/>
        <v>0</v>
      </c>
      <c r="DX113" s="9">
        <f t="shared" si="81"/>
        <v>1</v>
      </c>
      <c r="DY113" s="9">
        <f t="shared" si="82"/>
        <v>0</v>
      </c>
      <c r="DZ113" s="9">
        <f t="shared" si="83"/>
        <v>0</v>
      </c>
      <c r="EA113" s="9">
        <f t="shared" si="84"/>
        <v>0</v>
      </c>
      <c r="EB113" s="9">
        <f t="shared" si="85"/>
        <v>0</v>
      </c>
      <c r="EC113" s="9">
        <f t="shared" si="86"/>
        <v>0</v>
      </c>
      <c r="ED113" s="9">
        <f t="shared" si="87"/>
        <v>0</v>
      </c>
      <c r="EE113" s="9">
        <f t="shared" si="88"/>
        <v>0</v>
      </c>
      <c r="EF113" s="9">
        <f t="shared" si="89"/>
        <v>0</v>
      </c>
      <c r="EG113" s="9">
        <f t="shared" si="90"/>
        <v>0</v>
      </c>
      <c r="EH113" s="9">
        <f t="shared" si="91"/>
        <v>0</v>
      </c>
      <c r="EI113" s="9">
        <f t="shared" si="92"/>
        <v>0</v>
      </c>
      <c r="EJ113" s="10">
        <f t="shared" si="93"/>
        <v>0</v>
      </c>
      <c r="EK113" s="10">
        <f t="shared" si="94"/>
        <v>0</v>
      </c>
      <c r="EL113" s="10">
        <f t="shared" ref="EL113:EM113" si="570">IF(OR(ISNUMBER(SEARCH("ai software toolkit", $D113)), ISNUMBER(SEARCH("ai software toolkit", $T113)), ISNUMBER(SEARCH("ai software toolkit", $R113)), ISNUMBER(SEARCH("ai software toolkit", $S113))), 1, 0)</f>
        <v>0</v>
      </c>
      <c r="EM113" s="10">
        <f t="shared" si="570"/>
        <v>0</v>
      </c>
      <c r="EN113" s="10">
        <f t="shared" si="96"/>
        <v>0</v>
      </c>
      <c r="EO113" s="10">
        <f t="shared" si="97"/>
        <v>0</v>
      </c>
      <c r="EP113" s="10">
        <f t="shared" si="98"/>
        <v>0</v>
      </c>
      <c r="EQ113" s="10">
        <f t="shared" si="99"/>
        <v>0</v>
      </c>
      <c r="ER113" s="10">
        <f t="shared" si="100"/>
        <v>0</v>
      </c>
      <c r="ES113" s="10">
        <f t="shared" si="101"/>
        <v>0</v>
      </c>
      <c r="ET113" s="10">
        <f t="shared" si="102"/>
        <v>0</v>
      </c>
      <c r="EU113" s="10">
        <f t="shared" si="103"/>
        <v>0</v>
      </c>
      <c r="EV113" s="10">
        <f t="shared" si="104"/>
        <v>0</v>
      </c>
      <c r="EW113" s="10">
        <f t="shared" si="105"/>
        <v>0</v>
      </c>
      <c r="EX113" s="10">
        <f t="shared" si="106"/>
        <v>0</v>
      </c>
      <c r="EY113" s="10">
        <f t="shared" si="107"/>
        <v>0</v>
      </c>
      <c r="EZ113" s="10">
        <f t="shared" si="108"/>
        <v>0</v>
      </c>
      <c r="FA113" s="10">
        <f t="shared" si="109"/>
        <v>0</v>
      </c>
      <c r="FB113" s="10">
        <f t="shared" si="110"/>
        <v>0</v>
      </c>
      <c r="FC113" s="10">
        <f t="shared" si="111"/>
        <v>0</v>
      </c>
      <c r="FD113" s="10">
        <f t="shared" si="112"/>
        <v>0</v>
      </c>
      <c r="FE113" s="10">
        <f t="shared" si="113"/>
        <v>0</v>
      </c>
      <c r="FF113" s="10">
        <f t="shared" si="114"/>
        <v>0</v>
      </c>
      <c r="FG113" s="10">
        <f t="shared" si="115"/>
        <v>0</v>
      </c>
      <c r="FH113" s="10">
        <f t="shared" si="116"/>
        <v>0</v>
      </c>
      <c r="FI113" s="10">
        <f t="shared" si="117"/>
        <v>0</v>
      </c>
      <c r="FJ113" s="10">
        <f t="shared" si="118"/>
        <v>0</v>
      </c>
      <c r="FK113" s="10">
        <f t="shared" si="119"/>
        <v>0</v>
      </c>
      <c r="FL113" s="10">
        <f t="shared" si="120"/>
        <v>0</v>
      </c>
      <c r="FM113" s="10">
        <f t="shared" si="121"/>
        <v>0</v>
      </c>
      <c r="FN113" s="10">
        <f t="shared" si="122"/>
        <v>0</v>
      </c>
      <c r="FO113" s="10">
        <f t="shared" si="123"/>
        <v>0</v>
      </c>
      <c r="FP113" s="10">
        <f t="shared" si="124"/>
        <v>0</v>
      </c>
      <c r="FQ113" s="10">
        <f t="shared" si="125"/>
        <v>0</v>
      </c>
      <c r="FR113" s="11">
        <f t="shared" si="543"/>
        <v>0</v>
      </c>
      <c r="FS113" s="11">
        <f t="shared" si="127"/>
        <v>0</v>
      </c>
      <c r="FT113" s="11">
        <f t="shared" si="128"/>
        <v>0</v>
      </c>
      <c r="FU113" s="11">
        <f t="shared" si="129"/>
        <v>0</v>
      </c>
      <c r="FV113" s="11">
        <f t="shared" si="130"/>
        <v>0</v>
      </c>
      <c r="FW113" s="11">
        <f t="shared" si="131"/>
        <v>0</v>
      </c>
      <c r="FX113" s="11">
        <f t="shared" si="132"/>
        <v>0</v>
      </c>
      <c r="FY113" s="11">
        <f t="shared" si="133"/>
        <v>0</v>
      </c>
      <c r="FZ113" s="11">
        <f t="shared" si="134"/>
        <v>0</v>
      </c>
      <c r="GA113" s="11">
        <f t="shared" si="135"/>
        <v>0</v>
      </c>
      <c r="GB113" s="11">
        <f t="shared" si="136"/>
        <v>0</v>
      </c>
      <c r="GC113" s="11">
        <f t="shared" si="137"/>
        <v>0</v>
      </c>
      <c r="GD113" s="11">
        <f t="shared" si="138"/>
        <v>0</v>
      </c>
      <c r="GE113" s="11">
        <f t="shared" si="139"/>
        <v>0</v>
      </c>
      <c r="GF113" s="11">
        <f t="shared" si="140"/>
        <v>0</v>
      </c>
      <c r="GG113" s="11">
        <f t="shared" si="141"/>
        <v>0</v>
      </c>
      <c r="GH113" s="11">
        <f t="shared" si="142"/>
        <v>0</v>
      </c>
      <c r="GI113" s="11">
        <f t="shared" si="143"/>
        <v>0</v>
      </c>
      <c r="GJ113" s="11">
        <f t="shared" si="144"/>
        <v>0</v>
      </c>
      <c r="GK113" s="11">
        <f t="shared" si="145"/>
        <v>0</v>
      </c>
      <c r="GL113" s="11">
        <f t="shared" si="146"/>
        <v>0</v>
      </c>
      <c r="GM113" s="11">
        <f t="shared" si="147"/>
        <v>0</v>
      </c>
      <c r="GN113" s="11">
        <f t="shared" si="148"/>
        <v>0</v>
      </c>
      <c r="GO113" s="11">
        <f t="shared" si="149"/>
        <v>0</v>
      </c>
      <c r="GP113" s="11">
        <f t="shared" si="150"/>
        <v>0</v>
      </c>
      <c r="GQ113" s="11">
        <f t="shared" si="151"/>
        <v>0</v>
      </c>
      <c r="GR113" s="11">
        <f t="shared" si="152"/>
        <v>0</v>
      </c>
      <c r="GS113" s="11">
        <f t="shared" si="153"/>
        <v>0</v>
      </c>
      <c r="GT113" s="11">
        <f t="shared" si="154"/>
        <v>0</v>
      </c>
      <c r="GU113" s="12">
        <f t="shared" si="155"/>
        <v>0</v>
      </c>
      <c r="GV113" s="12">
        <f t="shared" si="156"/>
        <v>0</v>
      </c>
      <c r="GW113" s="12">
        <f t="shared" si="157"/>
        <v>0</v>
      </c>
      <c r="GX113" s="12">
        <f t="shared" si="158"/>
        <v>0</v>
      </c>
      <c r="GY113" s="12">
        <f t="shared" si="159"/>
        <v>0</v>
      </c>
      <c r="GZ113" s="12">
        <f t="shared" si="160"/>
        <v>0</v>
      </c>
      <c r="HA113" s="12">
        <f t="shared" si="161"/>
        <v>0</v>
      </c>
      <c r="HB113" s="12">
        <f t="shared" si="162"/>
        <v>0</v>
      </c>
      <c r="HC113" s="12">
        <f t="shared" si="163"/>
        <v>0</v>
      </c>
      <c r="HD113" s="12">
        <f t="shared" si="164"/>
        <v>0</v>
      </c>
      <c r="HE113" s="12">
        <f t="shared" si="165"/>
        <v>0</v>
      </c>
      <c r="HF113" s="12">
        <f t="shared" si="166"/>
        <v>0</v>
      </c>
      <c r="HG113" s="12">
        <f t="shared" si="167"/>
        <v>0</v>
      </c>
      <c r="HH113" s="12">
        <f t="shared" si="168"/>
        <v>0</v>
      </c>
      <c r="HI113" s="12">
        <f t="shared" si="169"/>
        <v>0</v>
      </c>
      <c r="HJ113" s="12">
        <f t="shared" si="170"/>
        <v>0</v>
      </c>
      <c r="HK113" s="12">
        <f t="shared" si="171"/>
        <v>0</v>
      </c>
      <c r="HL113" s="12">
        <f t="shared" si="172"/>
        <v>0</v>
      </c>
      <c r="HM113" s="12">
        <f t="shared" si="173"/>
        <v>0</v>
      </c>
      <c r="HN113" s="12">
        <f t="shared" si="174"/>
        <v>0</v>
      </c>
      <c r="HO113" s="12">
        <f t="shared" si="175"/>
        <v>0</v>
      </c>
      <c r="HP113" s="12">
        <f t="shared" si="176"/>
        <v>0</v>
      </c>
      <c r="HQ113" s="12">
        <f t="shared" si="177"/>
        <v>0</v>
      </c>
      <c r="HR113" s="12">
        <f t="shared" si="178"/>
        <v>0</v>
      </c>
      <c r="HS113" s="12">
        <f t="shared" si="179"/>
        <v>0</v>
      </c>
      <c r="HT113" s="12">
        <f t="shared" si="180"/>
        <v>0</v>
      </c>
      <c r="HU113" s="12">
        <f t="shared" si="181"/>
        <v>0</v>
      </c>
      <c r="HV113" s="12">
        <f t="shared" si="182"/>
        <v>0</v>
      </c>
      <c r="HW113" s="12">
        <f t="shared" si="183"/>
        <v>0</v>
      </c>
      <c r="HX113" s="12">
        <f t="shared" si="184"/>
        <v>0</v>
      </c>
      <c r="HY113" s="12">
        <f t="shared" si="185"/>
        <v>0</v>
      </c>
      <c r="HZ113" s="12">
        <f t="shared" si="186"/>
        <v>0</v>
      </c>
      <c r="IA113" s="12">
        <f t="shared" si="187"/>
        <v>0</v>
      </c>
      <c r="IB113" s="12">
        <f t="shared" si="188"/>
        <v>0</v>
      </c>
      <c r="IC113" s="12">
        <f t="shared" si="189"/>
        <v>0</v>
      </c>
      <c r="ID113" s="12">
        <f t="shared" si="190"/>
        <v>0</v>
      </c>
      <c r="IE113" s="12">
        <f t="shared" si="191"/>
        <v>0</v>
      </c>
      <c r="IF113" s="12">
        <f t="shared" si="192"/>
        <v>0</v>
      </c>
      <c r="IG113" s="12">
        <f t="shared" si="193"/>
        <v>0</v>
      </c>
      <c r="IH113" s="12">
        <f t="shared" si="194"/>
        <v>0</v>
      </c>
      <c r="II113" s="12">
        <f t="shared" si="195"/>
        <v>0</v>
      </c>
      <c r="IJ113" s="12">
        <f t="shared" si="196"/>
        <v>0</v>
      </c>
      <c r="IK113" s="12">
        <f t="shared" si="197"/>
        <v>0</v>
      </c>
      <c r="IL113" s="12">
        <f t="shared" si="198"/>
        <v>0</v>
      </c>
      <c r="IM113" s="12">
        <f t="shared" si="199"/>
        <v>0</v>
      </c>
      <c r="IN113" s="12">
        <f t="shared" si="200"/>
        <v>0</v>
      </c>
      <c r="IO113" s="12">
        <f t="shared" si="201"/>
        <v>0</v>
      </c>
      <c r="IP113" s="12">
        <f t="shared" si="202"/>
        <v>0</v>
      </c>
      <c r="IQ113" s="12">
        <f t="shared" si="203"/>
        <v>0</v>
      </c>
      <c r="IR113" s="12">
        <f t="shared" si="204"/>
        <v>0</v>
      </c>
      <c r="IS113" s="12">
        <f t="shared" si="205"/>
        <v>0</v>
      </c>
      <c r="IT113" s="12">
        <f t="shared" si="206"/>
        <v>0</v>
      </c>
      <c r="IU113" s="12">
        <f t="shared" si="207"/>
        <v>0</v>
      </c>
      <c r="IV113" s="12">
        <f t="shared" si="208"/>
        <v>0</v>
      </c>
      <c r="IW113" s="12">
        <f t="shared" si="209"/>
        <v>0</v>
      </c>
      <c r="IX113" s="12">
        <f t="shared" si="210"/>
        <v>0</v>
      </c>
      <c r="IY113" s="12">
        <f t="shared" si="211"/>
        <v>0</v>
      </c>
      <c r="IZ113" s="12">
        <f t="shared" si="212"/>
        <v>1</v>
      </c>
      <c r="JA113" s="13">
        <f t="shared" si="213"/>
        <v>0</v>
      </c>
      <c r="JB113" s="13">
        <f t="shared" si="214"/>
        <v>0</v>
      </c>
      <c r="JC113" s="13">
        <f t="shared" si="215"/>
        <v>0</v>
      </c>
      <c r="JD113" s="13">
        <f t="shared" si="216"/>
        <v>0</v>
      </c>
      <c r="JE113" s="13">
        <f t="shared" si="217"/>
        <v>0</v>
      </c>
      <c r="JF113" s="13">
        <f t="shared" si="218"/>
        <v>0</v>
      </c>
      <c r="JG113" s="13">
        <f t="shared" si="219"/>
        <v>0</v>
      </c>
      <c r="JH113" s="13">
        <f t="shared" si="220"/>
        <v>0</v>
      </c>
      <c r="JI113" s="13">
        <f t="shared" si="221"/>
        <v>0</v>
      </c>
      <c r="JJ113" s="13">
        <f t="shared" si="222"/>
        <v>0</v>
      </c>
      <c r="JK113" s="13">
        <f t="shared" si="223"/>
        <v>0</v>
      </c>
      <c r="JL113" s="13">
        <f t="shared" si="224"/>
        <v>0</v>
      </c>
      <c r="JM113" s="13">
        <f t="shared" si="225"/>
        <v>0</v>
      </c>
      <c r="JN113" s="13">
        <f t="shared" si="226"/>
        <v>0</v>
      </c>
      <c r="JO113" s="13">
        <f t="shared" si="227"/>
        <v>0</v>
      </c>
      <c r="JP113" s="13">
        <f t="shared" si="228"/>
        <v>0</v>
      </c>
      <c r="JQ113" s="13">
        <f t="shared" si="229"/>
        <v>0</v>
      </c>
      <c r="JR113" s="13">
        <f t="shared" si="230"/>
        <v>0</v>
      </c>
      <c r="JS113" s="13">
        <f t="shared" si="231"/>
        <v>0</v>
      </c>
      <c r="JT113" s="13">
        <f t="shared" si="232"/>
        <v>0</v>
      </c>
      <c r="JU113" s="13">
        <f t="shared" si="233"/>
        <v>0</v>
      </c>
      <c r="JV113" s="12">
        <f t="shared" si="234"/>
        <v>0</v>
      </c>
      <c r="JW113" s="12">
        <f t="shared" si="235"/>
        <v>0</v>
      </c>
      <c r="JX113" s="12">
        <f t="shared" si="236"/>
        <v>0</v>
      </c>
      <c r="JY113" s="12">
        <f t="shared" si="237"/>
        <v>0</v>
      </c>
      <c r="JZ113" s="12">
        <f t="shared" si="238"/>
        <v>0</v>
      </c>
      <c r="KA113" s="12">
        <f t="shared" si="239"/>
        <v>0</v>
      </c>
      <c r="KB113" s="12">
        <f t="shared" si="240"/>
        <v>0</v>
      </c>
      <c r="KC113" s="12">
        <f t="shared" si="241"/>
        <v>0</v>
      </c>
      <c r="KD113" s="12">
        <f t="shared" si="242"/>
        <v>0</v>
      </c>
      <c r="KE113" s="12">
        <f t="shared" si="243"/>
        <v>0</v>
      </c>
      <c r="KF113" s="12">
        <f t="shared" si="244"/>
        <v>0</v>
      </c>
      <c r="KG113" s="12">
        <f t="shared" si="245"/>
        <v>0</v>
      </c>
      <c r="KH113" s="12">
        <f t="shared" si="246"/>
        <v>0</v>
      </c>
      <c r="KI113" s="12">
        <f t="shared" si="247"/>
        <v>0</v>
      </c>
      <c r="KJ113" s="12">
        <f t="shared" si="248"/>
        <v>0</v>
      </c>
      <c r="KK113" s="12">
        <f t="shared" si="249"/>
        <v>0</v>
      </c>
      <c r="KL113" s="12">
        <f t="shared" si="250"/>
        <v>0</v>
      </c>
      <c r="KM113" s="12">
        <f t="shared" si="251"/>
        <v>0</v>
      </c>
      <c r="KN113" s="12">
        <f t="shared" si="252"/>
        <v>0</v>
      </c>
      <c r="KO113" s="12">
        <f t="shared" si="253"/>
        <v>0</v>
      </c>
      <c r="KP113" s="12">
        <f t="shared" si="254"/>
        <v>0</v>
      </c>
      <c r="KQ113" s="12">
        <f t="shared" si="255"/>
        <v>0</v>
      </c>
      <c r="KR113" s="12">
        <f t="shared" si="256"/>
        <v>0</v>
      </c>
      <c r="KS113" s="12">
        <f t="shared" si="257"/>
        <v>0</v>
      </c>
      <c r="KT113" s="12">
        <f t="shared" si="258"/>
        <v>0</v>
      </c>
      <c r="KU113" s="12">
        <f t="shared" si="259"/>
        <v>0</v>
      </c>
      <c r="KV113" s="12">
        <f t="shared" si="260"/>
        <v>0</v>
      </c>
      <c r="KW113" s="12">
        <f t="shared" si="261"/>
        <v>0</v>
      </c>
      <c r="KX113" s="12">
        <f t="shared" si="262"/>
        <v>0</v>
      </c>
      <c r="KY113" s="12">
        <f t="shared" si="263"/>
        <v>0</v>
      </c>
      <c r="KZ113" s="12">
        <f t="shared" si="264"/>
        <v>0</v>
      </c>
      <c r="LA113" s="12">
        <f t="shared" si="265"/>
        <v>0</v>
      </c>
      <c r="LB113" s="12">
        <f t="shared" si="266"/>
        <v>0</v>
      </c>
      <c r="LC113" s="12">
        <f t="shared" si="267"/>
        <v>0</v>
      </c>
      <c r="LD113" s="12">
        <f t="shared" si="268"/>
        <v>0</v>
      </c>
      <c r="LE113" s="12">
        <f t="shared" si="269"/>
        <v>0</v>
      </c>
      <c r="LF113" s="12">
        <f t="shared" si="270"/>
        <v>0</v>
      </c>
      <c r="LG113" s="12">
        <f t="shared" si="271"/>
        <v>0</v>
      </c>
      <c r="LH113" s="12">
        <f t="shared" si="272"/>
        <v>0</v>
      </c>
      <c r="LI113" s="12">
        <f t="shared" si="273"/>
        <v>0</v>
      </c>
      <c r="LJ113" s="12">
        <f t="shared" si="274"/>
        <v>0</v>
      </c>
      <c r="LK113" s="12">
        <f t="shared" si="275"/>
        <v>0</v>
      </c>
      <c r="LL113" s="12">
        <f t="shared" si="276"/>
        <v>0</v>
      </c>
      <c r="LM113" s="12">
        <f t="shared" si="277"/>
        <v>0</v>
      </c>
      <c r="LN113" s="12">
        <f t="shared" si="278"/>
        <v>0</v>
      </c>
      <c r="LO113" s="12">
        <f t="shared" si="279"/>
        <v>0</v>
      </c>
      <c r="LP113" s="12">
        <f t="shared" si="280"/>
        <v>0</v>
      </c>
      <c r="LQ113" s="12">
        <f t="shared" si="281"/>
        <v>0</v>
      </c>
      <c r="LR113" s="12">
        <f t="shared" si="282"/>
        <v>0</v>
      </c>
      <c r="LS113" s="12">
        <f t="shared" si="283"/>
        <v>0</v>
      </c>
      <c r="LT113" s="13">
        <f t="shared" si="284"/>
        <v>0</v>
      </c>
      <c r="LU113" s="13">
        <f t="shared" si="285"/>
        <v>0</v>
      </c>
      <c r="LV113" s="13">
        <f t="shared" si="286"/>
        <v>0</v>
      </c>
      <c r="LW113" s="13">
        <f t="shared" si="287"/>
        <v>0</v>
      </c>
      <c r="LX113" s="13">
        <f t="shared" si="288"/>
        <v>0</v>
      </c>
      <c r="LY113" s="13">
        <f t="shared" si="289"/>
        <v>0</v>
      </c>
      <c r="LZ113" s="13">
        <f t="shared" si="290"/>
        <v>0</v>
      </c>
      <c r="MA113" s="13">
        <f t="shared" si="291"/>
        <v>0</v>
      </c>
      <c r="MB113" s="13">
        <f t="shared" si="292"/>
        <v>0</v>
      </c>
      <c r="MC113" s="13">
        <f t="shared" si="293"/>
        <v>0</v>
      </c>
      <c r="MD113" s="13">
        <f t="shared" si="294"/>
        <v>0</v>
      </c>
      <c r="ME113" s="13">
        <f t="shared" si="295"/>
        <v>0</v>
      </c>
      <c r="MF113" s="13">
        <f t="shared" si="296"/>
        <v>0</v>
      </c>
      <c r="MG113" s="13">
        <f t="shared" si="297"/>
        <v>0</v>
      </c>
      <c r="MH113" s="13">
        <f t="shared" si="298"/>
        <v>0</v>
      </c>
      <c r="MI113" s="13">
        <f t="shared" si="299"/>
        <v>0</v>
      </c>
      <c r="MJ113" s="13">
        <f t="shared" si="300"/>
        <v>0</v>
      </c>
      <c r="MK113" s="13">
        <f t="shared" si="301"/>
        <v>0</v>
      </c>
      <c r="ML113" s="14">
        <f t="shared" si="302"/>
        <v>0</v>
      </c>
      <c r="MM113" s="14">
        <f t="shared" si="303"/>
        <v>0</v>
      </c>
      <c r="MN113" s="14">
        <f t="shared" si="304"/>
        <v>0</v>
      </c>
      <c r="MO113" s="14">
        <f t="shared" si="305"/>
        <v>0</v>
      </c>
      <c r="MP113" s="14">
        <f t="shared" si="306"/>
        <v>0</v>
      </c>
      <c r="MQ113" s="14">
        <f t="shared" si="307"/>
        <v>0</v>
      </c>
      <c r="MR113" s="14">
        <f t="shared" si="308"/>
        <v>0</v>
      </c>
      <c r="MS113" s="14">
        <f t="shared" si="309"/>
        <v>0</v>
      </c>
      <c r="MT113" s="14">
        <f t="shared" si="310"/>
        <v>0</v>
      </c>
      <c r="MU113" s="14">
        <f t="shared" si="311"/>
        <v>0</v>
      </c>
      <c r="MV113" s="14">
        <f t="shared" si="312"/>
        <v>0</v>
      </c>
      <c r="MW113" s="14">
        <f t="shared" si="313"/>
        <v>0</v>
      </c>
      <c r="MX113" s="14">
        <f t="shared" si="314"/>
        <v>0</v>
      </c>
      <c r="MY113" s="14">
        <f t="shared" si="315"/>
        <v>0</v>
      </c>
      <c r="MZ113" s="14">
        <f t="shared" si="316"/>
        <v>0</v>
      </c>
      <c r="NA113" s="14">
        <f t="shared" si="317"/>
        <v>0</v>
      </c>
      <c r="NB113" s="14">
        <f t="shared" si="318"/>
        <v>0</v>
      </c>
    </row>
    <row r="114" ht="15.75" customHeight="1">
      <c r="A114" s="2">
        <v>97.0</v>
      </c>
      <c r="B114" s="2" t="s">
        <v>2297</v>
      </c>
      <c r="C114" s="2" t="s">
        <v>2298</v>
      </c>
      <c r="D114" s="2" t="s">
        <v>2299</v>
      </c>
      <c r="E114" s="2">
        <v>2021.0</v>
      </c>
      <c r="F114" s="2" t="s">
        <v>2300</v>
      </c>
      <c r="G114" s="2" t="s">
        <v>907</v>
      </c>
      <c r="H114" s="2" t="s">
        <v>432</v>
      </c>
      <c r="J114" s="2" t="s">
        <v>2301</v>
      </c>
      <c r="K114" s="2" t="s">
        <v>2302</v>
      </c>
      <c r="M114" s="2">
        <v>7.0</v>
      </c>
      <c r="N114" s="2" t="s">
        <v>2303</v>
      </c>
      <c r="O114" s="2" t="s">
        <v>2304</v>
      </c>
      <c r="P114" s="2" t="s">
        <v>2305</v>
      </c>
      <c r="Q114" s="2" t="s">
        <v>2306</v>
      </c>
      <c r="R114" s="2" t="s">
        <v>2307</v>
      </c>
      <c r="S114" s="2" t="s">
        <v>2308</v>
      </c>
      <c r="T114" s="2" t="s">
        <v>2309</v>
      </c>
      <c r="Y114" s="2" t="s">
        <v>2310</v>
      </c>
      <c r="AB114" s="2" t="s">
        <v>2311</v>
      </c>
      <c r="AG114" s="2" t="s">
        <v>2312</v>
      </c>
      <c r="AI114" s="2" t="s">
        <v>2313</v>
      </c>
      <c r="AJ114" s="2">
        <v>3.2700289E7</v>
      </c>
      <c r="AK114" s="2" t="s">
        <v>2314</v>
      </c>
      <c r="AL114" s="2" t="s">
        <v>384</v>
      </c>
      <c r="AN114" s="2" t="s">
        <v>386</v>
      </c>
      <c r="AO114" s="2" t="s">
        <v>2315</v>
      </c>
      <c r="AP114" s="2" t="s">
        <v>386</v>
      </c>
      <c r="AQ114" s="2">
        <v>315.0</v>
      </c>
      <c r="AR114" s="2" t="s">
        <v>2299</v>
      </c>
      <c r="AS114" s="2" t="b">
        <v>1</v>
      </c>
      <c r="AT114" s="3">
        <v>0.0</v>
      </c>
      <c r="AU114" s="4"/>
      <c r="AV114" s="4"/>
      <c r="AW114" s="5">
        <f t="shared" si="432"/>
        <v>0</v>
      </c>
      <c r="AX114" s="5">
        <f t="shared" si="4"/>
        <v>0</v>
      </c>
      <c r="AY114" s="5">
        <f t="shared" si="5"/>
        <v>0</v>
      </c>
      <c r="AZ114" s="5">
        <f t="shared" si="6"/>
        <v>0</v>
      </c>
      <c r="BA114" s="5">
        <f t="shared" si="7"/>
        <v>0</v>
      </c>
      <c r="BB114" s="5">
        <f t="shared" si="8"/>
        <v>0</v>
      </c>
      <c r="BC114" s="5">
        <f t="shared" si="9"/>
        <v>0</v>
      </c>
      <c r="BD114" s="5">
        <f t="shared" si="10"/>
        <v>0</v>
      </c>
      <c r="BE114" s="5">
        <f t="shared" si="11"/>
        <v>0</v>
      </c>
      <c r="BF114" s="5">
        <f t="shared" si="12"/>
        <v>0</v>
      </c>
      <c r="BG114" s="5">
        <f t="shared" si="13"/>
        <v>0</v>
      </c>
      <c r="BH114" s="5">
        <f t="shared" si="14"/>
        <v>0</v>
      </c>
      <c r="BI114" s="5">
        <f t="shared" si="15"/>
        <v>0</v>
      </c>
      <c r="BJ114" s="5">
        <f t="shared" si="16"/>
        <v>0</v>
      </c>
      <c r="BK114" s="5">
        <f t="shared" si="17"/>
        <v>0</v>
      </c>
      <c r="BL114" s="5">
        <f t="shared" si="18"/>
        <v>0</v>
      </c>
      <c r="BM114" s="5">
        <f t="shared" si="19"/>
        <v>0</v>
      </c>
      <c r="BN114" s="5">
        <f t="shared" si="20"/>
        <v>0</v>
      </c>
      <c r="BO114" s="5">
        <f t="shared" si="21"/>
        <v>0</v>
      </c>
      <c r="BP114" s="5">
        <f t="shared" si="22"/>
        <v>0</v>
      </c>
      <c r="BQ114" s="5">
        <f t="shared" si="23"/>
        <v>0</v>
      </c>
      <c r="BR114" s="5">
        <f t="shared" si="24"/>
        <v>0</v>
      </c>
      <c r="BS114" s="5">
        <f t="shared" si="25"/>
        <v>0</v>
      </c>
      <c r="BT114" s="5">
        <f t="shared" si="26"/>
        <v>0</v>
      </c>
      <c r="BU114" s="5">
        <f t="shared" si="27"/>
        <v>0</v>
      </c>
      <c r="BV114" s="5">
        <f t="shared" ref="BV114:BW114" si="571">IF(OR(ISNUMBER(SEARCH("grit",$D114)),ISNUMBER(SEARCH("grit",$T114)),ISNUMBER(SEARCH("grit",$R114)),ISNUMBER(SEARCH("grit",$S114)),
ISNUMBER(SEARCH("determination",$D114)),ISNUMBER(SEARCH("determination",$T114)),ISNUMBER(SEARCH("determination",$R114)),ISNUMBER(SEARCH("determination",$S114)),
ISNUMBER(SEARCH("tenacity",$D114)),ISNUMBER(SEARCH("tenacity",$T114)),ISNUMBER(SEARCH("tenacity",$R114)),ISNUMBER(SEARCH("tenacity",$S114)),
ISNUMBER(SEARCH("endurance",$D114)),ISNUMBER(SEARCH("endurance",$T114)),ISNUMBER(SEARCH("endurance",$R114)),ISNUMBER(SEARCH("endurance",$S114)),
ISNUMBER(SEARCH("fortitude",$D114)),ISNUMBER(SEARCH("fortitude",$T114)),ISNUMBER(SEARCH("fortitude",$R114)),ISNUMBER(SEARCH("fortitude",$S114)),
ISNUMBER(SEARCH("resolve",$D114)),ISNUMBER(SEARCH("resolve",$T114)),ISNUMBER(SEARCH("resolve",$R114)),ISNUMBER(SEARCH("resolve",$S114)),
ISNUMBER(SEARCH("stamina",$D114)),ISNUMBER(SEARCH("stamina",$T114)),ISNUMBER(SEARCH("stamina",$R114)),ISNUMBER(SEARCH("stamina",$S114)),
ISNUMBER(SEARCH("guts",$D114)),ISNUMBER(SEARCH("guts",$T114)),ISNUMBER(SEARCH("guts",$R114)),ISNUMBER(SEARCH("guts",$S114)),
ISNUMBER(SEARCH("spunk",$D114)),ISNUMBER(SEARCH("spunk",$T114)),ISNUMBER(SEARCH("spunk",$R114)),ISNUMBER(SEARCH("spunk",$S114))), 1, 0)</f>
        <v>0</v>
      </c>
      <c r="BW114" s="5">
        <f t="shared" si="571"/>
        <v>0</v>
      </c>
      <c r="BX114" s="5">
        <f t="shared" si="29"/>
        <v>0</v>
      </c>
      <c r="BY114" s="5">
        <f t="shared" si="30"/>
        <v>0</v>
      </c>
      <c r="BZ114" s="5">
        <f t="shared" si="31"/>
        <v>0</v>
      </c>
      <c r="CA114" s="5">
        <f t="shared" si="32"/>
        <v>0</v>
      </c>
      <c r="CB114" s="5">
        <f t="shared" si="33"/>
        <v>0</v>
      </c>
      <c r="CC114" s="5">
        <f t="shared" si="34"/>
        <v>0</v>
      </c>
      <c r="CD114" s="5">
        <f t="shared" si="35"/>
        <v>0</v>
      </c>
      <c r="CE114" s="5">
        <f t="shared" si="36"/>
        <v>0</v>
      </c>
      <c r="CF114" s="5">
        <f t="shared" si="37"/>
        <v>0</v>
      </c>
      <c r="CG114" s="5">
        <f t="shared" si="38"/>
        <v>0</v>
      </c>
      <c r="CH114" s="5">
        <f t="shared" si="39"/>
        <v>0</v>
      </c>
      <c r="CI114" s="5">
        <f t="shared" si="40"/>
        <v>0</v>
      </c>
      <c r="CJ114" s="5">
        <f t="shared" si="41"/>
        <v>0</v>
      </c>
      <c r="CK114" s="5">
        <f t="shared" si="42"/>
        <v>0</v>
      </c>
      <c r="CL114" s="5">
        <f t="shared" si="43"/>
        <v>0</v>
      </c>
      <c r="CM114" s="5">
        <f t="shared" si="44"/>
        <v>0</v>
      </c>
      <c r="CN114" s="5">
        <f t="shared" si="45"/>
        <v>0</v>
      </c>
      <c r="CO114" s="5">
        <f t="shared" si="46"/>
        <v>0</v>
      </c>
      <c r="CP114" s="6">
        <f t="shared" si="47"/>
        <v>0</v>
      </c>
      <c r="CQ114" s="6">
        <f t="shared" si="48"/>
        <v>0</v>
      </c>
      <c r="CR114" s="6">
        <f t="shared" si="49"/>
        <v>0</v>
      </c>
      <c r="CS114" s="6">
        <f t="shared" si="50"/>
        <v>0</v>
      </c>
      <c r="CT114" s="6">
        <f t="shared" si="551"/>
        <v>0</v>
      </c>
      <c r="CU114" s="6">
        <f t="shared" si="52"/>
        <v>0</v>
      </c>
      <c r="CV114" s="6">
        <f t="shared" si="53"/>
        <v>0</v>
      </c>
      <c r="CW114" s="6">
        <f t="shared" si="54"/>
        <v>0</v>
      </c>
      <c r="CX114" s="6">
        <f t="shared" si="55"/>
        <v>0</v>
      </c>
      <c r="CY114" s="6">
        <f t="shared" si="56"/>
        <v>0</v>
      </c>
      <c r="CZ114" s="6">
        <f t="shared" si="57"/>
        <v>0</v>
      </c>
      <c r="DA114" s="6">
        <f t="shared" si="58"/>
        <v>0</v>
      </c>
      <c r="DB114" s="6">
        <f t="shared" si="59"/>
        <v>0</v>
      </c>
      <c r="DC114" s="6">
        <f t="shared" si="60"/>
        <v>0</v>
      </c>
      <c r="DD114" s="6">
        <f t="shared" si="61"/>
        <v>0</v>
      </c>
      <c r="DE114" s="6">
        <f t="shared" si="62"/>
        <v>0</v>
      </c>
      <c r="DF114" s="6">
        <f t="shared" si="63"/>
        <v>0</v>
      </c>
      <c r="DG114" s="6">
        <f t="shared" si="64"/>
        <v>0</v>
      </c>
      <c r="DH114" s="6">
        <f>IF(
OR(
ISNUMBER(SEARCH("Spirituality",$D114)),ISNUMBER(SEARCH("Spirituality",$T114)),ISNUMBER(SEARCH("Spirituality",$R112)),ISNUMBER(SEARCH("Spirituality",$S114)),
ISNUMBER(SEARCH("religio",$D114)),ISNUMBER(SEARCH("religio",$T114)),ISNUMBER(SEARCH("religio",$R114)),ISNUMBER(SEARCH("religio",$S114))), 1, 0)</f>
        <v>0</v>
      </c>
      <c r="DI114" s="6">
        <f t="shared" si="66"/>
        <v>1</v>
      </c>
      <c r="DJ114" s="6">
        <f t="shared" ref="DJ114:DJ147" si="574">IF(OR(ISNUMBER(SEARCH("Emotional stability", $D114)), ISNUMBER(SEARCH("Emotional stability", $T114)), ISNUMBER(SEARCH("Emotional stability", $R114)), ISNUMBER(SEARCH("Emotional stability", $S114))), 1, 0)</f>
        <v>0</v>
      </c>
      <c r="DK114" s="7">
        <f t="shared" si="68"/>
        <v>0</v>
      </c>
      <c r="DL114" s="7">
        <f t="shared" si="498"/>
        <v>0</v>
      </c>
      <c r="DM114" s="7">
        <f t="shared" si="70"/>
        <v>0</v>
      </c>
      <c r="DN114" s="7">
        <f t="shared" si="71"/>
        <v>0</v>
      </c>
      <c r="DO114" s="7">
        <f t="shared" si="72"/>
        <v>1</v>
      </c>
      <c r="DP114" s="8">
        <f t="shared" si="73"/>
        <v>0</v>
      </c>
      <c r="DQ114" s="8">
        <f t="shared" si="74"/>
        <v>1</v>
      </c>
      <c r="DR114" s="7">
        <f t="shared" si="75"/>
        <v>0</v>
      </c>
      <c r="DS114" s="7">
        <f t="shared" si="76"/>
        <v>0</v>
      </c>
      <c r="DT114" s="7">
        <f t="shared" si="77"/>
        <v>0</v>
      </c>
      <c r="DU114" s="9">
        <f t="shared" si="78"/>
        <v>0</v>
      </c>
      <c r="DV114" s="9">
        <f t="shared" si="79"/>
        <v>0</v>
      </c>
      <c r="DW114" s="9">
        <f t="shared" si="80"/>
        <v>0</v>
      </c>
      <c r="DX114" s="9">
        <f t="shared" si="81"/>
        <v>0</v>
      </c>
      <c r="DY114" s="9">
        <f t="shared" si="82"/>
        <v>0</v>
      </c>
      <c r="DZ114" s="9">
        <f t="shared" si="83"/>
        <v>0</v>
      </c>
      <c r="EA114" s="9">
        <f t="shared" si="84"/>
        <v>0</v>
      </c>
      <c r="EB114" s="9">
        <f t="shared" si="85"/>
        <v>0</v>
      </c>
      <c r="EC114" s="9">
        <f t="shared" si="86"/>
        <v>0</v>
      </c>
      <c r="ED114" s="9">
        <f t="shared" si="87"/>
        <v>0</v>
      </c>
      <c r="EE114" s="9">
        <f t="shared" si="88"/>
        <v>0</v>
      </c>
      <c r="EF114" s="9">
        <f t="shared" si="89"/>
        <v>0</v>
      </c>
      <c r="EG114" s="9">
        <f t="shared" si="90"/>
        <v>0</v>
      </c>
      <c r="EH114" s="9">
        <f t="shared" si="91"/>
        <v>0</v>
      </c>
      <c r="EI114" s="9">
        <f t="shared" si="92"/>
        <v>0</v>
      </c>
      <c r="EJ114" s="10">
        <f t="shared" si="93"/>
        <v>0</v>
      </c>
      <c r="EK114" s="10">
        <f t="shared" si="94"/>
        <v>0</v>
      </c>
      <c r="EL114" s="10">
        <f t="shared" ref="EL114:EM114" si="572">IF(OR(ISNUMBER(SEARCH("ai software toolkit", $D114)), ISNUMBER(SEARCH("ai software toolkit", $T114)), ISNUMBER(SEARCH("ai software toolkit", $R114)), ISNUMBER(SEARCH("ai software toolkit", $S114))), 1, 0)</f>
        <v>0</v>
      </c>
      <c r="EM114" s="10">
        <f t="shared" si="572"/>
        <v>0</v>
      </c>
      <c r="EN114" s="10">
        <f t="shared" si="96"/>
        <v>0</v>
      </c>
      <c r="EO114" s="10">
        <f t="shared" si="97"/>
        <v>0</v>
      </c>
      <c r="EP114" s="10">
        <f t="shared" si="98"/>
        <v>0</v>
      </c>
      <c r="EQ114" s="10">
        <f t="shared" si="99"/>
        <v>0</v>
      </c>
      <c r="ER114" s="10">
        <f t="shared" si="100"/>
        <v>0</v>
      </c>
      <c r="ES114" s="10">
        <f t="shared" si="101"/>
        <v>0</v>
      </c>
      <c r="ET114" s="10">
        <f t="shared" si="102"/>
        <v>0</v>
      </c>
      <c r="EU114" s="10">
        <f t="shared" si="103"/>
        <v>0</v>
      </c>
      <c r="EV114" s="10">
        <f t="shared" si="104"/>
        <v>0</v>
      </c>
      <c r="EW114" s="10">
        <f t="shared" si="105"/>
        <v>0</v>
      </c>
      <c r="EX114" s="10">
        <f t="shared" si="106"/>
        <v>0</v>
      </c>
      <c r="EY114" s="10">
        <f t="shared" si="107"/>
        <v>0</v>
      </c>
      <c r="EZ114" s="10">
        <f t="shared" si="108"/>
        <v>0</v>
      </c>
      <c r="FA114" s="10">
        <f t="shared" si="109"/>
        <v>0</v>
      </c>
      <c r="FB114" s="10">
        <f t="shared" si="110"/>
        <v>0</v>
      </c>
      <c r="FC114" s="10">
        <f t="shared" si="111"/>
        <v>0</v>
      </c>
      <c r="FD114" s="10">
        <f t="shared" si="112"/>
        <v>0</v>
      </c>
      <c r="FE114" s="10">
        <f t="shared" si="113"/>
        <v>0</v>
      </c>
      <c r="FF114" s="10">
        <f t="shared" si="114"/>
        <v>0</v>
      </c>
      <c r="FG114" s="10">
        <f t="shared" si="115"/>
        <v>0</v>
      </c>
      <c r="FH114" s="10">
        <f t="shared" si="116"/>
        <v>0</v>
      </c>
      <c r="FI114" s="10">
        <f t="shared" si="117"/>
        <v>0</v>
      </c>
      <c r="FJ114" s="10">
        <f t="shared" si="118"/>
        <v>0</v>
      </c>
      <c r="FK114" s="10">
        <f t="shared" si="119"/>
        <v>0</v>
      </c>
      <c r="FL114" s="10">
        <f t="shared" si="120"/>
        <v>0</v>
      </c>
      <c r="FM114" s="10">
        <f t="shared" si="121"/>
        <v>0</v>
      </c>
      <c r="FN114" s="10">
        <f t="shared" si="122"/>
        <v>0</v>
      </c>
      <c r="FO114" s="10">
        <f t="shared" si="123"/>
        <v>0</v>
      </c>
      <c r="FP114" s="10">
        <f t="shared" si="124"/>
        <v>0</v>
      </c>
      <c r="FQ114" s="10">
        <f t="shared" si="125"/>
        <v>0</v>
      </c>
      <c r="FR114" s="11">
        <f t="shared" si="543"/>
        <v>0</v>
      </c>
      <c r="FS114" s="11">
        <f t="shared" si="127"/>
        <v>0</v>
      </c>
      <c r="FT114" s="11">
        <f t="shared" si="128"/>
        <v>0</v>
      </c>
      <c r="FU114" s="11">
        <f t="shared" si="129"/>
        <v>0</v>
      </c>
      <c r="FV114" s="11">
        <f t="shared" si="130"/>
        <v>0</v>
      </c>
      <c r="FW114" s="11">
        <f t="shared" si="131"/>
        <v>0</v>
      </c>
      <c r="FX114" s="11">
        <f t="shared" si="132"/>
        <v>0</v>
      </c>
      <c r="FY114" s="11">
        <f t="shared" si="133"/>
        <v>0</v>
      </c>
      <c r="FZ114" s="11">
        <f t="shared" si="134"/>
        <v>0</v>
      </c>
      <c r="GA114" s="11">
        <f t="shared" si="135"/>
        <v>0</v>
      </c>
      <c r="GB114" s="11">
        <f t="shared" si="136"/>
        <v>0</v>
      </c>
      <c r="GC114" s="11">
        <f t="shared" si="137"/>
        <v>0</v>
      </c>
      <c r="GD114" s="11">
        <f t="shared" si="138"/>
        <v>0</v>
      </c>
      <c r="GE114" s="11">
        <f t="shared" si="139"/>
        <v>0</v>
      </c>
      <c r="GF114" s="11">
        <f t="shared" si="140"/>
        <v>0</v>
      </c>
      <c r="GG114" s="11">
        <f t="shared" si="141"/>
        <v>0</v>
      </c>
      <c r="GH114" s="11">
        <f t="shared" si="142"/>
        <v>0</v>
      </c>
      <c r="GI114" s="11">
        <f t="shared" si="143"/>
        <v>0</v>
      </c>
      <c r="GJ114" s="11">
        <f t="shared" si="144"/>
        <v>0</v>
      </c>
      <c r="GK114" s="11">
        <f t="shared" si="145"/>
        <v>0</v>
      </c>
      <c r="GL114" s="11">
        <f t="shared" si="146"/>
        <v>0</v>
      </c>
      <c r="GM114" s="11">
        <f t="shared" si="147"/>
        <v>0</v>
      </c>
      <c r="GN114" s="11">
        <f t="shared" si="148"/>
        <v>0</v>
      </c>
      <c r="GO114" s="11">
        <f t="shared" si="149"/>
        <v>0</v>
      </c>
      <c r="GP114" s="11">
        <f t="shared" si="150"/>
        <v>0</v>
      </c>
      <c r="GQ114" s="11">
        <f t="shared" si="151"/>
        <v>0</v>
      </c>
      <c r="GR114" s="11">
        <f t="shared" si="152"/>
        <v>0</v>
      </c>
      <c r="GS114" s="11">
        <f t="shared" si="153"/>
        <v>0</v>
      </c>
      <c r="GT114" s="11">
        <f t="shared" si="154"/>
        <v>0</v>
      </c>
      <c r="GU114" s="12">
        <f t="shared" si="155"/>
        <v>0</v>
      </c>
      <c r="GV114" s="12">
        <f t="shared" si="156"/>
        <v>0</v>
      </c>
      <c r="GW114" s="12">
        <f t="shared" si="157"/>
        <v>0</v>
      </c>
      <c r="GX114" s="12">
        <f t="shared" si="158"/>
        <v>0</v>
      </c>
      <c r="GY114" s="12">
        <f t="shared" si="159"/>
        <v>0</v>
      </c>
      <c r="GZ114" s="12">
        <f t="shared" si="160"/>
        <v>0</v>
      </c>
      <c r="HA114" s="12">
        <f t="shared" si="161"/>
        <v>0</v>
      </c>
      <c r="HB114" s="12">
        <f t="shared" si="162"/>
        <v>0</v>
      </c>
      <c r="HC114" s="12">
        <f t="shared" si="163"/>
        <v>0</v>
      </c>
      <c r="HD114" s="12">
        <f t="shared" si="164"/>
        <v>0</v>
      </c>
      <c r="HE114" s="12">
        <f t="shared" si="165"/>
        <v>0</v>
      </c>
      <c r="HF114" s="12">
        <f t="shared" si="166"/>
        <v>0</v>
      </c>
      <c r="HG114" s="12">
        <f t="shared" si="167"/>
        <v>0</v>
      </c>
      <c r="HH114" s="12">
        <f t="shared" si="168"/>
        <v>0</v>
      </c>
      <c r="HI114" s="12">
        <f t="shared" si="169"/>
        <v>0</v>
      </c>
      <c r="HJ114" s="12">
        <f t="shared" si="170"/>
        <v>0</v>
      </c>
      <c r="HK114" s="12">
        <f t="shared" si="171"/>
        <v>0</v>
      </c>
      <c r="HL114" s="12">
        <f t="shared" si="172"/>
        <v>0</v>
      </c>
      <c r="HM114" s="12">
        <f t="shared" si="173"/>
        <v>0</v>
      </c>
      <c r="HN114" s="12">
        <f t="shared" si="174"/>
        <v>0</v>
      </c>
      <c r="HO114" s="12">
        <f t="shared" si="175"/>
        <v>0</v>
      </c>
      <c r="HP114" s="12">
        <f t="shared" si="176"/>
        <v>0</v>
      </c>
      <c r="HQ114" s="12">
        <f t="shared" si="177"/>
        <v>0</v>
      </c>
      <c r="HR114" s="12">
        <f t="shared" si="178"/>
        <v>0</v>
      </c>
      <c r="HS114" s="12">
        <f t="shared" si="179"/>
        <v>0</v>
      </c>
      <c r="HT114" s="12">
        <f t="shared" si="180"/>
        <v>0</v>
      </c>
      <c r="HU114" s="12">
        <f t="shared" si="181"/>
        <v>0</v>
      </c>
      <c r="HV114" s="12">
        <f t="shared" si="182"/>
        <v>0</v>
      </c>
      <c r="HW114" s="12">
        <f t="shared" si="183"/>
        <v>0</v>
      </c>
      <c r="HX114" s="12">
        <f t="shared" si="184"/>
        <v>0</v>
      </c>
      <c r="HY114" s="12">
        <f t="shared" si="185"/>
        <v>0</v>
      </c>
      <c r="HZ114" s="12">
        <f t="shared" si="186"/>
        <v>0</v>
      </c>
      <c r="IA114" s="12">
        <f t="shared" si="187"/>
        <v>0</v>
      </c>
      <c r="IB114" s="12">
        <f t="shared" si="188"/>
        <v>0</v>
      </c>
      <c r="IC114" s="12">
        <f t="shared" si="189"/>
        <v>0</v>
      </c>
      <c r="ID114" s="12">
        <f t="shared" si="190"/>
        <v>0</v>
      </c>
      <c r="IE114" s="12">
        <f t="shared" si="191"/>
        <v>0</v>
      </c>
      <c r="IF114" s="12">
        <f t="shared" si="192"/>
        <v>0</v>
      </c>
      <c r="IG114" s="12">
        <f t="shared" si="193"/>
        <v>0</v>
      </c>
      <c r="IH114" s="12">
        <f t="shared" si="194"/>
        <v>0</v>
      </c>
      <c r="II114" s="12">
        <f t="shared" si="195"/>
        <v>0</v>
      </c>
      <c r="IJ114" s="12">
        <f t="shared" si="196"/>
        <v>0</v>
      </c>
      <c r="IK114" s="12">
        <f t="shared" si="197"/>
        <v>0</v>
      </c>
      <c r="IL114" s="12">
        <f t="shared" si="198"/>
        <v>0</v>
      </c>
      <c r="IM114" s="12">
        <f t="shared" si="199"/>
        <v>0</v>
      </c>
      <c r="IN114" s="12">
        <f t="shared" si="200"/>
        <v>0</v>
      </c>
      <c r="IO114" s="12">
        <f t="shared" si="201"/>
        <v>0</v>
      </c>
      <c r="IP114" s="12">
        <f t="shared" si="202"/>
        <v>0</v>
      </c>
      <c r="IQ114" s="12">
        <f t="shared" si="203"/>
        <v>0</v>
      </c>
      <c r="IR114" s="12">
        <f t="shared" si="204"/>
        <v>0</v>
      </c>
      <c r="IS114" s="12">
        <f t="shared" si="205"/>
        <v>0</v>
      </c>
      <c r="IT114" s="12">
        <f t="shared" si="206"/>
        <v>0</v>
      </c>
      <c r="IU114" s="12">
        <f t="shared" si="207"/>
        <v>0</v>
      </c>
      <c r="IV114" s="12">
        <f t="shared" si="208"/>
        <v>0</v>
      </c>
      <c r="IW114" s="12">
        <f t="shared" si="209"/>
        <v>0</v>
      </c>
      <c r="IX114" s="12">
        <f t="shared" si="210"/>
        <v>0</v>
      </c>
      <c r="IY114" s="12">
        <f t="shared" si="211"/>
        <v>0</v>
      </c>
      <c r="IZ114" s="12">
        <f t="shared" si="212"/>
        <v>0</v>
      </c>
      <c r="JA114" s="13">
        <f t="shared" si="213"/>
        <v>0</v>
      </c>
      <c r="JB114" s="13">
        <f t="shared" si="214"/>
        <v>0</v>
      </c>
      <c r="JC114" s="13">
        <f t="shared" si="215"/>
        <v>0</v>
      </c>
      <c r="JD114" s="13">
        <f t="shared" si="216"/>
        <v>0</v>
      </c>
      <c r="JE114" s="13">
        <f t="shared" si="217"/>
        <v>0</v>
      </c>
      <c r="JF114" s="13">
        <f t="shared" si="218"/>
        <v>0</v>
      </c>
      <c r="JG114" s="13">
        <f t="shared" si="219"/>
        <v>0</v>
      </c>
      <c r="JH114" s="13">
        <f t="shared" si="220"/>
        <v>0</v>
      </c>
      <c r="JI114" s="13">
        <f t="shared" si="221"/>
        <v>0</v>
      </c>
      <c r="JJ114" s="13">
        <f t="shared" si="222"/>
        <v>0</v>
      </c>
      <c r="JK114" s="13">
        <f t="shared" si="223"/>
        <v>0</v>
      </c>
      <c r="JL114" s="13">
        <f t="shared" si="224"/>
        <v>0</v>
      </c>
      <c r="JM114" s="13">
        <f t="shared" si="225"/>
        <v>0</v>
      </c>
      <c r="JN114" s="13">
        <f t="shared" si="226"/>
        <v>0</v>
      </c>
      <c r="JO114" s="13">
        <f t="shared" si="227"/>
        <v>0</v>
      </c>
      <c r="JP114" s="13">
        <f t="shared" si="228"/>
        <v>0</v>
      </c>
      <c r="JQ114" s="13">
        <f t="shared" si="229"/>
        <v>0</v>
      </c>
      <c r="JR114" s="13">
        <f t="shared" si="230"/>
        <v>0</v>
      </c>
      <c r="JS114" s="13">
        <f t="shared" si="231"/>
        <v>0</v>
      </c>
      <c r="JT114" s="13">
        <f t="shared" si="232"/>
        <v>0</v>
      </c>
      <c r="JU114" s="13">
        <f t="shared" si="233"/>
        <v>0</v>
      </c>
      <c r="JV114" s="12">
        <f t="shared" si="234"/>
        <v>0</v>
      </c>
      <c r="JW114" s="12">
        <f t="shared" si="235"/>
        <v>0</v>
      </c>
      <c r="JX114" s="12">
        <f t="shared" si="236"/>
        <v>0</v>
      </c>
      <c r="JY114" s="12">
        <f t="shared" si="237"/>
        <v>0</v>
      </c>
      <c r="JZ114" s="12">
        <f t="shared" si="238"/>
        <v>0</v>
      </c>
      <c r="KA114" s="12">
        <f t="shared" si="239"/>
        <v>0</v>
      </c>
      <c r="KB114" s="12">
        <f t="shared" si="240"/>
        <v>0</v>
      </c>
      <c r="KC114" s="12">
        <f t="shared" si="241"/>
        <v>0</v>
      </c>
      <c r="KD114" s="12">
        <f t="shared" si="242"/>
        <v>0</v>
      </c>
      <c r="KE114" s="12">
        <f t="shared" si="243"/>
        <v>0</v>
      </c>
      <c r="KF114" s="12">
        <f t="shared" si="244"/>
        <v>0</v>
      </c>
      <c r="KG114" s="12">
        <f t="shared" si="245"/>
        <v>0</v>
      </c>
      <c r="KH114" s="12">
        <f t="shared" si="246"/>
        <v>0</v>
      </c>
      <c r="KI114" s="12">
        <f t="shared" si="247"/>
        <v>0</v>
      </c>
      <c r="KJ114" s="12">
        <f t="shared" si="248"/>
        <v>0</v>
      </c>
      <c r="KK114" s="12">
        <f t="shared" si="249"/>
        <v>0</v>
      </c>
      <c r="KL114" s="12">
        <f t="shared" si="250"/>
        <v>0</v>
      </c>
      <c r="KM114" s="12">
        <f t="shared" si="251"/>
        <v>0</v>
      </c>
      <c r="KN114" s="12">
        <f t="shared" si="252"/>
        <v>0</v>
      </c>
      <c r="KO114" s="12">
        <f t="shared" si="253"/>
        <v>0</v>
      </c>
      <c r="KP114" s="12">
        <f t="shared" si="254"/>
        <v>0</v>
      </c>
      <c r="KQ114" s="12">
        <f t="shared" si="255"/>
        <v>0</v>
      </c>
      <c r="KR114" s="12">
        <f t="shared" si="256"/>
        <v>0</v>
      </c>
      <c r="KS114" s="12">
        <f t="shared" si="257"/>
        <v>0</v>
      </c>
      <c r="KT114" s="12">
        <f t="shared" si="258"/>
        <v>0</v>
      </c>
      <c r="KU114" s="12">
        <f t="shared" si="259"/>
        <v>0</v>
      </c>
      <c r="KV114" s="12">
        <f t="shared" si="260"/>
        <v>0</v>
      </c>
      <c r="KW114" s="12">
        <f t="shared" si="261"/>
        <v>0</v>
      </c>
      <c r="KX114" s="12">
        <f t="shared" si="262"/>
        <v>0</v>
      </c>
      <c r="KY114" s="12">
        <f t="shared" si="263"/>
        <v>0</v>
      </c>
      <c r="KZ114" s="12">
        <f t="shared" si="264"/>
        <v>0</v>
      </c>
      <c r="LA114" s="12">
        <f t="shared" si="265"/>
        <v>0</v>
      </c>
      <c r="LB114" s="12">
        <f t="shared" si="266"/>
        <v>0</v>
      </c>
      <c r="LC114" s="12">
        <f t="shared" si="267"/>
        <v>0</v>
      </c>
      <c r="LD114" s="12">
        <f t="shared" si="268"/>
        <v>0</v>
      </c>
      <c r="LE114" s="12">
        <f t="shared" si="269"/>
        <v>0</v>
      </c>
      <c r="LF114" s="12">
        <f t="shared" si="270"/>
        <v>0</v>
      </c>
      <c r="LG114" s="12">
        <f t="shared" si="271"/>
        <v>0</v>
      </c>
      <c r="LH114" s="12">
        <f t="shared" si="272"/>
        <v>0</v>
      </c>
      <c r="LI114" s="12">
        <f t="shared" si="273"/>
        <v>0</v>
      </c>
      <c r="LJ114" s="12">
        <f t="shared" si="274"/>
        <v>0</v>
      </c>
      <c r="LK114" s="12">
        <f t="shared" si="275"/>
        <v>0</v>
      </c>
      <c r="LL114" s="12">
        <f t="shared" si="276"/>
        <v>0</v>
      </c>
      <c r="LM114" s="12">
        <f t="shared" si="277"/>
        <v>0</v>
      </c>
      <c r="LN114" s="12">
        <f t="shared" si="278"/>
        <v>0</v>
      </c>
      <c r="LO114" s="12">
        <f t="shared" si="279"/>
        <v>0</v>
      </c>
      <c r="LP114" s="12">
        <f t="shared" si="280"/>
        <v>0</v>
      </c>
      <c r="LQ114" s="12">
        <f t="shared" si="281"/>
        <v>0</v>
      </c>
      <c r="LR114" s="12">
        <f t="shared" si="282"/>
        <v>0</v>
      </c>
      <c r="LS114" s="12">
        <f t="shared" si="283"/>
        <v>0</v>
      </c>
      <c r="LT114" s="13">
        <f t="shared" si="284"/>
        <v>0</v>
      </c>
      <c r="LU114" s="13">
        <f t="shared" si="285"/>
        <v>0</v>
      </c>
      <c r="LV114" s="13">
        <f t="shared" si="286"/>
        <v>0</v>
      </c>
      <c r="LW114" s="13">
        <f t="shared" si="287"/>
        <v>0</v>
      </c>
      <c r="LX114" s="13">
        <f t="shared" si="288"/>
        <v>0</v>
      </c>
      <c r="LY114" s="13">
        <f t="shared" si="289"/>
        <v>0</v>
      </c>
      <c r="LZ114" s="13">
        <f t="shared" si="290"/>
        <v>0</v>
      </c>
      <c r="MA114" s="13">
        <f t="shared" si="291"/>
        <v>0</v>
      </c>
      <c r="MB114" s="13">
        <f t="shared" si="292"/>
        <v>1</v>
      </c>
      <c r="MC114" s="13">
        <f t="shared" si="293"/>
        <v>0</v>
      </c>
      <c r="MD114" s="13">
        <f t="shared" si="294"/>
        <v>0</v>
      </c>
      <c r="ME114" s="13">
        <f t="shared" si="295"/>
        <v>0</v>
      </c>
      <c r="MF114" s="13">
        <f t="shared" si="296"/>
        <v>0</v>
      </c>
      <c r="MG114" s="13">
        <f t="shared" si="297"/>
        <v>0</v>
      </c>
      <c r="MH114" s="13">
        <f t="shared" si="298"/>
        <v>0</v>
      </c>
      <c r="MI114" s="13">
        <f t="shared" si="299"/>
        <v>0</v>
      </c>
      <c r="MJ114" s="13">
        <f t="shared" si="300"/>
        <v>0</v>
      </c>
      <c r="MK114" s="13">
        <f t="shared" si="301"/>
        <v>0</v>
      </c>
      <c r="ML114" s="14">
        <f t="shared" si="302"/>
        <v>0</v>
      </c>
      <c r="MM114" s="14">
        <f t="shared" si="303"/>
        <v>0</v>
      </c>
      <c r="MN114" s="14">
        <f t="shared" si="304"/>
        <v>0</v>
      </c>
      <c r="MO114" s="14">
        <f t="shared" si="305"/>
        <v>0</v>
      </c>
      <c r="MP114" s="14">
        <f t="shared" si="306"/>
        <v>0</v>
      </c>
      <c r="MQ114" s="14">
        <f t="shared" si="307"/>
        <v>0</v>
      </c>
      <c r="MR114" s="14">
        <f t="shared" si="308"/>
        <v>0</v>
      </c>
      <c r="MS114" s="14">
        <f t="shared" si="309"/>
        <v>0</v>
      </c>
      <c r="MT114" s="14">
        <f t="shared" si="310"/>
        <v>0</v>
      </c>
      <c r="MU114" s="14">
        <f t="shared" si="311"/>
        <v>0</v>
      </c>
      <c r="MV114" s="14">
        <f t="shared" si="312"/>
        <v>0</v>
      </c>
      <c r="MW114" s="14">
        <f t="shared" si="313"/>
        <v>0</v>
      </c>
      <c r="MX114" s="14">
        <f t="shared" si="314"/>
        <v>0</v>
      </c>
      <c r="MY114" s="14">
        <f t="shared" si="315"/>
        <v>0</v>
      </c>
      <c r="MZ114" s="14">
        <f t="shared" si="316"/>
        <v>0</v>
      </c>
      <c r="NA114" s="14">
        <f t="shared" si="317"/>
        <v>0</v>
      </c>
      <c r="NB114" s="14">
        <f t="shared" si="318"/>
        <v>0</v>
      </c>
    </row>
    <row r="115" ht="15.75" customHeight="1">
      <c r="A115" s="2">
        <v>28.0</v>
      </c>
      <c r="B115" s="2" t="s">
        <v>2316</v>
      </c>
      <c r="C115" s="2" t="s">
        <v>2317</v>
      </c>
      <c r="D115" s="2" t="s">
        <v>2318</v>
      </c>
      <c r="E115" s="2">
        <v>2021.0</v>
      </c>
      <c r="F115" s="2" t="s">
        <v>2319</v>
      </c>
      <c r="G115" s="2" t="s">
        <v>1211</v>
      </c>
      <c r="H115" s="2" t="s">
        <v>452</v>
      </c>
      <c r="J115" s="2" t="s">
        <v>2320</v>
      </c>
      <c r="K115" s="2" t="s">
        <v>2321</v>
      </c>
      <c r="M115" s="2">
        <v>7.0</v>
      </c>
      <c r="N115" s="2" t="s">
        <v>2322</v>
      </c>
      <c r="O115" s="2" t="s">
        <v>2323</v>
      </c>
      <c r="P115" s="2" t="s">
        <v>2324</v>
      </c>
      <c r="Q115" s="2" t="s">
        <v>2325</v>
      </c>
      <c r="R115" s="2" t="s">
        <v>2326</v>
      </c>
      <c r="S115" s="2" t="s">
        <v>2327</v>
      </c>
      <c r="Y115" s="2" t="s">
        <v>2328</v>
      </c>
      <c r="AB115" s="2" t="s">
        <v>2329</v>
      </c>
      <c r="AG115" s="2" t="s">
        <v>2330</v>
      </c>
      <c r="AK115" s="2" t="s">
        <v>2331</v>
      </c>
      <c r="AL115" s="2" t="s">
        <v>384</v>
      </c>
      <c r="AM115" s="2" t="s">
        <v>579</v>
      </c>
      <c r="AN115" s="2" t="s">
        <v>386</v>
      </c>
      <c r="AO115" s="2" t="s">
        <v>2332</v>
      </c>
      <c r="AP115" s="2" t="s">
        <v>386</v>
      </c>
      <c r="AQ115" s="2">
        <v>67.0</v>
      </c>
      <c r="AR115" s="2" t="s">
        <v>2333</v>
      </c>
      <c r="AS115" s="2" t="b">
        <v>0</v>
      </c>
      <c r="AT115" s="3">
        <v>0.0</v>
      </c>
      <c r="AU115" s="4"/>
      <c r="AV115" s="4">
        <v>1.0</v>
      </c>
      <c r="AW115" s="5">
        <f t="shared" si="432"/>
        <v>0</v>
      </c>
      <c r="AX115" s="5">
        <f t="shared" si="4"/>
        <v>0</v>
      </c>
      <c r="AY115" s="5">
        <f t="shared" si="5"/>
        <v>0</v>
      </c>
      <c r="AZ115" s="5">
        <f t="shared" si="6"/>
        <v>0</v>
      </c>
      <c r="BA115" s="5">
        <f t="shared" si="7"/>
        <v>0</v>
      </c>
      <c r="BB115" s="5">
        <f t="shared" si="8"/>
        <v>0</v>
      </c>
      <c r="BC115" s="5">
        <f t="shared" si="9"/>
        <v>0</v>
      </c>
      <c r="BD115" s="5">
        <f t="shared" si="10"/>
        <v>0</v>
      </c>
      <c r="BE115" s="5">
        <f t="shared" si="11"/>
        <v>0</v>
      </c>
      <c r="BF115" s="5">
        <f t="shared" si="12"/>
        <v>0</v>
      </c>
      <c r="BG115" s="5">
        <f t="shared" si="13"/>
        <v>0</v>
      </c>
      <c r="BH115" s="5">
        <f t="shared" si="14"/>
        <v>0</v>
      </c>
      <c r="BI115" s="5">
        <f t="shared" si="15"/>
        <v>0</v>
      </c>
      <c r="BJ115" s="5">
        <f t="shared" si="16"/>
        <v>0</v>
      </c>
      <c r="BK115" s="5">
        <f t="shared" si="17"/>
        <v>0</v>
      </c>
      <c r="BL115" s="5">
        <f t="shared" si="18"/>
        <v>0</v>
      </c>
      <c r="BM115" s="5">
        <f t="shared" si="19"/>
        <v>0</v>
      </c>
      <c r="BN115" s="5">
        <f t="shared" si="20"/>
        <v>0</v>
      </c>
      <c r="BO115" s="5">
        <f t="shared" si="21"/>
        <v>0</v>
      </c>
      <c r="BP115" s="5">
        <f t="shared" si="22"/>
        <v>0</v>
      </c>
      <c r="BQ115" s="5">
        <f t="shared" si="23"/>
        <v>0</v>
      </c>
      <c r="BR115" s="5">
        <f t="shared" si="24"/>
        <v>0</v>
      </c>
      <c r="BS115" s="5">
        <f t="shared" si="25"/>
        <v>0</v>
      </c>
      <c r="BT115" s="5">
        <f t="shared" si="26"/>
        <v>0</v>
      </c>
      <c r="BU115" s="5">
        <f t="shared" si="27"/>
        <v>0</v>
      </c>
      <c r="BV115" s="5">
        <f t="shared" ref="BV115:BW115" si="573">IF(OR(ISNUMBER(SEARCH("grit",$D115)),ISNUMBER(SEARCH("grit",$T115)),ISNUMBER(SEARCH("grit",$R115)),ISNUMBER(SEARCH("grit",$S115)),
ISNUMBER(SEARCH("determination",$D115)),ISNUMBER(SEARCH("determination",$T115)),ISNUMBER(SEARCH("determination",$R115)),ISNUMBER(SEARCH("determination",$S115)),
ISNUMBER(SEARCH("tenacity",$D115)),ISNUMBER(SEARCH("tenacity",$T115)),ISNUMBER(SEARCH("tenacity",$R115)),ISNUMBER(SEARCH("tenacity",$S115)),
ISNUMBER(SEARCH("endurance",$D115)),ISNUMBER(SEARCH("endurance",$T115)),ISNUMBER(SEARCH("endurance",$R115)),ISNUMBER(SEARCH("endurance",$S115)),
ISNUMBER(SEARCH("fortitude",$D115)),ISNUMBER(SEARCH("fortitude",$T115)),ISNUMBER(SEARCH("fortitude",$R115)),ISNUMBER(SEARCH("fortitude",$S115)),
ISNUMBER(SEARCH("resolve",$D115)),ISNUMBER(SEARCH("resolve",$T115)),ISNUMBER(SEARCH("resolve",$R115)),ISNUMBER(SEARCH("resolve",$S115)),
ISNUMBER(SEARCH("stamina",$D115)),ISNUMBER(SEARCH("stamina",$T115)),ISNUMBER(SEARCH("stamina",$R115)),ISNUMBER(SEARCH("stamina",$S115)),
ISNUMBER(SEARCH("guts",$D115)),ISNUMBER(SEARCH("guts",$T115)),ISNUMBER(SEARCH("guts",$R115)),ISNUMBER(SEARCH("guts",$S115)),
ISNUMBER(SEARCH("spunk",$D115)),ISNUMBER(SEARCH("spunk",$T115)),ISNUMBER(SEARCH("spunk",$R115)),ISNUMBER(SEARCH("spunk",$S115))), 1, 0)</f>
        <v>0</v>
      </c>
      <c r="BW115" s="5">
        <f t="shared" si="573"/>
        <v>0</v>
      </c>
      <c r="BX115" s="5">
        <f t="shared" si="29"/>
        <v>0</v>
      </c>
      <c r="BY115" s="5">
        <f t="shared" si="30"/>
        <v>0</v>
      </c>
      <c r="BZ115" s="5">
        <f t="shared" si="31"/>
        <v>0</v>
      </c>
      <c r="CA115" s="5">
        <f t="shared" si="32"/>
        <v>0</v>
      </c>
      <c r="CB115" s="5">
        <f t="shared" si="33"/>
        <v>0</v>
      </c>
      <c r="CC115" s="5">
        <f t="shared" si="34"/>
        <v>0</v>
      </c>
      <c r="CD115" s="5">
        <f t="shared" si="35"/>
        <v>0</v>
      </c>
      <c r="CE115" s="5">
        <f t="shared" si="36"/>
        <v>0</v>
      </c>
      <c r="CF115" s="5">
        <f t="shared" si="37"/>
        <v>0</v>
      </c>
      <c r="CG115" s="5">
        <f t="shared" si="38"/>
        <v>0</v>
      </c>
      <c r="CH115" s="5">
        <f t="shared" si="39"/>
        <v>0</v>
      </c>
      <c r="CI115" s="5">
        <f t="shared" si="40"/>
        <v>0</v>
      </c>
      <c r="CJ115" s="5">
        <f t="shared" si="41"/>
        <v>0</v>
      </c>
      <c r="CK115" s="5">
        <f t="shared" si="42"/>
        <v>0</v>
      </c>
      <c r="CL115" s="5">
        <f t="shared" si="43"/>
        <v>0</v>
      </c>
      <c r="CM115" s="5">
        <f t="shared" si="44"/>
        <v>0</v>
      </c>
      <c r="CN115" s="5">
        <f t="shared" si="45"/>
        <v>0</v>
      </c>
      <c r="CO115" s="5">
        <f t="shared" si="46"/>
        <v>0</v>
      </c>
      <c r="CP115" s="6">
        <f t="shared" si="47"/>
        <v>0</v>
      </c>
      <c r="CQ115" s="6">
        <f t="shared" si="48"/>
        <v>0</v>
      </c>
      <c r="CR115" s="6">
        <f t="shared" si="49"/>
        <v>0</v>
      </c>
      <c r="CS115" s="6">
        <f t="shared" si="50"/>
        <v>0</v>
      </c>
      <c r="CT115" s="6">
        <f t="shared" si="551"/>
        <v>0</v>
      </c>
      <c r="CU115" s="6">
        <f t="shared" si="52"/>
        <v>0</v>
      </c>
      <c r="CV115" s="6">
        <f t="shared" si="53"/>
        <v>0</v>
      </c>
      <c r="CW115" s="6">
        <f t="shared" si="54"/>
        <v>0</v>
      </c>
      <c r="CX115" s="6">
        <f t="shared" si="55"/>
        <v>0</v>
      </c>
      <c r="CY115" s="6">
        <f t="shared" si="56"/>
        <v>0</v>
      </c>
      <c r="CZ115" s="6">
        <f t="shared" si="57"/>
        <v>0</v>
      </c>
      <c r="DA115" s="6">
        <f t="shared" si="58"/>
        <v>0</v>
      </c>
      <c r="DB115" s="6">
        <f t="shared" si="59"/>
        <v>0</v>
      </c>
      <c r="DC115" s="6">
        <f t="shared" si="60"/>
        <v>0</v>
      </c>
      <c r="DD115" s="6">
        <f t="shared" si="61"/>
        <v>0</v>
      </c>
      <c r="DE115" s="6">
        <f t="shared" si="62"/>
        <v>0</v>
      </c>
      <c r="DF115" s="6">
        <f t="shared" si="63"/>
        <v>0</v>
      </c>
      <c r="DG115" s="6">
        <f t="shared" si="64"/>
        <v>0</v>
      </c>
      <c r="DH115" s="6">
        <f>IF(
OR(
ISNUMBER(SEARCH("Spirituality",$D115)),ISNUMBER(SEARCH("Spirituality",$T115)),ISNUMBER(SEARCH("Spirituality",$R113)),ISNUMBER(SEARCH("Spirituality",$S115)),
ISNUMBER(SEARCH("religiosity",$D115)),ISNUMBER(SEARCH("religiosity",$T115)),ISNUMBER(SEARCH("religiosity",$R115)),ISNUMBER(SEARCH("religiosity",$S115))), 1, 0)</f>
        <v>0</v>
      </c>
      <c r="DI115" s="6">
        <f t="shared" si="66"/>
        <v>0</v>
      </c>
      <c r="DJ115" s="6">
        <f t="shared" si="574"/>
        <v>0</v>
      </c>
      <c r="DK115" s="7">
        <f t="shared" si="68"/>
        <v>0</v>
      </c>
      <c r="DL115" s="7">
        <f t="shared" si="498"/>
        <v>0</v>
      </c>
      <c r="DM115" s="7">
        <f t="shared" si="70"/>
        <v>0</v>
      </c>
      <c r="DN115" s="7">
        <f t="shared" si="71"/>
        <v>0</v>
      </c>
      <c r="DO115" s="7">
        <f t="shared" si="72"/>
        <v>1</v>
      </c>
      <c r="DP115" s="8">
        <f t="shared" si="73"/>
        <v>0</v>
      </c>
      <c r="DQ115" s="8">
        <f t="shared" si="74"/>
        <v>1</v>
      </c>
      <c r="DR115" s="7">
        <f t="shared" si="75"/>
        <v>1</v>
      </c>
      <c r="DS115" s="7">
        <f t="shared" si="76"/>
        <v>0</v>
      </c>
      <c r="DT115" s="7">
        <f t="shared" si="77"/>
        <v>0</v>
      </c>
      <c r="DU115" s="9">
        <f t="shared" si="78"/>
        <v>0</v>
      </c>
      <c r="DV115" s="9">
        <f t="shared" si="79"/>
        <v>0</v>
      </c>
      <c r="DW115" s="9">
        <f t="shared" si="80"/>
        <v>0</v>
      </c>
      <c r="DX115" s="9">
        <f t="shared" si="81"/>
        <v>0</v>
      </c>
      <c r="DY115" s="9">
        <f t="shared" si="82"/>
        <v>0</v>
      </c>
      <c r="DZ115" s="9">
        <f t="shared" si="83"/>
        <v>0</v>
      </c>
      <c r="EA115" s="9">
        <f t="shared" si="84"/>
        <v>0</v>
      </c>
      <c r="EB115" s="9">
        <f t="shared" si="85"/>
        <v>0</v>
      </c>
      <c r="EC115" s="9">
        <f t="shared" si="86"/>
        <v>0</v>
      </c>
      <c r="ED115" s="9">
        <f t="shared" si="87"/>
        <v>0</v>
      </c>
      <c r="EE115" s="9">
        <f t="shared" si="88"/>
        <v>0</v>
      </c>
      <c r="EF115" s="9">
        <f t="shared" si="89"/>
        <v>0</v>
      </c>
      <c r="EG115" s="9">
        <f t="shared" si="90"/>
        <v>0</v>
      </c>
      <c r="EH115" s="9">
        <f t="shared" si="91"/>
        <v>0</v>
      </c>
      <c r="EI115" s="9">
        <f t="shared" si="92"/>
        <v>0</v>
      </c>
      <c r="EJ115" s="10">
        <f t="shared" si="93"/>
        <v>0</v>
      </c>
      <c r="EK115" s="10">
        <f t="shared" si="94"/>
        <v>0</v>
      </c>
      <c r="EL115" s="10">
        <f t="shared" ref="EL115:EM115" si="575">IF(OR(ISNUMBER(SEARCH("ai software toolkit", $D115)), ISNUMBER(SEARCH("ai software toolkit", $T115)), ISNUMBER(SEARCH("ai software toolkit", $R115)), ISNUMBER(SEARCH("ai software toolkit", $S115))), 1, 0)</f>
        <v>0</v>
      </c>
      <c r="EM115" s="10">
        <f t="shared" si="575"/>
        <v>0</v>
      </c>
      <c r="EN115" s="10">
        <f t="shared" si="96"/>
        <v>0</v>
      </c>
      <c r="EO115" s="10">
        <f t="shared" si="97"/>
        <v>0</v>
      </c>
      <c r="EP115" s="10">
        <f t="shared" si="98"/>
        <v>0</v>
      </c>
      <c r="EQ115" s="10">
        <f t="shared" si="99"/>
        <v>0</v>
      </c>
      <c r="ER115" s="10">
        <f t="shared" si="100"/>
        <v>0</v>
      </c>
      <c r="ES115" s="10">
        <f t="shared" si="101"/>
        <v>0</v>
      </c>
      <c r="ET115" s="10">
        <f t="shared" si="102"/>
        <v>0</v>
      </c>
      <c r="EU115" s="10">
        <f t="shared" si="103"/>
        <v>0</v>
      </c>
      <c r="EV115" s="10">
        <f t="shared" si="104"/>
        <v>0</v>
      </c>
      <c r="EW115" s="10">
        <f t="shared" si="105"/>
        <v>0</v>
      </c>
      <c r="EX115" s="10">
        <f t="shared" si="106"/>
        <v>0</v>
      </c>
      <c r="EY115" s="10">
        <f t="shared" si="107"/>
        <v>0</v>
      </c>
      <c r="EZ115" s="10">
        <f t="shared" si="108"/>
        <v>0</v>
      </c>
      <c r="FA115" s="10">
        <f t="shared" si="109"/>
        <v>0</v>
      </c>
      <c r="FB115" s="10">
        <f t="shared" si="110"/>
        <v>0</v>
      </c>
      <c r="FC115" s="10">
        <f t="shared" si="111"/>
        <v>0</v>
      </c>
      <c r="FD115" s="10">
        <f t="shared" si="112"/>
        <v>0</v>
      </c>
      <c r="FE115" s="10">
        <f t="shared" si="113"/>
        <v>0</v>
      </c>
      <c r="FF115" s="10">
        <f t="shared" si="114"/>
        <v>0</v>
      </c>
      <c r="FG115" s="10">
        <f t="shared" si="115"/>
        <v>0</v>
      </c>
      <c r="FH115" s="10">
        <f t="shared" si="116"/>
        <v>0</v>
      </c>
      <c r="FI115" s="10">
        <f t="shared" si="117"/>
        <v>0</v>
      </c>
      <c r="FJ115" s="10">
        <f t="shared" si="118"/>
        <v>0</v>
      </c>
      <c r="FK115" s="10">
        <f t="shared" si="119"/>
        <v>0</v>
      </c>
      <c r="FL115" s="10">
        <f t="shared" si="120"/>
        <v>0</v>
      </c>
      <c r="FM115" s="10">
        <f t="shared" si="121"/>
        <v>0</v>
      </c>
      <c r="FN115" s="10">
        <f t="shared" si="122"/>
        <v>0</v>
      </c>
      <c r="FO115" s="10">
        <f t="shared" si="123"/>
        <v>0</v>
      </c>
      <c r="FP115" s="10">
        <f t="shared" si="124"/>
        <v>0</v>
      </c>
      <c r="FQ115" s="10">
        <f t="shared" si="125"/>
        <v>0</v>
      </c>
      <c r="FR115" s="11">
        <f t="shared" si="543"/>
        <v>0</v>
      </c>
      <c r="FS115" s="11">
        <f t="shared" si="127"/>
        <v>0</v>
      </c>
      <c r="FT115" s="11">
        <f t="shared" si="128"/>
        <v>0</v>
      </c>
      <c r="FU115" s="11">
        <f t="shared" si="129"/>
        <v>0</v>
      </c>
      <c r="FV115" s="11">
        <f t="shared" si="130"/>
        <v>0</v>
      </c>
      <c r="FW115" s="11">
        <f t="shared" si="131"/>
        <v>0</v>
      </c>
      <c r="FX115" s="11">
        <f t="shared" si="132"/>
        <v>0</v>
      </c>
      <c r="FY115" s="11">
        <f t="shared" si="133"/>
        <v>0</v>
      </c>
      <c r="FZ115" s="11">
        <f t="shared" si="134"/>
        <v>0</v>
      </c>
      <c r="GA115" s="11">
        <f t="shared" si="135"/>
        <v>0</v>
      </c>
      <c r="GB115" s="11">
        <f t="shared" si="136"/>
        <v>0</v>
      </c>
      <c r="GC115" s="11">
        <f t="shared" si="137"/>
        <v>0</v>
      </c>
      <c r="GD115" s="11">
        <f t="shared" si="138"/>
        <v>0</v>
      </c>
      <c r="GE115" s="11">
        <f t="shared" si="139"/>
        <v>0</v>
      </c>
      <c r="GF115" s="11">
        <f t="shared" si="140"/>
        <v>0</v>
      </c>
      <c r="GG115" s="11">
        <f t="shared" si="141"/>
        <v>0</v>
      </c>
      <c r="GH115" s="11">
        <f t="shared" si="142"/>
        <v>0</v>
      </c>
      <c r="GI115" s="11">
        <f t="shared" si="143"/>
        <v>0</v>
      </c>
      <c r="GJ115" s="11">
        <f t="shared" si="144"/>
        <v>0</v>
      </c>
      <c r="GK115" s="11">
        <f t="shared" si="145"/>
        <v>0</v>
      </c>
      <c r="GL115" s="11">
        <f t="shared" si="146"/>
        <v>0</v>
      </c>
      <c r="GM115" s="11">
        <f t="shared" si="147"/>
        <v>0</v>
      </c>
      <c r="GN115" s="11">
        <f t="shared" si="148"/>
        <v>0</v>
      </c>
      <c r="GO115" s="11">
        <f t="shared" si="149"/>
        <v>0</v>
      </c>
      <c r="GP115" s="11">
        <f t="shared" si="150"/>
        <v>0</v>
      </c>
      <c r="GQ115" s="11">
        <f t="shared" si="151"/>
        <v>0</v>
      </c>
      <c r="GR115" s="11">
        <f t="shared" si="152"/>
        <v>0</v>
      </c>
      <c r="GS115" s="11">
        <f t="shared" si="153"/>
        <v>0</v>
      </c>
      <c r="GT115" s="11">
        <f t="shared" si="154"/>
        <v>0</v>
      </c>
      <c r="GU115" s="12">
        <f t="shared" si="155"/>
        <v>0</v>
      </c>
      <c r="GV115" s="12">
        <f t="shared" si="156"/>
        <v>0</v>
      </c>
      <c r="GW115" s="12">
        <f t="shared" si="157"/>
        <v>0</v>
      </c>
      <c r="GX115" s="12">
        <f t="shared" si="158"/>
        <v>0</v>
      </c>
      <c r="GY115" s="12">
        <f t="shared" si="159"/>
        <v>0</v>
      </c>
      <c r="GZ115" s="12">
        <f t="shared" si="160"/>
        <v>0</v>
      </c>
      <c r="HA115" s="12">
        <f t="shared" si="161"/>
        <v>0</v>
      </c>
      <c r="HB115" s="12">
        <f t="shared" si="162"/>
        <v>0</v>
      </c>
      <c r="HC115" s="12">
        <f t="shared" si="163"/>
        <v>0</v>
      </c>
      <c r="HD115" s="12">
        <f t="shared" si="164"/>
        <v>0</v>
      </c>
      <c r="HE115" s="12">
        <f t="shared" si="165"/>
        <v>0</v>
      </c>
      <c r="HF115" s="12">
        <f t="shared" si="166"/>
        <v>0</v>
      </c>
      <c r="HG115" s="12">
        <f t="shared" si="167"/>
        <v>0</v>
      </c>
      <c r="HH115" s="12">
        <f t="shared" si="168"/>
        <v>0</v>
      </c>
      <c r="HI115" s="12">
        <f t="shared" si="169"/>
        <v>0</v>
      </c>
      <c r="HJ115" s="12">
        <f t="shared" si="170"/>
        <v>0</v>
      </c>
      <c r="HK115" s="12">
        <f t="shared" si="171"/>
        <v>0</v>
      </c>
      <c r="HL115" s="12">
        <f t="shared" si="172"/>
        <v>0</v>
      </c>
      <c r="HM115" s="12">
        <f t="shared" si="173"/>
        <v>0</v>
      </c>
      <c r="HN115" s="12">
        <f t="shared" si="174"/>
        <v>0</v>
      </c>
      <c r="HO115" s="12">
        <f t="shared" si="175"/>
        <v>0</v>
      </c>
      <c r="HP115" s="12">
        <f t="shared" si="176"/>
        <v>0</v>
      </c>
      <c r="HQ115" s="12">
        <f t="shared" si="177"/>
        <v>0</v>
      </c>
      <c r="HR115" s="12">
        <f t="shared" si="178"/>
        <v>0</v>
      </c>
      <c r="HS115" s="12">
        <f t="shared" si="179"/>
        <v>0</v>
      </c>
      <c r="HT115" s="12">
        <f t="shared" si="180"/>
        <v>0</v>
      </c>
      <c r="HU115" s="12">
        <f t="shared" si="181"/>
        <v>0</v>
      </c>
      <c r="HV115" s="12">
        <f t="shared" si="182"/>
        <v>0</v>
      </c>
      <c r="HW115" s="12">
        <f t="shared" si="183"/>
        <v>0</v>
      </c>
      <c r="HX115" s="12">
        <f t="shared" si="184"/>
        <v>0</v>
      </c>
      <c r="HY115" s="12">
        <f t="shared" si="185"/>
        <v>0</v>
      </c>
      <c r="HZ115" s="12">
        <f t="shared" si="186"/>
        <v>0</v>
      </c>
      <c r="IA115" s="12">
        <f t="shared" si="187"/>
        <v>0</v>
      </c>
      <c r="IB115" s="12">
        <f t="shared" si="188"/>
        <v>0</v>
      </c>
      <c r="IC115" s="12">
        <f t="shared" si="189"/>
        <v>0</v>
      </c>
      <c r="ID115" s="12">
        <f t="shared" si="190"/>
        <v>0</v>
      </c>
      <c r="IE115" s="12">
        <f t="shared" si="191"/>
        <v>0</v>
      </c>
      <c r="IF115" s="12">
        <f t="shared" si="192"/>
        <v>0</v>
      </c>
      <c r="IG115" s="12">
        <f t="shared" si="193"/>
        <v>0</v>
      </c>
      <c r="IH115" s="12">
        <f t="shared" si="194"/>
        <v>0</v>
      </c>
      <c r="II115" s="12">
        <f t="shared" si="195"/>
        <v>0</v>
      </c>
      <c r="IJ115" s="12">
        <f t="shared" si="196"/>
        <v>0</v>
      </c>
      <c r="IK115" s="12">
        <f t="shared" si="197"/>
        <v>0</v>
      </c>
      <c r="IL115" s="12">
        <f t="shared" si="198"/>
        <v>0</v>
      </c>
      <c r="IM115" s="12">
        <f t="shared" si="199"/>
        <v>0</v>
      </c>
      <c r="IN115" s="12">
        <f t="shared" si="200"/>
        <v>0</v>
      </c>
      <c r="IO115" s="12">
        <f t="shared" si="201"/>
        <v>0</v>
      </c>
      <c r="IP115" s="12">
        <f t="shared" si="202"/>
        <v>0</v>
      </c>
      <c r="IQ115" s="12">
        <f t="shared" si="203"/>
        <v>0</v>
      </c>
      <c r="IR115" s="12">
        <f t="shared" si="204"/>
        <v>0</v>
      </c>
      <c r="IS115" s="12">
        <f t="shared" si="205"/>
        <v>0</v>
      </c>
      <c r="IT115" s="12">
        <f t="shared" si="206"/>
        <v>0</v>
      </c>
      <c r="IU115" s="12">
        <f t="shared" si="207"/>
        <v>0</v>
      </c>
      <c r="IV115" s="12">
        <f t="shared" si="208"/>
        <v>0</v>
      </c>
      <c r="IW115" s="12">
        <f t="shared" si="209"/>
        <v>0</v>
      </c>
      <c r="IX115" s="12">
        <f t="shared" si="210"/>
        <v>0</v>
      </c>
      <c r="IY115" s="12">
        <f t="shared" si="211"/>
        <v>0</v>
      </c>
      <c r="IZ115" s="12">
        <f t="shared" si="212"/>
        <v>1</v>
      </c>
      <c r="JA115" s="13">
        <f t="shared" si="213"/>
        <v>0</v>
      </c>
      <c r="JB115" s="13">
        <f t="shared" si="214"/>
        <v>0</v>
      </c>
      <c r="JC115" s="13">
        <f t="shared" si="215"/>
        <v>0</v>
      </c>
      <c r="JD115" s="13">
        <f t="shared" si="216"/>
        <v>0</v>
      </c>
      <c r="JE115" s="13">
        <f t="shared" si="217"/>
        <v>0</v>
      </c>
      <c r="JF115" s="13">
        <f t="shared" si="218"/>
        <v>0</v>
      </c>
      <c r="JG115" s="13">
        <f t="shared" si="219"/>
        <v>0</v>
      </c>
      <c r="JH115" s="13">
        <f t="shared" si="220"/>
        <v>0</v>
      </c>
      <c r="JI115" s="13">
        <f t="shared" si="221"/>
        <v>0</v>
      </c>
      <c r="JJ115" s="13">
        <f t="shared" si="222"/>
        <v>0</v>
      </c>
      <c r="JK115" s="13">
        <f t="shared" si="223"/>
        <v>0</v>
      </c>
      <c r="JL115" s="13">
        <f t="shared" si="224"/>
        <v>0</v>
      </c>
      <c r="JM115" s="13">
        <f t="shared" si="225"/>
        <v>0</v>
      </c>
      <c r="JN115" s="13">
        <f t="shared" si="226"/>
        <v>0</v>
      </c>
      <c r="JO115" s="13">
        <f t="shared" si="227"/>
        <v>0</v>
      </c>
      <c r="JP115" s="13">
        <f t="shared" si="228"/>
        <v>0</v>
      </c>
      <c r="JQ115" s="13">
        <f t="shared" si="229"/>
        <v>0</v>
      </c>
      <c r="JR115" s="13">
        <f t="shared" si="230"/>
        <v>0</v>
      </c>
      <c r="JS115" s="13">
        <f t="shared" si="231"/>
        <v>0</v>
      </c>
      <c r="JT115" s="13">
        <f t="shared" si="232"/>
        <v>0</v>
      </c>
      <c r="JU115" s="13">
        <f t="shared" si="233"/>
        <v>0</v>
      </c>
      <c r="JV115" s="12">
        <f t="shared" si="234"/>
        <v>0</v>
      </c>
      <c r="JW115" s="12">
        <f t="shared" si="235"/>
        <v>0</v>
      </c>
      <c r="JX115" s="12">
        <f t="shared" si="236"/>
        <v>0</v>
      </c>
      <c r="JY115" s="12">
        <f t="shared" si="237"/>
        <v>0</v>
      </c>
      <c r="JZ115" s="12">
        <f t="shared" si="238"/>
        <v>0</v>
      </c>
      <c r="KA115" s="12">
        <f t="shared" si="239"/>
        <v>0</v>
      </c>
      <c r="KB115" s="12">
        <f t="shared" si="240"/>
        <v>0</v>
      </c>
      <c r="KC115" s="12">
        <f t="shared" si="241"/>
        <v>0</v>
      </c>
      <c r="KD115" s="12">
        <f t="shared" si="242"/>
        <v>0</v>
      </c>
      <c r="KE115" s="12">
        <f t="shared" si="243"/>
        <v>0</v>
      </c>
      <c r="KF115" s="12">
        <f t="shared" si="244"/>
        <v>0</v>
      </c>
      <c r="KG115" s="12">
        <f t="shared" si="245"/>
        <v>0</v>
      </c>
      <c r="KH115" s="12">
        <f t="shared" si="246"/>
        <v>0</v>
      </c>
      <c r="KI115" s="12">
        <f t="shared" si="247"/>
        <v>0</v>
      </c>
      <c r="KJ115" s="12">
        <f t="shared" si="248"/>
        <v>0</v>
      </c>
      <c r="KK115" s="12">
        <f t="shared" si="249"/>
        <v>0</v>
      </c>
      <c r="KL115" s="12">
        <f t="shared" si="250"/>
        <v>0</v>
      </c>
      <c r="KM115" s="12">
        <f t="shared" si="251"/>
        <v>0</v>
      </c>
      <c r="KN115" s="12">
        <f t="shared" si="252"/>
        <v>0</v>
      </c>
      <c r="KO115" s="12">
        <f t="shared" si="253"/>
        <v>0</v>
      </c>
      <c r="KP115" s="12">
        <f t="shared" si="254"/>
        <v>0</v>
      </c>
      <c r="KQ115" s="12">
        <f t="shared" si="255"/>
        <v>0</v>
      </c>
      <c r="KR115" s="12">
        <f t="shared" si="256"/>
        <v>0</v>
      </c>
      <c r="KS115" s="12">
        <f t="shared" si="257"/>
        <v>0</v>
      </c>
      <c r="KT115" s="12">
        <f t="shared" si="258"/>
        <v>0</v>
      </c>
      <c r="KU115" s="12">
        <f t="shared" si="259"/>
        <v>0</v>
      </c>
      <c r="KV115" s="12">
        <f t="shared" si="260"/>
        <v>0</v>
      </c>
      <c r="KW115" s="12">
        <f t="shared" si="261"/>
        <v>0</v>
      </c>
      <c r="KX115" s="12">
        <f t="shared" si="262"/>
        <v>0</v>
      </c>
      <c r="KY115" s="12">
        <f t="shared" si="263"/>
        <v>0</v>
      </c>
      <c r="KZ115" s="12">
        <f t="shared" si="264"/>
        <v>0</v>
      </c>
      <c r="LA115" s="12">
        <f t="shared" si="265"/>
        <v>0</v>
      </c>
      <c r="LB115" s="12">
        <f t="shared" si="266"/>
        <v>0</v>
      </c>
      <c r="LC115" s="12">
        <f t="shared" si="267"/>
        <v>0</v>
      </c>
      <c r="LD115" s="12">
        <f t="shared" si="268"/>
        <v>0</v>
      </c>
      <c r="LE115" s="12">
        <f t="shared" si="269"/>
        <v>0</v>
      </c>
      <c r="LF115" s="12">
        <f t="shared" si="270"/>
        <v>0</v>
      </c>
      <c r="LG115" s="12">
        <f t="shared" si="271"/>
        <v>0</v>
      </c>
      <c r="LH115" s="12">
        <f t="shared" si="272"/>
        <v>0</v>
      </c>
      <c r="LI115" s="12">
        <f t="shared" si="273"/>
        <v>0</v>
      </c>
      <c r="LJ115" s="12">
        <f t="shared" si="274"/>
        <v>0</v>
      </c>
      <c r="LK115" s="12">
        <f t="shared" si="275"/>
        <v>0</v>
      </c>
      <c r="LL115" s="12">
        <f t="shared" si="276"/>
        <v>0</v>
      </c>
      <c r="LM115" s="12">
        <f t="shared" si="277"/>
        <v>0</v>
      </c>
      <c r="LN115" s="12">
        <f t="shared" si="278"/>
        <v>0</v>
      </c>
      <c r="LO115" s="12">
        <f t="shared" si="279"/>
        <v>0</v>
      </c>
      <c r="LP115" s="12">
        <f t="shared" si="280"/>
        <v>0</v>
      </c>
      <c r="LQ115" s="12">
        <f t="shared" si="281"/>
        <v>0</v>
      </c>
      <c r="LR115" s="12">
        <f t="shared" si="282"/>
        <v>0</v>
      </c>
      <c r="LS115" s="12">
        <f t="shared" si="283"/>
        <v>0</v>
      </c>
      <c r="LT115" s="13">
        <f t="shared" si="284"/>
        <v>0</v>
      </c>
      <c r="LU115" s="13">
        <f t="shared" si="285"/>
        <v>0</v>
      </c>
      <c r="LV115" s="13">
        <f t="shared" si="286"/>
        <v>0</v>
      </c>
      <c r="LW115" s="13">
        <f t="shared" si="287"/>
        <v>0</v>
      </c>
      <c r="LX115" s="13">
        <f t="shared" si="288"/>
        <v>0</v>
      </c>
      <c r="LY115" s="13">
        <f t="shared" si="289"/>
        <v>0</v>
      </c>
      <c r="LZ115" s="13">
        <f t="shared" si="290"/>
        <v>0</v>
      </c>
      <c r="MA115" s="13">
        <f t="shared" si="291"/>
        <v>0</v>
      </c>
      <c r="MB115" s="13">
        <f t="shared" si="292"/>
        <v>0</v>
      </c>
      <c r="MC115" s="13">
        <f t="shared" si="293"/>
        <v>0</v>
      </c>
      <c r="MD115" s="13">
        <f t="shared" si="294"/>
        <v>0</v>
      </c>
      <c r="ME115" s="13">
        <f t="shared" si="295"/>
        <v>0</v>
      </c>
      <c r="MF115" s="13">
        <f t="shared" si="296"/>
        <v>0</v>
      </c>
      <c r="MG115" s="13">
        <f t="shared" si="297"/>
        <v>0</v>
      </c>
      <c r="MH115" s="13">
        <f t="shared" si="298"/>
        <v>0</v>
      </c>
      <c r="MI115" s="13">
        <f t="shared" si="299"/>
        <v>0</v>
      </c>
      <c r="MJ115" s="13">
        <f t="shared" si="300"/>
        <v>0</v>
      </c>
      <c r="MK115" s="13">
        <f t="shared" si="301"/>
        <v>0</v>
      </c>
      <c r="ML115" s="14">
        <f t="shared" si="302"/>
        <v>0</v>
      </c>
      <c r="MM115" s="14">
        <f t="shared" si="303"/>
        <v>0</v>
      </c>
      <c r="MN115" s="14">
        <f t="shared" si="304"/>
        <v>0</v>
      </c>
      <c r="MO115" s="14">
        <f t="shared" si="305"/>
        <v>1</v>
      </c>
      <c r="MP115" s="14">
        <f t="shared" si="306"/>
        <v>0</v>
      </c>
      <c r="MQ115" s="14">
        <f t="shared" si="307"/>
        <v>0</v>
      </c>
      <c r="MR115" s="14">
        <f t="shared" si="308"/>
        <v>0</v>
      </c>
      <c r="MS115" s="14">
        <f t="shared" si="309"/>
        <v>0</v>
      </c>
      <c r="MT115" s="14">
        <f t="shared" si="310"/>
        <v>0</v>
      </c>
      <c r="MU115" s="14">
        <f t="shared" si="311"/>
        <v>0</v>
      </c>
      <c r="MV115" s="14">
        <f t="shared" si="312"/>
        <v>0</v>
      </c>
      <c r="MW115" s="14">
        <f t="shared" si="313"/>
        <v>0</v>
      </c>
      <c r="MX115" s="14">
        <f t="shared" si="314"/>
        <v>0</v>
      </c>
      <c r="MY115" s="14">
        <f t="shared" si="315"/>
        <v>0</v>
      </c>
      <c r="MZ115" s="14">
        <f t="shared" si="316"/>
        <v>0</v>
      </c>
      <c r="NA115" s="14">
        <f t="shared" si="317"/>
        <v>0</v>
      </c>
      <c r="NB115" s="14">
        <f t="shared" si="318"/>
        <v>0</v>
      </c>
    </row>
    <row r="116" ht="15.75" customHeight="1">
      <c r="A116" s="2">
        <v>361.0</v>
      </c>
      <c r="B116" s="2" t="s">
        <v>2334</v>
      </c>
      <c r="C116" s="2" t="s">
        <v>2335</v>
      </c>
      <c r="D116" s="2" t="s">
        <v>2336</v>
      </c>
      <c r="E116" s="2">
        <v>2018.0</v>
      </c>
      <c r="F116" s="2" t="s">
        <v>2337</v>
      </c>
      <c r="G116" s="2" t="s">
        <v>2125</v>
      </c>
      <c r="H116" s="2" t="s">
        <v>510</v>
      </c>
      <c r="J116" s="2" t="s">
        <v>2338</v>
      </c>
      <c r="K116" s="2" t="s">
        <v>2339</v>
      </c>
      <c r="M116" s="2">
        <v>7.0</v>
      </c>
      <c r="N116" s="2" t="s">
        <v>2340</v>
      </c>
      <c r="O116" s="2" t="s">
        <v>2341</v>
      </c>
      <c r="P116" s="2" t="s">
        <v>2342</v>
      </c>
      <c r="Q116" s="2" t="s">
        <v>2343</v>
      </c>
      <c r="R116" s="2" t="s">
        <v>2344</v>
      </c>
      <c r="S116" s="2" t="s">
        <v>2345</v>
      </c>
      <c r="T116" s="2" t="s">
        <v>2346</v>
      </c>
      <c r="Y116" s="2" t="s">
        <v>2347</v>
      </c>
      <c r="AB116" s="2" t="s">
        <v>753</v>
      </c>
      <c r="AG116" s="2" t="s">
        <v>2348</v>
      </c>
      <c r="AI116" s="2" t="s">
        <v>2349</v>
      </c>
      <c r="AK116" s="2" t="s">
        <v>2350</v>
      </c>
      <c r="AL116" s="2" t="s">
        <v>384</v>
      </c>
      <c r="AN116" s="2" t="s">
        <v>386</v>
      </c>
      <c r="AO116" s="2" t="s">
        <v>2351</v>
      </c>
      <c r="AP116" s="2" t="s">
        <v>386</v>
      </c>
      <c r="AQ116" s="2">
        <v>1294.0</v>
      </c>
      <c r="AR116" s="2" t="s">
        <v>2352</v>
      </c>
      <c r="AS116" s="2" t="b">
        <v>0</v>
      </c>
      <c r="AT116" s="3">
        <v>0.0</v>
      </c>
      <c r="AU116" s="4"/>
      <c r="AV116" s="4"/>
      <c r="AW116" s="5">
        <f t="shared" si="432"/>
        <v>0</v>
      </c>
      <c r="AX116" s="5">
        <f t="shared" si="4"/>
        <v>0</v>
      </c>
      <c r="AY116" s="5">
        <f t="shared" si="5"/>
        <v>0</v>
      </c>
      <c r="AZ116" s="5">
        <f t="shared" si="6"/>
        <v>0</v>
      </c>
      <c r="BA116" s="5">
        <f t="shared" si="7"/>
        <v>0</v>
      </c>
      <c r="BB116" s="5">
        <f t="shared" si="8"/>
        <v>1</v>
      </c>
      <c r="BC116" s="5">
        <f t="shared" si="9"/>
        <v>0</v>
      </c>
      <c r="BD116" s="5">
        <f t="shared" si="10"/>
        <v>0</v>
      </c>
      <c r="BE116" s="5">
        <f t="shared" si="11"/>
        <v>0</v>
      </c>
      <c r="BF116" s="5">
        <f t="shared" si="12"/>
        <v>0</v>
      </c>
      <c r="BG116" s="5">
        <f t="shared" si="13"/>
        <v>0</v>
      </c>
      <c r="BH116" s="5">
        <f t="shared" si="14"/>
        <v>0</v>
      </c>
      <c r="BI116" s="5">
        <f t="shared" si="15"/>
        <v>0</v>
      </c>
      <c r="BJ116" s="5">
        <f t="shared" si="16"/>
        <v>0</v>
      </c>
      <c r="BK116" s="5">
        <f t="shared" si="17"/>
        <v>0</v>
      </c>
      <c r="BL116" s="5">
        <f t="shared" si="18"/>
        <v>0</v>
      </c>
      <c r="BM116" s="5">
        <f t="shared" si="19"/>
        <v>0</v>
      </c>
      <c r="BN116" s="5">
        <f t="shared" si="20"/>
        <v>0</v>
      </c>
      <c r="BO116" s="5">
        <f t="shared" si="21"/>
        <v>0</v>
      </c>
      <c r="BP116" s="5">
        <f t="shared" si="22"/>
        <v>0</v>
      </c>
      <c r="BQ116" s="5">
        <f t="shared" si="23"/>
        <v>0</v>
      </c>
      <c r="BR116" s="5">
        <f t="shared" si="24"/>
        <v>0</v>
      </c>
      <c r="BS116" s="5">
        <f t="shared" si="25"/>
        <v>0</v>
      </c>
      <c r="BT116" s="5">
        <f t="shared" si="26"/>
        <v>0</v>
      </c>
      <c r="BU116" s="5">
        <f t="shared" si="27"/>
        <v>0</v>
      </c>
      <c r="BV116" s="5">
        <f t="shared" ref="BV116:BW116" si="576">IF(OR(ISNUMBER(SEARCH("grit",$D116)),ISNUMBER(SEARCH("grit",$T116)),ISNUMBER(SEARCH("grit",$R116)),ISNUMBER(SEARCH("grit",$S116)),
ISNUMBER(SEARCH("determination",$D116)),ISNUMBER(SEARCH("determination",$T116)),ISNUMBER(SEARCH("determination",$R116)),ISNUMBER(SEARCH("determination",$S116)),
ISNUMBER(SEARCH("tenacity",$D116)),ISNUMBER(SEARCH("tenacity",$T116)),ISNUMBER(SEARCH("tenacity",$R116)),ISNUMBER(SEARCH("tenacity",$S116)),
ISNUMBER(SEARCH("endurance",$D116)),ISNUMBER(SEARCH("endurance",$T116)),ISNUMBER(SEARCH("endurance",$R116)),ISNUMBER(SEARCH("endurance",$S116)),
ISNUMBER(SEARCH("fortitude",$D116)),ISNUMBER(SEARCH("fortitude",$T116)),ISNUMBER(SEARCH("fortitude",$R116)),ISNUMBER(SEARCH("fortitude",$S116)),
ISNUMBER(SEARCH("resolve",$D116)),ISNUMBER(SEARCH("resolve",$T116)),ISNUMBER(SEARCH("resolve",$R116)),ISNUMBER(SEARCH("resolve",$S116)),
ISNUMBER(SEARCH("stamina",$D116)),ISNUMBER(SEARCH("stamina",$T116)),ISNUMBER(SEARCH("stamina",$R116)),ISNUMBER(SEARCH("stamina",$S116)),
ISNUMBER(SEARCH("guts",$D116)),ISNUMBER(SEARCH("guts",$T116)),ISNUMBER(SEARCH("guts",$R116)),ISNUMBER(SEARCH("guts",$S116)),
ISNUMBER(SEARCH("spunk",$D116)),ISNUMBER(SEARCH("spunk",$T116)),ISNUMBER(SEARCH("spunk",$R116)),ISNUMBER(SEARCH("spunk",$S116))), 1, 0)</f>
        <v>0</v>
      </c>
      <c r="BW116" s="5">
        <f t="shared" si="576"/>
        <v>0</v>
      </c>
      <c r="BX116" s="5">
        <f t="shared" si="29"/>
        <v>0</v>
      </c>
      <c r="BY116" s="5">
        <f t="shared" si="30"/>
        <v>0</v>
      </c>
      <c r="BZ116" s="5">
        <f t="shared" si="31"/>
        <v>0</v>
      </c>
      <c r="CA116" s="5">
        <f t="shared" si="32"/>
        <v>0</v>
      </c>
      <c r="CB116" s="5">
        <f t="shared" si="33"/>
        <v>0</v>
      </c>
      <c r="CC116" s="5">
        <f t="shared" si="34"/>
        <v>0</v>
      </c>
      <c r="CD116" s="5">
        <f t="shared" si="35"/>
        <v>0</v>
      </c>
      <c r="CE116" s="5">
        <f t="shared" si="36"/>
        <v>0</v>
      </c>
      <c r="CF116" s="5">
        <f t="shared" si="37"/>
        <v>0</v>
      </c>
      <c r="CG116" s="5">
        <f t="shared" si="38"/>
        <v>0</v>
      </c>
      <c r="CH116" s="5">
        <f t="shared" si="39"/>
        <v>0</v>
      </c>
      <c r="CI116" s="5">
        <f t="shared" si="40"/>
        <v>0</v>
      </c>
      <c r="CJ116" s="5">
        <f t="shared" si="41"/>
        <v>0</v>
      </c>
      <c r="CK116" s="5">
        <f t="shared" si="42"/>
        <v>1</v>
      </c>
      <c r="CL116" s="5">
        <f t="shared" si="43"/>
        <v>0</v>
      </c>
      <c r="CM116" s="5">
        <f t="shared" si="44"/>
        <v>0</v>
      </c>
      <c r="CN116" s="5">
        <f t="shared" si="45"/>
        <v>0</v>
      </c>
      <c r="CO116" s="5">
        <f t="shared" si="46"/>
        <v>0</v>
      </c>
      <c r="CP116" s="6">
        <f t="shared" si="47"/>
        <v>0</v>
      </c>
      <c r="CQ116" s="6">
        <f t="shared" si="48"/>
        <v>0</v>
      </c>
      <c r="CR116" s="6">
        <f t="shared" si="49"/>
        <v>0</v>
      </c>
      <c r="CS116" s="6">
        <f t="shared" si="50"/>
        <v>0</v>
      </c>
      <c r="CT116" s="6">
        <f t="shared" si="551"/>
        <v>0</v>
      </c>
      <c r="CU116" s="6">
        <f t="shared" si="52"/>
        <v>0</v>
      </c>
      <c r="CV116" s="6">
        <f t="shared" si="53"/>
        <v>0</v>
      </c>
      <c r="CW116" s="6">
        <f t="shared" si="54"/>
        <v>0</v>
      </c>
      <c r="CX116" s="6">
        <f t="shared" si="55"/>
        <v>0</v>
      </c>
      <c r="CY116" s="6">
        <f t="shared" si="56"/>
        <v>0</v>
      </c>
      <c r="CZ116" s="6">
        <f t="shared" si="57"/>
        <v>0</v>
      </c>
      <c r="DA116" s="6">
        <f t="shared" si="58"/>
        <v>1</v>
      </c>
      <c r="DB116" s="6">
        <f t="shared" si="59"/>
        <v>0</v>
      </c>
      <c r="DC116" s="6">
        <f t="shared" si="60"/>
        <v>0</v>
      </c>
      <c r="DD116" s="6">
        <f t="shared" si="61"/>
        <v>0</v>
      </c>
      <c r="DE116" s="6">
        <f t="shared" si="62"/>
        <v>0</v>
      </c>
      <c r="DF116" s="6">
        <f t="shared" si="63"/>
        <v>0</v>
      </c>
      <c r="DG116" s="6">
        <f t="shared" si="64"/>
        <v>0</v>
      </c>
      <c r="DH116" s="6">
        <f t="shared" ref="DH116:DH137" si="579">IF(
OR(
ISNUMBER(SEARCH("Spirituality",$D116)),ISNUMBER(SEARCH("Spirituality",$T116)),ISNUMBER(SEARCH("Spirituality",$R114)),ISNUMBER(SEARCH("Spirituality",$S116)),
ISNUMBER(SEARCH("religio",$D116)),ISNUMBER(SEARCH("religio",$T116)),ISNUMBER(SEARCH("religio",$R116)),ISNUMBER(SEARCH("religio",$S116))), 1, 0)</f>
        <v>0</v>
      </c>
      <c r="DI116" s="6">
        <f t="shared" si="66"/>
        <v>0</v>
      </c>
      <c r="DJ116" s="6">
        <f t="shared" si="574"/>
        <v>0</v>
      </c>
      <c r="DK116" s="7">
        <f t="shared" si="68"/>
        <v>0</v>
      </c>
      <c r="DL116" s="7">
        <f t="shared" si="498"/>
        <v>0</v>
      </c>
      <c r="DM116" s="7">
        <f t="shared" si="70"/>
        <v>0</v>
      </c>
      <c r="DN116" s="7">
        <f t="shared" si="71"/>
        <v>0</v>
      </c>
      <c r="DO116" s="7">
        <f t="shared" si="72"/>
        <v>1</v>
      </c>
      <c r="DP116" s="8">
        <f t="shared" si="73"/>
        <v>0</v>
      </c>
      <c r="DQ116" s="8">
        <f t="shared" si="74"/>
        <v>1</v>
      </c>
      <c r="DR116" s="7">
        <f t="shared" si="75"/>
        <v>1</v>
      </c>
      <c r="DS116" s="7">
        <f t="shared" si="76"/>
        <v>0</v>
      </c>
      <c r="DT116" s="7">
        <f t="shared" si="77"/>
        <v>0</v>
      </c>
      <c r="DU116" s="9">
        <f t="shared" si="78"/>
        <v>0</v>
      </c>
      <c r="DV116" s="9">
        <f t="shared" si="79"/>
        <v>0</v>
      </c>
      <c r="DW116" s="9">
        <f t="shared" si="80"/>
        <v>0</v>
      </c>
      <c r="DX116" s="9">
        <f t="shared" si="81"/>
        <v>0</v>
      </c>
      <c r="DY116" s="9">
        <f t="shared" si="82"/>
        <v>0</v>
      </c>
      <c r="DZ116" s="9">
        <f t="shared" si="83"/>
        <v>0</v>
      </c>
      <c r="EA116" s="9">
        <f t="shared" si="84"/>
        <v>0</v>
      </c>
      <c r="EB116" s="9">
        <f t="shared" si="85"/>
        <v>0</v>
      </c>
      <c r="EC116" s="9">
        <f t="shared" si="86"/>
        <v>0</v>
      </c>
      <c r="ED116" s="9">
        <f t="shared" si="87"/>
        <v>0</v>
      </c>
      <c r="EE116" s="9">
        <f t="shared" si="88"/>
        <v>0</v>
      </c>
      <c r="EF116" s="9">
        <f t="shared" si="89"/>
        <v>0</v>
      </c>
      <c r="EG116" s="9">
        <f t="shared" si="90"/>
        <v>0</v>
      </c>
      <c r="EH116" s="9">
        <f t="shared" si="91"/>
        <v>0</v>
      </c>
      <c r="EI116" s="9">
        <f t="shared" si="92"/>
        <v>0</v>
      </c>
      <c r="EJ116" s="10">
        <f t="shared" si="93"/>
        <v>0</v>
      </c>
      <c r="EK116" s="10">
        <f t="shared" si="94"/>
        <v>0</v>
      </c>
      <c r="EL116" s="10">
        <f t="shared" ref="EL116:EM116" si="577">IF(OR(ISNUMBER(SEARCH("ai software toolkit", $D116)), ISNUMBER(SEARCH("ai software toolkit", $T116)), ISNUMBER(SEARCH("ai software toolkit", $R116)), ISNUMBER(SEARCH("ai software toolkit", $S116))), 1, 0)</f>
        <v>0</v>
      </c>
      <c r="EM116" s="10">
        <f t="shared" si="577"/>
        <v>0</v>
      </c>
      <c r="EN116" s="10">
        <f t="shared" si="96"/>
        <v>0</v>
      </c>
      <c r="EO116" s="10">
        <f t="shared" si="97"/>
        <v>0</v>
      </c>
      <c r="EP116" s="10">
        <f t="shared" si="98"/>
        <v>0</v>
      </c>
      <c r="EQ116" s="10">
        <f t="shared" si="99"/>
        <v>0</v>
      </c>
      <c r="ER116" s="10">
        <f t="shared" si="100"/>
        <v>0</v>
      </c>
      <c r="ES116" s="10">
        <f t="shared" si="101"/>
        <v>0</v>
      </c>
      <c r="ET116" s="10">
        <f t="shared" si="102"/>
        <v>0</v>
      </c>
      <c r="EU116" s="10">
        <f t="shared" si="103"/>
        <v>0</v>
      </c>
      <c r="EV116" s="10">
        <f t="shared" si="104"/>
        <v>0</v>
      </c>
      <c r="EW116" s="10">
        <f t="shared" si="105"/>
        <v>0</v>
      </c>
      <c r="EX116" s="10">
        <f t="shared" si="106"/>
        <v>0</v>
      </c>
      <c r="EY116" s="10">
        <f t="shared" si="107"/>
        <v>0</v>
      </c>
      <c r="EZ116" s="10">
        <f t="shared" si="108"/>
        <v>0</v>
      </c>
      <c r="FA116" s="10">
        <f t="shared" si="109"/>
        <v>0</v>
      </c>
      <c r="FB116" s="10">
        <f t="shared" si="110"/>
        <v>0</v>
      </c>
      <c r="FC116" s="10">
        <f t="shared" si="111"/>
        <v>0</v>
      </c>
      <c r="FD116" s="10">
        <f t="shared" si="112"/>
        <v>0</v>
      </c>
      <c r="FE116" s="10">
        <f t="shared" si="113"/>
        <v>0</v>
      </c>
      <c r="FF116" s="10">
        <f t="shared" si="114"/>
        <v>0</v>
      </c>
      <c r="FG116" s="10">
        <f t="shared" si="115"/>
        <v>0</v>
      </c>
      <c r="FH116" s="10">
        <f t="shared" si="116"/>
        <v>0</v>
      </c>
      <c r="FI116" s="10">
        <f t="shared" si="117"/>
        <v>0</v>
      </c>
      <c r="FJ116" s="10">
        <f t="shared" si="118"/>
        <v>0</v>
      </c>
      <c r="FK116" s="10">
        <f t="shared" si="119"/>
        <v>0</v>
      </c>
      <c r="FL116" s="10">
        <f t="shared" si="120"/>
        <v>0</v>
      </c>
      <c r="FM116" s="10">
        <f t="shared" si="121"/>
        <v>0</v>
      </c>
      <c r="FN116" s="10">
        <f t="shared" si="122"/>
        <v>0</v>
      </c>
      <c r="FO116" s="10">
        <f t="shared" si="123"/>
        <v>0</v>
      </c>
      <c r="FP116" s="10">
        <f t="shared" si="124"/>
        <v>1</v>
      </c>
      <c r="FQ116" s="10">
        <f t="shared" si="125"/>
        <v>0</v>
      </c>
      <c r="FR116" s="11">
        <f t="shared" si="543"/>
        <v>0</v>
      </c>
      <c r="FS116" s="11">
        <f t="shared" si="127"/>
        <v>0</v>
      </c>
      <c r="FT116" s="11">
        <f t="shared" si="128"/>
        <v>0</v>
      </c>
      <c r="FU116" s="11">
        <f t="shared" si="129"/>
        <v>0</v>
      </c>
      <c r="FV116" s="11">
        <f t="shared" si="130"/>
        <v>0</v>
      </c>
      <c r="FW116" s="11">
        <f t="shared" si="131"/>
        <v>1</v>
      </c>
      <c r="FX116" s="11">
        <f t="shared" si="132"/>
        <v>0</v>
      </c>
      <c r="FY116" s="11">
        <f t="shared" si="133"/>
        <v>0</v>
      </c>
      <c r="FZ116" s="11">
        <f t="shared" si="134"/>
        <v>0</v>
      </c>
      <c r="GA116" s="11">
        <f t="shared" si="135"/>
        <v>0</v>
      </c>
      <c r="GB116" s="11">
        <f t="shared" si="136"/>
        <v>0</v>
      </c>
      <c r="GC116" s="11">
        <f t="shared" si="137"/>
        <v>0</v>
      </c>
      <c r="GD116" s="11">
        <f t="shared" si="138"/>
        <v>0</v>
      </c>
      <c r="GE116" s="11">
        <f t="shared" si="139"/>
        <v>0</v>
      </c>
      <c r="GF116" s="11">
        <f t="shared" si="140"/>
        <v>0</v>
      </c>
      <c r="GG116" s="11">
        <f t="shared" si="141"/>
        <v>0</v>
      </c>
      <c r="GH116" s="11">
        <f t="shared" si="142"/>
        <v>0</v>
      </c>
      <c r="GI116" s="11">
        <f t="shared" si="143"/>
        <v>0</v>
      </c>
      <c r="GJ116" s="11">
        <f t="shared" si="144"/>
        <v>0</v>
      </c>
      <c r="GK116" s="11">
        <f t="shared" si="145"/>
        <v>0</v>
      </c>
      <c r="GL116" s="11">
        <f t="shared" si="146"/>
        <v>0</v>
      </c>
      <c r="GM116" s="11">
        <f t="shared" si="147"/>
        <v>0</v>
      </c>
      <c r="GN116" s="11">
        <f t="shared" si="148"/>
        <v>0</v>
      </c>
      <c r="GO116" s="11">
        <f t="shared" si="149"/>
        <v>0</v>
      </c>
      <c r="GP116" s="11">
        <f t="shared" si="150"/>
        <v>0</v>
      </c>
      <c r="GQ116" s="11">
        <f t="shared" si="151"/>
        <v>1</v>
      </c>
      <c r="GR116" s="11">
        <f t="shared" si="152"/>
        <v>0</v>
      </c>
      <c r="GS116" s="11">
        <f t="shared" si="153"/>
        <v>0</v>
      </c>
      <c r="GT116" s="11">
        <f t="shared" si="154"/>
        <v>0</v>
      </c>
      <c r="GU116" s="12">
        <f t="shared" si="155"/>
        <v>0</v>
      </c>
      <c r="GV116" s="12">
        <f t="shared" si="156"/>
        <v>0</v>
      </c>
      <c r="GW116" s="12">
        <f t="shared" si="157"/>
        <v>0</v>
      </c>
      <c r="GX116" s="12">
        <f t="shared" si="158"/>
        <v>0</v>
      </c>
      <c r="GY116" s="12">
        <f t="shared" si="159"/>
        <v>0</v>
      </c>
      <c r="GZ116" s="12">
        <f t="shared" si="160"/>
        <v>0</v>
      </c>
      <c r="HA116" s="12">
        <f t="shared" si="161"/>
        <v>0</v>
      </c>
      <c r="HB116" s="12">
        <f t="shared" si="162"/>
        <v>0</v>
      </c>
      <c r="HC116" s="12">
        <f t="shared" si="163"/>
        <v>0</v>
      </c>
      <c r="HD116" s="12">
        <f t="shared" si="164"/>
        <v>0</v>
      </c>
      <c r="HE116" s="12">
        <f t="shared" si="165"/>
        <v>0</v>
      </c>
      <c r="HF116" s="12">
        <f t="shared" si="166"/>
        <v>0</v>
      </c>
      <c r="HG116" s="12">
        <f t="shared" si="167"/>
        <v>0</v>
      </c>
      <c r="HH116" s="12">
        <f t="shared" si="168"/>
        <v>0</v>
      </c>
      <c r="HI116" s="12">
        <f t="shared" si="169"/>
        <v>0</v>
      </c>
      <c r="HJ116" s="12">
        <f t="shared" si="170"/>
        <v>0</v>
      </c>
      <c r="HK116" s="12">
        <f t="shared" si="171"/>
        <v>0</v>
      </c>
      <c r="HL116" s="12">
        <f t="shared" si="172"/>
        <v>0</v>
      </c>
      <c r="HM116" s="12">
        <f t="shared" si="173"/>
        <v>0</v>
      </c>
      <c r="HN116" s="12">
        <f t="shared" si="174"/>
        <v>0</v>
      </c>
      <c r="HO116" s="12">
        <f t="shared" si="175"/>
        <v>0</v>
      </c>
      <c r="HP116" s="12">
        <f t="shared" si="176"/>
        <v>0</v>
      </c>
      <c r="HQ116" s="12">
        <f t="shared" si="177"/>
        <v>0</v>
      </c>
      <c r="HR116" s="12">
        <f t="shared" si="178"/>
        <v>0</v>
      </c>
      <c r="HS116" s="12">
        <f t="shared" si="179"/>
        <v>0</v>
      </c>
      <c r="HT116" s="12">
        <f t="shared" si="180"/>
        <v>0</v>
      </c>
      <c r="HU116" s="12">
        <f t="shared" si="181"/>
        <v>0</v>
      </c>
      <c r="HV116" s="12">
        <f t="shared" si="182"/>
        <v>0</v>
      </c>
      <c r="HW116" s="12">
        <f t="shared" si="183"/>
        <v>0</v>
      </c>
      <c r="HX116" s="12">
        <f t="shared" si="184"/>
        <v>0</v>
      </c>
      <c r="HY116" s="12">
        <f t="shared" si="185"/>
        <v>0</v>
      </c>
      <c r="HZ116" s="12">
        <f t="shared" si="186"/>
        <v>0</v>
      </c>
      <c r="IA116" s="12">
        <f t="shared" si="187"/>
        <v>0</v>
      </c>
      <c r="IB116" s="12">
        <f t="shared" si="188"/>
        <v>0</v>
      </c>
      <c r="IC116" s="12">
        <f t="shared" si="189"/>
        <v>0</v>
      </c>
      <c r="ID116" s="12">
        <f t="shared" si="190"/>
        <v>0</v>
      </c>
      <c r="IE116" s="12">
        <f t="shared" si="191"/>
        <v>0</v>
      </c>
      <c r="IF116" s="12">
        <f t="shared" si="192"/>
        <v>0</v>
      </c>
      <c r="IG116" s="12">
        <f t="shared" si="193"/>
        <v>0</v>
      </c>
      <c r="IH116" s="12">
        <f t="shared" si="194"/>
        <v>0</v>
      </c>
      <c r="II116" s="12">
        <f t="shared" si="195"/>
        <v>0</v>
      </c>
      <c r="IJ116" s="12">
        <f t="shared" si="196"/>
        <v>0</v>
      </c>
      <c r="IK116" s="12">
        <f t="shared" si="197"/>
        <v>0</v>
      </c>
      <c r="IL116" s="12">
        <f t="shared" si="198"/>
        <v>0</v>
      </c>
      <c r="IM116" s="12">
        <f t="shared" si="199"/>
        <v>0</v>
      </c>
      <c r="IN116" s="12">
        <f t="shared" si="200"/>
        <v>0</v>
      </c>
      <c r="IO116" s="12">
        <f t="shared" si="201"/>
        <v>0</v>
      </c>
      <c r="IP116" s="12">
        <f t="shared" si="202"/>
        <v>0</v>
      </c>
      <c r="IQ116" s="12">
        <f t="shared" si="203"/>
        <v>0</v>
      </c>
      <c r="IR116" s="12">
        <f t="shared" si="204"/>
        <v>0</v>
      </c>
      <c r="IS116" s="12">
        <f t="shared" si="205"/>
        <v>0</v>
      </c>
      <c r="IT116" s="12">
        <f t="shared" si="206"/>
        <v>0</v>
      </c>
      <c r="IU116" s="12">
        <f t="shared" si="207"/>
        <v>0</v>
      </c>
      <c r="IV116" s="12">
        <f t="shared" si="208"/>
        <v>0</v>
      </c>
      <c r="IW116" s="12">
        <f t="shared" si="209"/>
        <v>0</v>
      </c>
      <c r="IX116" s="12">
        <f t="shared" si="210"/>
        <v>0</v>
      </c>
      <c r="IY116" s="12">
        <f t="shared" si="211"/>
        <v>0</v>
      </c>
      <c r="IZ116" s="12">
        <f t="shared" si="212"/>
        <v>1</v>
      </c>
      <c r="JA116" s="13">
        <f t="shared" si="213"/>
        <v>0</v>
      </c>
      <c r="JB116" s="13">
        <f t="shared" si="214"/>
        <v>0</v>
      </c>
      <c r="JC116" s="13">
        <f t="shared" si="215"/>
        <v>0</v>
      </c>
      <c r="JD116" s="13">
        <f t="shared" si="216"/>
        <v>0</v>
      </c>
      <c r="JE116" s="13">
        <f t="shared" si="217"/>
        <v>0</v>
      </c>
      <c r="JF116" s="13">
        <f t="shared" si="218"/>
        <v>0</v>
      </c>
      <c r="JG116" s="13">
        <f t="shared" si="219"/>
        <v>0</v>
      </c>
      <c r="JH116" s="13">
        <f t="shared" si="220"/>
        <v>0</v>
      </c>
      <c r="JI116" s="13">
        <f t="shared" si="221"/>
        <v>0</v>
      </c>
      <c r="JJ116" s="13">
        <f t="shared" si="222"/>
        <v>0</v>
      </c>
      <c r="JK116" s="13">
        <f t="shared" si="223"/>
        <v>0</v>
      </c>
      <c r="JL116" s="13">
        <f t="shared" si="224"/>
        <v>0</v>
      </c>
      <c r="JM116" s="13">
        <f t="shared" si="225"/>
        <v>0</v>
      </c>
      <c r="JN116" s="13">
        <f t="shared" si="226"/>
        <v>0</v>
      </c>
      <c r="JO116" s="13">
        <f t="shared" si="227"/>
        <v>0</v>
      </c>
      <c r="JP116" s="13">
        <f t="shared" si="228"/>
        <v>0</v>
      </c>
      <c r="JQ116" s="13">
        <f t="shared" si="229"/>
        <v>0</v>
      </c>
      <c r="JR116" s="13">
        <f t="shared" si="230"/>
        <v>0</v>
      </c>
      <c r="JS116" s="13">
        <f t="shared" si="231"/>
        <v>0</v>
      </c>
      <c r="JT116" s="13">
        <f t="shared" si="232"/>
        <v>0</v>
      </c>
      <c r="JU116" s="13">
        <f t="shared" si="233"/>
        <v>0</v>
      </c>
      <c r="JV116" s="12">
        <f t="shared" si="234"/>
        <v>0</v>
      </c>
      <c r="JW116" s="12">
        <f t="shared" si="235"/>
        <v>0</v>
      </c>
      <c r="JX116" s="12">
        <f t="shared" si="236"/>
        <v>0</v>
      </c>
      <c r="JY116" s="12">
        <f t="shared" si="237"/>
        <v>0</v>
      </c>
      <c r="JZ116" s="12">
        <f t="shared" si="238"/>
        <v>0</v>
      </c>
      <c r="KA116" s="12">
        <f t="shared" si="239"/>
        <v>0</v>
      </c>
      <c r="KB116" s="12">
        <f t="shared" si="240"/>
        <v>0</v>
      </c>
      <c r="KC116" s="12">
        <f t="shared" si="241"/>
        <v>0</v>
      </c>
      <c r="KD116" s="12">
        <f t="shared" si="242"/>
        <v>0</v>
      </c>
      <c r="KE116" s="12">
        <f t="shared" si="243"/>
        <v>0</v>
      </c>
      <c r="KF116" s="12">
        <f t="shared" si="244"/>
        <v>0</v>
      </c>
      <c r="KG116" s="12">
        <f t="shared" si="245"/>
        <v>0</v>
      </c>
      <c r="KH116" s="12">
        <f t="shared" si="246"/>
        <v>0</v>
      </c>
      <c r="KI116" s="12">
        <f t="shared" si="247"/>
        <v>0</v>
      </c>
      <c r="KJ116" s="12">
        <f t="shared" si="248"/>
        <v>0</v>
      </c>
      <c r="KK116" s="12">
        <f t="shared" si="249"/>
        <v>0</v>
      </c>
      <c r="KL116" s="12">
        <f t="shared" si="250"/>
        <v>0</v>
      </c>
      <c r="KM116" s="12">
        <f t="shared" si="251"/>
        <v>0</v>
      </c>
      <c r="KN116" s="12">
        <f t="shared" si="252"/>
        <v>0</v>
      </c>
      <c r="KO116" s="12">
        <f t="shared" si="253"/>
        <v>0</v>
      </c>
      <c r="KP116" s="12">
        <f t="shared" si="254"/>
        <v>0</v>
      </c>
      <c r="KQ116" s="12">
        <f t="shared" si="255"/>
        <v>0</v>
      </c>
      <c r="KR116" s="12">
        <f t="shared" si="256"/>
        <v>0</v>
      </c>
      <c r="KS116" s="12">
        <f t="shared" si="257"/>
        <v>0</v>
      </c>
      <c r="KT116" s="12">
        <f t="shared" si="258"/>
        <v>0</v>
      </c>
      <c r="KU116" s="12">
        <f t="shared" si="259"/>
        <v>0</v>
      </c>
      <c r="KV116" s="12">
        <f t="shared" si="260"/>
        <v>0</v>
      </c>
      <c r="KW116" s="12">
        <f t="shared" si="261"/>
        <v>0</v>
      </c>
      <c r="KX116" s="12">
        <f t="shared" si="262"/>
        <v>0</v>
      </c>
      <c r="KY116" s="12">
        <f t="shared" si="263"/>
        <v>0</v>
      </c>
      <c r="KZ116" s="12">
        <f t="shared" si="264"/>
        <v>0</v>
      </c>
      <c r="LA116" s="12">
        <f t="shared" si="265"/>
        <v>0</v>
      </c>
      <c r="LB116" s="12">
        <f t="shared" si="266"/>
        <v>0</v>
      </c>
      <c r="LC116" s="12">
        <f t="shared" si="267"/>
        <v>0</v>
      </c>
      <c r="LD116" s="12">
        <f t="shared" si="268"/>
        <v>0</v>
      </c>
      <c r="LE116" s="12">
        <f t="shared" si="269"/>
        <v>0</v>
      </c>
      <c r="LF116" s="12">
        <f t="shared" si="270"/>
        <v>0</v>
      </c>
      <c r="LG116" s="12">
        <f t="shared" si="271"/>
        <v>0</v>
      </c>
      <c r="LH116" s="12">
        <f t="shared" si="272"/>
        <v>0</v>
      </c>
      <c r="LI116" s="12">
        <f t="shared" si="273"/>
        <v>0</v>
      </c>
      <c r="LJ116" s="12">
        <f t="shared" si="274"/>
        <v>0</v>
      </c>
      <c r="LK116" s="12">
        <f t="shared" si="275"/>
        <v>0</v>
      </c>
      <c r="LL116" s="12">
        <f t="shared" si="276"/>
        <v>0</v>
      </c>
      <c r="LM116" s="12">
        <f t="shared" si="277"/>
        <v>0</v>
      </c>
      <c r="LN116" s="12">
        <f t="shared" si="278"/>
        <v>0</v>
      </c>
      <c r="LO116" s="12">
        <f t="shared" si="279"/>
        <v>0</v>
      </c>
      <c r="LP116" s="12">
        <f t="shared" si="280"/>
        <v>0</v>
      </c>
      <c r="LQ116" s="12">
        <f t="shared" si="281"/>
        <v>0</v>
      </c>
      <c r="LR116" s="12">
        <f t="shared" si="282"/>
        <v>0</v>
      </c>
      <c r="LS116" s="12">
        <f t="shared" si="283"/>
        <v>0</v>
      </c>
      <c r="LT116" s="13">
        <f t="shared" si="284"/>
        <v>0</v>
      </c>
      <c r="LU116" s="13">
        <f t="shared" si="285"/>
        <v>0</v>
      </c>
      <c r="LV116" s="13">
        <f t="shared" si="286"/>
        <v>0</v>
      </c>
      <c r="LW116" s="13">
        <f t="shared" si="287"/>
        <v>0</v>
      </c>
      <c r="LX116" s="13">
        <f t="shared" si="288"/>
        <v>0</v>
      </c>
      <c r="LY116" s="13">
        <f t="shared" si="289"/>
        <v>0</v>
      </c>
      <c r="LZ116" s="13">
        <f t="shared" si="290"/>
        <v>0</v>
      </c>
      <c r="MA116" s="13">
        <f t="shared" si="291"/>
        <v>0</v>
      </c>
      <c r="MB116" s="13">
        <f t="shared" si="292"/>
        <v>0</v>
      </c>
      <c r="MC116" s="13">
        <f t="shared" si="293"/>
        <v>0</v>
      </c>
      <c r="MD116" s="13">
        <f t="shared" si="294"/>
        <v>0</v>
      </c>
      <c r="ME116" s="13">
        <f t="shared" si="295"/>
        <v>0</v>
      </c>
      <c r="MF116" s="13">
        <f t="shared" si="296"/>
        <v>0</v>
      </c>
      <c r="MG116" s="13">
        <f t="shared" si="297"/>
        <v>0</v>
      </c>
      <c r="MH116" s="13">
        <f t="shared" si="298"/>
        <v>0</v>
      </c>
      <c r="MI116" s="13">
        <f t="shared" si="299"/>
        <v>0</v>
      </c>
      <c r="MJ116" s="13">
        <f t="shared" si="300"/>
        <v>0</v>
      </c>
      <c r="MK116" s="13">
        <f t="shared" si="301"/>
        <v>0</v>
      </c>
      <c r="ML116" s="14">
        <f t="shared" si="302"/>
        <v>0</v>
      </c>
      <c r="MM116" s="14">
        <f t="shared" si="303"/>
        <v>0</v>
      </c>
      <c r="MN116" s="14">
        <f t="shared" si="304"/>
        <v>0</v>
      </c>
      <c r="MO116" s="14">
        <f t="shared" si="305"/>
        <v>0</v>
      </c>
      <c r="MP116" s="14">
        <f t="shared" si="306"/>
        <v>0</v>
      </c>
      <c r="MQ116" s="14">
        <f t="shared" si="307"/>
        <v>0</v>
      </c>
      <c r="MR116" s="14">
        <f t="shared" si="308"/>
        <v>0</v>
      </c>
      <c r="MS116" s="14">
        <f t="shared" si="309"/>
        <v>0</v>
      </c>
      <c r="MT116" s="14">
        <f t="shared" si="310"/>
        <v>0</v>
      </c>
      <c r="MU116" s="14">
        <f t="shared" si="311"/>
        <v>0</v>
      </c>
      <c r="MV116" s="14">
        <f t="shared" si="312"/>
        <v>0</v>
      </c>
      <c r="MW116" s="14">
        <f t="shared" si="313"/>
        <v>0</v>
      </c>
      <c r="MX116" s="14">
        <f t="shared" si="314"/>
        <v>0</v>
      </c>
      <c r="MY116" s="14">
        <f t="shared" si="315"/>
        <v>0</v>
      </c>
      <c r="MZ116" s="14">
        <f t="shared" si="316"/>
        <v>0</v>
      </c>
      <c r="NA116" s="14">
        <f t="shared" si="317"/>
        <v>0</v>
      </c>
      <c r="NB116" s="14">
        <f t="shared" si="318"/>
        <v>0</v>
      </c>
    </row>
    <row r="117" ht="15.75" customHeight="1">
      <c r="A117" s="2">
        <v>438.0</v>
      </c>
      <c r="B117" s="2" t="s">
        <v>2353</v>
      </c>
      <c r="C117" s="2" t="s">
        <v>2354</v>
      </c>
      <c r="D117" s="2" t="s">
        <v>2355</v>
      </c>
      <c r="E117" s="2">
        <v>2007.0</v>
      </c>
      <c r="F117" s="2" t="s">
        <v>2356</v>
      </c>
      <c r="G117" s="2" t="s">
        <v>1069</v>
      </c>
      <c r="H117" s="2" t="s">
        <v>452</v>
      </c>
      <c r="J117" s="2" t="s">
        <v>2357</v>
      </c>
      <c r="K117" s="2" t="s">
        <v>2358</v>
      </c>
      <c r="M117" s="2">
        <v>7.0</v>
      </c>
      <c r="O117" s="2" t="s">
        <v>2359</v>
      </c>
      <c r="P117" s="2" t="s">
        <v>2360</v>
      </c>
      <c r="Q117" s="2" t="s">
        <v>2361</v>
      </c>
      <c r="R117" s="2" t="s">
        <v>2362</v>
      </c>
      <c r="S117" s="2" t="s">
        <v>2363</v>
      </c>
      <c r="Y117" s="2" t="s">
        <v>2364</v>
      </c>
      <c r="AB117" s="2" t="s">
        <v>2365</v>
      </c>
      <c r="AG117" s="2" t="s">
        <v>2366</v>
      </c>
      <c r="AK117" s="2" t="s">
        <v>2356</v>
      </c>
      <c r="AL117" s="2" t="s">
        <v>384</v>
      </c>
      <c r="AN117" s="2" t="s">
        <v>386</v>
      </c>
      <c r="AO117" s="2" t="s">
        <v>2367</v>
      </c>
      <c r="AP117" s="2" t="s">
        <v>386</v>
      </c>
      <c r="AQ117" s="2">
        <v>1728.0</v>
      </c>
      <c r="AR117" s="2" t="s">
        <v>2355</v>
      </c>
      <c r="AS117" s="2" t="b">
        <v>1</v>
      </c>
      <c r="AT117" s="3">
        <v>0.0</v>
      </c>
      <c r="AU117" s="4"/>
      <c r="AV117" s="4"/>
      <c r="AW117" s="5">
        <f t="shared" si="432"/>
        <v>0</v>
      </c>
      <c r="AX117" s="5">
        <f t="shared" si="4"/>
        <v>0</v>
      </c>
      <c r="AY117" s="5">
        <f t="shared" si="5"/>
        <v>0</v>
      </c>
      <c r="AZ117" s="5">
        <f t="shared" si="6"/>
        <v>0</v>
      </c>
      <c r="BA117" s="5">
        <f t="shared" si="7"/>
        <v>0</v>
      </c>
      <c r="BB117" s="5">
        <f t="shared" si="8"/>
        <v>0</v>
      </c>
      <c r="BC117" s="5">
        <f t="shared" si="9"/>
        <v>0</v>
      </c>
      <c r="BD117" s="5">
        <f t="shared" si="10"/>
        <v>0</v>
      </c>
      <c r="BE117" s="5">
        <f t="shared" si="11"/>
        <v>0</v>
      </c>
      <c r="BF117" s="5">
        <f t="shared" si="12"/>
        <v>0</v>
      </c>
      <c r="BG117" s="5">
        <f t="shared" si="13"/>
        <v>0</v>
      </c>
      <c r="BH117" s="5">
        <f t="shared" si="14"/>
        <v>0</v>
      </c>
      <c r="BI117" s="5">
        <f t="shared" si="15"/>
        <v>0</v>
      </c>
      <c r="BJ117" s="5">
        <f t="shared" si="16"/>
        <v>0</v>
      </c>
      <c r="BK117" s="5">
        <f t="shared" si="17"/>
        <v>0</v>
      </c>
      <c r="BL117" s="5">
        <f t="shared" si="18"/>
        <v>0</v>
      </c>
      <c r="BM117" s="5">
        <f t="shared" si="19"/>
        <v>0</v>
      </c>
      <c r="BN117" s="5">
        <f t="shared" si="20"/>
        <v>0</v>
      </c>
      <c r="BO117" s="5">
        <f t="shared" si="21"/>
        <v>0</v>
      </c>
      <c r="BP117" s="5">
        <f t="shared" si="22"/>
        <v>0</v>
      </c>
      <c r="BQ117" s="5">
        <f t="shared" si="23"/>
        <v>0</v>
      </c>
      <c r="BR117" s="5">
        <f t="shared" si="24"/>
        <v>0</v>
      </c>
      <c r="BS117" s="5">
        <f t="shared" si="25"/>
        <v>0</v>
      </c>
      <c r="BT117" s="5">
        <f t="shared" si="26"/>
        <v>0</v>
      </c>
      <c r="BU117" s="5">
        <f t="shared" si="27"/>
        <v>0</v>
      </c>
      <c r="BV117" s="5">
        <f t="shared" ref="BV117:BW117" si="578">IF(OR(ISNUMBER(SEARCH("grit",$D117)),ISNUMBER(SEARCH("grit",$T117)),ISNUMBER(SEARCH("grit",$R117)),ISNUMBER(SEARCH("grit",$S117)),
ISNUMBER(SEARCH("determination",$D117)),ISNUMBER(SEARCH("determination",$T117)),ISNUMBER(SEARCH("determination",$R117)),ISNUMBER(SEARCH("determination",$S117)),
ISNUMBER(SEARCH("tenacity",$D117)),ISNUMBER(SEARCH("tenacity",$T117)),ISNUMBER(SEARCH("tenacity",$R117)),ISNUMBER(SEARCH("tenacity",$S117)),
ISNUMBER(SEARCH("endurance",$D117)),ISNUMBER(SEARCH("endurance",$T117)),ISNUMBER(SEARCH("endurance",$R117)),ISNUMBER(SEARCH("endurance",$S117)),
ISNUMBER(SEARCH("fortitude",$D117)),ISNUMBER(SEARCH("fortitude",$T117)),ISNUMBER(SEARCH("fortitude",$R117)),ISNUMBER(SEARCH("fortitude",$S117)),
ISNUMBER(SEARCH("resolve",$D117)),ISNUMBER(SEARCH("resolve",$T117)),ISNUMBER(SEARCH("resolve",$R117)),ISNUMBER(SEARCH("resolve",$S117)),
ISNUMBER(SEARCH("stamina",$D117)),ISNUMBER(SEARCH("stamina",$T117)),ISNUMBER(SEARCH("stamina",$R117)),ISNUMBER(SEARCH("stamina",$S117)),
ISNUMBER(SEARCH("guts",$D117)),ISNUMBER(SEARCH("guts",$T117)),ISNUMBER(SEARCH("guts",$R117)),ISNUMBER(SEARCH("guts",$S117)),
ISNUMBER(SEARCH("spunk",$D117)),ISNUMBER(SEARCH("spunk",$T117)),ISNUMBER(SEARCH("spunk",$R117)),ISNUMBER(SEARCH("spunk",$S117))), 1, 0)</f>
        <v>0</v>
      </c>
      <c r="BW117" s="5">
        <f t="shared" si="578"/>
        <v>0</v>
      </c>
      <c r="BX117" s="5">
        <f t="shared" si="29"/>
        <v>0</v>
      </c>
      <c r="BY117" s="5">
        <f t="shared" si="30"/>
        <v>0</v>
      </c>
      <c r="BZ117" s="5">
        <f t="shared" si="31"/>
        <v>0</v>
      </c>
      <c r="CA117" s="5">
        <f t="shared" si="32"/>
        <v>0</v>
      </c>
      <c r="CB117" s="5">
        <f t="shared" si="33"/>
        <v>0</v>
      </c>
      <c r="CC117" s="5">
        <f t="shared" si="34"/>
        <v>0</v>
      </c>
      <c r="CD117" s="5">
        <f t="shared" si="35"/>
        <v>0</v>
      </c>
      <c r="CE117" s="5">
        <f t="shared" si="36"/>
        <v>0</v>
      </c>
      <c r="CF117" s="5">
        <f t="shared" si="37"/>
        <v>0</v>
      </c>
      <c r="CG117" s="5">
        <f t="shared" si="38"/>
        <v>1</v>
      </c>
      <c r="CH117" s="5">
        <f t="shared" si="39"/>
        <v>0</v>
      </c>
      <c r="CI117" s="5">
        <f t="shared" si="40"/>
        <v>0</v>
      </c>
      <c r="CJ117" s="5">
        <f t="shared" si="41"/>
        <v>0</v>
      </c>
      <c r="CK117" s="5">
        <f t="shared" si="42"/>
        <v>0</v>
      </c>
      <c r="CL117" s="5">
        <f t="shared" si="43"/>
        <v>0</v>
      </c>
      <c r="CM117" s="5">
        <f t="shared" si="44"/>
        <v>0</v>
      </c>
      <c r="CN117" s="5">
        <f t="shared" si="45"/>
        <v>0</v>
      </c>
      <c r="CO117" s="5">
        <f t="shared" si="46"/>
        <v>0</v>
      </c>
      <c r="CP117" s="6">
        <f t="shared" si="47"/>
        <v>0</v>
      </c>
      <c r="CQ117" s="6">
        <f t="shared" si="48"/>
        <v>0</v>
      </c>
      <c r="CR117" s="6">
        <f t="shared" si="49"/>
        <v>0</v>
      </c>
      <c r="CS117" s="6">
        <f t="shared" si="50"/>
        <v>0</v>
      </c>
      <c r="CT117" s="6">
        <v>0.0</v>
      </c>
      <c r="CU117" s="6">
        <f t="shared" si="52"/>
        <v>0</v>
      </c>
      <c r="CV117" s="6">
        <f t="shared" si="53"/>
        <v>0</v>
      </c>
      <c r="CW117" s="6">
        <f t="shared" si="54"/>
        <v>0</v>
      </c>
      <c r="CX117" s="6">
        <f t="shared" si="55"/>
        <v>0</v>
      </c>
      <c r="CY117" s="6">
        <f t="shared" si="56"/>
        <v>0</v>
      </c>
      <c r="CZ117" s="6">
        <f t="shared" si="57"/>
        <v>0</v>
      </c>
      <c r="DA117" s="6">
        <f t="shared" si="58"/>
        <v>0</v>
      </c>
      <c r="DB117" s="6">
        <f t="shared" si="59"/>
        <v>0</v>
      </c>
      <c r="DC117" s="6">
        <f t="shared" si="60"/>
        <v>0</v>
      </c>
      <c r="DD117" s="6">
        <f t="shared" si="61"/>
        <v>0</v>
      </c>
      <c r="DE117" s="6">
        <f t="shared" si="62"/>
        <v>0</v>
      </c>
      <c r="DF117" s="6">
        <f t="shared" si="63"/>
        <v>0</v>
      </c>
      <c r="DG117" s="6">
        <f t="shared" si="64"/>
        <v>0</v>
      </c>
      <c r="DH117" s="6">
        <f t="shared" si="579"/>
        <v>0</v>
      </c>
      <c r="DI117" s="6">
        <f t="shared" si="66"/>
        <v>0</v>
      </c>
      <c r="DJ117" s="6">
        <f t="shared" si="574"/>
        <v>0</v>
      </c>
      <c r="DK117" s="7">
        <f t="shared" si="68"/>
        <v>0</v>
      </c>
      <c r="DL117" s="7">
        <f t="shared" si="498"/>
        <v>0</v>
      </c>
      <c r="DM117" s="7">
        <f t="shared" si="70"/>
        <v>0</v>
      </c>
      <c r="DN117" s="7">
        <f t="shared" si="71"/>
        <v>0</v>
      </c>
      <c r="DO117" s="7">
        <f t="shared" si="72"/>
        <v>1</v>
      </c>
      <c r="DP117" s="8">
        <f t="shared" si="73"/>
        <v>0</v>
      </c>
      <c r="DQ117" s="8">
        <f t="shared" si="74"/>
        <v>0</v>
      </c>
      <c r="DR117" s="7">
        <f t="shared" si="75"/>
        <v>0</v>
      </c>
      <c r="DS117" s="7">
        <f t="shared" si="76"/>
        <v>0</v>
      </c>
      <c r="DT117" s="7">
        <f t="shared" si="77"/>
        <v>0</v>
      </c>
      <c r="DU117" s="9">
        <f t="shared" si="78"/>
        <v>0</v>
      </c>
      <c r="DV117" s="9">
        <f t="shared" si="79"/>
        <v>0</v>
      </c>
      <c r="DW117" s="9">
        <f t="shared" si="80"/>
        <v>0</v>
      </c>
      <c r="DX117" s="9">
        <f t="shared" si="81"/>
        <v>0</v>
      </c>
      <c r="DY117" s="9">
        <f t="shared" si="82"/>
        <v>0</v>
      </c>
      <c r="DZ117" s="9">
        <f t="shared" si="83"/>
        <v>0</v>
      </c>
      <c r="EA117" s="9">
        <f t="shared" si="84"/>
        <v>0</v>
      </c>
      <c r="EB117" s="9">
        <f t="shared" si="85"/>
        <v>0</v>
      </c>
      <c r="EC117" s="9">
        <f t="shared" si="86"/>
        <v>0</v>
      </c>
      <c r="ED117" s="9">
        <f t="shared" si="87"/>
        <v>0</v>
      </c>
      <c r="EE117" s="9">
        <f t="shared" si="88"/>
        <v>0</v>
      </c>
      <c r="EF117" s="9">
        <f t="shared" si="89"/>
        <v>0</v>
      </c>
      <c r="EG117" s="9">
        <f t="shared" si="90"/>
        <v>0</v>
      </c>
      <c r="EH117" s="9">
        <f t="shared" si="91"/>
        <v>0</v>
      </c>
      <c r="EI117" s="9">
        <f t="shared" si="92"/>
        <v>0</v>
      </c>
      <c r="EJ117" s="10">
        <f t="shared" si="93"/>
        <v>0</v>
      </c>
      <c r="EK117" s="10">
        <f t="shared" si="94"/>
        <v>0</v>
      </c>
      <c r="EL117" s="10">
        <f t="shared" ref="EL117:EM117" si="580">IF(OR(ISNUMBER(SEARCH("ai software toolkit", $D117)), ISNUMBER(SEARCH("ai software toolkit", $T117)), ISNUMBER(SEARCH("ai software toolkit", $R117)), ISNUMBER(SEARCH("ai software toolkit", $S117))), 1, 0)</f>
        <v>0</v>
      </c>
      <c r="EM117" s="10">
        <f t="shared" si="580"/>
        <v>0</v>
      </c>
      <c r="EN117" s="10">
        <f t="shared" si="96"/>
        <v>0</v>
      </c>
      <c r="EO117" s="10">
        <f t="shared" si="97"/>
        <v>0</v>
      </c>
      <c r="EP117" s="10">
        <f t="shared" si="98"/>
        <v>0</v>
      </c>
      <c r="EQ117" s="10">
        <f t="shared" si="99"/>
        <v>0</v>
      </c>
      <c r="ER117" s="10">
        <f t="shared" si="100"/>
        <v>0</v>
      </c>
      <c r="ES117" s="10">
        <f t="shared" si="101"/>
        <v>0</v>
      </c>
      <c r="ET117" s="10">
        <f t="shared" si="102"/>
        <v>0</v>
      </c>
      <c r="EU117" s="10">
        <f t="shared" si="103"/>
        <v>0</v>
      </c>
      <c r="EV117" s="10">
        <f t="shared" si="104"/>
        <v>0</v>
      </c>
      <c r="EW117" s="10">
        <f t="shared" si="105"/>
        <v>0</v>
      </c>
      <c r="EX117" s="10">
        <f t="shared" si="106"/>
        <v>0</v>
      </c>
      <c r="EY117" s="10">
        <f t="shared" si="107"/>
        <v>0</v>
      </c>
      <c r="EZ117" s="10">
        <f t="shared" si="108"/>
        <v>0</v>
      </c>
      <c r="FA117" s="10">
        <f t="shared" si="109"/>
        <v>0</v>
      </c>
      <c r="FB117" s="10">
        <f t="shared" si="110"/>
        <v>0</v>
      </c>
      <c r="FC117" s="10">
        <f t="shared" si="111"/>
        <v>0</v>
      </c>
      <c r="FD117" s="10">
        <f t="shared" si="112"/>
        <v>0</v>
      </c>
      <c r="FE117" s="10">
        <f t="shared" si="113"/>
        <v>0</v>
      </c>
      <c r="FF117" s="10">
        <f t="shared" si="114"/>
        <v>0</v>
      </c>
      <c r="FG117" s="10">
        <f t="shared" si="115"/>
        <v>0</v>
      </c>
      <c r="FH117" s="10">
        <f t="shared" si="116"/>
        <v>0</v>
      </c>
      <c r="FI117" s="10">
        <f t="shared" si="117"/>
        <v>0</v>
      </c>
      <c r="FJ117" s="10">
        <f t="shared" si="118"/>
        <v>0</v>
      </c>
      <c r="FK117" s="10">
        <f t="shared" si="119"/>
        <v>0</v>
      </c>
      <c r="FL117" s="10">
        <f t="shared" si="120"/>
        <v>0</v>
      </c>
      <c r="FM117" s="10">
        <f t="shared" si="121"/>
        <v>0</v>
      </c>
      <c r="FN117" s="10">
        <f t="shared" si="122"/>
        <v>0</v>
      </c>
      <c r="FO117" s="10">
        <f t="shared" si="123"/>
        <v>0</v>
      </c>
      <c r="FP117" s="10">
        <f t="shared" si="124"/>
        <v>0</v>
      </c>
      <c r="FQ117" s="10">
        <f t="shared" si="125"/>
        <v>0</v>
      </c>
      <c r="FR117" s="11">
        <f t="shared" si="543"/>
        <v>0</v>
      </c>
      <c r="FS117" s="11">
        <f t="shared" si="127"/>
        <v>0</v>
      </c>
      <c r="FT117" s="11">
        <f t="shared" si="128"/>
        <v>0</v>
      </c>
      <c r="FU117" s="11">
        <f t="shared" si="129"/>
        <v>0</v>
      </c>
      <c r="FV117" s="11">
        <f t="shared" si="130"/>
        <v>0</v>
      </c>
      <c r="FW117" s="11">
        <f t="shared" si="131"/>
        <v>0</v>
      </c>
      <c r="FX117" s="11">
        <f t="shared" si="132"/>
        <v>0</v>
      </c>
      <c r="FY117" s="11">
        <f t="shared" si="133"/>
        <v>0</v>
      </c>
      <c r="FZ117" s="11">
        <f t="shared" si="134"/>
        <v>0</v>
      </c>
      <c r="GA117" s="11">
        <f t="shared" si="135"/>
        <v>0</v>
      </c>
      <c r="GB117" s="11">
        <f t="shared" si="136"/>
        <v>0</v>
      </c>
      <c r="GC117" s="11">
        <f t="shared" si="137"/>
        <v>0</v>
      </c>
      <c r="GD117" s="11">
        <f t="shared" si="138"/>
        <v>0</v>
      </c>
      <c r="GE117" s="11">
        <f t="shared" si="139"/>
        <v>0</v>
      </c>
      <c r="GF117" s="11">
        <f t="shared" si="140"/>
        <v>0</v>
      </c>
      <c r="GG117" s="11">
        <f t="shared" si="141"/>
        <v>0</v>
      </c>
      <c r="GH117" s="11">
        <f t="shared" si="142"/>
        <v>0</v>
      </c>
      <c r="GI117" s="11">
        <f t="shared" si="143"/>
        <v>0</v>
      </c>
      <c r="GJ117" s="11">
        <f t="shared" si="144"/>
        <v>0</v>
      </c>
      <c r="GK117" s="11">
        <f t="shared" si="145"/>
        <v>0</v>
      </c>
      <c r="GL117" s="11">
        <f t="shared" si="146"/>
        <v>0</v>
      </c>
      <c r="GM117" s="11">
        <f t="shared" si="147"/>
        <v>0</v>
      </c>
      <c r="GN117" s="11">
        <f t="shared" si="148"/>
        <v>0</v>
      </c>
      <c r="GO117" s="11">
        <f t="shared" si="149"/>
        <v>0</v>
      </c>
      <c r="GP117" s="11">
        <f t="shared" si="150"/>
        <v>0</v>
      </c>
      <c r="GQ117" s="11">
        <f t="shared" si="151"/>
        <v>0</v>
      </c>
      <c r="GR117" s="11">
        <f t="shared" si="152"/>
        <v>0</v>
      </c>
      <c r="GS117" s="11">
        <f t="shared" si="153"/>
        <v>0</v>
      </c>
      <c r="GT117" s="11">
        <f t="shared" si="154"/>
        <v>0</v>
      </c>
      <c r="GU117" s="12">
        <f t="shared" si="155"/>
        <v>0</v>
      </c>
      <c r="GV117" s="12">
        <f t="shared" si="156"/>
        <v>0</v>
      </c>
      <c r="GW117" s="12">
        <f t="shared" si="157"/>
        <v>0</v>
      </c>
      <c r="GX117" s="12">
        <f t="shared" si="158"/>
        <v>0</v>
      </c>
      <c r="GY117" s="12">
        <f t="shared" si="159"/>
        <v>0</v>
      </c>
      <c r="GZ117" s="12">
        <f t="shared" si="160"/>
        <v>0</v>
      </c>
      <c r="HA117" s="12">
        <f t="shared" si="161"/>
        <v>0</v>
      </c>
      <c r="HB117" s="12">
        <f t="shared" si="162"/>
        <v>0</v>
      </c>
      <c r="HC117" s="12">
        <f t="shared" si="163"/>
        <v>0</v>
      </c>
      <c r="HD117" s="12">
        <f t="shared" si="164"/>
        <v>0</v>
      </c>
      <c r="HE117" s="12">
        <f t="shared" si="165"/>
        <v>0</v>
      </c>
      <c r="HF117" s="12">
        <f t="shared" si="166"/>
        <v>0</v>
      </c>
      <c r="HG117" s="12">
        <f t="shared" si="167"/>
        <v>0</v>
      </c>
      <c r="HH117" s="12">
        <f t="shared" si="168"/>
        <v>0</v>
      </c>
      <c r="HI117" s="12">
        <f t="shared" si="169"/>
        <v>0</v>
      </c>
      <c r="HJ117" s="12">
        <f t="shared" si="170"/>
        <v>0</v>
      </c>
      <c r="HK117" s="12">
        <f t="shared" si="171"/>
        <v>0</v>
      </c>
      <c r="HL117" s="12">
        <f t="shared" si="172"/>
        <v>0</v>
      </c>
      <c r="HM117" s="12">
        <f t="shared" si="173"/>
        <v>0</v>
      </c>
      <c r="HN117" s="12">
        <f t="shared" si="174"/>
        <v>0</v>
      </c>
      <c r="HO117" s="12">
        <f t="shared" si="175"/>
        <v>0</v>
      </c>
      <c r="HP117" s="12">
        <f t="shared" si="176"/>
        <v>0</v>
      </c>
      <c r="HQ117" s="12">
        <f t="shared" si="177"/>
        <v>0</v>
      </c>
      <c r="HR117" s="12">
        <f t="shared" si="178"/>
        <v>0</v>
      </c>
      <c r="HS117" s="12">
        <f t="shared" si="179"/>
        <v>0</v>
      </c>
      <c r="HT117" s="12">
        <f t="shared" si="180"/>
        <v>0</v>
      </c>
      <c r="HU117" s="12">
        <f t="shared" si="181"/>
        <v>0</v>
      </c>
      <c r="HV117" s="12">
        <f t="shared" si="182"/>
        <v>0</v>
      </c>
      <c r="HW117" s="12">
        <f t="shared" si="183"/>
        <v>0</v>
      </c>
      <c r="HX117" s="12">
        <f t="shared" si="184"/>
        <v>0</v>
      </c>
      <c r="HY117" s="12">
        <f t="shared" si="185"/>
        <v>0</v>
      </c>
      <c r="HZ117" s="12">
        <f t="shared" si="186"/>
        <v>0</v>
      </c>
      <c r="IA117" s="12">
        <f t="shared" si="187"/>
        <v>0</v>
      </c>
      <c r="IB117" s="12">
        <f t="shared" si="188"/>
        <v>0</v>
      </c>
      <c r="IC117" s="12">
        <f t="shared" si="189"/>
        <v>0</v>
      </c>
      <c r="ID117" s="12">
        <f t="shared" si="190"/>
        <v>0</v>
      </c>
      <c r="IE117" s="12">
        <f t="shared" si="191"/>
        <v>0</v>
      </c>
      <c r="IF117" s="12">
        <f t="shared" si="192"/>
        <v>0</v>
      </c>
      <c r="IG117" s="12">
        <f t="shared" si="193"/>
        <v>0</v>
      </c>
      <c r="IH117" s="12">
        <f t="shared" si="194"/>
        <v>0</v>
      </c>
      <c r="II117" s="12">
        <f t="shared" si="195"/>
        <v>0</v>
      </c>
      <c r="IJ117" s="12">
        <f t="shared" si="196"/>
        <v>0</v>
      </c>
      <c r="IK117" s="12">
        <f t="shared" si="197"/>
        <v>0</v>
      </c>
      <c r="IL117" s="12">
        <f t="shared" si="198"/>
        <v>0</v>
      </c>
      <c r="IM117" s="12">
        <f t="shared" si="199"/>
        <v>0</v>
      </c>
      <c r="IN117" s="12">
        <f t="shared" si="200"/>
        <v>0</v>
      </c>
      <c r="IO117" s="12">
        <f t="shared" si="201"/>
        <v>0</v>
      </c>
      <c r="IP117" s="12">
        <f t="shared" si="202"/>
        <v>0</v>
      </c>
      <c r="IQ117" s="12">
        <f t="shared" si="203"/>
        <v>0</v>
      </c>
      <c r="IR117" s="12">
        <f t="shared" si="204"/>
        <v>0</v>
      </c>
      <c r="IS117" s="12">
        <f t="shared" si="205"/>
        <v>0</v>
      </c>
      <c r="IT117" s="12">
        <f t="shared" si="206"/>
        <v>0</v>
      </c>
      <c r="IU117" s="12">
        <f t="shared" si="207"/>
        <v>0</v>
      </c>
      <c r="IV117" s="12">
        <f t="shared" si="208"/>
        <v>0</v>
      </c>
      <c r="IW117" s="12">
        <f t="shared" si="209"/>
        <v>0</v>
      </c>
      <c r="IX117" s="12">
        <f t="shared" si="210"/>
        <v>0</v>
      </c>
      <c r="IY117" s="12">
        <f t="shared" si="211"/>
        <v>0</v>
      </c>
      <c r="IZ117" s="12">
        <f t="shared" si="212"/>
        <v>1</v>
      </c>
      <c r="JA117" s="13">
        <f t="shared" si="213"/>
        <v>0</v>
      </c>
      <c r="JB117" s="13">
        <f t="shared" si="214"/>
        <v>0</v>
      </c>
      <c r="JC117" s="13">
        <f t="shared" si="215"/>
        <v>0</v>
      </c>
      <c r="JD117" s="13">
        <f t="shared" si="216"/>
        <v>0</v>
      </c>
      <c r="JE117" s="13">
        <f t="shared" si="217"/>
        <v>0</v>
      </c>
      <c r="JF117" s="13">
        <f t="shared" si="218"/>
        <v>0</v>
      </c>
      <c r="JG117" s="13">
        <f t="shared" si="219"/>
        <v>0</v>
      </c>
      <c r="JH117" s="13">
        <f t="shared" si="220"/>
        <v>0</v>
      </c>
      <c r="JI117" s="13">
        <f t="shared" si="221"/>
        <v>0</v>
      </c>
      <c r="JJ117" s="13">
        <f t="shared" si="222"/>
        <v>0</v>
      </c>
      <c r="JK117" s="13">
        <f t="shared" si="223"/>
        <v>0</v>
      </c>
      <c r="JL117" s="13">
        <f t="shared" si="224"/>
        <v>0</v>
      </c>
      <c r="JM117" s="13">
        <f t="shared" si="225"/>
        <v>0</v>
      </c>
      <c r="JN117" s="13">
        <f t="shared" si="226"/>
        <v>0</v>
      </c>
      <c r="JO117" s="13">
        <f t="shared" si="227"/>
        <v>0</v>
      </c>
      <c r="JP117" s="13">
        <f t="shared" si="228"/>
        <v>0</v>
      </c>
      <c r="JQ117" s="13">
        <f t="shared" si="229"/>
        <v>0</v>
      </c>
      <c r="JR117" s="13">
        <f t="shared" si="230"/>
        <v>0</v>
      </c>
      <c r="JS117" s="13">
        <f t="shared" si="231"/>
        <v>0</v>
      </c>
      <c r="JT117" s="13">
        <f t="shared" si="232"/>
        <v>0</v>
      </c>
      <c r="JU117" s="13">
        <f t="shared" si="233"/>
        <v>0</v>
      </c>
      <c r="JV117" s="12">
        <f t="shared" si="234"/>
        <v>0</v>
      </c>
      <c r="JW117" s="12">
        <f t="shared" si="235"/>
        <v>0</v>
      </c>
      <c r="JX117" s="12">
        <f t="shared" si="236"/>
        <v>0</v>
      </c>
      <c r="JY117" s="12">
        <f t="shared" si="237"/>
        <v>0</v>
      </c>
      <c r="JZ117" s="12">
        <f t="shared" si="238"/>
        <v>0</v>
      </c>
      <c r="KA117" s="12">
        <f t="shared" si="239"/>
        <v>0</v>
      </c>
      <c r="KB117" s="12">
        <f t="shared" si="240"/>
        <v>0</v>
      </c>
      <c r="KC117" s="12">
        <f t="shared" si="241"/>
        <v>0</v>
      </c>
      <c r="KD117" s="12">
        <f t="shared" si="242"/>
        <v>0</v>
      </c>
      <c r="KE117" s="12">
        <f t="shared" si="243"/>
        <v>0</v>
      </c>
      <c r="KF117" s="12">
        <f t="shared" si="244"/>
        <v>0</v>
      </c>
      <c r="KG117" s="12">
        <f t="shared" si="245"/>
        <v>0</v>
      </c>
      <c r="KH117" s="12">
        <f t="shared" si="246"/>
        <v>0</v>
      </c>
      <c r="KI117" s="12">
        <f t="shared" si="247"/>
        <v>0</v>
      </c>
      <c r="KJ117" s="12">
        <f t="shared" si="248"/>
        <v>0</v>
      </c>
      <c r="KK117" s="12">
        <f t="shared" si="249"/>
        <v>0</v>
      </c>
      <c r="KL117" s="12">
        <f t="shared" si="250"/>
        <v>0</v>
      </c>
      <c r="KM117" s="12">
        <f t="shared" si="251"/>
        <v>0</v>
      </c>
      <c r="KN117" s="12">
        <f t="shared" si="252"/>
        <v>0</v>
      </c>
      <c r="KO117" s="12">
        <f t="shared" si="253"/>
        <v>0</v>
      </c>
      <c r="KP117" s="12">
        <f t="shared" si="254"/>
        <v>0</v>
      </c>
      <c r="KQ117" s="12">
        <f t="shared" si="255"/>
        <v>0</v>
      </c>
      <c r="KR117" s="12">
        <f t="shared" si="256"/>
        <v>0</v>
      </c>
      <c r="KS117" s="12">
        <f t="shared" si="257"/>
        <v>0</v>
      </c>
      <c r="KT117" s="12">
        <f t="shared" si="258"/>
        <v>0</v>
      </c>
      <c r="KU117" s="12">
        <f t="shared" si="259"/>
        <v>0</v>
      </c>
      <c r="KV117" s="12">
        <f t="shared" si="260"/>
        <v>0</v>
      </c>
      <c r="KW117" s="12">
        <f t="shared" si="261"/>
        <v>0</v>
      </c>
      <c r="KX117" s="12">
        <f t="shared" si="262"/>
        <v>0</v>
      </c>
      <c r="KY117" s="12">
        <f t="shared" si="263"/>
        <v>0</v>
      </c>
      <c r="KZ117" s="12">
        <f t="shared" si="264"/>
        <v>0</v>
      </c>
      <c r="LA117" s="12">
        <f t="shared" si="265"/>
        <v>0</v>
      </c>
      <c r="LB117" s="12">
        <f t="shared" si="266"/>
        <v>0</v>
      </c>
      <c r="LC117" s="12">
        <f t="shared" si="267"/>
        <v>0</v>
      </c>
      <c r="LD117" s="12">
        <f t="shared" si="268"/>
        <v>0</v>
      </c>
      <c r="LE117" s="12">
        <f t="shared" si="269"/>
        <v>0</v>
      </c>
      <c r="LF117" s="12">
        <f t="shared" si="270"/>
        <v>0</v>
      </c>
      <c r="LG117" s="12">
        <f t="shared" si="271"/>
        <v>0</v>
      </c>
      <c r="LH117" s="12">
        <f t="shared" si="272"/>
        <v>0</v>
      </c>
      <c r="LI117" s="12">
        <f t="shared" si="273"/>
        <v>0</v>
      </c>
      <c r="LJ117" s="12">
        <f t="shared" si="274"/>
        <v>0</v>
      </c>
      <c r="LK117" s="12">
        <f t="shared" si="275"/>
        <v>0</v>
      </c>
      <c r="LL117" s="12">
        <f t="shared" si="276"/>
        <v>0</v>
      </c>
      <c r="LM117" s="12">
        <f t="shared" si="277"/>
        <v>0</v>
      </c>
      <c r="LN117" s="12">
        <f t="shared" si="278"/>
        <v>0</v>
      </c>
      <c r="LO117" s="12">
        <f t="shared" si="279"/>
        <v>0</v>
      </c>
      <c r="LP117" s="12">
        <f t="shared" si="280"/>
        <v>0</v>
      </c>
      <c r="LQ117" s="12">
        <f t="shared" si="281"/>
        <v>0</v>
      </c>
      <c r="LR117" s="12">
        <f t="shared" si="282"/>
        <v>0</v>
      </c>
      <c r="LS117" s="12">
        <f t="shared" si="283"/>
        <v>0</v>
      </c>
      <c r="LT117" s="13">
        <f t="shared" si="284"/>
        <v>0</v>
      </c>
      <c r="LU117" s="13">
        <f t="shared" si="285"/>
        <v>0</v>
      </c>
      <c r="LV117" s="13">
        <f t="shared" si="286"/>
        <v>0</v>
      </c>
      <c r="LW117" s="13">
        <f t="shared" si="287"/>
        <v>0</v>
      </c>
      <c r="LX117" s="13">
        <f t="shared" si="288"/>
        <v>0</v>
      </c>
      <c r="LY117" s="13">
        <f t="shared" si="289"/>
        <v>0</v>
      </c>
      <c r="LZ117" s="13">
        <f t="shared" si="290"/>
        <v>0</v>
      </c>
      <c r="MA117" s="13">
        <f t="shared" si="291"/>
        <v>0</v>
      </c>
      <c r="MB117" s="13">
        <f t="shared" si="292"/>
        <v>0</v>
      </c>
      <c r="MC117" s="13">
        <f t="shared" si="293"/>
        <v>0</v>
      </c>
      <c r="MD117" s="13">
        <f t="shared" si="294"/>
        <v>0</v>
      </c>
      <c r="ME117" s="13">
        <f t="shared" si="295"/>
        <v>0</v>
      </c>
      <c r="MF117" s="13">
        <f t="shared" si="296"/>
        <v>0</v>
      </c>
      <c r="MG117" s="13">
        <f t="shared" si="297"/>
        <v>0</v>
      </c>
      <c r="MH117" s="13">
        <f t="shared" si="298"/>
        <v>0</v>
      </c>
      <c r="MI117" s="13">
        <f t="shared" si="299"/>
        <v>0</v>
      </c>
      <c r="MJ117" s="13">
        <f t="shared" si="300"/>
        <v>0</v>
      </c>
      <c r="MK117" s="13">
        <f t="shared" si="301"/>
        <v>0</v>
      </c>
      <c r="ML117" s="14">
        <f t="shared" si="302"/>
        <v>0</v>
      </c>
      <c r="MM117" s="14">
        <f t="shared" si="303"/>
        <v>0</v>
      </c>
      <c r="MN117" s="14">
        <f t="shared" si="304"/>
        <v>0</v>
      </c>
      <c r="MO117" s="14">
        <f t="shared" si="305"/>
        <v>0</v>
      </c>
      <c r="MP117" s="14">
        <f t="shared" si="306"/>
        <v>0</v>
      </c>
      <c r="MQ117" s="14">
        <f t="shared" si="307"/>
        <v>0</v>
      </c>
      <c r="MR117" s="14">
        <f t="shared" si="308"/>
        <v>0</v>
      </c>
      <c r="MS117" s="14">
        <f t="shared" si="309"/>
        <v>0</v>
      </c>
      <c r="MT117" s="14">
        <f t="shared" si="310"/>
        <v>0</v>
      </c>
      <c r="MU117" s="14">
        <f t="shared" si="311"/>
        <v>0</v>
      </c>
      <c r="MV117" s="14">
        <f t="shared" si="312"/>
        <v>0</v>
      </c>
      <c r="MW117" s="14">
        <f t="shared" si="313"/>
        <v>0</v>
      </c>
      <c r="MX117" s="14">
        <f t="shared" si="314"/>
        <v>0</v>
      </c>
      <c r="MY117" s="14">
        <f t="shared" si="315"/>
        <v>0</v>
      </c>
      <c r="MZ117" s="14">
        <f t="shared" si="316"/>
        <v>0</v>
      </c>
      <c r="NA117" s="14">
        <f t="shared" si="317"/>
        <v>0</v>
      </c>
      <c r="NB117" s="14">
        <f t="shared" si="318"/>
        <v>0</v>
      </c>
    </row>
    <row r="118" ht="15.75" customHeight="1">
      <c r="A118" s="2">
        <v>248.0</v>
      </c>
      <c r="B118" s="2" t="s">
        <v>2368</v>
      </c>
      <c r="C118" s="2" t="s">
        <v>2369</v>
      </c>
      <c r="D118" s="2" t="s">
        <v>2370</v>
      </c>
      <c r="E118" s="2">
        <v>2019.0</v>
      </c>
      <c r="F118" s="2" t="s">
        <v>2371</v>
      </c>
      <c r="G118" s="2" t="s">
        <v>451</v>
      </c>
      <c r="H118" s="2" t="s">
        <v>656</v>
      </c>
      <c r="J118" s="2" t="s">
        <v>2372</v>
      </c>
      <c r="K118" s="2" t="s">
        <v>2373</v>
      </c>
      <c r="M118" s="2">
        <v>6.0</v>
      </c>
      <c r="N118" s="2" t="s">
        <v>2374</v>
      </c>
      <c r="O118" s="2" t="s">
        <v>2375</v>
      </c>
      <c r="P118" s="2" t="s">
        <v>2376</v>
      </c>
      <c r="Q118" s="2" t="s">
        <v>2377</v>
      </c>
      <c r="R118" s="2" t="s">
        <v>2378</v>
      </c>
      <c r="S118" s="2" t="s">
        <v>2379</v>
      </c>
      <c r="Y118" s="2" t="s">
        <v>2380</v>
      </c>
      <c r="AB118" s="2" t="s">
        <v>1059</v>
      </c>
      <c r="AG118" s="2" t="s">
        <v>2381</v>
      </c>
      <c r="AK118" s="2" t="s">
        <v>2382</v>
      </c>
      <c r="AL118" s="2" t="s">
        <v>384</v>
      </c>
      <c r="AN118" s="2" t="s">
        <v>386</v>
      </c>
      <c r="AO118" s="2" t="s">
        <v>2383</v>
      </c>
      <c r="AP118" s="2" t="s">
        <v>386</v>
      </c>
      <c r="AQ118" s="2">
        <v>1028.0</v>
      </c>
      <c r="AR118" s="2" t="s">
        <v>2384</v>
      </c>
      <c r="AS118" s="2" t="b">
        <v>0</v>
      </c>
      <c r="AT118" s="3">
        <v>0.0</v>
      </c>
      <c r="AU118" s="4"/>
      <c r="AV118" s="4">
        <v>1.0</v>
      </c>
      <c r="AW118" s="5">
        <f t="shared" si="432"/>
        <v>0</v>
      </c>
      <c r="AX118" s="5">
        <f t="shared" si="4"/>
        <v>0</v>
      </c>
      <c r="AY118" s="5">
        <f t="shared" si="5"/>
        <v>0</v>
      </c>
      <c r="AZ118" s="5">
        <f t="shared" si="6"/>
        <v>0</v>
      </c>
      <c r="BA118" s="5">
        <f t="shared" si="7"/>
        <v>0</v>
      </c>
      <c r="BB118" s="5">
        <f t="shared" si="8"/>
        <v>0</v>
      </c>
      <c r="BC118" s="5">
        <f t="shared" si="9"/>
        <v>0</v>
      </c>
      <c r="BD118" s="5">
        <f t="shared" si="10"/>
        <v>0</v>
      </c>
      <c r="BE118" s="5">
        <f t="shared" si="11"/>
        <v>0</v>
      </c>
      <c r="BF118" s="5">
        <f t="shared" si="12"/>
        <v>0</v>
      </c>
      <c r="BG118" s="5">
        <f t="shared" si="13"/>
        <v>0</v>
      </c>
      <c r="BH118" s="5">
        <f t="shared" si="14"/>
        <v>0</v>
      </c>
      <c r="BI118" s="5">
        <f t="shared" si="15"/>
        <v>0</v>
      </c>
      <c r="BJ118" s="5">
        <f t="shared" si="16"/>
        <v>0</v>
      </c>
      <c r="BK118" s="5">
        <f t="shared" si="17"/>
        <v>0</v>
      </c>
      <c r="BL118" s="5">
        <f t="shared" si="18"/>
        <v>0</v>
      </c>
      <c r="BM118" s="5">
        <f t="shared" si="19"/>
        <v>0</v>
      </c>
      <c r="BN118" s="5">
        <f t="shared" si="20"/>
        <v>0</v>
      </c>
      <c r="BO118" s="5">
        <f t="shared" si="21"/>
        <v>0</v>
      </c>
      <c r="BP118" s="5">
        <f t="shared" si="22"/>
        <v>0</v>
      </c>
      <c r="BQ118" s="5">
        <f t="shared" si="23"/>
        <v>0</v>
      </c>
      <c r="BR118" s="5">
        <f t="shared" si="24"/>
        <v>0</v>
      </c>
      <c r="BS118" s="5">
        <f t="shared" si="25"/>
        <v>0</v>
      </c>
      <c r="BT118" s="5">
        <f t="shared" si="26"/>
        <v>0</v>
      </c>
      <c r="BU118" s="5">
        <f t="shared" si="27"/>
        <v>0</v>
      </c>
      <c r="BV118" s="5">
        <f t="shared" ref="BV118:BW118" si="581">IF(OR(ISNUMBER(SEARCH("grit",$D118)),ISNUMBER(SEARCH("grit",$T118)),ISNUMBER(SEARCH("grit",$R118)),ISNUMBER(SEARCH("grit",$S118)),
ISNUMBER(SEARCH("determination",$D118)),ISNUMBER(SEARCH("determination",$T118)),ISNUMBER(SEARCH("determination",$R118)),ISNUMBER(SEARCH("determination",$S118)),
ISNUMBER(SEARCH("tenacity",$D118)),ISNUMBER(SEARCH("tenacity",$T118)),ISNUMBER(SEARCH("tenacity",$R118)),ISNUMBER(SEARCH("tenacity",$S118)),
ISNUMBER(SEARCH("endurance",$D118)),ISNUMBER(SEARCH("endurance",$T118)),ISNUMBER(SEARCH("endurance",$R118)),ISNUMBER(SEARCH("endurance",$S118)),
ISNUMBER(SEARCH("fortitude",$D118)),ISNUMBER(SEARCH("fortitude",$T118)),ISNUMBER(SEARCH("fortitude",$R118)),ISNUMBER(SEARCH("fortitude",$S118)),
ISNUMBER(SEARCH("resolve",$D118)),ISNUMBER(SEARCH("resolve",$T118)),ISNUMBER(SEARCH("resolve",$R118)),ISNUMBER(SEARCH("resolve",$S118)),
ISNUMBER(SEARCH("stamina",$D118)),ISNUMBER(SEARCH("stamina",$T118)),ISNUMBER(SEARCH("stamina",$R118)),ISNUMBER(SEARCH("stamina",$S118)),
ISNUMBER(SEARCH("guts",$D118)),ISNUMBER(SEARCH("guts",$T118)),ISNUMBER(SEARCH("guts",$R118)),ISNUMBER(SEARCH("guts",$S118)),
ISNUMBER(SEARCH("spunk",$D118)),ISNUMBER(SEARCH("spunk",$T118)),ISNUMBER(SEARCH("spunk",$R118)),ISNUMBER(SEARCH("spunk",$S118))), 1, 0)</f>
        <v>0</v>
      </c>
      <c r="BW118" s="5">
        <f t="shared" si="581"/>
        <v>0</v>
      </c>
      <c r="BX118" s="5">
        <f t="shared" si="29"/>
        <v>0</v>
      </c>
      <c r="BY118" s="5">
        <f t="shared" si="30"/>
        <v>0</v>
      </c>
      <c r="BZ118" s="5">
        <f t="shared" si="31"/>
        <v>0</v>
      </c>
      <c r="CA118" s="5">
        <f t="shared" si="32"/>
        <v>0</v>
      </c>
      <c r="CB118" s="5">
        <f t="shared" si="33"/>
        <v>0</v>
      </c>
      <c r="CC118" s="5">
        <f t="shared" si="34"/>
        <v>0</v>
      </c>
      <c r="CD118" s="5">
        <f t="shared" si="35"/>
        <v>0</v>
      </c>
      <c r="CE118" s="5">
        <f t="shared" si="36"/>
        <v>0</v>
      </c>
      <c r="CF118" s="5">
        <f t="shared" si="37"/>
        <v>0</v>
      </c>
      <c r="CG118" s="5">
        <f t="shared" si="38"/>
        <v>0</v>
      </c>
      <c r="CH118" s="5">
        <f t="shared" si="39"/>
        <v>0</v>
      </c>
      <c r="CI118" s="5">
        <f t="shared" si="40"/>
        <v>0</v>
      </c>
      <c r="CJ118" s="5">
        <f t="shared" si="41"/>
        <v>0</v>
      </c>
      <c r="CK118" s="5">
        <f t="shared" si="42"/>
        <v>0</v>
      </c>
      <c r="CL118" s="5">
        <f t="shared" si="43"/>
        <v>0</v>
      </c>
      <c r="CM118" s="5">
        <f t="shared" si="44"/>
        <v>0</v>
      </c>
      <c r="CN118" s="5">
        <f t="shared" si="45"/>
        <v>0</v>
      </c>
      <c r="CO118" s="5">
        <f t="shared" si="46"/>
        <v>0</v>
      </c>
      <c r="CP118" s="6">
        <f t="shared" si="47"/>
        <v>0</v>
      </c>
      <c r="CQ118" s="6">
        <f t="shared" si="48"/>
        <v>0</v>
      </c>
      <c r="CR118" s="6">
        <f t="shared" si="49"/>
        <v>0</v>
      </c>
      <c r="CS118" s="6">
        <f t="shared" si="50"/>
        <v>0</v>
      </c>
      <c r="CT118" s="6">
        <f t="shared" ref="CT118:CT264" si="584">IF(OR(ISNUMBER(SEARCH("optimism", $D118)), ISNUMBER(SEARCH("optimism", $T118)), ISNUMBER(SEARCH("optimism", $R118)), ISNUMBER(SEARCH("optimism", $S118))), 1, 0)</f>
        <v>0</v>
      </c>
      <c r="CU118" s="6">
        <f t="shared" si="52"/>
        <v>0</v>
      </c>
      <c r="CV118" s="6">
        <f t="shared" si="53"/>
        <v>0</v>
      </c>
      <c r="CW118" s="6">
        <f t="shared" si="54"/>
        <v>0</v>
      </c>
      <c r="CX118" s="6">
        <f t="shared" si="55"/>
        <v>0</v>
      </c>
      <c r="CY118" s="6">
        <f t="shared" si="56"/>
        <v>0</v>
      </c>
      <c r="CZ118" s="6">
        <f t="shared" si="57"/>
        <v>0</v>
      </c>
      <c r="DA118" s="6">
        <f t="shared" si="58"/>
        <v>0</v>
      </c>
      <c r="DB118" s="6">
        <f t="shared" si="59"/>
        <v>0</v>
      </c>
      <c r="DC118" s="6">
        <f t="shared" si="60"/>
        <v>0</v>
      </c>
      <c r="DD118" s="6">
        <f t="shared" si="61"/>
        <v>0</v>
      </c>
      <c r="DE118" s="6">
        <f t="shared" si="62"/>
        <v>0</v>
      </c>
      <c r="DF118" s="6">
        <f t="shared" si="63"/>
        <v>0</v>
      </c>
      <c r="DG118" s="6">
        <f t="shared" si="64"/>
        <v>1</v>
      </c>
      <c r="DH118" s="6">
        <f t="shared" si="579"/>
        <v>0</v>
      </c>
      <c r="DI118" s="6">
        <f t="shared" si="66"/>
        <v>0</v>
      </c>
      <c r="DJ118" s="6">
        <f t="shared" si="574"/>
        <v>0</v>
      </c>
      <c r="DK118" s="7">
        <f t="shared" si="68"/>
        <v>0</v>
      </c>
      <c r="DL118" s="7">
        <f t="shared" si="498"/>
        <v>0</v>
      </c>
      <c r="DM118" s="7">
        <f t="shared" si="70"/>
        <v>0</v>
      </c>
      <c r="DN118" s="7">
        <f t="shared" si="71"/>
        <v>0</v>
      </c>
      <c r="DO118" s="7">
        <f t="shared" si="72"/>
        <v>0</v>
      </c>
      <c r="DP118" s="8">
        <f t="shared" si="73"/>
        <v>0</v>
      </c>
      <c r="DQ118" s="8">
        <f t="shared" si="74"/>
        <v>1</v>
      </c>
      <c r="DR118" s="7">
        <f t="shared" si="75"/>
        <v>0</v>
      </c>
      <c r="DS118" s="7">
        <f t="shared" si="76"/>
        <v>0</v>
      </c>
      <c r="DT118" s="7">
        <f t="shared" si="77"/>
        <v>0</v>
      </c>
      <c r="DU118" s="9">
        <f t="shared" si="78"/>
        <v>0</v>
      </c>
      <c r="DV118" s="9">
        <f t="shared" si="79"/>
        <v>0</v>
      </c>
      <c r="DW118" s="9">
        <f t="shared" si="80"/>
        <v>0</v>
      </c>
      <c r="DX118" s="9">
        <f t="shared" si="81"/>
        <v>0</v>
      </c>
      <c r="DY118" s="9">
        <f t="shared" si="82"/>
        <v>0</v>
      </c>
      <c r="DZ118" s="9">
        <f t="shared" si="83"/>
        <v>0</v>
      </c>
      <c r="EA118" s="9">
        <f t="shared" si="84"/>
        <v>0</v>
      </c>
      <c r="EB118" s="9">
        <f t="shared" si="85"/>
        <v>0</v>
      </c>
      <c r="EC118" s="9">
        <f t="shared" si="86"/>
        <v>0</v>
      </c>
      <c r="ED118" s="9">
        <f t="shared" si="87"/>
        <v>0</v>
      </c>
      <c r="EE118" s="9">
        <f t="shared" si="88"/>
        <v>0</v>
      </c>
      <c r="EF118" s="9">
        <f t="shared" si="89"/>
        <v>0</v>
      </c>
      <c r="EG118" s="9">
        <f t="shared" si="90"/>
        <v>0</v>
      </c>
      <c r="EH118" s="9">
        <f t="shared" si="91"/>
        <v>0</v>
      </c>
      <c r="EI118" s="9">
        <f t="shared" si="92"/>
        <v>0</v>
      </c>
      <c r="EJ118" s="10">
        <f t="shared" si="93"/>
        <v>0</v>
      </c>
      <c r="EK118" s="10">
        <f t="shared" si="94"/>
        <v>0</v>
      </c>
      <c r="EL118" s="10">
        <f t="shared" ref="EL118:EM118" si="582">IF(OR(ISNUMBER(SEARCH("ai software toolkit", $D118)), ISNUMBER(SEARCH("ai software toolkit", $T118)), ISNUMBER(SEARCH("ai software toolkit", $R118)), ISNUMBER(SEARCH("ai software toolkit", $S118))), 1, 0)</f>
        <v>0</v>
      </c>
      <c r="EM118" s="10">
        <f t="shared" si="582"/>
        <v>0</v>
      </c>
      <c r="EN118" s="10">
        <f t="shared" si="96"/>
        <v>0</v>
      </c>
      <c r="EO118" s="10">
        <f t="shared" si="97"/>
        <v>0</v>
      </c>
      <c r="EP118" s="10">
        <f t="shared" si="98"/>
        <v>0</v>
      </c>
      <c r="EQ118" s="10">
        <f t="shared" si="99"/>
        <v>0</v>
      </c>
      <c r="ER118" s="10">
        <f t="shared" si="100"/>
        <v>0</v>
      </c>
      <c r="ES118" s="10">
        <f t="shared" si="101"/>
        <v>0</v>
      </c>
      <c r="ET118" s="10">
        <f t="shared" si="102"/>
        <v>0</v>
      </c>
      <c r="EU118" s="10">
        <f t="shared" si="103"/>
        <v>0</v>
      </c>
      <c r="EV118" s="10">
        <f t="shared" si="104"/>
        <v>0</v>
      </c>
      <c r="EW118" s="10">
        <f t="shared" si="105"/>
        <v>0</v>
      </c>
      <c r="EX118" s="10">
        <f t="shared" si="106"/>
        <v>0</v>
      </c>
      <c r="EY118" s="10">
        <f t="shared" si="107"/>
        <v>0</v>
      </c>
      <c r="EZ118" s="10">
        <f t="shared" si="108"/>
        <v>0</v>
      </c>
      <c r="FA118" s="10">
        <f t="shared" si="109"/>
        <v>0</v>
      </c>
      <c r="FB118" s="10">
        <f t="shared" si="110"/>
        <v>0</v>
      </c>
      <c r="FC118" s="10">
        <f t="shared" si="111"/>
        <v>0</v>
      </c>
      <c r="FD118" s="10">
        <f t="shared" si="112"/>
        <v>0</v>
      </c>
      <c r="FE118" s="10">
        <f t="shared" si="113"/>
        <v>1</v>
      </c>
      <c r="FF118" s="10">
        <f t="shared" si="114"/>
        <v>0</v>
      </c>
      <c r="FG118" s="10">
        <f t="shared" si="115"/>
        <v>0</v>
      </c>
      <c r="FH118" s="10">
        <f t="shared" si="116"/>
        <v>0</v>
      </c>
      <c r="FI118" s="10">
        <f t="shared" si="117"/>
        <v>0</v>
      </c>
      <c r="FJ118" s="10">
        <f t="shared" si="118"/>
        <v>0</v>
      </c>
      <c r="FK118" s="10">
        <f t="shared" si="119"/>
        <v>0</v>
      </c>
      <c r="FL118" s="10">
        <f t="shared" si="120"/>
        <v>0</v>
      </c>
      <c r="FM118" s="10">
        <f t="shared" si="121"/>
        <v>0</v>
      </c>
      <c r="FN118" s="10">
        <f t="shared" si="122"/>
        <v>0</v>
      </c>
      <c r="FO118" s="10">
        <f t="shared" si="123"/>
        <v>0</v>
      </c>
      <c r="FP118" s="10">
        <f t="shared" si="124"/>
        <v>0</v>
      </c>
      <c r="FQ118" s="10">
        <f t="shared" si="125"/>
        <v>1</v>
      </c>
      <c r="FR118" s="11">
        <f t="shared" si="543"/>
        <v>0</v>
      </c>
      <c r="FS118" s="11">
        <f t="shared" si="127"/>
        <v>0</v>
      </c>
      <c r="FT118" s="11">
        <f t="shared" si="128"/>
        <v>0</v>
      </c>
      <c r="FU118" s="11">
        <f t="shared" si="129"/>
        <v>0</v>
      </c>
      <c r="FV118" s="11">
        <f t="shared" si="130"/>
        <v>0</v>
      </c>
      <c r="FW118" s="11">
        <f t="shared" si="131"/>
        <v>0</v>
      </c>
      <c r="FX118" s="11">
        <f t="shared" si="132"/>
        <v>0</v>
      </c>
      <c r="FY118" s="11">
        <f t="shared" si="133"/>
        <v>0</v>
      </c>
      <c r="FZ118" s="11">
        <f t="shared" si="134"/>
        <v>0</v>
      </c>
      <c r="GA118" s="11">
        <f t="shared" si="135"/>
        <v>0</v>
      </c>
      <c r="GB118" s="11">
        <f t="shared" si="136"/>
        <v>0</v>
      </c>
      <c r="GC118" s="11">
        <f t="shared" si="137"/>
        <v>0</v>
      </c>
      <c r="GD118" s="11">
        <f t="shared" si="138"/>
        <v>0</v>
      </c>
      <c r="GE118" s="11">
        <f t="shared" si="139"/>
        <v>0</v>
      </c>
      <c r="GF118" s="11">
        <f t="shared" si="140"/>
        <v>0</v>
      </c>
      <c r="GG118" s="11">
        <f t="shared" si="141"/>
        <v>0</v>
      </c>
      <c r="GH118" s="11">
        <f t="shared" si="142"/>
        <v>0</v>
      </c>
      <c r="GI118" s="11">
        <f t="shared" si="143"/>
        <v>0</v>
      </c>
      <c r="GJ118" s="11">
        <f t="shared" si="144"/>
        <v>0</v>
      </c>
      <c r="GK118" s="11">
        <f t="shared" si="145"/>
        <v>1</v>
      </c>
      <c r="GL118" s="11">
        <f t="shared" si="146"/>
        <v>0</v>
      </c>
      <c r="GM118" s="11">
        <f t="shared" si="147"/>
        <v>0</v>
      </c>
      <c r="GN118" s="11">
        <f t="shared" si="148"/>
        <v>0</v>
      </c>
      <c r="GO118" s="11">
        <f t="shared" si="149"/>
        <v>0</v>
      </c>
      <c r="GP118" s="11">
        <f t="shared" si="150"/>
        <v>0</v>
      </c>
      <c r="GQ118" s="11">
        <f t="shared" si="151"/>
        <v>0</v>
      </c>
      <c r="GR118" s="11">
        <f t="shared" si="152"/>
        <v>1</v>
      </c>
      <c r="GS118" s="11">
        <f t="shared" si="153"/>
        <v>0</v>
      </c>
      <c r="GT118" s="11">
        <f t="shared" si="154"/>
        <v>0</v>
      </c>
      <c r="GU118" s="12">
        <f t="shared" si="155"/>
        <v>0</v>
      </c>
      <c r="GV118" s="12">
        <f t="shared" si="156"/>
        <v>0</v>
      </c>
      <c r="GW118" s="12">
        <f t="shared" si="157"/>
        <v>0</v>
      </c>
      <c r="GX118" s="12">
        <f t="shared" si="158"/>
        <v>0</v>
      </c>
      <c r="GY118" s="12">
        <f t="shared" si="159"/>
        <v>0</v>
      </c>
      <c r="GZ118" s="12">
        <f t="shared" si="160"/>
        <v>0</v>
      </c>
      <c r="HA118" s="12">
        <f t="shared" si="161"/>
        <v>0</v>
      </c>
      <c r="HB118" s="12">
        <f t="shared" si="162"/>
        <v>0</v>
      </c>
      <c r="HC118" s="12">
        <f t="shared" si="163"/>
        <v>0</v>
      </c>
      <c r="HD118" s="12">
        <f t="shared" si="164"/>
        <v>0</v>
      </c>
      <c r="HE118" s="12">
        <f t="shared" si="165"/>
        <v>0</v>
      </c>
      <c r="HF118" s="12">
        <f t="shared" si="166"/>
        <v>0</v>
      </c>
      <c r="HG118" s="12">
        <f t="shared" si="167"/>
        <v>0</v>
      </c>
      <c r="HH118" s="12">
        <f t="shared" si="168"/>
        <v>0</v>
      </c>
      <c r="HI118" s="12">
        <f t="shared" si="169"/>
        <v>0</v>
      </c>
      <c r="HJ118" s="12">
        <f t="shared" si="170"/>
        <v>0</v>
      </c>
      <c r="HK118" s="12">
        <f t="shared" si="171"/>
        <v>0</v>
      </c>
      <c r="HL118" s="12">
        <f t="shared" si="172"/>
        <v>0</v>
      </c>
      <c r="HM118" s="12">
        <f t="shared" si="173"/>
        <v>0</v>
      </c>
      <c r="HN118" s="12">
        <f t="shared" si="174"/>
        <v>0</v>
      </c>
      <c r="HO118" s="12">
        <f t="shared" si="175"/>
        <v>0</v>
      </c>
      <c r="HP118" s="12">
        <f t="shared" si="176"/>
        <v>0</v>
      </c>
      <c r="HQ118" s="12">
        <f t="shared" si="177"/>
        <v>0</v>
      </c>
      <c r="HR118" s="12">
        <f t="shared" si="178"/>
        <v>0</v>
      </c>
      <c r="HS118" s="12">
        <f t="shared" si="179"/>
        <v>0</v>
      </c>
      <c r="HT118" s="12">
        <f t="shared" si="180"/>
        <v>0</v>
      </c>
      <c r="HU118" s="12">
        <f t="shared" si="181"/>
        <v>0</v>
      </c>
      <c r="HV118" s="12">
        <f t="shared" si="182"/>
        <v>0</v>
      </c>
      <c r="HW118" s="12">
        <f t="shared" si="183"/>
        <v>0</v>
      </c>
      <c r="HX118" s="12">
        <f t="shared" si="184"/>
        <v>0</v>
      </c>
      <c r="HY118" s="12">
        <f t="shared" si="185"/>
        <v>0</v>
      </c>
      <c r="HZ118" s="12">
        <f t="shared" si="186"/>
        <v>0</v>
      </c>
      <c r="IA118" s="12">
        <f t="shared" si="187"/>
        <v>0</v>
      </c>
      <c r="IB118" s="12">
        <f t="shared" si="188"/>
        <v>0</v>
      </c>
      <c r="IC118" s="12">
        <f t="shared" si="189"/>
        <v>0</v>
      </c>
      <c r="ID118" s="12">
        <f t="shared" si="190"/>
        <v>0</v>
      </c>
      <c r="IE118" s="12">
        <f t="shared" si="191"/>
        <v>0</v>
      </c>
      <c r="IF118" s="12">
        <f t="shared" si="192"/>
        <v>0</v>
      </c>
      <c r="IG118" s="12">
        <f t="shared" si="193"/>
        <v>0</v>
      </c>
      <c r="IH118" s="12">
        <f t="shared" si="194"/>
        <v>0</v>
      </c>
      <c r="II118" s="12">
        <f t="shared" si="195"/>
        <v>0</v>
      </c>
      <c r="IJ118" s="12">
        <f t="shared" si="196"/>
        <v>0</v>
      </c>
      <c r="IK118" s="12">
        <f t="shared" si="197"/>
        <v>0</v>
      </c>
      <c r="IL118" s="12">
        <f t="shared" si="198"/>
        <v>0</v>
      </c>
      <c r="IM118" s="12">
        <f t="shared" si="199"/>
        <v>0</v>
      </c>
      <c r="IN118" s="12">
        <f t="shared" si="200"/>
        <v>0</v>
      </c>
      <c r="IO118" s="12">
        <f t="shared" si="201"/>
        <v>0</v>
      </c>
      <c r="IP118" s="12">
        <f t="shared" si="202"/>
        <v>0</v>
      </c>
      <c r="IQ118" s="12">
        <f t="shared" si="203"/>
        <v>0</v>
      </c>
      <c r="IR118" s="12">
        <f t="shared" si="204"/>
        <v>0</v>
      </c>
      <c r="IS118" s="12">
        <f t="shared" si="205"/>
        <v>0</v>
      </c>
      <c r="IT118" s="12">
        <f t="shared" si="206"/>
        <v>0</v>
      </c>
      <c r="IU118" s="12">
        <f t="shared" si="207"/>
        <v>0</v>
      </c>
      <c r="IV118" s="12">
        <f t="shared" si="208"/>
        <v>0</v>
      </c>
      <c r="IW118" s="12">
        <f t="shared" si="209"/>
        <v>0</v>
      </c>
      <c r="IX118" s="12">
        <f t="shared" si="210"/>
        <v>0</v>
      </c>
      <c r="IY118" s="12">
        <f t="shared" si="211"/>
        <v>0</v>
      </c>
      <c r="IZ118" s="12">
        <f t="shared" si="212"/>
        <v>1</v>
      </c>
      <c r="JA118" s="13">
        <f t="shared" si="213"/>
        <v>0</v>
      </c>
      <c r="JB118" s="13">
        <f t="shared" si="214"/>
        <v>0</v>
      </c>
      <c r="JC118" s="13">
        <f t="shared" si="215"/>
        <v>0</v>
      </c>
      <c r="JD118" s="13">
        <f t="shared" si="216"/>
        <v>0</v>
      </c>
      <c r="JE118" s="13">
        <f t="shared" si="217"/>
        <v>0</v>
      </c>
      <c r="JF118" s="13">
        <f t="shared" si="218"/>
        <v>0</v>
      </c>
      <c r="JG118" s="13">
        <f t="shared" si="219"/>
        <v>0</v>
      </c>
      <c r="JH118" s="13">
        <f t="shared" si="220"/>
        <v>0</v>
      </c>
      <c r="JI118" s="13">
        <f t="shared" si="221"/>
        <v>0</v>
      </c>
      <c r="JJ118" s="13">
        <f t="shared" si="222"/>
        <v>0</v>
      </c>
      <c r="JK118" s="13">
        <f t="shared" si="223"/>
        <v>0</v>
      </c>
      <c r="JL118" s="13">
        <f t="shared" si="224"/>
        <v>0</v>
      </c>
      <c r="JM118" s="13">
        <f t="shared" si="225"/>
        <v>0</v>
      </c>
      <c r="JN118" s="13">
        <f t="shared" si="226"/>
        <v>0</v>
      </c>
      <c r="JO118" s="13">
        <f t="shared" si="227"/>
        <v>0</v>
      </c>
      <c r="JP118" s="13">
        <f t="shared" si="228"/>
        <v>0</v>
      </c>
      <c r="JQ118" s="13">
        <f t="shared" si="229"/>
        <v>0</v>
      </c>
      <c r="JR118" s="13">
        <f t="shared" si="230"/>
        <v>0</v>
      </c>
      <c r="JS118" s="13">
        <f t="shared" si="231"/>
        <v>0</v>
      </c>
      <c r="JT118" s="13">
        <f t="shared" si="232"/>
        <v>0</v>
      </c>
      <c r="JU118" s="13">
        <f t="shared" si="233"/>
        <v>0</v>
      </c>
      <c r="JV118" s="12">
        <f t="shared" si="234"/>
        <v>0</v>
      </c>
      <c r="JW118" s="12">
        <f t="shared" si="235"/>
        <v>0</v>
      </c>
      <c r="JX118" s="12">
        <f t="shared" si="236"/>
        <v>0</v>
      </c>
      <c r="JY118" s="12">
        <f t="shared" si="237"/>
        <v>0</v>
      </c>
      <c r="JZ118" s="12">
        <f t="shared" si="238"/>
        <v>0</v>
      </c>
      <c r="KA118" s="12">
        <f t="shared" si="239"/>
        <v>0</v>
      </c>
      <c r="KB118" s="12">
        <f t="shared" si="240"/>
        <v>0</v>
      </c>
      <c r="KC118" s="12">
        <f t="shared" si="241"/>
        <v>0</v>
      </c>
      <c r="KD118" s="12">
        <f t="shared" si="242"/>
        <v>0</v>
      </c>
      <c r="KE118" s="12">
        <f t="shared" si="243"/>
        <v>0</v>
      </c>
      <c r="KF118" s="12">
        <f t="shared" si="244"/>
        <v>0</v>
      </c>
      <c r="KG118" s="12">
        <f t="shared" si="245"/>
        <v>0</v>
      </c>
      <c r="KH118" s="12">
        <f t="shared" si="246"/>
        <v>0</v>
      </c>
      <c r="KI118" s="12">
        <f t="shared" si="247"/>
        <v>0</v>
      </c>
      <c r="KJ118" s="12">
        <f t="shared" si="248"/>
        <v>0</v>
      </c>
      <c r="KK118" s="12">
        <f t="shared" si="249"/>
        <v>0</v>
      </c>
      <c r="KL118" s="12">
        <f t="shared" si="250"/>
        <v>0</v>
      </c>
      <c r="KM118" s="12">
        <f t="shared" si="251"/>
        <v>0</v>
      </c>
      <c r="KN118" s="12">
        <f t="shared" si="252"/>
        <v>0</v>
      </c>
      <c r="KO118" s="12">
        <f t="shared" si="253"/>
        <v>0</v>
      </c>
      <c r="KP118" s="12">
        <f t="shared" si="254"/>
        <v>0</v>
      </c>
      <c r="KQ118" s="12">
        <f t="shared" si="255"/>
        <v>0</v>
      </c>
      <c r="KR118" s="12">
        <f t="shared" si="256"/>
        <v>0</v>
      </c>
      <c r="KS118" s="12">
        <f t="shared" si="257"/>
        <v>0</v>
      </c>
      <c r="KT118" s="12">
        <f t="shared" si="258"/>
        <v>0</v>
      </c>
      <c r="KU118" s="12">
        <f t="shared" si="259"/>
        <v>0</v>
      </c>
      <c r="KV118" s="12">
        <f t="shared" si="260"/>
        <v>0</v>
      </c>
      <c r="KW118" s="12">
        <f t="shared" si="261"/>
        <v>0</v>
      </c>
      <c r="KX118" s="12">
        <f t="shared" si="262"/>
        <v>0</v>
      </c>
      <c r="KY118" s="12">
        <f t="shared" si="263"/>
        <v>0</v>
      </c>
      <c r="KZ118" s="12">
        <f t="shared" si="264"/>
        <v>0</v>
      </c>
      <c r="LA118" s="12">
        <f t="shared" si="265"/>
        <v>0</v>
      </c>
      <c r="LB118" s="12">
        <f t="shared" si="266"/>
        <v>0</v>
      </c>
      <c r="LC118" s="12">
        <f t="shared" si="267"/>
        <v>0</v>
      </c>
      <c r="LD118" s="12">
        <f t="shared" si="268"/>
        <v>0</v>
      </c>
      <c r="LE118" s="12">
        <f t="shared" si="269"/>
        <v>0</v>
      </c>
      <c r="LF118" s="12">
        <f t="shared" si="270"/>
        <v>0</v>
      </c>
      <c r="LG118" s="12">
        <f t="shared" si="271"/>
        <v>0</v>
      </c>
      <c r="LH118" s="12">
        <f t="shared" si="272"/>
        <v>0</v>
      </c>
      <c r="LI118" s="12">
        <f t="shared" si="273"/>
        <v>0</v>
      </c>
      <c r="LJ118" s="12">
        <f t="shared" si="274"/>
        <v>0</v>
      </c>
      <c r="LK118" s="12">
        <f t="shared" si="275"/>
        <v>0</v>
      </c>
      <c r="LL118" s="12">
        <f t="shared" si="276"/>
        <v>0</v>
      </c>
      <c r="LM118" s="12">
        <f t="shared" si="277"/>
        <v>0</v>
      </c>
      <c r="LN118" s="12">
        <f t="shared" si="278"/>
        <v>0</v>
      </c>
      <c r="LO118" s="12">
        <f t="shared" si="279"/>
        <v>0</v>
      </c>
      <c r="LP118" s="12">
        <f t="shared" si="280"/>
        <v>0</v>
      </c>
      <c r="LQ118" s="12">
        <f t="shared" si="281"/>
        <v>0</v>
      </c>
      <c r="LR118" s="12">
        <f t="shared" si="282"/>
        <v>0</v>
      </c>
      <c r="LS118" s="12">
        <f t="shared" si="283"/>
        <v>0</v>
      </c>
      <c r="LT118" s="13">
        <f t="shared" si="284"/>
        <v>0</v>
      </c>
      <c r="LU118" s="13">
        <f t="shared" si="285"/>
        <v>0</v>
      </c>
      <c r="LV118" s="13">
        <f t="shared" si="286"/>
        <v>0</v>
      </c>
      <c r="LW118" s="13">
        <f t="shared" si="287"/>
        <v>0</v>
      </c>
      <c r="LX118" s="13">
        <f t="shared" si="288"/>
        <v>0</v>
      </c>
      <c r="LY118" s="13">
        <f t="shared" si="289"/>
        <v>0</v>
      </c>
      <c r="LZ118" s="13">
        <f t="shared" si="290"/>
        <v>0</v>
      </c>
      <c r="MA118" s="13">
        <f t="shared" si="291"/>
        <v>0</v>
      </c>
      <c r="MB118" s="13">
        <f t="shared" si="292"/>
        <v>0</v>
      </c>
      <c r="MC118" s="13">
        <f t="shared" si="293"/>
        <v>0</v>
      </c>
      <c r="MD118" s="13">
        <f t="shared" si="294"/>
        <v>0</v>
      </c>
      <c r="ME118" s="13">
        <f t="shared" si="295"/>
        <v>0</v>
      </c>
      <c r="MF118" s="13">
        <f t="shared" si="296"/>
        <v>0</v>
      </c>
      <c r="MG118" s="13">
        <f t="shared" si="297"/>
        <v>0</v>
      </c>
      <c r="MH118" s="13">
        <f t="shared" si="298"/>
        <v>0</v>
      </c>
      <c r="MI118" s="13">
        <f t="shared" si="299"/>
        <v>0</v>
      </c>
      <c r="MJ118" s="13">
        <f t="shared" si="300"/>
        <v>0</v>
      </c>
      <c r="MK118" s="13">
        <f t="shared" si="301"/>
        <v>0</v>
      </c>
      <c r="ML118" s="14">
        <f t="shared" si="302"/>
        <v>0</v>
      </c>
      <c r="MM118" s="14">
        <f t="shared" si="303"/>
        <v>0</v>
      </c>
      <c r="MN118" s="14">
        <f t="shared" si="304"/>
        <v>0</v>
      </c>
      <c r="MO118" s="14">
        <f t="shared" si="305"/>
        <v>0</v>
      </c>
      <c r="MP118" s="14">
        <f t="shared" si="306"/>
        <v>0</v>
      </c>
      <c r="MQ118" s="14">
        <f t="shared" si="307"/>
        <v>0</v>
      </c>
      <c r="MR118" s="14">
        <f t="shared" si="308"/>
        <v>0</v>
      </c>
      <c r="MS118" s="14">
        <f t="shared" si="309"/>
        <v>0</v>
      </c>
      <c r="MT118" s="14">
        <f t="shared" si="310"/>
        <v>0</v>
      </c>
      <c r="MU118" s="14">
        <f t="shared" si="311"/>
        <v>0</v>
      </c>
      <c r="MV118" s="14">
        <f t="shared" si="312"/>
        <v>0</v>
      </c>
      <c r="MW118" s="14">
        <f t="shared" si="313"/>
        <v>0</v>
      </c>
      <c r="MX118" s="14">
        <f t="shared" si="314"/>
        <v>0</v>
      </c>
      <c r="MY118" s="14">
        <f t="shared" si="315"/>
        <v>0</v>
      </c>
      <c r="MZ118" s="14">
        <f t="shared" si="316"/>
        <v>0</v>
      </c>
      <c r="NA118" s="14">
        <f t="shared" si="317"/>
        <v>0</v>
      </c>
      <c r="NB118" s="14">
        <f t="shared" si="318"/>
        <v>0</v>
      </c>
    </row>
    <row r="119" ht="15.75" customHeight="1">
      <c r="A119" s="2">
        <v>120.0</v>
      </c>
      <c r="B119" s="2" t="s">
        <v>2385</v>
      </c>
      <c r="C119" s="2" t="s">
        <v>2386</v>
      </c>
      <c r="D119" s="2" t="s">
        <v>2387</v>
      </c>
      <c r="E119" s="2">
        <v>2021.0</v>
      </c>
      <c r="F119" s="2" t="s">
        <v>1311</v>
      </c>
      <c r="G119" s="2" t="s">
        <v>603</v>
      </c>
      <c r="H119" s="2" t="s">
        <v>392</v>
      </c>
      <c r="I119" s="2" t="s">
        <v>2388</v>
      </c>
      <c r="M119" s="2">
        <v>6.0</v>
      </c>
      <c r="N119" s="2" t="s">
        <v>2389</v>
      </c>
      <c r="O119" s="2" t="s">
        <v>2390</v>
      </c>
      <c r="P119" s="2" t="s">
        <v>2391</v>
      </c>
      <c r="Q119" s="2" t="s">
        <v>2392</v>
      </c>
      <c r="R119" s="2" t="s">
        <v>2393</v>
      </c>
      <c r="S119" s="2" t="s">
        <v>2394</v>
      </c>
      <c r="T119" s="2" t="s">
        <v>2395</v>
      </c>
      <c r="Y119" s="2" t="s">
        <v>2396</v>
      </c>
      <c r="AB119" s="2" t="s">
        <v>1321</v>
      </c>
      <c r="AG119" s="2" t="s">
        <v>1322</v>
      </c>
      <c r="AK119" s="2" t="s">
        <v>1323</v>
      </c>
      <c r="AL119" s="2" t="s">
        <v>384</v>
      </c>
      <c r="AM119" s="2" t="s">
        <v>650</v>
      </c>
      <c r="AN119" s="2" t="s">
        <v>386</v>
      </c>
      <c r="AO119" s="2" t="s">
        <v>2397</v>
      </c>
      <c r="AP119" s="2" t="s">
        <v>386</v>
      </c>
      <c r="AQ119" s="2">
        <v>399.0</v>
      </c>
      <c r="AR119" s="2" t="s">
        <v>2398</v>
      </c>
      <c r="AS119" s="2" t="b">
        <v>1</v>
      </c>
      <c r="AT119" s="3">
        <v>0.0</v>
      </c>
      <c r="AU119" s="4"/>
      <c r="AV119" s="4">
        <v>1.0</v>
      </c>
      <c r="AW119" s="5">
        <f t="shared" si="432"/>
        <v>0</v>
      </c>
      <c r="AX119" s="5">
        <f t="shared" si="4"/>
        <v>0</v>
      </c>
      <c r="AY119" s="5">
        <f t="shared" si="5"/>
        <v>0</v>
      </c>
      <c r="AZ119" s="5">
        <f t="shared" si="6"/>
        <v>0</v>
      </c>
      <c r="BA119" s="5">
        <f t="shared" si="7"/>
        <v>0</v>
      </c>
      <c r="BB119" s="5">
        <f t="shared" si="8"/>
        <v>0</v>
      </c>
      <c r="BC119" s="5">
        <f t="shared" si="9"/>
        <v>0</v>
      </c>
      <c r="BD119" s="5">
        <f t="shared" si="10"/>
        <v>0</v>
      </c>
      <c r="BE119" s="5">
        <f t="shared" si="11"/>
        <v>0</v>
      </c>
      <c r="BF119" s="5">
        <f t="shared" si="12"/>
        <v>0</v>
      </c>
      <c r="BG119" s="5">
        <f t="shared" si="13"/>
        <v>0</v>
      </c>
      <c r="BH119" s="5">
        <f t="shared" si="14"/>
        <v>0</v>
      </c>
      <c r="BI119" s="5">
        <f t="shared" si="15"/>
        <v>0</v>
      </c>
      <c r="BJ119" s="5">
        <f t="shared" si="16"/>
        <v>0</v>
      </c>
      <c r="BK119" s="5">
        <f t="shared" si="17"/>
        <v>0</v>
      </c>
      <c r="BL119" s="5">
        <f t="shared" si="18"/>
        <v>0</v>
      </c>
      <c r="BM119" s="5">
        <f t="shared" si="19"/>
        <v>0</v>
      </c>
      <c r="BN119" s="5">
        <f t="shared" si="20"/>
        <v>0</v>
      </c>
      <c r="BO119" s="5">
        <f t="shared" si="21"/>
        <v>0</v>
      </c>
      <c r="BP119" s="5">
        <f t="shared" si="22"/>
        <v>0</v>
      </c>
      <c r="BQ119" s="5">
        <f t="shared" si="23"/>
        <v>0</v>
      </c>
      <c r="BR119" s="5">
        <f t="shared" si="24"/>
        <v>0</v>
      </c>
      <c r="BS119" s="5">
        <f t="shared" si="25"/>
        <v>0</v>
      </c>
      <c r="BT119" s="5">
        <f t="shared" si="26"/>
        <v>0</v>
      </c>
      <c r="BU119" s="5">
        <f t="shared" si="27"/>
        <v>0</v>
      </c>
      <c r="BV119" s="5">
        <f t="shared" ref="BV119:BW119" si="583">IF(OR(ISNUMBER(SEARCH("grit",$D119)),ISNUMBER(SEARCH("grit",$T119)),ISNUMBER(SEARCH("grit",$R119)),ISNUMBER(SEARCH("grit",$S119)),
ISNUMBER(SEARCH("determination",$D119)),ISNUMBER(SEARCH("determination",$T119)),ISNUMBER(SEARCH("determination",$R119)),ISNUMBER(SEARCH("determination",$S119)),
ISNUMBER(SEARCH("tenacity",$D119)),ISNUMBER(SEARCH("tenacity",$T119)),ISNUMBER(SEARCH("tenacity",$R119)),ISNUMBER(SEARCH("tenacity",$S119)),
ISNUMBER(SEARCH("endurance",$D119)),ISNUMBER(SEARCH("endurance",$T119)),ISNUMBER(SEARCH("endurance",$R119)),ISNUMBER(SEARCH("endurance",$S119)),
ISNUMBER(SEARCH("fortitude",$D119)),ISNUMBER(SEARCH("fortitude",$T119)),ISNUMBER(SEARCH("fortitude",$R119)),ISNUMBER(SEARCH("fortitude",$S119)),
ISNUMBER(SEARCH("resolve",$D119)),ISNUMBER(SEARCH("resolve",$T119)),ISNUMBER(SEARCH("resolve",$R119)),ISNUMBER(SEARCH("resolve",$S119)),
ISNUMBER(SEARCH("stamina",$D119)),ISNUMBER(SEARCH("stamina",$T119)),ISNUMBER(SEARCH("stamina",$R119)),ISNUMBER(SEARCH("stamina",$S119)),
ISNUMBER(SEARCH("guts",$D119)),ISNUMBER(SEARCH("guts",$T119)),ISNUMBER(SEARCH("guts",$R119)),ISNUMBER(SEARCH("guts",$S119)),
ISNUMBER(SEARCH("spunk",$D119)),ISNUMBER(SEARCH("spunk",$T119)),ISNUMBER(SEARCH("spunk",$R119)),ISNUMBER(SEARCH("spunk",$S119))), 1, 0)</f>
        <v>0</v>
      </c>
      <c r="BW119" s="5">
        <f t="shared" si="583"/>
        <v>0</v>
      </c>
      <c r="BX119" s="5">
        <f t="shared" si="29"/>
        <v>0</v>
      </c>
      <c r="BY119" s="5">
        <f t="shared" si="30"/>
        <v>0</v>
      </c>
      <c r="BZ119" s="5">
        <f t="shared" si="31"/>
        <v>0</v>
      </c>
      <c r="CA119" s="5">
        <f t="shared" si="32"/>
        <v>0</v>
      </c>
      <c r="CB119" s="5">
        <f t="shared" si="33"/>
        <v>0</v>
      </c>
      <c r="CC119" s="5">
        <f t="shared" si="34"/>
        <v>0</v>
      </c>
      <c r="CD119" s="5">
        <f t="shared" si="35"/>
        <v>0</v>
      </c>
      <c r="CE119" s="5">
        <f t="shared" si="36"/>
        <v>0</v>
      </c>
      <c r="CF119" s="5">
        <f t="shared" si="37"/>
        <v>0</v>
      </c>
      <c r="CG119" s="5">
        <f t="shared" si="38"/>
        <v>0</v>
      </c>
      <c r="CH119" s="5">
        <f t="shared" si="39"/>
        <v>0</v>
      </c>
      <c r="CI119" s="5">
        <f t="shared" si="40"/>
        <v>0</v>
      </c>
      <c r="CJ119" s="5">
        <f t="shared" si="41"/>
        <v>0</v>
      </c>
      <c r="CK119" s="5">
        <f t="shared" si="42"/>
        <v>0</v>
      </c>
      <c r="CL119" s="5">
        <f t="shared" si="43"/>
        <v>0</v>
      </c>
      <c r="CM119" s="5">
        <f t="shared" si="44"/>
        <v>0</v>
      </c>
      <c r="CN119" s="5">
        <f t="shared" si="45"/>
        <v>0</v>
      </c>
      <c r="CO119" s="5">
        <f t="shared" si="46"/>
        <v>0</v>
      </c>
      <c r="CP119" s="6">
        <f t="shared" si="47"/>
        <v>0</v>
      </c>
      <c r="CQ119" s="6">
        <f t="shared" si="48"/>
        <v>0</v>
      </c>
      <c r="CR119" s="6">
        <f t="shared" si="49"/>
        <v>0</v>
      </c>
      <c r="CS119" s="6">
        <f t="shared" si="50"/>
        <v>0</v>
      </c>
      <c r="CT119" s="6">
        <f t="shared" si="584"/>
        <v>0</v>
      </c>
      <c r="CU119" s="6">
        <f t="shared" si="52"/>
        <v>0</v>
      </c>
      <c r="CV119" s="6">
        <f t="shared" si="53"/>
        <v>0</v>
      </c>
      <c r="CW119" s="6">
        <f t="shared" si="54"/>
        <v>0</v>
      </c>
      <c r="CX119" s="6">
        <f t="shared" si="55"/>
        <v>0</v>
      </c>
      <c r="CY119" s="6">
        <f t="shared" si="56"/>
        <v>0</v>
      </c>
      <c r="CZ119" s="6">
        <f t="shared" si="57"/>
        <v>1</v>
      </c>
      <c r="DA119" s="6">
        <f t="shared" si="58"/>
        <v>0</v>
      </c>
      <c r="DB119" s="6">
        <f t="shared" si="59"/>
        <v>0</v>
      </c>
      <c r="DC119" s="6">
        <f t="shared" si="60"/>
        <v>0</v>
      </c>
      <c r="DD119" s="6">
        <f t="shared" si="61"/>
        <v>0</v>
      </c>
      <c r="DE119" s="6">
        <f t="shared" si="62"/>
        <v>0</v>
      </c>
      <c r="DF119" s="6">
        <f t="shared" si="63"/>
        <v>0</v>
      </c>
      <c r="DG119" s="6">
        <f t="shared" si="64"/>
        <v>0</v>
      </c>
      <c r="DH119" s="6">
        <f t="shared" si="579"/>
        <v>0</v>
      </c>
      <c r="DI119" s="6">
        <f t="shared" si="66"/>
        <v>0</v>
      </c>
      <c r="DJ119" s="6">
        <f t="shared" si="574"/>
        <v>0</v>
      </c>
      <c r="DK119" s="7">
        <f t="shared" si="68"/>
        <v>0</v>
      </c>
      <c r="DL119" s="7">
        <f t="shared" si="498"/>
        <v>0</v>
      </c>
      <c r="DM119" s="7">
        <f t="shared" si="70"/>
        <v>0</v>
      </c>
      <c r="DN119" s="7">
        <f t="shared" si="71"/>
        <v>0</v>
      </c>
      <c r="DO119" s="7">
        <f t="shared" si="72"/>
        <v>0</v>
      </c>
      <c r="DP119" s="8">
        <f t="shared" si="73"/>
        <v>0</v>
      </c>
      <c r="DQ119" s="8">
        <f t="shared" si="74"/>
        <v>1</v>
      </c>
      <c r="DR119" s="7">
        <f t="shared" si="75"/>
        <v>0</v>
      </c>
      <c r="DS119" s="7">
        <f t="shared" si="76"/>
        <v>0</v>
      </c>
      <c r="DT119" s="7">
        <f t="shared" si="77"/>
        <v>0</v>
      </c>
      <c r="DU119" s="9">
        <f t="shared" si="78"/>
        <v>0</v>
      </c>
      <c r="DV119" s="9">
        <f t="shared" si="79"/>
        <v>0</v>
      </c>
      <c r="DW119" s="9">
        <f t="shared" si="80"/>
        <v>0</v>
      </c>
      <c r="DX119" s="9">
        <f t="shared" si="81"/>
        <v>0</v>
      </c>
      <c r="DY119" s="9">
        <f t="shared" si="82"/>
        <v>0</v>
      </c>
      <c r="DZ119" s="9">
        <f t="shared" si="83"/>
        <v>0</v>
      </c>
      <c r="EA119" s="9">
        <f t="shared" si="84"/>
        <v>0</v>
      </c>
      <c r="EB119" s="9">
        <f t="shared" si="85"/>
        <v>0</v>
      </c>
      <c r="EC119" s="9">
        <f t="shared" si="86"/>
        <v>0</v>
      </c>
      <c r="ED119" s="9">
        <f t="shared" si="87"/>
        <v>0</v>
      </c>
      <c r="EE119" s="9">
        <f t="shared" si="88"/>
        <v>0</v>
      </c>
      <c r="EF119" s="9">
        <f t="shared" si="89"/>
        <v>0</v>
      </c>
      <c r="EG119" s="9">
        <f t="shared" si="90"/>
        <v>0</v>
      </c>
      <c r="EH119" s="9">
        <f t="shared" si="91"/>
        <v>0</v>
      </c>
      <c r="EI119" s="9">
        <f t="shared" si="92"/>
        <v>0</v>
      </c>
      <c r="EJ119" s="10">
        <f t="shared" si="93"/>
        <v>0</v>
      </c>
      <c r="EK119" s="10">
        <f t="shared" si="94"/>
        <v>0</v>
      </c>
      <c r="EL119" s="10">
        <f t="shared" ref="EL119:EM119" si="585">IF(OR(ISNUMBER(SEARCH("ai software toolkit", $D119)), ISNUMBER(SEARCH("ai software toolkit", $T119)), ISNUMBER(SEARCH("ai software toolkit", $R119)), ISNUMBER(SEARCH("ai software toolkit", $S119))), 1, 0)</f>
        <v>0</v>
      </c>
      <c r="EM119" s="10">
        <f t="shared" si="585"/>
        <v>0</v>
      </c>
      <c r="EN119" s="10">
        <f t="shared" si="96"/>
        <v>0</v>
      </c>
      <c r="EO119" s="10">
        <f t="shared" si="97"/>
        <v>0</v>
      </c>
      <c r="EP119" s="10">
        <f t="shared" si="98"/>
        <v>0</v>
      </c>
      <c r="EQ119" s="10">
        <f t="shared" si="99"/>
        <v>0</v>
      </c>
      <c r="ER119" s="10">
        <f t="shared" si="100"/>
        <v>0</v>
      </c>
      <c r="ES119" s="10">
        <f t="shared" si="101"/>
        <v>0</v>
      </c>
      <c r="ET119" s="10">
        <f t="shared" si="102"/>
        <v>0</v>
      </c>
      <c r="EU119" s="10">
        <f t="shared" si="103"/>
        <v>0</v>
      </c>
      <c r="EV119" s="10">
        <f t="shared" si="104"/>
        <v>0</v>
      </c>
      <c r="EW119" s="10">
        <f t="shared" si="105"/>
        <v>0</v>
      </c>
      <c r="EX119" s="10">
        <f t="shared" si="106"/>
        <v>0</v>
      </c>
      <c r="EY119" s="10">
        <f t="shared" si="107"/>
        <v>0</v>
      </c>
      <c r="EZ119" s="10">
        <f t="shared" si="108"/>
        <v>0</v>
      </c>
      <c r="FA119" s="10">
        <f t="shared" si="109"/>
        <v>0</v>
      </c>
      <c r="FB119" s="10">
        <f t="shared" si="110"/>
        <v>0</v>
      </c>
      <c r="FC119" s="10">
        <f t="shared" si="111"/>
        <v>0</v>
      </c>
      <c r="FD119" s="10">
        <f t="shared" si="112"/>
        <v>0</v>
      </c>
      <c r="FE119" s="10">
        <f t="shared" si="113"/>
        <v>0</v>
      </c>
      <c r="FF119" s="10">
        <f t="shared" si="114"/>
        <v>0</v>
      </c>
      <c r="FG119" s="10">
        <f t="shared" si="115"/>
        <v>0</v>
      </c>
      <c r="FH119" s="10">
        <f t="shared" si="116"/>
        <v>0</v>
      </c>
      <c r="FI119" s="10">
        <f t="shared" si="117"/>
        <v>0</v>
      </c>
      <c r="FJ119" s="10">
        <f t="shared" si="118"/>
        <v>0</v>
      </c>
      <c r="FK119" s="10">
        <f t="shared" si="119"/>
        <v>0</v>
      </c>
      <c r="FL119" s="10">
        <f t="shared" si="120"/>
        <v>0</v>
      </c>
      <c r="FM119" s="10">
        <f t="shared" si="121"/>
        <v>0</v>
      </c>
      <c r="FN119" s="10">
        <f t="shared" si="122"/>
        <v>0</v>
      </c>
      <c r="FO119" s="10">
        <f t="shared" si="123"/>
        <v>0</v>
      </c>
      <c r="FP119" s="10">
        <f t="shared" si="124"/>
        <v>0</v>
      </c>
      <c r="FQ119" s="10">
        <f t="shared" si="125"/>
        <v>1</v>
      </c>
      <c r="FR119" s="11">
        <f t="shared" si="543"/>
        <v>0</v>
      </c>
      <c r="FS119" s="11">
        <f t="shared" si="127"/>
        <v>0</v>
      </c>
      <c r="FT119" s="11">
        <f t="shared" si="128"/>
        <v>0</v>
      </c>
      <c r="FU119" s="11">
        <f t="shared" si="129"/>
        <v>0</v>
      </c>
      <c r="FV119" s="11">
        <f t="shared" si="130"/>
        <v>0</v>
      </c>
      <c r="FW119" s="11">
        <f t="shared" si="131"/>
        <v>0</v>
      </c>
      <c r="FX119" s="11">
        <f t="shared" si="132"/>
        <v>0</v>
      </c>
      <c r="FY119" s="11">
        <f t="shared" si="133"/>
        <v>0</v>
      </c>
      <c r="FZ119" s="11">
        <f t="shared" si="134"/>
        <v>0</v>
      </c>
      <c r="GA119" s="11">
        <f t="shared" si="135"/>
        <v>0</v>
      </c>
      <c r="GB119" s="11">
        <f t="shared" si="136"/>
        <v>0</v>
      </c>
      <c r="GC119" s="11">
        <f t="shared" si="137"/>
        <v>0</v>
      </c>
      <c r="GD119" s="11">
        <f t="shared" si="138"/>
        <v>0</v>
      </c>
      <c r="GE119" s="11">
        <f t="shared" si="139"/>
        <v>0</v>
      </c>
      <c r="GF119" s="11">
        <f t="shared" si="140"/>
        <v>0</v>
      </c>
      <c r="GG119" s="11">
        <f t="shared" si="141"/>
        <v>0</v>
      </c>
      <c r="GH119" s="11">
        <f t="shared" si="142"/>
        <v>0</v>
      </c>
      <c r="GI119" s="11">
        <f t="shared" si="143"/>
        <v>0</v>
      </c>
      <c r="GJ119" s="11">
        <f t="shared" si="144"/>
        <v>0</v>
      </c>
      <c r="GK119" s="11">
        <f t="shared" si="145"/>
        <v>0</v>
      </c>
      <c r="GL119" s="11">
        <f t="shared" si="146"/>
        <v>0</v>
      </c>
      <c r="GM119" s="11">
        <f t="shared" si="147"/>
        <v>0</v>
      </c>
      <c r="GN119" s="11">
        <f t="shared" si="148"/>
        <v>0</v>
      </c>
      <c r="GO119" s="11">
        <f t="shared" si="149"/>
        <v>0</v>
      </c>
      <c r="GP119" s="11">
        <f t="shared" si="150"/>
        <v>0</v>
      </c>
      <c r="GQ119" s="11">
        <f t="shared" si="151"/>
        <v>0</v>
      </c>
      <c r="GR119" s="11">
        <f t="shared" si="152"/>
        <v>1</v>
      </c>
      <c r="GS119" s="11">
        <f t="shared" si="153"/>
        <v>0</v>
      </c>
      <c r="GT119" s="11">
        <f t="shared" si="154"/>
        <v>0</v>
      </c>
      <c r="GU119" s="12">
        <f t="shared" si="155"/>
        <v>0</v>
      </c>
      <c r="GV119" s="12">
        <f t="shared" si="156"/>
        <v>0</v>
      </c>
      <c r="GW119" s="12">
        <f t="shared" si="157"/>
        <v>0</v>
      </c>
      <c r="GX119" s="12">
        <f t="shared" si="158"/>
        <v>0</v>
      </c>
      <c r="GY119" s="12">
        <f t="shared" si="159"/>
        <v>0</v>
      </c>
      <c r="GZ119" s="12">
        <f t="shared" si="160"/>
        <v>0</v>
      </c>
      <c r="HA119" s="12">
        <f t="shared" si="161"/>
        <v>0</v>
      </c>
      <c r="HB119" s="12">
        <f t="shared" si="162"/>
        <v>0</v>
      </c>
      <c r="HC119" s="12">
        <f t="shared" si="163"/>
        <v>0</v>
      </c>
      <c r="HD119" s="12">
        <f t="shared" si="164"/>
        <v>0</v>
      </c>
      <c r="HE119" s="12">
        <f t="shared" si="165"/>
        <v>0</v>
      </c>
      <c r="HF119" s="12">
        <f t="shared" si="166"/>
        <v>0</v>
      </c>
      <c r="HG119" s="12">
        <f t="shared" si="167"/>
        <v>0</v>
      </c>
      <c r="HH119" s="12">
        <f t="shared" si="168"/>
        <v>0</v>
      </c>
      <c r="HI119" s="12">
        <f t="shared" si="169"/>
        <v>0</v>
      </c>
      <c r="HJ119" s="12">
        <f t="shared" si="170"/>
        <v>0</v>
      </c>
      <c r="HK119" s="12">
        <f t="shared" si="171"/>
        <v>0</v>
      </c>
      <c r="HL119" s="12">
        <f t="shared" si="172"/>
        <v>0</v>
      </c>
      <c r="HM119" s="12">
        <f t="shared" si="173"/>
        <v>0</v>
      </c>
      <c r="HN119" s="12">
        <f t="shared" si="174"/>
        <v>0</v>
      </c>
      <c r="HO119" s="12">
        <f t="shared" si="175"/>
        <v>0</v>
      </c>
      <c r="HP119" s="12">
        <f t="shared" si="176"/>
        <v>0</v>
      </c>
      <c r="HQ119" s="12">
        <f t="shared" si="177"/>
        <v>0</v>
      </c>
      <c r="HR119" s="12">
        <f t="shared" si="178"/>
        <v>0</v>
      </c>
      <c r="HS119" s="12">
        <f t="shared" si="179"/>
        <v>0</v>
      </c>
      <c r="HT119" s="12">
        <f t="shared" si="180"/>
        <v>0</v>
      </c>
      <c r="HU119" s="12">
        <f t="shared" si="181"/>
        <v>0</v>
      </c>
      <c r="HV119" s="12">
        <f t="shared" si="182"/>
        <v>0</v>
      </c>
      <c r="HW119" s="12">
        <f t="shared" si="183"/>
        <v>0</v>
      </c>
      <c r="HX119" s="12">
        <f t="shared" si="184"/>
        <v>0</v>
      </c>
      <c r="HY119" s="12">
        <f t="shared" si="185"/>
        <v>0</v>
      </c>
      <c r="HZ119" s="12">
        <f t="shared" si="186"/>
        <v>0</v>
      </c>
      <c r="IA119" s="12">
        <f t="shared" si="187"/>
        <v>0</v>
      </c>
      <c r="IB119" s="12">
        <f t="shared" si="188"/>
        <v>0</v>
      </c>
      <c r="IC119" s="12">
        <f t="shared" si="189"/>
        <v>0</v>
      </c>
      <c r="ID119" s="12">
        <f t="shared" si="190"/>
        <v>0</v>
      </c>
      <c r="IE119" s="12">
        <f t="shared" si="191"/>
        <v>0</v>
      </c>
      <c r="IF119" s="12">
        <f t="shared" si="192"/>
        <v>0</v>
      </c>
      <c r="IG119" s="12">
        <f t="shared" si="193"/>
        <v>0</v>
      </c>
      <c r="IH119" s="12">
        <f t="shared" si="194"/>
        <v>0</v>
      </c>
      <c r="II119" s="12">
        <f t="shared" si="195"/>
        <v>0</v>
      </c>
      <c r="IJ119" s="12">
        <f t="shared" si="196"/>
        <v>0</v>
      </c>
      <c r="IK119" s="12">
        <f t="shared" si="197"/>
        <v>0</v>
      </c>
      <c r="IL119" s="12">
        <f t="shared" si="198"/>
        <v>0</v>
      </c>
      <c r="IM119" s="12">
        <f t="shared" si="199"/>
        <v>0</v>
      </c>
      <c r="IN119" s="12">
        <f t="shared" si="200"/>
        <v>0</v>
      </c>
      <c r="IO119" s="12">
        <f t="shared" si="201"/>
        <v>0</v>
      </c>
      <c r="IP119" s="12">
        <f t="shared" si="202"/>
        <v>0</v>
      </c>
      <c r="IQ119" s="12">
        <f t="shared" si="203"/>
        <v>0</v>
      </c>
      <c r="IR119" s="12">
        <f t="shared" si="204"/>
        <v>0</v>
      </c>
      <c r="IS119" s="12">
        <f t="shared" si="205"/>
        <v>0</v>
      </c>
      <c r="IT119" s="12">
        <f t="shared" si="206"/>
        <v>0</v>
      </c>
      <c r="IU119" s="12">
        <f t="shared" si="207"/>
        <v>0</v>
      </c>
      <c r="IV119" s="12">
        <f t="shared" si="208"/>
        <v>0</v>
      </c>
      <c r="IW119" s="12">
        <f t="shared" si="209"/>
        <v>0</v>
      </c>
      <c r="IX119" s="12">
        <f t="shared" si="210"/>
        <v>0</v>
      </c>
      <c r="IY119" s="12">
        <f t="shared" si="211"/>
        <v>0</v>
      </c>
      <c r="IZ119" s="12">
        <f t="shared" si="212"/>
        <v>0</v>
      </c>
      <c r="JA119" s="13">
        <f t="shared" si="213"/>
        <v>0</v>
      </c>
      <c r="JB119" s="13">
        <f t="shared" si="214"/>
        <v>0</v>
      </c>
      <c r="JC119" s="13">
        <f t="shared" si="215"/>
        <v>0</v>
      </c>
      <c r="JD119" s="13">
        <f t="shared" si="216"/>
        <v>0</v>
      </c>
      <c r="JE119" s="13">
        <f t="shared" si="217"/>
        <v>0</v>
      </c>
      <c r="JF119" s="13">
        <f t="shared" si="218"/>
        <v>0</v>
      </c>
      <c r="JG119" s="13">
        <f t="shared" si="219"/>
        <v>0</v>
      </c>
      <c r="JH119" s="13">
        <f t="shared" si="220"/>
        <v>0</v>
      </c>
      <c r="JI119" s="13">
        <f t="shared" si="221"/>
        <v>0</v>
      </c>
      <c r="JJ119" s="13">
        <f t="shared" si="222"/>
        <v>0</v>
      </c>
      <c r="JK119" s="13">
        <f t="shared" si="223"/>
        <v>0</v>
      </c>
      <c r="JL119" s="13">
        <f t="shared" si="224"/>
        <v>0</v>
      </c>
      <c r="JM119" s="13">
        <f t="shared" si="225"/>
        <v>0</v>
      </c>
      <c r="JN119" s="13">
        <f t="shared" si="226"/>
        <v>0</v>
      </c>
      <c r="JO119" s="13">
        <f t="shared" si="227"/>
        <v>0</v>
      </c>
      <c r="JP119" s="13">
        <f t="shared" si="228"/>
        <v>0</v>
      </c>
      <c r="JQ119" s="13">
        <f t="shared" si="229"/>
        <v>0</v>
      </c>
      <c r="JR119" s="13">
        <f t="shared" si="230"/>
        <v>0</v>
      </c>
      <c r="JS119" s="13">
        <f t="shared" si="231"/>
        <v>0</v>
      </c>
      <c r="JT119" s="13">
        <f t="shared" si="232"/>
        <v>0</v>
      </c>
      <c r="JU119" s="13">
        <f t="shared" si="233"/>
        <v>0</v>
      </c>
      <c r="JV119" s="12">
        <f t="shared" si="234"/>
        <v>0</v>
      </c>
      <c r="JW119" s="12">
        <f t="shared" si="235"/>
        <v>0</v>
      </c>
      <c r="JX119" s="12">
        <f t="shared" si="236"/>
        <v>0</v>
      </c>
      <c r="JY119" s="12">
        <f t="shared" si="237"/>
        <v>0</v>
      </c>
      <c r="JZ119" s="12">
        <f t="shared" si="238"/>
        <v>0</v>
      </c>
      <c r="KA119" s="12">
        <f t="shared" si="239"/>
        <v>0</v>
      </c>
      <c r="KB119" s="12">
        <f t="shared" si="240"/>
        <v>0</v>
      </c>
      <c r="KC119" s="12">
        <f t="shared" si="241"/>
        <v>0</v>
      </c>
      <c r="KD119" s="12">
        <f t="shared" si="242"/>
        <v>0</v>
      </c>
      <c r="KE119" s="12">
        <f t="shared" si="243"/>
        <v>0</v>
      </c>
      <c r="KF119" s="12">
        <f t="shared" si="244"/>
        <v>0</v>
      </c>
      <c r="KG119" s="12">
        <f t="shared" si="245"/>
        <v>0</v>
      </c>
      <c r="KH119" s="12">
        <f t="shared" si="246"/>
        <v>0</v>
      </c>
      <c r="KI119" s="12">
        <f t="shared" si="247"/>
        <v>0</v>
      </c>
      <c r="KJ119" s="12">
        <f t="shared" si="248"/>
        <v>0</v>
      </c>
      <c r="KK119" s="12">
        <f t="shared" si="249"/>
        <v>0</v>
      </c>
      <c r="KL119" s="12">
        <f t="shared" si="250"/>
        <v>0</v>
      </c>
      <c r="KM119" s="12">
        <f t="shared" si="251"/>
        <v>0</v>
      </c>
      <c r="KN119" s="12">
        <f t="shared" si="252"/>
        <v>0</v>
      </c>
      <c r="KO119" s="12">
        <f t="shared" si="253"/>
        <v>0</v>
      </c>
      <c r="KP119" s="12">
        <f t="shared" si="254"/>
        <v>0</v>
      </c>
      <c r="KQ119" s="12">
        <f t="shared" si="255"/>
        <v>0</v>
      </c>
      <c r="KR119" s="12">
        <f t="shared" si="256"/>
        <v>0</v>
      </c>
      <c r="KS119" s="12">
        <f t="shared" si="257"/>
        <v>0</v>
      </c>
      <c r="KT119" s="12">
        <f t="shared" si="258"/>
        <v>0</v>
      </c>
      <c r="KU119" s="12">
        <f t="shared" si="259"/>
        <v>0</v>
      </c>
      <c r="KV119" s="12">
        <f t="shared" si="260"/>
        <v>0</v>
      </c>
      <c r="KW119" s="12">
        <f t="shared" si="261"/>
        <v>0</v>
      </c>
      <c r="KX119" s="12">
        <f t="shared" si="262"/>
        <v>0</v>
      </c>
      <c r="KY119" s="12">
        <f t="shared" si="263"/>
        <v>0</v>
      </c>
      <c r="KZ119" s="12">
        <f t="shared" si="264"/>
        <v>0</v>
      </c>
      <c r="LA119" s="12">
        <f t="shared" si="265"/>
        <v>0</v>
      </c>
      <c r="LB119" s="12">
        <f t="shared" si="266"/>
        <v>0</v>
      </c>
      <c r="LC119" s="12">
        <f t="shared" si="267"/>
        <v>0</v>
      </c>
      <c r="LD119" s="12">
        <f t="shared" si="268"/>
        <v>0</v>
      </c>
      <c r="LE119" s="12">
        <f t="shared" si="269"/>
        <v>0</v>
      </c>
      <c r="LF119" s="12">
        <f t="shared" si="270"/>
        <v>0</v>
      </c>
      <c r="LG119" s="12">
        <f t="shared" si="271"/>
        <v>0</v>
      </c>
      <c r="LH119" s="12">
        <f t="shared" si="272"/>
        <v>0</v>
      </c>
      <c r="LI119" s="12">
        <f t="shared" si="273"/>
        <v>0</v>
      </c>
      <c r="LJ119" s="12">
        <f t="shared" si="274"/>
        <v>0</v>
      </c>
      <c r="LK119" s="12">
        <f t="shared" si="275"/>
        <v>0</v>
      </c>
      <c r="LL119" s="12">
        <f t="shared" si="276"/>
        <v>0</v>
      </c>
      <c r="LM119" s="12">
        <f t="shared" si="277"/>
        <v>0</v>
      </c>
      <c r="LN119" s="12">
        <f t="shared" si="278"/>
        <v>0</v>
      </c>
      <c r="LO119" s="12">
        <f t="shared" si="279"/>
        <v>0</v>
      </c>
      <c r="LP119" s="12">
        <f t="shared" si="280"/>
        <v>0</v>
      </c>
      <c r="LQ119" s="12">
        <f t="shared" si="281"/>
        <v>0</v>
      </c>
      <c r="LR119" s="12">
        <f t="shared" si="282"/>
        <v>0</v>
      </c>
      <c r="LS119" s="12">
        <f t="shared" si="283"/>
        <v>0</v>
      </c>
      <c r="LT119" s="13">
        <f t="shared" si="284"/>
        <v>0</v>
      </c>
      <c r="LU119" s="13">
        <f t="shared" si="285"/>
        <v>0</v>
      </c>
      <c r="LV119" s="13">
        <f t="shared" si="286"/>
        <v>0</v>
      </c>
      <c r="LW119" s="13">
        <f t="shared" si="287"/>
        <v>0</v>
      </c>
      <c r="LX119" s="13">
        <f t="shared" si="288"/>
        <v>0</v>
      </c>
      <c r="LY119" s="13">
        <f t="shared" si="289"/>
        <v>0</v>
      </c>
      <c r="LZ119" s="13">
        <f t="shared" si="290"/>
        <v>0</v>
      </c>
      <c r="MA119" s="13">
        <f t="shared" si="291"/>
        <v>0</v>
      </c>
      <c r="MB119" s="13">
        <f t="shared" si="292"/>
        <v>0</v>
      </c>
      <c r="MC119" s="13">
        <f t="shared" si="293"/>
        <v>0</v>
      </c>
      <c r="MD119" s="13">
        <f t="shared" si="294"/>
        <v>0</v>
      </c>
      <c r="ME119" s="13">
        <f t="shared" si="295"/>
        <v>0</v>
      </c>
      <c r="MF119" s="13">
        <f t="shared" si="296"/>
        <v>0</v>
      </c>
      <c r="MG119" s="13">
        <f t="shared" si="297"/>
        <v>0</v>
      </c>
      <c r="MH119" s="13">
        <f t="shared" si="298"/>
        <v>0</v>
      </c>
      <c r="MI119" s="13">
        <f t="shared" si="299"/>
        <v>0</v>
      </c>
      <c r="MJ119" s="13">
        <f t="shared" si="300"/>
        <v>0</v>
      </c>
      <c r="MK119" s="13">
        <f t="shared" si="301"/>
        <v>0</v>
      </c>
      <c r="ML119" s="14">
        <f t="shared" si="302"/>
        <v>0</v>
      </c>
      <c r="MM119" s="14">
        <f t="shared" si="303"/>
        <v>0</v>
      </c>
      <c r="MN119" s="14">
        <f t="shared" si="304"/>
        <v>0</v>
      </c>
      <c r="MO119" s="14">
        <f t="shared" si="305"/>
        <v>0</v>
      </c>
      <c r="MP119" s="14">
        <f t="shared" si="306"/>
        <v>0</v>
      </c>
      <c r="MQ119" s="14">
        <f t="shared" si="307"/>
        <v>0</v>
      </c>
      <c r="MR119" s="14">
        <f t="shared" si="308"/>
        <v>0</v>
      </c>
      <c r="MS119" s="14">
        <f t="shared" si="309"/>
        <v>0</v>
      </c>
      <c r="MT119" s="14">
        <f t="shared" si="310"/>
        <v>0</v>
      </c>
      <c r="MU119" s="14">
        <f t="shared" si="311"/>
        <v>0</v>
      </c>
      <c r="MV119" s="14">
        <f t="shared" si="312"/>
        <v>0</v>
      </c>
      <c r="MW119" s="14">
        <f t="shared" si="313"/>
        <v>0</v>
      </c>
      <c r="MX119" s="14">
        <f t="shared" si="314"/>
        <v>0</v>
      </c>
      <c r="MY119" s="14">
        <f t="shared" si="315"/>
        <v>0</v>
      </c>
      <c r="MZ119" s="14">
        <f t="shared" si="316"/>
        <v>0</v>
      </c>
      <c r="NA119" s="14">
        <f t="shared" si="317"/>
        <v>0</v>
      </c>
      <c r="NB119" s="14">
        <f t="shared" si="318"/>
        <v>0</v>
      </c>
    </row>
    <row r="120" ht="15.75" customHeight="1">
      <c r="A120" s="2">
        <v>342.0</v>
      </c>
      <c r="B120" s="2" t="s">
        <v>2399</v>
      </c>
      <c r="C120" s="2" t="s">
        <v>2400</v>
      </c>
      <c r="D120" s="2" t="s">
        <v>2401</v>
      </c>
      <c r="E120" s="2">
        <v>2018.0</v>
      </c>
      <c r="F120" s="2" t="s">
        <v>2402</v>
      </c>
      <c r="G120" s="2" t="s">
        <v>1431</v>
      </c>
      <c r="H120" s="2" t="s">
        <v>510</v>
      </c>
      <c r="J120" s="2" t="s">
        <v>2403</v>
      </c>
      <c r="K120" s="2" t="s">
        <v>980</v>
      </c>
      <c r="M120" s="2">
        <v>6.0</v>
      </c>
      <c r="N120" s="2" t="s">
        <v>2404</v>
      </c>
      <c r="O120" s="2" t="s">
        <v>2405</v>
      </c>
      <c r="P120" s="2" t="s">
        <v>2406</v>
      </c>
      <c r="Q120" s="2" t="s">
        <v>2407</v>
      </c>
      <c r="R120" s="2" t="s">
        <v>2408</v>
      </c>
      <c r="S120" s="2" t="s">
        <v>2409</v>
      </c>
      <c r="T120" s="2" t="s">
        <v>2410</v>
      </c>
      <c r="Y120" s="2" t="s">
        <v>2411</v>
      </c>
      <c r="AB120" s="2" t="s">
        <v>668</v>
      </c>
      <c r="AG120" s="2" t="s">
        <v>2412</v>
      </c>
      <c r="AK120" s="2" t="s">
        <v>2413</v>
      </c>
      <c r="AL120" s="2" t="s">
        <v>384</v>
      </c>
      <c r="AN120" s="2" t="s">
        <v>386</v>
      </c>
      <c r="AO120" s="2" t="s">
        <v>2414</v>
      </c>
      <c r="AP120" s="2" t="s">
        <v>386</v>
      </c>
      <c r="AQ120" s="2">
        <v>1334.0</v>
      </c>
      <c r="AR120" s="2" t="s">
        <v>2415</v>
      </c>
      <c r="AS120" s="2" t="b">
        <v>0</v>
      </c>
      <c r="AT120" s="3">
        <v>0.0</v>
      </c>
      <c r="AU120" s="4">
        <v>1.0</v>
      </c>
      <c r="AV120" s="4"/>
      <c r="AW120" s="5">
        <f t="shared" si="432"/>
        <v>0</v>
      </c>
      <c r="AX120" s="5">
        <f t="shared" si="4"/>
        <v>0</v>
      </c>
      <c r="AY120" s="5">
        <f t="shared" si="5"/>
        <v>0</v>
      </c>
      <c r="AZ120" s="5">
        <f t="shared" si="6"/>
        <v>0</v>
      </c>
      <c r="BA120" s="5">
        <f t="shared" si="7"/>
        <v>0</v>
      </c>
      <c r="BB120" s="5">
        <f t="shared" si="8"/>
        <v>0</v>
      </c>
      <c r="BC120" s="5">
        <f t="shared" si="9"/>
        <v>0</v>
      </c>
      <c r="BD120" s="5">
        <f t="shared" si="10"/>
        <v>0</v>
      </c>
      <c r="BE120" s="5">
        <f t="shared" si="11"/>
        <v>0</v>
      </c>
      <c r="BF120" s="5">
        <f t="shared" si="12"/>
        <v>0</v>
      </c>
      <c r="BG120" s="5">
        <f t="shared" si="13"/>
        <v>0</v>
      </c>
      <c r="BH120" s="5">
        <f t="shared" si="14"/>
        <v>0</v>
      </c>
      <c r="BI120" s="5">
        <f t="shared" si="15"/>
        <v>0</v>
      </c>
      <c r="BJ120" s="5">
        <f t="shared" si="16"/>
        <v>0</v>
      </c>
      <c r="BK120" s="5">
        <f t="shared" si="17"/>
        <v>0</v>
      </c>
      <c r="BL120" s="5">
        <f t="shared" si="18"/>
        <v>0</v>
      </c>
      <c r="BM120" s="5">
        <f t="shared" si="19"/>
        <v>0</v>
      </c>
      <c r="BN120" s="5">
        <f t="shared" si="20"/>
        <v>0</v>
      </c>
      <c r="BO120" s="5">
        <f t="shared" si="21"/>
        <v>0</v>
      </c>
      <c r="BP120" s="5">
        <f t="shared" si="22"/>
        <v>0</v>
      </c>
      <c r="BQ120" s="5">
        <f t="shared" si="23"/>
        <v>0</v>
      </c>
      <c r="BR120" s="5">
        <f t="shared" si="24"/>
        <v>0</v>
      </c>
      <c r="BS120" s="5">
        <f t="shared" si="25"/>
        <v>0</v>
      </c>
      <c r="BT120" s="5">
        <f t="shared" si="26"/>
        <v>0</v>
      </c>
      <c r="BU120" s="5">
        <f t="shared" si="27"/>
        <v>0</v>
      </c>
      <c r="BV120" s="5">
        <f t="shared" ref="BV120:BW120" si="586">IF(OR(ISNUMBER(SEARCH("grit",$D120)),ISNUMBER(SEARCH("grit",$T120)),ISNUMBER(SEARCH("grit",$R120)),ISNUMBER(SEARCH("grit",$S120)),
ISNUMBER(SEARCH("determination",$D120)),ISNUMBER(SEARCH("determination",$T120)),ISNUMBER(SEARCH("determination",$R120)),ISNUMBER(SEARCH("determination",$S120)),
ISNUMBER(SEARCH("tenacity",$D120)),ISNUMBER(SEARCH("tenacity",$T120)),ISNUMBER(SEARCH("tenacity",$R120)),ISNUMBER(SEARCH("tenacity",$S120)),
ISNUMBER(SEARCH("endurance",$D120)),ISNUMBER(SEARCH("endurance",$T120)),ISNUMBER(SEARCH("endurance",$R120)),ISNUMBER(SEARCH("endurance",$S120)),
ISNUMBER(SEARCH("fortitude",$D120)),ISNUMBER(SEARCH("fortitude",$T120)),ISNUMBER(SEARCH("fortitude",$R120)),ISNUMBER(SEARCH("fortitude",$S120)),
ISNUMBER(SEARCH("resolve",$D120)),ISNUMBER(SEARCH("resolve",$T120)),ISNUMBER(SEARCH("resolve",$R120)),ISNUMBER(SEARCH("resolve",$S120)),
ISNUMBER(SEARCH("stamina",$D120)),ISNUMBER(SEARCH("stamina",$T120)),ISNUMBER(SEARCH("stamina",$R120)),ISNUMBER(SEARCH("stamina",$S120)),
ISNUMBER(SEARCH("guts",$D120)),ISNUMBER(SEARCH("guts",$T120)),ISNUMBER(SEARCH("guts",$R120)),ISNUMBER(SEARCH("guts",$S120)),
ISNUMBER(SEARCH("spunk",$D120)),ISNUMBER(SEARCH("spunk",$T120)),ISNUMBER(SEARCH("spunk",$R120)),ISNUMBER(SEARCH("spunk",$S120))), 1, 0)</f>
        <v>0</v>
      </c>
      <c r="BW120" s="5">
        <f t="shared" si="586"/>
        <v>0</v>
      </c>
      <c r="BX120" s="5">
        <f t="shared" si="29"/>
        <v>0</v>
      </c>
      <c r="BY120" s="5">
        <f t="shared" si="30"/>
        <v>0</v>
      </c>
      <c r="BZ120" s="5">
        <f t="shared" si="31"/>
        <v>0</v>
      </c>
      <c r="CA120" s="5">
        <f t="shared" si="32"/>
        <v>0</v>
      </c>
      <c r="CB120" s="5">
        <f t="shared" si="33"/>
        <v>0</v>
      </c>
      <c r="CC120" s="5">
        <f t="shared" si="34"/>
        <v>0</v>
      </c>
      <c r="CD120" s="5">
        <f t="shared" si="35"/>
        <v>0</v>
      </c>
      <c r="CE120" s="5">
        <f t="shared" si="36"/>
        <v>0</v>
      </c>
      <c r="CF120" s="5">
        <f t="shared" si="37"/>
        <v>0</v>
      </c>
      <c r="CG120" s="5">
        <f t="shared" si="38"/>
        <v>0</v>
      </c>
      <c r="CH120" s="5">
        <f t="shared" si="39"/>
        <v>0</v>
      </c>
      <c r="CI120" s="5">
        <f t="shared" si="40"/>
        <v>0</v>
      </c>
      <c r="CJ120" s="5">
        <f t="shared" si="41"/>
        <v>0</v>
      </c>
      <c r="CK120" s="5">
        <f t="shared" si="42"/>
        <v>0</v>
      </c>
      <c r="CL120" s="5">
        <f t="shared" si="43"/>
        <v>0</v>
      </c>
      <c r="CM120" s="5">
        <f t="shared" si="44"/>
        <v>0</v>
      </c>
      <c r="CN120" s="5">
        <f t="shared" si="45"/>
        <v>0</v>
      </c>
      <c r="CO120" s="5">
        <f t="shared" si="46"/>
        <v>0</v>
      </c>
      <c r="CP120" s="6">
        <f t="shared" si="47"/>
        <v>0</v>
      </c>
      <c r="CQ120" s="6">
        <f t="shared" si="48"/>
        <v>0</v>
      </c>
      <c r="CR120" s="6">
        <f t="shared" si="49"/>
        <v>0</v>
      </c>
      <c r="CS120" s="6">
        <f t="shared" si="50"/>
        <v>0</v>
      </c>
      <c r="CT120" s="6">
        <f t="shared" si="584"/>
        <v>0</v>
      </c>
      <c r="CU120" s="6">
        <f t="shared" si="52"/>
        <v>0</v>
      </c>
      <c r="CV120" s="6">
        <f t="shared" si="53"/>
        <v>0</v>
      </c>
      <c r="CW120" s="6">
        <f t="shared" si="54"/>
        <v>0</v>
      </c>
      <c r="CX120" s="6">
        <f t="shared" si="55"/>
        <v>0</v>
      </c>
      <c r="CY120" s="6">
        <f t="shared" si="56"/>
        <v>0</v>
      </c>
      <c r="CZ120" s="6">
        <f t="shared" si="57"/>
        <v>0</v>
      </c>
      <c r="DA120" s="6">
        <f t="shared" si="58"/>
        <v>0</v>
      </c>
      <c r="DB120" s="6">
        <f t="shared" si="59"/>
        <v>0</v>
      </c>
      <c r="DC120" s="6">
        <f t="shared" si="60"/>
        <v>0</v>
      </c>
      <c r="DD120" s="6">
        <f t="shared" si="61"/>
        <v>0</v>
      </c>
      <c r="DE120" s="6">
        <f t="shared" si="62"/>
        <v>0</v>
      </c>
      <c r="DF120" s="6">
        <f t="shared" si="63"/>
        <v>0</v>
      </c>
      <c r="DG120" s="6">
        <f t="shared" si="64"/>
        <v>0</v>
      </c>
      <c r="DH120" s="6">
        <f t="shared" si="579"/>
        <v>0</v>
      </c>
      <c r="DI120" s="6">
        <f t="shared" si="66"/>
        <v>0</v>
      </c>
      <c r="DJ120" s="6">
        <f t="shared" si="574"/>
        <v>0</v>
      </c>
      <c r="DK120" s="7">
        <f t="shared" si="68"/>
        <v>0</v>
      </c>
      <c r="DL120" s="7">
        <f t="shared" si="498"/>
        <v>0</v>
      </c>
      <c r="DM120" s="7">
        <f t="shared" si="70"/>
        <v>0</v>
      </c>
      <c r="DN120" s="7">
        <f t="shared" si="71"/>
        <v>0</v>
      </c>
      <c r="DO120" s="7">
        <f t="shared" si="72"/>
        <v>1</v>
      </c>
      <c r="DP120" s="8">
        <f t="shared" si="73"/>
        <v>0</v>
      </c>
      <c r="DQ120" s="8">
        <f t="shared" si="74"/>
        <v>0</v>
      </c>
      <c r="DR120" s="7">
        <f t="shared" si="75"/>
        <v>0</v>
      </c>
      <c r="DS120" s="7">
        <f t="shared" si="76"/>
        <v>0</v>
      </c>
      <c r="DT120" s="7">
        <f t="shared" si="77"/>
        <v>0</v>
      </c>
      <c r="DU120" s="9">
        <f t="shared" si="78"/>
        <v>0</v>
      </c>
      <c r="DV120" s="9">
        <f t="shared" si="79"/>
        <v>0</v>
      </c>
      <c r="DW120" s="9">
        <f t="shared" si="80"/>
        <v>0</v>
      </c>
      <c r="DX120" s="9">
        <f t="shared" si="81"/>
        <v>0</v>
      </c>
      <c r="DY120" s="9">
        <f t="shared" si="82"/>
        <v>0</v>
      </c>
      <c r="DZ120" s="9">
        <f t="shared" si="83"/>
        <v>0</v>
      </c>
      <c r="EA120" s="9">
        <f t="shared" si="84"/>
        <v>0</v>
      </c>
      <c r="EB120" s="9">
        <f t="shared" si="85"/>
        <v>0</v>
      </c>
      <c r="EC120" s="9">
        <f t="shared" si="86"/>
        <v>0</v>
      </c>
      <c r="ED120" s="9">
        <f t="shared" si="87"/>
        <v>0</v>
      </c>
      <c r="EE120" s="9">
        <f t="shared" si="88"/>
        <v>1</v>
      </c>
      <c r="EF120" s="9">
        <f t="shared" si="89"/>
        <v>0</v>
      </c>
      <c r="EG120" s="9">
        <f t="shared" si="90"/>
        <v>0</v>
      </c>
      <c r="EH120" s="9">
        <f t="shared" si="91"/>
        <v>0</v>
      </c>
      <c r="EI120" s="9">
        <f t="shared" si="92"/>
        <v>0</v>
      </c>
      <c r="EJ120" s="10">
        <f t="shared" si="93"/>
        <v>0</v>
      </c>
      <c r="EK120" s="10">
        <f t="shared" si="94"/>
        <v>0</v>
      </c>
      <c r="EL120" s="10">
        <f t="shared" ref="EL120:EM120" si="587">IF(OR(ISNUMBER(SEARCH("ai software toolkit", $D120)), ISNUMBER(SEARCH("ai software toolkit", $T120)), ISNUMBER(SEARCH("ai software toolkit", $R120)), ISNUMBER(SEARCH("ai software toolkit", $S120))), 1, 0)</f>
        <v>0</v>
      </c>
      <c r="EM120" s="10">
        <f t="shared" si="587"/>
        <v>0</v>
      </c>
      <c r="EN120" s="10">
        <f t="shared" si="96"/>
        <v>0</v>
      </c>
      <c r="EO120" s="10">
        <f t="shared" si="97"/>
        <v>0</v>
      </c>
      <c r="EP120" s="10">
        <f t="shared" si="98"/>
        <v>0</v>
      </c>
      <c r="EQ120" s="10">
        <f t="shared" si="99"/>
        <v>0</v>
      </c>
      <c r="ER120" s="10">
        <f t="shared" si="100"/>
        <v>0</v>
      </c>
      <c r="ES120" s="10">
        <f t="shared" si="101"/>
        <v>0</v>
      </c>
      <c r="ET120" s="10">
        <f t="shared" si="102"/>
        <v>0</v>
      </c>
      <c r="EU120" s="10">
        <f t="shared" si="103"/>
        <v>0</v>
      </c>
      <c r="EV120" s="10">
        <f t="shared" si="104"/>
        <v>0</v>
      </c>
      <c r="EW120" s="10">
        <f t="shared" si="105"/>
        <v>0</v>
      </c>
      <c r="EX120" s="10">
        <f t="shared" si="106"/>
        <v>0</v>
      </c>
      <c r="EY120" s="10">
        <f t="shared" si="107"/>
        <v>0</v>
      </c>
      <c r="EZ120" s="10">
        <f t="shared" si="108"/>
        <v>0</v>
      </c>
      <c r="FA120" s="10">
        <f t="shared" si="109"/>
        <v>0</v>
      </c>
      <c r="FB120" s="10">
        <f t="shared" si="110"/>
        <v>0</v>
      </c>
      <c r="FC120" s="10">
        <f t="shared" si="111"/>
        <v>0</v>
      </c>
      <c r="FD120" s="10">
        <f t="shared" si="112"/>
        <v>0</v>
      </c>
      <c r="FE120" s="10">
        <f t="shared" si="113"/>
        <v>0</v>
      </c>
      <c r="FF120" s="10">
        <f t="shared" si="114"/>
        <v>0</v>
      </c>
      <c r="FG120" s="10">
        <f t="shared" si="115"/>
        <v>0</v>
      </c>
      <c r="FH120" s="10">
        <f t="shared" si="116"/>
        <v>0</v>
      </c>
      <c r="FI120" s="10">
        <f t="shared" si="117"/>
        <v>0</v>
      </c>
      <c r="FJ120" s="10">
        <f t="shared" si="118"/>
        <v>0</v>
      </c>
      <c r="FK120" s="10">
        <f t="shared" si="119"/>
        <v>0</v>
      </c>
      <c r="FL120" s="10">
        <f t="shared" si="120"/>
        <v>0</v>
      </c>
      <c r="FM120" s="10">
        <f t="shared" si="121"/>
        <v>0</v>
      </c>
      <c r="FN120" s="10">
        <f t="shared" si="122"/>
        <v>0</v>
      </c>
      <c r="FO120" s="10">
        <f t="shared" si="123"/>
        <v>0</v>
      </c>
      <c r="FP120" s="10">
        <f t="shared" si="124"/>
        <v>0</v>
      </c>
      <c r="FQ120" s="10">
        <f t="shared" si="125"/>
        <v>0</v>
      </c>
      <c r="FR120" s="11">
        <f t="shared" si="543"/>
        <v>0</v>
      </c>
      <c r="FS120" s="11">
        <f t="shared" si="127"/>
        <v>0</v>
      </c>
      <c r="FT120" s="11">
        <f t="shared" si="128"/>
        <v>0</v>
      </c>
      <c r="FU120" s="11">
        <f t="shared" si="129"/>
        <v>0</v>
      </c>
      <c r="FV120" s="11">
        <f t="shared" si="130"/>
        <v>0</v>
      </c>
      <c r="FW120" s="11">
        <f t="shared" si="131"/>
        <v>0</v>
      </c>
      <c r="FX120" s="11">
        <f t="shared" si="132"/>
        <v>0</v>
      </c>
      <c r="FY120" s="11">
        <f t="shared" si="133"/>
        <v>0</v>
      </c>
      <c r="FZ120" s="11">
        <f t="shared" si="134"/>
        <v>0</v>
      </c>
      <c r="GA120" s="11">
        <f t="shared" si="135"/>
        <v>0</v>
      </c>
      <c r="GB120" s="11">
        <f t="shared" si="136"/>
        <v>0</v>
      </c>
      <c r="GC120" s="11">
        <f t="shared" si="137"/>
        <v>0</v>
      </c>
      <c r="GD120" s="11">
        <f t="shared" si="138"/>
        <v>0</v>
      </c>
      <c r="GE120" s="11">
        <f t="shared" si="139"/>
        <v>0</v>
      </c>
      <c r="GF120" s="11">
        <f t="shared" si="140"/>
        <v>0</v>
      </c>
      <c r="GG120" s="11">
        <f t="shared" si="141"/>
        <v>0</v>
      </c>
      <c r="GH120" s="11">
        <f t="shared" si="142"/>
        <v>0</v>
      </c>
      <c r="GI120" s="11">
        <f t="shared" si="143"/>
        <v>0</v>
      </c>
      <c r="GJ120" s="11">
        <f t="shared" si="144"/>
        <v>0</v>
      </c>
      <c r="GK120" s="11">
        <f t="shared" si="145"/>
        <v>0</v>
      </c>
      <c r="GL120" s="11">
        <f t="shared" si="146"/>
        <v>0</v>
      </c>
      <c r="GM120" s="11">
        <f t="shared" si="147"/>
        <v>0</v>
      </c>
      <c r="GN120" s="11">
        <f t="shared" si="148"/>
        <v>0</v>
      </c>
      <c r="GO120" s="11">
        <f t="shared" si="149"/>
        <v>0</v>
      </c>
      <c r="GP120" s="11">
        <f t="shared" si="150"/>
        <v>0</v>
      </c>
      <c r="GQ120" s="11">
        <f t="shared" si="151"/>
        <v>0</v>
      </c>
      <c r="GR120" s="11">
        <f t="shared" si="152"/>
        <v>0</v>
      </c>
      <c r="GS120" s="11">
        <f t="shared" si="153"/>
        <v>0</v>
      </c>
      <c r="GT120" s="11">
        <f t="shared" si="154"/>
        <v>0</v>
      </c>
      <c r="GU120" s="12">
        <f t="shared" si="155"/>
        <v>0</v>
      </c>
      <c r="GV120" s="12">
        <f t="shared" si="156"/>
        <v>0</v>
      </c>
      <c r="GW120" s="12">
        <f t="shared" si="157"/>
        <v>0</v>
      </c>
      <c r="GX120" s="12">
        <f t="shared" si="158"/>
        <v>0</v>
      </c>
      <c r="GY120" s="12">
        <f t="shared" si="159"/>
        <v>0</v>
      </c>
      <c r="GZ120" s="12">
        <f t="shared" si="160"/>
        <v>0</v>
      </c>
      <c r="HA120" s="12">
        <f t="shared" si="161"/>
        <v>0</v>
      </c>
      <c r="HB120" s="12">
        <f t="shared" si="162"/>
        <v>0</v>
      </c>
      <c r="HC120" s="12">
        <f t="shared" si="163"/>
        <v>0</v>
      </c>
      <c r="HD120" s="12">
        <f t="shared" si="164"/>
        <v>0</v>
      </c>
      <c r="HE120" s="12">
        <f t="shared" si="165"/>
        <v>0</v>
      </c>
      <c r="HF120" s="12">
        <f t="shared" si="166"/>
        <v>0</v>
      </c>
      <c r="HG120" s="12">
        <f t="shared" si="167"/>
        <v>0</v>
      </c>
      <c r="HH120" s="12">
        <f t="shared" si="168"/>
        <v>0</v>
      </c>
      <c r="HI120" s="12">
        <f t="shared" si="169"/>
        <v>0</v>
      </c>
      <c r="HJ120" s="12">
        <f t="shared" si="170"/>
        <v>0</v>
      </c>
      <c r="HK120" s="12">
        <f t="shared" si="171"/>
        <v>0</v>
      </c>
      <c r="HL120" s="12">
        <f t="shared" si="172"/>
        <v>0</v>
      </c>
      <c r="HM120" s="12">
        <f t="shared" si="173"/>
        <v>0</v>
      </c>
      <c r="HN120" s="12">
        <f t="shared" si="174"/>
        <v>0</v>
      </c>
      <c r="HO120" s="12">
        <f t="shared" si="175"/>
        <v>0</v>
      </c>
      <c r="HP120" s="12">
        <f t="shared" si="176"/>
        <v>0</v>
      </c>
      <c r="HQ120" s="12">
        <f t="shared" si="177"/>
        <v>0</v>
      </c>
      <c r="HR120" s="12">
        <f t="shared" si="178"/>
        <v>0</v>
      </c>
      <c r="HS120" s="12">
        <f t="shared" si="179"/>
        <v>0</v>
      </c>
      <c r="HT120" s="12">
        <f t="shared" si="180"/>
        <v>0</v>
      </c>
      <c r="HU120" s="12">
        <f t="shared" si="181"/>
        <v>0</v>
      </c>
      <c r="HV120" s="12">
        <f t="shared" si="182"/>
        <v>0</v>
      </c>
      <c r="HW120" s="12">
        <f t="shared" si="183"/>
        <v>0</v>
      </c>
      <c r="HX120" s="12">
        <f t="shared" si="184"/>
        <v>0</v>
      </c>
      <c r="HY120" s="12">
        <f t="shared" si="185"/>
        <v>0</v>
      </c>
      <c r="HZ120" s="12">
        <f t="shared" si="186"/>
        <v>0</v>
      </c>
      <c r="IA120" s="12">
        <f t="shared" si="187"/>
        <v>0</v>
      </c>
      <c r="IB120" s="12">
        <f t="shared" si="188"/>
        <v>0</v>
      </c>
      <c r="IC120" s="12">
        <f t="shared" si="189"/>
        <v>0</v>
      </c>
      <c r="ID120" s="12">
        <f t="shared" si="190"/>
        <v>0</v>
      </c>
      <c r="IE120" s="12">
        <f t="shared" si="191"/>
        <v>0</v>
      </c>
      <c r="IF120" s="12">
        <f t="shared" si="192"/>
        <v>0</v>
      </c>
      <c r="IG120" s="12">
        <f t="shared" si="193"/>
        <v>0</v>
      </c>
      <c r="IH120" s="12">
        <f t="shared" si="194"/>
        <v>0</v>
      </c>
      <c r="II120" s="12">
        <f t="shared" si="195"/>
        <v>0</v>
      </c>
      <c r="IJ120" s="12">
        <f t="shared" si="196"/>
        <v>0</v>
      </c>
      <c r="IK120" s="12">
        <f t="shared" si="197"/>
        <v>0</v>
      </c>
      <c r="IL120" s="12">
        <f t="shared" si="198"/>
        <v>0</v>
      </c>
      <c r="IM120" s="12">
        <f t="shared" si="199"/>
        <v>0</v>
      </c>
      <c r="IN120" s="12">
        <f t="shared" si="200"/>
        <v>0</v>
      </c>
      <c r="IO120" s="12">
        <f t="shared" si="201"/>
        <v>0</v>
      </c>
      <c r="IP120" s="12">
        <f t="shared" si="202"/>
        <v>0</v>
      </c>
      <c r="IQ120" s="12">
        <f t="shared" si="203"/>
        <v>0</v>
      </c>
      <c r="IR120" s="12">
        <f t="shared" si="204"/>
        <v>0</v>
      </c>
      <c r="IS120" s="12">
        <f t="shared" si="205"/>
        <v>0</v>
      </c>
      <c r="IT120" s="12">
        <f t="shared" si="206"/>
        <v>0</v>
      </c>
      <c r="IU120" s="12">
        <f t="shared" si="207"/>
        <v>0</v>
      </c>
      <c r="IV120" s="12">
        <f t="shared" si="208"/>
        <v>0</v>
      </c>
      <c r="IW120" s="12">
        <f t="shared" si="209"/>
        <v>0</v>
      </c>
      <c r="IX120" s="12">
        <f t="shared" si="210"/>
        <v>0</v>
      </c>
      <c r="IY120" s="12">
        <f t="shared" si="211"/>
        <v>0</v>
      </c>
      <c r="IZ120" s="12">
        <f t="shared" si="212"/>
        <v>0</v>
      </c>
      <c r="JA120" s="13">
        <f t="shared" si="213"/>
        <v>0</v>
      </c>
      <c r="JB120" s="13">
        <f t="shared" si="214"/>
        <v>0</v>
      </c>
      <c r="JC120" s="13">
        <f t="shared" si="215"/>
        <v>0</v>
      </c>
      <c r="JD120" s="13">
        <f t="shared" si="216"/>
        <v>0</v>
      </c>
      <c r="JE120" s="13">
        <f t="shared" si="217"/>
        <v>0</v>
      </c>
      <c r="JF120" s="13">
        <f t="shared" si="218"/>
        <v>0</v>
      </c>
      <c r="JG120" s="13">
        <f t="shared" si="219"/>
        <v>0</v>
      </c>
      <c r="JH120" s="13">
        <f t="shared" si="220"/>
        <v>0</v>
      </c>
      <c r="JI120" s="13">
        <f t="shared" si="221"/>
        <v>0</v>
      </c>
      <c r="JJ120" s="13">
        <f t="shared" si="222"/>
        <v>0</v>
      </c>
      <c r="JK120" s="13">
        <f t="shared" si="223"/>
        <v>0</v>
      </c>
      <c r="JL120" s="13">
        <f t="shared" si="224"/>
        <v>0</v>
      </c>
      <c r="JM120" s="13">
        <f t="shared" si="225"/>
        <v>0</v>
      </c>
      <c r="JN120" s="13">
        <f t="shared" si="226"/>
        <v>0</v>
      </c>
      <c r="JO120" s="13">
        <f t="shared" si="227"/>
        <v>1</v>
      </c>
      <c r="JP120" s="13">
        <f t="shared" si="228"/>
        <v>0</v>
      </c>
      <c r="JQ120" s="13">
        <f t="shared" si="229"/>
        <v>0</v>
      </c>
      <c r="JR120" s="13">
        <f t="shared" si="230"/>
        <v>0</v>
      </c>
      <c r="JS120" s="13">
        <f t="shared" si="231"/>
        <v>0</v>
      </c>
      <c r="JT120" s="13">
        <f t="shared" si="232"/>
        <v>0</v>
      </c>
      <c r="JU120" s="13">
        <f t="shared" si="233"/>
        <v>0</v>
      </c>
      <c r="JV120" s="12">
        <f t="shared" si="234"/>
        <v>0</v>
      </c>
      <c r="JW120" s="12">
        <f t="shared" si="235"/>
        <v>0</v>
      </c>
      <c r="JX120" s="12">
        <f t="shared" si="236"/>
        <v>0</v>
      </c>
      <c r="JY120" s="12">
        <f t="shared" si="237"/>
        <v>0</v>
      </c>
      <c r="JZ120" s="12">
        <f t="shared" si="238"/>
        <v>0</v>
      </c>
      <c r="KA120" s="12">
        <f t="shared" si="239"/>
        <v>0</v>
      </c>
      <c r="KB120" s="12">
        <f t="shared" si="240"/>
        <v>0</v>
      </c>
      <c r="KC120" s="12">
        <f t="shared" si="241"/>
        <v>0</v>
      </c>
      <c r="KD120" s="12">
        <f t="shared" si="242"/>
        <v>0</v>
      </c>
      <c r="KE120" s="12">
        <f t="shared" si="243"/>
        <v>0</v>
      </c>
      <c r="KF120" s="12">
        <f t="shared" si="244"/>
        <v>0</v>
      </c>
      <c r="KG120" s="12">
        <f t="shared" si="245"/>
        <v>0</v>
      </c>
      <c r="KH120" s="12">
        <f t="shared" si="246"/>
        <v>0</v>
      </c>
      <c r="KI120" s="12">
        <f t="shared" si="247"/>
        <v>0</v>
      </c>
      <c r="KJ120" s="12">
        <f t="shared" si="248"/>
        <v>0</v>
      </c>
      <c r="KK120" s="12">
        <f t="shared" si="249"/>
        <v>0</v>
      </c>
      <c r="KL120" s="12">
        <f t="shared" si="250"/>
        <v>0</v>
      </c>
      <c r="KM120" s="12">
        <f t="shared" si="251"/>
        <v>0</v>
      </c>
      <c r="KN120" s="12">
        <f t="shared" si="252"/>
        <v>0</v>
      </c>
      <c r="KO120" s="12">
        <f t="shared" si="253"/>
        <v>0</v>
      </c>
      <c r="KP120" s="12">
        <f t="shared" si="254"/>
        <v>0</v>
      </c>
      <c r="KQ120" s="12">
        <f t="shared" si="255"/>
        <v>0</v>
      </c>
      <c r="KR120" s="12">
        <f t="shared" si="256"/>
        <v>0</v>
      </c>
      <c r="KS120" s="12">
        <f t="shared" si="257"/>
        <v>0</v>
      </c>
      <c r="KT120" s="12">
        <f t="shared" si="258"/>
        <v>0</v>
      </c>
      <c r="KU120" s="12">
        <f t="shared" si="259"/>
        <v>0</v>
      </c>
      <c r="KV120" s="12">
        <f t="shared" si="260"/>
        <v>0</v>
      </c>
      <c r="KW120" s="12">
        <f t="shared" si="261"/>
        <v>0</v>
      </c>
      <c r="KX120" s="12">
        <f t="shared" si="262"/>
        <v>0</v>
      </c>
      <c r="KY120" s="12">
        <f t="shared" si="263"/>
        <v>0</v>
      </c>
      <c r="KZ120" s="12">
        <f t="shared" si="264"/>
        <v>0</v>
      </c>
      <c r="LA120" s="12">
        <f t="shared" si="265"/>
        <v>0</v>
      </c>
      <c r="LB120" s="12">
        <f t="shared" si="266"/>
        <v>0</v>
      </c>
      <c r="LC120" s="12">
        <f t="shared" si="267"/>
        <v>0</v>
      </c>
      <c r="LD120" s="12">
        <f t="shared" si="268"/>
        <v>0</v>
      </c>
      <c r="LE120" s="12">
        <f t="shared" si="269"/>
        <v>0</v>
      </c>
      <c r="LF120" s="12">
        <f t="shared" si="270"/>
        <v>0</v>
      </c>
      <c r="LG120" s="12">
        <f t="shared" si="271"/>
        <v>0</v>
      </c>
      <c r="LH120" s="12">
        <f t="shared" si="272"/>
        <v>0</v>
      </c>
      <c r="LI120" s="12">
        <f t="shared" si="273"/>
        <v>0</v>
      </c>
      <c r="LJ120" s="12">
        <f t="shared" si="274"/>
        <v>0</v>
      </c>
      <c r="LK120" s="12">
        <f t="shared" si="275"/>
        <v>0</v>
      </c>
      <c r="LL120" s="12">
        <f t="shared" si="276"/>
        <v>0</v>
      </c>
      <c r="LM120" s="12">
        <f t="shared" si="277"/>
        <v>0</v>
      </c>
      <c r="LN120" s="12">
        <f t="shared" si="278"/>
        <v>0</v>
      </c>
      <c r="LO120" s="12">
        <f t="shared" si="279"/>
        <v>0</v>
      </c>
      <c r="LP120" s="12">
        <f t="shared" si="280"/>
        <v>0</v>
      </c>
      <c r="LQ120" s="12">
        <f t="shared" si="281"/>
        <v>0</v>
      </c>
      <c r="LR120" s="12">
        <f t="shared" si="282"/>
        <v>0</v>
      </c>
      <c r="LS120" s="12">
        <f t="shared" si="283"/>
        <v>0</v>
      </c>
      <c r="LT120" s="13">
        <f t="shared" si="284"/>
        <v>0</v>
      </c>
      <c r="LU120" s="13">
        <f t="shared" si="285"/>
        <v>0</v>
      </c>
      <c r="LV120" s="13">
        <f t="shared" si="286"/>
        <v>0</v>
      </c>
      <c r="LW120" s="13">
        <f t="shared" si="287"/>
        <v>0</v>
      </c>
      <c r="LX120" s="13">
        <f t="shared" si="288"/>
        <v>0</v>
      </c>
      <c r="LY120" s="13">
        <f t="shared" si="289"/>
        <v>0</v>
      </c>
      <c r="LZ120" s="13">
        <f t="shared" si="290"/>
        <v>0</v>
      </c>
      <c r="MA120" s="13">
        <f t="shared" si="291"/>
        <v>0</v>
      </c>
      <c r="MB120" s="13">
        <f t="shared" si="292"/>
        <v>0</v>
      </c>
      <c r="MC120" s="13">
        <f t="shared" si="293"/>
        <v>0</v>
      </c>
      <c r="MD120" s="13">
        <f t="shared" si="294"/>
        <v>0</v>
      </c>
      <c r="ME120" s="13">
        <f t="shared" si="295"/>
        <v>0</v>
      </c>
      <c r="MF120" s="13">
        <f t="shared" si="296"/>
        <v>0</v>
      </c>
      <c r="MG120" s="13">
        <f t="shared" si="297"/>
        <v>0</v>
      </c>
      <c r="MH120" s="13">
        <f t="shared" si="298"/>
        <v>0</v>
      </c>
      <c r="MI120" s="13">
        <f t="shared" si="299"/>
        <v>0</v>
      </c>
      <c r="MJ120" s="13">
        <f t="shared" si="300"/>
        <v>0</v>
      </c>
      <c r="MK120" s="13">
        <f t="shared" si="301"/>
        <v>0</v>
      </c>
      <c r="ML120" s="14">
        <f t="shared" si="302"/>
        <v>0</v>
      </c>
      <c r="MM120" s="14">
        <f t="shared" si="303"/>
        <v>0</v>
      </c>
      <c r="MN120" s="14">
        <f t="shared" si="304"/>
        <v>0</v>
      </c>
      <c r="MO120" s="14">
        <f t="shared" si="305"/>
        <v>1</v>
      </c>
      <c r="MP120" s="14">
        <f t="shared" si="306"/>
        <v>1</v>
      </c>
      <c r="MQ120" s="14">
        <f t="shared" si="307"/>
        <v>0</v>
      </c>
      <c r="MR120" s="14">
        <f t="shared" si="308"/>
        <v>0</v>
      </c>
      <c r="MS120" s="14">
        <f t="shared" si="309"/>
        <v>0</v>
      </c>
      <c r="MT120" s="14">
        <f t="shared" si="310"/>
        <v>0</v>
      </c>
      <c r="MU120" s="14">
        <f t="shared" si="311"/>
        <v>0</v>
      </c>
      <c r="MV120" s="14">
        <f t="shared" si="312"/>
        <v>0</v>
      </c>
      <c r="MW120" s="14">
        <f t="shared" si="313"/>
        <v>0</v>
      </c>
      <c r="MX120" s="14">
        <f t="shared" si="314"/>
        <v>0</v>
      </c>
      <c r="MY120" s="14">
        <f t="shared" si="315"/>
        <v>0</v>
      </c>
      <c r="MZ120" s="14">
        <f t="shared" si="316"/>
        <v>0</v>
      </c>
      <c r="NA120" s="14">
        <f t="shared" si="317"/>
        <v>0</v>
      </c>
      <c r="NB120" s="14">
        <f t="shared" si="318"/>
        <v>0</v>
      </c>
    </row>
    <row r="121" ht="15.75" customHeight="1">
      <c r="A121" s="2">
        <v>172.0</v>
      </c>
      <c r="B121" s="2" t="s">
        <v>2416</v>
      </c>
      <c r="C121" s="2" t="s">
        <v>2417</v>
      </c>
      <c r="D121" s="2" t="s">
        <v>2418</v>
      </c>
      <c r="E121" s="2">
        <v>2020.0</v>
      </c>
      <c r="F121" s="2" t="s">
        <v>2419</v>
      </c>
      <c r="G121" s="2" t="s">
        <v>677</v>
      </c>
      <c r="H121" s="2" t="s">
        <v>471</v>
      </c>
      <c r="J121" s="2" t="s">
        <v>2420</v>
      </c>
      <c r="K121" s="2" t="s">
        <v>2421</v>
      </c>
      <c r="M121" s="2">
        <v>6.0</v>
      </c>
      <c r="N121" s="2" t="s">
        <v>2422</v>
      </c>
      <c r="O121" s="2" t="s">
        <v>2423</v>
      </c>
      <c r="P121" s="2" t="s">
        <v>2424</v>
      </c>
      <c r="Q121" s="2" t="s">
        <v>2425</v>
      </c>
      <c r="R121" s="2" t="s">
        <v>2426</v>
      </c>
      <c r="S121" s="2" t="s">
        <v>2427</v>
      </c>
      <c r="T121" s="2" t="s">
        <v>2428</v>
      </c>
      <c r="Y121" s="2" t="s">
        <v>2429</v>
      </c>
      <c r="AB121" s="2" t="s">
        <v>1406</v>
      </c>
      <c r="AG121" s="2" t="s">
        <v>2430</v>
      </c>
      <c r="AK121" s="2" t="s">
        <v>2431</v>
      </c>
      <c r="AL121" s="2" t="s">
        <v>384</v>
      </c>
      <c r="AN121" s="2" t="s">
        <v>386</v>
      </c>
      <c r="AO121" s="2" t="s">
        <v>2432</v>
      </c>
      <c r="AP121" s="2" t="s">
        <v>386</v>
      </c>
      <c r="AQ121" s="2">
        <v>662.0</v>
      </c>
      <c r="AR121" s="2" t="s">
        <v>2433</v>
      </c>
      <c r="AS121" s="2" t="b">
        <v>0</v>
      </c>
      <c r="AT121" s="3">
        <v>0.0</v>
      </c>
      <c r="AU121" s="4"/>
      <c r="AV121" s="4">
        <v>1.0</v>
      </c>
      <c r="AW121" s="5">
        <f t="shared" si="432"/>
        <v>0</v>
      </c>
      <c r="AX121" s="5">
        <f t="shared" si="4"/>
        <v>0</v>
      </c>
      <c r="AY121" s="5">
        <f t="shared" si="5"/>
        <v>0</v>
      </c>
      <c r="AZ121" s="5">
        <f t="shared" si="6"/>
        <v>0</v>
      </c>
      <c r="BA121" s="5">
        <f t="shared" si="7"/>
        <v>0</v>
      </c>
      <c r="BB121" s="5">
        <f t="shared" si="8"/>
        <v>0</v>
      </c>
      <c r="BC121" s="5">
        <f t="shared" si="9"/>
        <v>0</v>
      </c>
      <c r="BD121" s="5">
        <f t="shared" si="10"/>
        <v>0</v>
      </c>
      <c r="BE121" s="5">
        <f t="shared" si="11"/>
        <v>0</v>
      </c>
      <c r="BF121" s="5">
        <f t="shared" si="12"/>
        <v>0</v>
      </c>
      <c r="BG121" s="5">
        <f t="shared" si="13"/>
        <v>0</v>
      </c>
      <c r="BH121" s="5">
        <f t="shared" si="14"/>
        <v>0</v>
      </c>
      <c r="BI121" s="5">
        <f t="shared" si="15"/>
        <v>0</v>
      </c>
      <c r="BJ121" s="5">
        <f t="shared" si="16"/>
        <v>0</v>
      </c>
      <c r="BK121" s="5">
        <f t="shared" si="17"/>
        <v>0</v>
      </c>
      <c r="BL121" s="5">
        <f t="shared" si="18"/>
        <v>0</v>
      </c>
      <c r="BM121" s="5">
        <f t="shared" si="19"/>
        <v>0</v>
      </c>
      <c r="BN121" s="5">
        <f t="shared" si="20"/>
        <v>0</v>
      </c>
      <c r="BO121" s="5">
        <f t="shared" si="21"/>
        <v>0</v>
      </c>
      <c r="BP121" s="5">
        <f t="shared" si="22"/>
        <v>0</v>
      </c>
      <c r="BQ121" s="5">
        <f t="shared" si="23"/>
        <v>0</v>
      </c>
      <c r="BR121" s="5">
        <f t="shared" si="24"/>
        <v>0</v>
      </c>
      <c r="BS121" s="5">
        <f t="shared" si="25"/>
        <v>0</v>
      </c>
      <c r="BT121" s="5">
        <f t="shared" si="26"/>
        <v>0</v>
      </c>
      <c r="BU121" s="5">
        <f t="shared" si="27"/>
        <v>0</v>
      </c>
      <c r="BV121" s="5">
        <f t="shared" ref="BV121:BW121" si="588">IF(OR(ISNUMBER(SEARCH("grit",$D121)),ISNUMBER(SEARCH("grit",$T121)),ISNUMBER(SEARCH("grit",$R121)),ISNUMBER(SEARCH("grit",$S121)),
ISNUMBER(SEARCH("determination",$D121)),ISNUMBER(SEARCH("determination",$T121)),ISNUMBER(SEARCH("determination",$R121)),ISNUMBER(SEARCH("determination",$S121)),
ISNUMBER(SEARCH("tenacity",$D121)),ISNUMBER(SEARCH("tenacity",$T121)),ISNUMBER(SEARCH("tenacity",$R121)),ISNUMBER(SEARCH("tenacity",$S121)),
ISNUMBER(SEARCH("endurance",$D121)),ISNUMBER(SEARCH("endurance",$T121)),ISNUMBER(SEARCH("endurance",$R121)),ISNUMBER(SEARCH("endurance",$S121)),
ISNUMBER(SEARCH("fortitude",$D121)),ISNUMBER(SEARCH("fortitude",$T121)),ISNUMBER(SEARCH("fortitude",$R121)),ISNUMBER(SEARCH("fortitude",$S121)),
ISNUMBER(SEARCH("resolve",$D121)),ISNUMBER(SEARCH("resolve",$T121)),ISNUMBER(SEARCH("resolve",$R121)),ISNUMBER(SEARCH("resolve",$S121)),
ISNUMBER(SEARCH("stamina",$D121)),ISNUMBER(SEARCH("stamina",$T121)),ISNUMBER(SEARCH("stamina",$R121)),ISNUMBER(SEARCH("stamina",$S121)),
ISNUMBER(SEARCH("guts",$D121)),ISNUMBER(SEARCH("guts",$T121)),ISNUMBER(SEARCH("guts",$R121)),ISNUMBER(SEARCH("guts",$S121)),
ISNUMBER(SEARCH("spunk",$D121)),ISNUMBER(SEARCH("spunk",$T121)),ISNUMBER(SEARCH("spunk",$R121)),ISNUMBER(SEARCH("spunk",$S121))), 1, 0)</f>
        <v>0</v>
      </c>
      <c r="BW121" s="5">
        <f t="shared" si="588"/>
        <v>0</v>
      </c>
      <c r="BX121" s="5">
        <f t="shared" si="29"/>
        <v>0</v>
      </c>
      <c r="BY121" s="5">
        <f t="shared" si="30"/>
        <v>0</v>
      </c>
      <c r="BZ121" s="5">
        <f t="shared" si="31"/>
        <v>0</v>
      </c>
      <c r="CA121" s="5">
        <f t="shared" si="32"/>
        <v>0</v>
      </c>
      <c r="CB121" s="5">
        <f t="shared" si="33"/>
        <v>0</v>
      </c>
      <c r="CC121" s="5">
        <f t="shared" si="34"/>
        <v>0</v>
      </c>
      <c r="CD121" s="5">
        <f t="shared" si="35"/>
        <v>0</v>
      </c>
      <c r="CE121" s="5">
        <f t="shared" si="36"/>
        <v>0</v>
      </c>
      <c r="CF121" s="5">
        <f t="shared" si="37"/>
        <v>0</v>
      </c>
      <c r="CG121" s="5">
        <f t="shared" si="38"/>
        <v>0</v>
      </c>
      <c r="CH121" s="5">
        <f t="shared" si="39"/>
        <v>0</v>
      </c>
      <c r="CI121" s="5">
        <f t="shared" si="40"/>
        <v>0</v>
      </c>
      <c r="CJ121" s="5">
        <f t="shared" si="41"/>
        <v>0</v>
      </c>
      <c r="CK121" s="5">
        <f t="shared" si="42"/>
        <v>0</v>
      </c>
      <c r="CL121" s="5">
        <f t="shared" si="43"/>
        <v>0</v>
      </c>
      <c r="CM121" s="5">
        <f t="shared" si="44"/>
        <v>0</v>
      </c>
      <c r="CN121" s="5">
        <f t="shared" si="45"/>
        <v>0</v>
      </c>
      <c r="CO121" s="5">
        <f t="shared" si="46"/>
        <v>0</v>
      </c>
      <c r="CP121" s="6">
        <f t="shared" si="47"/>
        <v>0</v>
      </c>
      <c r="CQ121" s="6">
        <f t="shared" si="48"/>
        <v>0</v>
      </c>
      <c r="CR121" s="6">
        <f t="shared" si="49"/>
        <v>1</v>
      </c>
      <c r="CS121" s="6">
        <f t="shared" si="50"/>
        <v>0</v>
      </c>
      <c r="CT121" s="6">
        <f t="shared" si="584"/>
        <v>0</v>
      </c>
      <c r="CU121" s="6">
        <f t="shared" si="52"/>
        <v>0</v>
      </c>
      <c r="CV121" s="6">
        <f t="shared" si="53"/>
        <v>0</v>
      </c>
      <c r="CW121" s="6">
        <f t="shared" si="54"/>
        <v>0</v>
      </c>
      <c r="CX121" s="6">
        <f t="shared" si="55"/>
        <v>0</v>
      </c>
      <c r="CY121" s="6">
        <f t="shared" si="56"/>
        <v>0</v>
      </c>
      <c r="CZ121" s="6">
        <f t="shared" si="57"/>
        <v>0</v>
      </c>
      <c r="DA121" s="6">
        <f t="shared" si="58"/>
        <v>0</v>
      </c>
      <c r="DB121" s="6">
        <f t="shared" si="59"/>
        <v>0</v>
      </c>
      <c r="DC121" s="6">
        <f t="shared" si="60"/>
        <v>1</v>
      </c>
      <c r="DD121" s="6">
        <f t="shared" si="61"/>
        <v>0</v>
      </c>
      <c r="DE121" s="6">
        <f t="shared" si="62"/>
        <v>0</v>
      </c>
      <c r="DF121" s="6">
        <f t="shared" si="63"/>
        <v>0</v>
      </c>
      <c r="DG121" s="6">
        <f t="shared" si="64"/>
        <v>1</v>
      </c>
      <c r="DH121" s="6">
        <f t="shared" si="579"/>
        <v>0</v>
      </c>
      <c r="DI121" s="6">
        <f t="shared" si="66"/>
        <v>0</v>
      </c>
      <c r="DJ121" s="6">
        <f t="shared" si="574"/>
        <v>1</v>
      </c>
      <c r="DK121" s="7">
        <f t="shared" si="68"/>
        <v>0</v>
      </c>
      <c r="DL121" s="7">
        <f t="shared" si="498"/>
        <v>0</v>
      </c>
      <c r="DM121" s="7">
        <f t="shared" si="70"/>
        <v>0</v>
      </c>
      <c r="DN121" s="7">
        <f t="shared" si="71"/>
        <v>0</v>
      </c>
      <c r="DO121" s="7">
        <f t="shared" si="72"/>
        <v>0</v>
      </c>
      <c r="DP121" s="8">
        <f t="shared" si="73"/>
        <v>0</v>
      </c>
      <c r="DQ121" s="8">
        <f t="shared" si="74"/>
        <v>1</v>
      </c>
      <c r="DR121" s="7">
        <f t="shared" si="75"/>
        <v>0</v>
      </c>
      <c r="DS121" s="7">
        <f t="shared" si="76"/>
        <v>0</v>
      </c>
      <c r="DT121" s="7">
        <f t="shared" si="77"/>
        <v>0</v>
      </c>
      <c r="DU121" s="9">
        <f t="shared" si="78"/>
        <v>0</v>
      </c>
      <c r="DV121" s="9">
        <f t="shared" si="79"/>
        <v>0</v>
      </c>
      <c r="DW121" s="9">
        <f t="shared" si="80"/>
        <v>0</v>
      </c>
      <c r="DX121" s="9">
        <f t="shared" si="81"/>
        <v>0</v>
      </c>
      <c r="DY121" s="9">
        <f t="shared" si="82"/>
        <v>0</v>
      </c>
      <c r="DZ121" s="9">
        <f t="shared" si="83"/>
        <v>0</v>
      </c>
      <c r="EA121" s="9">
        <f t="shared" si="84"/>
        <v>0</v>
      </c>
      <c r="EB121" s="9">
        <f t="shared" si="85"/>
        <v>0</v>
      </c>
      <c r="EC121" s="9">
        <f t="shared" si="86"/>
        <v>0</v>
      </c>
      <c r="ED121" s="9">
        <f t="shared" si="87"/>
        <v>0</v>
      </c>
      <c r="EE121" s="9">
        <f t="shared" si="88"/>
        <v>0</v>
      </c>
      <c r="EF121" s="9">
        <f t="shared" si="89"/>
        <v>0</v>
      </c>
      <c r="EG121" s="9">
        <f t="shared" si="90"/>
        <v>0</v>
      </c>
      <c r="EH121" s="9">
        <f t="shared" si="91"/>
        <v>0</v>
      </c>
      <c r="EI121" s="9">
        <f t="shared" si="92"/>
        <v>0</v>
      </c>
      <c r="EJ121" s="10">
        <f t="shared" si="93"/>
        <v>0</v>
      </c>
      <c r="EK121" s="10">
        <f t="shared" si="94"/>
        <v>0</v>
      </c>
      <c r="EL121" s="10">
        <f t="shared" ref="EL121:EM121" si="589">IF(OR(ISNUMBER(SEARCH("ai software toolkit", $D121)), ISNUMBER(SEARCH("ai software toolkit", $T121)), ISNUMBER(SEARCH("ai software toolkit", $R121)), ISNUMBER(SEARCH("ai software toolkit", $S121))), 1, 0)</f>
        <v>0</v>
      </c>
      <c r="EM121" s="10">
        <f t="shared" si="589"/>
        <v>0</v>
      </c>
      <c r="EN121" s="10">
        <f t="shared" si="96"/>
        <v>0</v>
      </c>
      <c r="EO121" s="10">
        <f t="shared" si="97"/>
        <v>0</v>
      </c>
      <c r="EP121" s="10">
        <f t="shared" si="98"/>
        <v>0</v>
      </c>
      <c r="EQ121" s="10">
        <f t="shared" si="99"/>
        <v>0</v>
      </c>
      <c r="ER121" s="10">
        <f t="shared" si="100"/>
        <v>0</v>
      </c>
      <c r="ES121" s="10">
        <f t="shared" si="101"/>
        <v>0</v>
      </c>
      <c r="ET121" s="10">
        <f t="shared" si="102"/>
        <v>0</v>
      </c>
      <c r="EU121" s="10">
        <f t="shared" si="103"/>
        <v>0</v>
      </c>
      <c r="EV121" s="10">
        <f t="shared" si="104"/>
        <v>0</v>
      </c>
      <c r="EW121" s="10">
        <f t="shared" si="105"/>
        <v>0</v>
      </c>
      <c r="EX121" s="10">
        <f t="shared" si="106"/>
        <v>0</v>
      </c>
      <c r="EY121" s="10">
        <f t="shared" si="107"/>
        <v>0</v>
      </c>
      <c r="EZ121" s="10">
        <f t="shared" si="108"/>
        <v>0</v>
      </c>
      <c r="FA121" s="10">
        <f t="shared" si="109"/>
        <v>0</v>
      </c>
      <c r="FB121" s="10">
        <f t="shared" si="110"/>
        <v>0</v>
      </c>
      <c r="FC121" s="10">
        <f t="shared" si="111"/>
        <v>0</v>
      </c>
      <c r="FD121" s="10">
        <f t="shared" si="112"/>
        <v>0</v>
      </c>
      <c r="FE121" s="10">
        <f t="shared" si="113"/>
        <v>0</v>
      </c>
      <c r="FF121" s="10">
        <f t="shared" si="114"/>
        <v>0</v>
      </c>
      <c r="FG121" s="10">
        <f t="shared" si="115"/>
        <v>0</v>
      </c>
      <c r="FH121" s="10">
        <f t="shared" si="116"/>
        <v>0</v>
      </c>
      <c r="FI121" s="10">
        <f t="shared" si="117"/>
        <v>0</v>
      </c>
      <c r="FJ121" s="10">
        <f t="shared" si="118"/>
        <v>0</v>
      </c>
      <c r="FK121" s="10">
        <f t="shared" si="119"/>
        <v>0</v>
      </c>
      <c r="FL121" s="10">
        <f t="shared" si="120"/>
        <v>0</v>
      </c>
      <c r="FM121" s="10">
        <f t="shared" si="121"/>
        <v>0</v>
      </c>
      <c r="FN121" s="10">
        <f t="shared" si="122"/>
        <v>0</v>
      </c>
      <c r="FO121" s="10">
        <f t="shared" si="123"/>
        <v>0</v>
      </c>
      <c r="FP121" s="10">
        <f t="shared" si="124"/>
        <v>0</v>
      </c>
      <c r="FQ121" s="10">
        <f t="shared" si="125"/>
        <v>0</v>
      </c>
      <c r="FR121" s="11">
        <f t="shared" si="543"/>
        <v>0</v>
      </c>
      <c r="FS121" s="11">
        <f t="shared" si="127"/>
        <v>0</v>
      </c>
      <c r="FT121" s="11">
        <f t="shared" si="128"/>
        <v>0</v>
      </c>
      <c r="FU121" s="11">
        <f t="shared" si="129"/>
        <v>0</v>
      </c>
      <c r="FV121" s="11">
        <f t="shared" si="130"/>
        <v>0</v>
      </c>
      <c r="FW121" s="11">
        <f t="shared" si="131"/>
        <v>0</v>
      </c>
      <c r="FX121" s="11">
        <f t="shared" si="132"/>
        <v>0</v>
      </c>
      <c r="FY121" s="11">
        <f t="shared" si="133"/>
        <v>0</v>
      </c>
      <c r="FZ121" s="11">
        <f t="shared" si="134"/>
        <v>0</v>
      </c>
      <c r="GA121" s="11">
        <f t="shared" si="135"/>
        <v>0</v>
      </c>
      <c r="GB121" s="11">
        <f t="shared" si="136"/>
        <v>0</v>
      </c>
      <c r="GC121" s="11">
        <f t="shared" si="137"/>
        <v>0</v>
      </c>
      <c r="GD121" s="11">
        <f t="shared" si="138"/>
        <v>0</v>
      </c>
      <c r="GE121" s="11">
        <f t="shared" si="139"/>
        <v>0</v>
      </c>
      <c r="GF121" s="11">
        <f t="shared" si="140"/>
        <v>0</v>
      </c>
      <c r="GG121" s="11">
        <f t="shared" si="141"/>
        <v>0</v>
      </c>
      <c r="GH121" s="11">
        <f t="shared" si="142"/>
        <v>0</v>
      </c>
      <c r="GI121" s="11">
        <f t="shared" si="143"/>
        <v>0</v>
      </c>
      <c r="GJ121" s="11">
        <f t="shared" si="144"/>
        <v>0</v>
      </c>
      <c r="GK121" s="11">
        <f t="shared" si="145"/>
        <v>0</v>
      </c>
      <c r="GL121" s="11">
        <f t="shared" si="146"/>
        <v>0</v>
      </c>
      <c r="GM121" s="11">
        <f t="shared" si="147"/>
        <v>0</v>
      </c>
      <c r="GN121" s="11">
        <f t="shared" si="148"/>
        <v>0</v>
      </c>
      <c r="GO121" s="11">
        <f t="shared" si="149"/>
        <v>0</v>
      </c>
      <c r="GP121" s="11">
        <f t="shared" si="150"/>
        <v>0</v>
      </c>
      <c r="GQ121" s="11">
        <f t="shared" si="151"/>
        <v>0</v>
      </c>
      <c r="GR121" s="11">
        <f t="shared" si="152"/>
        <v>0</v>
      </c>
      <c r="GS121" s="11">
        <f t="shared" si="153"/>
        <v>0</v>
      </c>
      <c r="GT121" s="11">
        <f t="shared" si="154"/>
        <v>0</v>
      </c>
      <c r="GU121" s="12">
        <f t="shared" si="155"/>
        <v>0</v>
      </c>
      <c r="GV121" s="12">
        <f t="shared" si="156"/>
        <v>0</v>
      </c>
      <c r="GW121" s="12">
        <f t="shared" si="157"/>
        <v>0</v>
      </c>
      <c r="GX121" s="12">
        <f t="shared" si="158"/>
        <v>0</v>
      </c>
      <c r="GY121" s="12">
        <f t="shared" si="159"/>
        <v>0</v>
      </c>
      <c r="GZ121" s="12">
        <f t="shared" si="160"/>
        <v>0</v>
      </c>
      <c r="HA121" s="12">
        <f t="shared" si="161"/>
        <v>0</v>
      </c>
      <c r="HB121" s="12">
        <f t="shared" si="162"/>
        <v>0</v>
      </c>
      <c r="HC121" s="12">
        <f t="shared" si="163"/>
        <v>0</v>
      </c>
      <c r="HD121" s="12">
        <f t="shared" si="164"/>
        <v>0</v>
      </c>
      <c r="HE121" s="12">
        <f t="shared" si="165"/>
        <v>0</v>
      </c>
      <c r="HF121" s="12">
        <f t="shared" si="166"/>
        <v>0</v>
      </c>
      <c r="HG121" s="12">
        <f t="shared" si="167"/>
        <v>0</v>
      </c>
      <c r="HH121" s="12">
        <f t="shared" si="168"/>
        <v>0</v>
      </c>
      <c r="HI121" s="12">
        <f t="shared" si="169"/>
        <v>0</v>
      </c>
      <c r="HJ121" s="12">
        <f t="shared" si="170"/>
        <v>0</v>
      </c>
      <c r="HK121" s="12">
        <f t="shared" si="171"/>
        <v>0</v>
      </c>
      <c r="HL121" s="12">
        <f t="shared" si="172"/>
        <v>0</v>
      </c>
      <c r="HM121" s="12">
        <f t="shared" si="173"/>
        <v>0</v>
      </c>
      <c r="HN121" s="12">
        <f t="shared" si="174"/>
        <v>0</v>
      </c>
      <c r="HO121" s="12">
        <f t="shared" si="175"/>
        <v>0</v>
      </c>
      <c r="HP121" s="12">
        <f t="shared" si="176"/>
        <v>0</v>
      </c>
      <c r="HQ121" s="12">
        <f t="shared" si="177"/>
        <v>0</v>
      </c>
      <c r="HR121" s="12">
        <f t="shared" si="178"/>
        <v>0</v>
      </c>
      <c r="HS121" s="12">
        <f t="shared" si="179"/>
        <v>0</v>
      </c>
      <c r="HT121" s="12">
        <f t="shared" si="180"/>
        <v>0</v>
      </c>
      <c r="HU121" s="12">
        <f t="shared" si="181"/>
        <v>0</v>
      </c>
      <c r="HV121" s="12">
        <f t="shared" si="182"/>
        <v>0</v>
      </c>
      <c r="HW121" s="12">
        <f t="shared" si="183"/>
        <v>0</v>
      </c>
      <c r="HX121" s="12">
        <f t="shared" si="184"/>
        <v>0</v>
      </c>
      <c r="HY121" s="12">
        <f t="shared" si="185"/>
        <v>0</v>
      </c>
      <c r="HZ121" s="12">
        <f t="shared" si="186"/>
        <v>0</v>
      </c>
      <c r="IA121" s="12">
        <f t="shared" si="187"/>
        <v>0</v>
      </c>
      <c r="IB121" s="12">
        <f t="shared" si="188"/>
        <v>0</v>
      </c>
      <c r="IC121" s="12">
        <f t="shared" si="189"/>
        <v>0</v>
      </c>
      <c r="ID121" s="12">
        <f t="shared" si="190"/>
        <v>0</v>
      </c>
      <c r="IE121" s="12">
        <f t="shared" si="191"/>
        <v>0</v>
      </c>
      <c r="IF121" s="12">
        <f t="shared" si="192"/>
        <v>0</v>
      </c>
      <c r="IG121" s="12">
        <f t="shared" si="193"/>
        <v>0</v>
      </c>
      <c r="IH121" s="12">
        <f t="shared" si="194"/>
        <v>0</v>
      </c>
      <c r="II121" s="12">
        <f t="shared" si="195"/>
        <v>0</v>
      </c>
      <c r="IJ121" s="12">
        <f t="shared" si="196"/>
        <v>0</v>
      </c>
      <c r="IK121" s="12">
        <f t="shared" si="197"/>
        <v>0</v>
      </c>
      <c r="IL121" s="12">
        <f t="shared" si="198"/>
        <v>0</v>
      </c>
      <c r="IM121" s="12">
        <f t="shared" si="199"/>
        <v>0</v>
      </c>
      <c r="IN121" s="12">
        <f t="shared" si="200"/>
        <v>0</v>
      </c>
      <c r="IO121" s="12">
        <f t="shared" si="201"/>
        <v>0</v>
      </c>
      <c r="IP121" s="12">
        <f t="shared" si="202"/>
        <v>0</v>
      </c>
      <c r="IQ121" s="12">
        <f t="shared" si="203"/>
        <v>0</v>
      </c>
      <c r="IR121" s="12">
        <f t="shared" si="204"/>
        <v>0</v>
      </c>
      <c r="IS121" s="12">
        <f t="shared" si="205"/>
        <v>0</v>
      </c>
      <c r="IT121" s="12">
        <f t="shared" si="206"/>
        <v>0</v>
      </c>
      <c r="IU121" s="12">
        <f t="shared" si="207"/>
        <v>0</v>
      </c>
      <c r="IV121" s="12">
        <f t="shared" si="208"/>
        <v>0</v>
      </c>
      <c r="IW121" s="12">
        <f t="shared" si="209"/>
        <v>0</v>
      </c>
      <c r="IX121" s="12">
        <f t="shared" si="210"/>
        <v>0</v>
      </c>
      <c r="IY121" s="12">
        <f t="shared" si="211"/>
        <v>0</v>
      </c>
      <c r="IZ121" s="12">
        <f t="shared" si="212"/>
        <v>1</v>
      </c>
      <c r="JA121" s="13">
        <f t="shared" si="213"/>
        <v>0</v>
      </c>
      <c r="JB121" s="13">
        <f t="shared" si="214"/>
        <v>0</v>
      </c>
      <c r="JC121" s="13">
        <f t="shared" si="215"/>
        <v>0</v>
      </c>
      <c r="JD121" s="13">
        <f t="shared" si="216"/>
        <v>0</v>
      </c>
      <c r="JE121" s="13">
        <f t="shared" si="217"/>
        <v>0</v>
      </c>
      <c r="JF121" s="13">
        <f t="shared" si="218"/>
        <v>0</v>
      </c>
      <c r="JG121" s="13">
        <f t="shared" si="219"/>
        <v>0</v>
      </c>
      <c r="JH121" s="13">
        <f t="shared" si="220"/>
        <v>0</v>
      </c>
      <c r="JI121" s="13">
        <f t="shared" si="221"/>
        <v>0</v>
      </c>
      <c r="JJ121" s="13">
        <f t="shared" si="222"/>
        <v>0</v>
      </c>
      <c r="JK121" s="13">
        <f t="shared" si="223"/>
        <v>0</v>
      </c>
      <c r="JL121" s="13">
        <f t="shared" si="224"/>
        <v>0</v>
      </c>
      <c r="JM121" s="13">
        <f t="shared" si="225"/>
        <v>0</v>
      </c>
      <c r="JN121" s="13">
        <f t="shared" si="226"/>
        <v>0</v>
      </c>
      <c r="JO121" s="13">
        <f t="shared" si="227"/>
        <v>0</v>
      </c>
      <c r="JP121" s="13">
        <f t="shared" si="228"/>
        <v>0</v>
      </c>
      <c r="JQ121" s="13">
        <f t="shared" si="229"/>
        <v>0</v>
      </c>
      <c r="JR121" s="13">
        <f t="shared" si="230"/>
        <v>0</v>
      </c>
      <c r="JS121" s="13">
        <f t="shared" si="231"/>
        <v>0</v>
      </c>
      <c r="JT121" s="13">
        <f t="shared" si="232"/>
        <v>0</v>
      </c>
      <c r="JU121" s="13">
        <f t="shared" si="233"/>
        <v>0</v>
      </c>
      <c r="JV121" s="12">
        <f t="shared" si="234"/>
        <v>0</v>
      </c>
      <c r="JW121" s="12">
        <f t="shared" si="235"/>
        <v>0</v>
      </c>
      <c r="JX121" s="12">
        <f t="shared" si="236"/>
        <v>0</v>
      </c>
      <c r="JY121" s="12">
        <f t="shared" si="237"/>
        <v>0</v>
      </c>
      <c r="JZ121" s="12">
        <f t="shared" si="238"/>
        <v>0</v>
      </c>
      <c r="KA121" s="12">
        <f t="shared" si="239"/>
        <v>0</v>
      </c>
      <c r="KB121" s="12">
        <f t="shared" si="240"/>
        <v>0</v>
      </c>
      <c r="KC121" s="12">
        <f t="shared" si="241"/>
        <v>0</v>
      </c>
      <c r="KD121" s="12">
        <f t="shared" si="242"/>
        <v>0</v>
      </c>
      <c r="KE121" s="12">
        <f t="shared" si="243"/>
        <v>0</v>
      </c>
      <c r="KF121" s="12">
        <f t="shared" si="244"/>
        <v>0</v>
      </c>
      <c r="KG121" s="12">
        <f t="shared" si="245"/>
        <v>0</v>
      </c>
      <c r="KH121" s="12">
        <f t="shared" si="246"/>
        <v>0</v>
      </c>
      <c r="KI121" s="12">
        <f t="shared" si="247"/>
        <v>0</v>
      </c>
      <c r="KJ121" s="12">
        <f t="shared" si="248"/>
        <v>0</v>
      </c>
      <c r="KK121" s="12">
        <f t="shared" si="249"/>
        <v>0</v>
      </c>
      <c r="KL121" s="12">
        <f t="shared" si="250"/>
        <v>0</v>
      </c>
      <c r="KM121" s="12">
        <f t="shared" si="251"/>
        <v>0</v>
      </c>
      <c r="KN121" s="12">
        <f t="shared" si="252"/>
        <v>0</v>
      </c>
      <c r="KO121" s="12">
        <f t="shared" si="253"/>
        <v>0</v>
      </c>
      <c r="KP121" s="12">
        <f t="shared" si="254"/>
        <v>0</v>
      </c>
      <c r="KQ121" s="12">
        <f t="shared" si="255"/>
        <v>0</v>
      </c>
      <c r="KR121" s="12">
        <f t="shared" si="256"/>
        <v>0</v>
      </c>
      <c r="KS121" s="12">
        <f t="shared" si="257"/>
        <v>0</v>
      </c>
      <c r="KT121" s="12">
        <f t="shared" si="258"/>
        <v>0</v>
      </c>
      <c r="KU121" s="12">
        <f t="shared" si="259"/>
        <v>0</v>
      </c>
      <c r="KV121" s="12">
        <f t="shared" si="260"/>
        <v>0</v>
      </c>
      <c r="KW121" s="12">
        <f t="shared" si="261"/>
        <v>0</v>
      </c>
      <c r="KX121" s="12">
        <f t="shared" si="262"/>
        <v>0</v>
      </c>
      <c r="KY121" s="12">
        <f t="shared" si="263"/>
        <v>0</v>
      </c>
      <c r="KZ121" s="12">
        <f t="shared" si="264"/>
        <v>0</v>
      </c>
      <c r="LA121" s="12">
        <f t="shared" si="265"/>
        <v>0</v>
      </c>
      <c r="LB121" s="12">
        <f t="shared" si="266"/>
        <v>0</v>
      </c>
      <c r="LC121" s="12">
        <f t="shared" si="267"/>
        <v>0</v>
      </c>
      <c r="LD121" s="12">
        <f t="shared" si="268"/>
        <v>0</v>
      </c>
      <c r="LE121" s="12">
        <f t="shared" si="269"/>
        <v>0</v>
      </c>
      <c r="LF121" s="12">
        <f t="shared" si="270"/>
        <v>0</v>
      </c>
      <c r="LG121" s="12">
        <f t="shared" si="271"/>
        <v>0</v>
      </c>
      <c r="LH121" s="12">
        <f t="shared" si="272"/>
        <v>0</v>
      </c>
      <c r="LI121" s="12">
        <f t="shared" si="273"/>
        <v>0</v>
      </c>
      <c r="LJ121" s="12">
        <f t="shared" si="274"/>
        <v>0</v>
      </c>
      <c r="LK121" s="12">
        <f t="shared" si="275"/>
        <v>0</v>
      </c>
      <c r="LL121" s="12">
        <f t="shared" si="276"/>
        <v>0</v>
      </c>
      <c r="LM121" s="12">
        <f t="shared" si="277"/>
        <v>0</v>
      </c>
      <c r="LN121" s="12">
        <f t="shared" si="278"/>
        <v>0</v>
      </c>
      <c r="LO121" s="12">
        <f t="shared" si="279"/>
        <v>0</v>
      </c>
      <c r="LP121" s="12">
        <f t="shared" si="280"/>
        <v>0</v>
      </c>
      <c r="LQ121" s="12">
        <f t="shared" si="281"/>
        <v>0</v>
      </c>
      <c r="LR121" s="12">
        <f t="shared" si="282"/>
        <v>0</v>
      </c>
      <c r="LS121" s="12">
        <f t="shared" si="283"/>
        <v>0</v>
      </c>
      <c r="LT121" s="13">
        <f t="shared" si="284"/>
        <v>0</v>
      </c>
      <c r="LU121" s="13">
        <f t="shared" si="285"/>
        <v>0</v>
      </c>
      <c r="LV121" s="13">
        <f t="shared" si="286"/>
        <v>0</v>
      </c>
      <c r="LW121" s="13">
        <f t="shared" si="287"/>
        <v>1</v>
      </c>
      <c r="LX121" s="13">
        <f t="shared" si="288"/>
        <v>0</v>
      </c>
      <c r="LY121" s="13">
        <f t="shared" si="289"/>
        <v>0</v>
      </c>
      <c r="LZ121" s="13">
        <f t="shared" si="290"/>
        <v>0</v>
      </c>
      <c r="MA121" s="13">
        <f t="shared" si="291"/>
        <v>0</v>
      </c>
      <c r="MB121" s="13">
        <f t="shared" si="292"/>
        <v>0</v>
      </c>
      <c r="MC121" s="13">
        <f t="shared" si="293"/>
        <v>0</v>
      </c>
      <c r="MD121" s="13">
        <f t="shared" si="294"/>
        <v>0</v>
      </c>
      <c r="ME121" s="13">
        <f t="shared" si="295"/>
        <v>1</v>
      </c>
      <c r="MF121" s="13">
        <f t="shared" si="296"/>
        <v>0</v>
      </c>
      <c r="MG121" s="13">
        <f t="shared" si="297"/>
        <v>0</v>
      </c>
      <c r="MH121" s="13">
        <f t="shared" si="298"/>
        <v>0</v>
      </c>
      <c r="MI121" s="13">
        <f t="shared" si="299"/>
        <v>0</v>
      </c>
      <c r="MJ121" s="13">
        <f t="shared" si="300"/>
        <v>0</v>
      </c>
      <c r="MK121" s="13">
        <f t="shared" si="301"/>
        <v>0</v>
      </c>
      <c r="ML121" s="14">
        <f t="shared" si="302"/>
        <v>0</v>
      </c>
      <c r="MM121" s="14">
        <f t="shared" si="303"/>
        <v>0</v>
      </c>
      <c r="MN121" s="14">
        <f t="shared" si="304"/>
        <v>0</v>
      </c>
      <c r="MO121" s="14">
        <f t="shared" si="305"/>
        <v>0</v>
      </c>
      <c r="MP121" s="14">
        <f t="shared" si="306"/>
        <v>0</v>
      </c>
      <c r="MQ121" s="14">
        <f t="shared" si="307"/>
        <v>0</v>
      </c>
      <c r="MR121" s="14">
        <f t="shared" si="308"/>
        <v>0</v>
      </c>
      <c r="MS121" s="14">
        <f t="shared" si="309"/>
        <v>0</v>
      </c>
      <c r="MT121" s="14">
        <f t="shared" si="310"/>
        <v>0</v>
      </c>
      <c r="MU121" s="14">
        <f t="shared" si="311"/>
        <v>0</v>
      </c>
      <c r="MV121" s="14">
        <f t="shared" si="312"/>
        <v>0</v>
      </c>
      <c r="MW121" s="14">
        <f t="shared" si="313"/>
        <v>0</v>
      </c>
      <c r="MX121" s="14">
        <f t="shared" si="314"/>
        <v>0</v>
      </c>
      <c r="MY121" s="14">
        <f t="shared" si="315"/>
        <v>0</v>
      </c>
      <c r="MZ121" s="14">
        <f t="shared" si="316"/>
        <v>0</v>
      </c>
      <c r="NA121" s="14">
        <f t="shared" si="317"/>
        <v>0</v>
      </c>
      <c r="NB121" s="14">
        <f t="shared" si="318"/>
        <v>0</v>
      </c>
    </row>
    <row r="122" ht="15.75" customHeight="1">
      <c r="A122" s="2">
        <v>303.0</v>
      </c>
      <c r="B122" s="2" t="s">
        <v>2434</v>
      </c>
      <c r="C122" s="2" t="s">
        <v>2435</v>
      </c>
      <c r="D122" s="2" t="s">
        <v>2436</v>
      </c>
      <c r="E122" s="2">
        <v>2019.0</v>
      </c>
      <c r="F122" s="2" t="s">
        <v>2268</v>
      </c>
      <c r="G122" s="2" t="s">
        <v>528</v>
      </c>
      <c r="I122" s="2" t="s">
        <v>2437</v>
      </c>
      <c r="J122" s="2" t="s">
        <v>2438</v>
      </c>
      <c r="K122" s="2" t="s">
        <v>2439</v>
      </c>
      <c r="M122" s="2">
        <v>6.0</v>
      </c>
      <c r="N122" s="2" t="s">
        <v>2440</v>
      </c>
      <c r="O122" s="2" t="s">
        <v>2441</v>
      </c>
      <c r="P122" s="2" t="s">
        <v>2442</v>
      </c>
      <c r="Q122" s="2" t="s">
        <v>2443</v>
      </c>
      <c r="R122" s="2" t="s">
        <v>2444</v>
      </c>
      <c r="S122" s="2" t="s">
        <v>2445</v>
      </c>
      <c r="T122" s="2" t="s">
        <v>2446</v>
      </c>
      <c r="Y122" s="2" t="s">
        <v>2447</v>
      </c>
      <c r="AB122" s="2" t="s">
        <v>668</v>
      </c>
      <c r="AG122" s="2" t="s">
        <v>2280</v>
      </c>
      <c r="AK122" s="2" t="s">
        <v>2268</v>
      </c>
      <c r="AL122" s="2" t="s">
        <v>384</v>
      </c>
      <c r="AM122" s="2" t="s">
        <v>1306</v>
      </c>
      <c r="AN122" s="2" t="s">
        <v>386</v>
      </c>
      <c r="AO122" s="2" t="s">
        <v>2448</v>
      </c>
      <c r="AP122" s="2" t="s">
        <v>386</v>
      </c>
      <c r="AQ122" s="2">
        <v>1212.0</v>
      </c>
      <c r="AR122" s="2" t="s">
        <v>2449</v>
      </c>
      <c r="AS122" s="2" t="b">
        <v>1</v>
      </c>
      <c r="AT122" s="3">
        <v>0.0</v>
      </c>
      <c r="AU122" s="4"/>
      <c r="AV122" s="4">
        <v>1.0</v>
      </c>
      <c r="AW122" s="5">
        <f t="shared" si="432"/>
        <v>0</v>
      </c>
      <c r="AX122" s="5">
        <f t="shared" si="4"/>
        <v>0</v>
      </c>
      <c r="AY122" s="5">
        <f t="shared" si="5"/>
        <v>0</v>
      </c>
      <c r="AZ122" s="5">
        <f t="shared" si="6"/>
        <v>0</v>
      </c>
      <c r="BA122" s="5">
        <f t="shared" si="7"/>
        <v>0</v>
      </c>
      <c r="BB122" s="5">
        <f t="shared" si="8"/>
        <v>0</v>
      </c>
      <c r="BC122" s="5">
        <f t="shared" si="9"/>
        <v>0</v>
      </c>
      <c r="BD122" s="5">
        <f t="shared" si="10"/>
        <v>0</v>
      </c>
      <c r="BE122" s="5">
        <f t="shared" si="11"/>
        <v>0</v>
      </c>
      <c r="BF122" s="5">
        <f t="shared" si="12"/>
        <v>0</v>
      </c>
      <c r="BG122" s="5">
        <f t="shared" si="13"/>
        <v>0</v>
      </c>
      <c r="BH122" s="5">
        <f t="shared" si="14"/>
        <v>0</v>
      </c>
      <c r="BI122" s="5">
        <f t="shared" si="15"/>
        <v>0</v>
      </c>
      <c r="BJ122" s="5">
        <f t="shared" si="16"/>
        <v>0</v>
      </c>
      <c r="BK122" s="5">
        <f t="shared" si="17"/>
        <v>0</v>
      </c>
      <c r="BL122" s="5">
        <f t="shared" si="18"/>
        <v>0</v>
      </c>
      <c r="BM122" s="5">
        <f t="shared" si="19"/>
        <v>0</v>
      </c>
      <c r="BN122" s="5">
        <f t="shared" si="20"/>
        <v>0</v>
      </c>
      <c r="BO122" s="5">
        <f t="shared" si="21"/>
        <v>0</v>
      </c>
      <c r="BP122" s="5">
        <f t="shared" si="22"/>
        <v>0</v>
      </c>
      <c r="BQ122" s="5">
        <f t="shared" si="23"/>
        <v>0</v>
      </c>
      <c r="BR122" s="5">
        <f t="shared" si="24"/>
        <v>0</v>
      </c>
      <c r="BS122" s="5">
        <f t="shared" si="25"/>
        <v>1</v>
      </c>
      <c r="BT122" s="5">
        <f t="shared" si="26"/>
        <v>0</v>
      </c>
      <c r="BU122" s="5">
        <f t="shared" si="27"/>
        <v>0</v>
      </c>
      <c r="BV122" s="5">
        <f t="shared" ref="BV122:BW122" si="590">IF(OR(ISNUMBER(SEARCH("grit",$D122)),ISNUMBER(SEARCH("grit",$T122)),ISNUMBER(SEARCH("grit",$R122)),ISNUMBER(SEARCH("grit",$S122)),
ISNUMBER(SEARCH("determination",$D122)),ISNUMBER(SEARCH("determination",$T122)),ISNUMBER(SEARCH("determination",$R122)),ISNUMBER(SEARCH("determination",$S122)),
ISNUMBER(SEARCH("tenacity",$D122)),ISNUMBER(SEARCH("tenacity",$T122)),ISNUMBER(SEARCH("tenacity",$R122)),ISNUMBER(SEARCH("tenacity",$S122)),
ISNUMBER(SEARCH("endurance",$D122)),ISNUMBER(SEARCH("endurance",$T122)),ISNUMBER(SEARCH("endurance",$R122)),ISNUMBER(SEARCH("endurance",$S122)),
ISNUMBER(SEARCH("fortitude",$D122)),ISNUMBER(SEARCH("fortitude",$T122)),ISNUMBER(SEARCH("fortitude",$R122)),ISNUMBER(SEARCH("fortitude",$S122)),
ISNUMBER(SEARCH("resolve",$D122)),ISNUMBER(SEARCH("resolve",$T122)),ISNUMBER(SEARCH("resolve",$R122)),ISNUMBER(SEARCH("resolve",$S122)),
ISNUMBER(SEARCH("stamina",$D122)),ISNUMBER(SEARCH("stamina",$T122)),ISNUMBER(SEARCH("stamina",$R122)),ISNUMBER(SEARCH("stamina",$S122)),
ISNUMBER(SEARCH("guts",$D122)),ISNUMBER(SEARCH("guts",$T122)),ISNUMBER(SEARCH("guts",$R122)),ISNUMBER(SEARCH("guts",$S122)),
ISNUMBER(SEARCH("spunk",$D122)),ISNUMBER(SEARCH("spunk",$T122)),ISNUMBER(SEARCH("spunk",$R122)),ISNUMBER(SEARCH("spunk",$S122))), 1, 0)</f>
        <v>0</v>
      </c>
      <c r="BW122" s="5">
        <f t="shared" si="590"/>
        <v>0</v>
      </c>
      <c r="BX122" s="5">
        <f t="shared" si="29"/>
        <v>1</v>
      </c>
      <c r="BY122" s="5">
        <f t="shared" si="30"/>
        <v>0</v>
      </c>
      <c r="BZ122" s="5">
        <f t="shared" si="31"/>
        <v>0</v>
      </c>
      <c r="CA122" s="5">
        <f t="shared" si="32"/>
        <v>0</v>
      </c>
      <c r="CB122" s="5">
        <f t="shared" si="33"/>
        <v>0</v>
      </c>
      <c r="CC122" s="5">
        <f t="shared" si="34"/>
        <v>0</v>
      </c>
      <c r="CD122" s="5">
        <f t="shared" si="35"/>
        <v>0</v>
      </c>
      <c r="CE122" s="5">
        <f t="shared" si="36"/>
        <v>0</v>
      </c>
      <c r="CF122" s="5">
        <f t="shared" si="37"/>
        <v>0</v>
      </c>
      <c r="CG122" s="5">
        <f t="shared" si="38"/>
        <v>0</v>
      </c>
      <c r="CH122" s="5">
        <f t="shared" si="39"/>
        <v>0</v>
      </c>
      <c r="CI122" s="5">
        <f t="shared" si="40"/>
        <v>0</v>
      </c>
      <c r="CJ122" s="5">
        <f t="shared" si="41"/>
        <v>0</v>
      </c>
      <c r="CK122" s="5">
        <f t="shared" si="42"/>
        <v>0</v>
      </c>
      <c r="CL122" s="5">
        <f t="shared" si="43"/>
        <v>0</v>
      </c>
      <c r="CM122" s="5">
        <f t="shared" si="44"/>
        <v>0</v>
      </c>
      <c r="CN122" s="5">
        <f t="shared" si="45"/>
        <v>0</v>
      </c>
      <c r="CO122" s="5">
        <f t="shared" si="46"/>
        <v>0</v>
      </c>
      <c r="CP122" s="6">
        <f t="shared" si="47"/>
        <v>0</v>
      </c>
      <c r="CQ122" s="6">
        <f t="shared" si="48"/>
        <v>0</v>
      </c>
      <c r="CR122" s="6">
        <f t="shared" si="49"/>
        <v>0</v>
      </c>
      <c r="CS122" s="6">
        <f t="shared" si="50"/>
        <v>0</v>
      </c>
      <c r="CT122" s="6">
        <f t="shared" si="584"/>
        <v>0</v>
      </c>
      <c r="CU122" s="6">
        <f t="shared" si="52"/>
        <v>0</v>
      </c>
      <c r="CV122" s="6">
        <f t="shared" si="53"/>
        <v>0</v>
      </c>
      <c r="CW122" s="6">
        <f t="shared" si="54"/>
        <v>0</v>
      </c>
      <c r="CX122" s="6">
        <f t="shared" si="55"/>
        <v>0</v>
      </c>
      <c r="CY122" s="6">
        <f t="shared" si="56"/>
        <v>0</v>
      </c>
      <c r="CZ122" s="6">
        <f t="shared" si="57"/>
        <v>0</v>
      </c>
      <c r="DA122" s="6">
        <f t="shared" si="58"/>
        <v>0</v>
      </c>
      <c r="DB122" s="6">
        <f t="shared" si="59"/>
        <v>0</v>
      </c>
      <c r="DC122" s="6">
        <f t="shared" si="60"/>
        <v>0</v>
      </c>
      <c r="DD122" s="6">
        <f t="shared" si="61"/>
        <v>0</v>
      </c>
      <c r="DE122" s="6">
        <f t="shared" si="62"/>
        <v>0</v>
      </c>
      <c r="DF122" s="6">
        <f t="shared" si="63"/>
        <v>0</v>
      </c>
      <c r="DG122" s="6">
        <f t="shared" si="64"/>
        <v>0</v>
      </c>
      <c r="DH122" s="6">
        <f t="shared" si="579"/>
        <v>0</v>
      </c>
      <c r="DI122" s="6">
        <f t="shared" si="66"/>
        <v>0</v>
      </c>
      <c r="DJ122" s="6">
        <f t="shared" si="574"/>
        <v>0</v>
      </c>
      <c r="DK122" s="7">
        <f t="shared" si="68"/>
        <v>0</v>
      </c>
      <c r="DL122" s="7">
        <f t="shared" si="498"/>
        <v>0</v>
      </c>
      <c r="DM122" s="7">
        <f t="shared" si="70"/>
        <v>0</v>
      </c>
      <c r="DN122" s="7">
        <f t="shared" si="71"/>
        <v>0</v>
      </c>
      <c r="DO122" s="7">
        <f t="shared" si="72"/>
        <v>1</v>
      </c>
      <c r="DP122" s="8">
        <f t="shared" si="73"/>
        <v>0</v>
      </c>
      <c r="DQ122" s="8">
        <f t="shared" si="74"/>
        <v>1</v>
      </c>
      <c r="DR122" s="7">
        <f t="shared" si="75"/>
        <v>0</v>
      </c>
      <c r="DS122" s="7">
        <f t="shared" si="76"/>
        <v>0</v>
      </c>
      <c r="DT122" s="7">
        <f t="shared" si="77"/>
        <v>0</v>
      </c>
      <c r="DU122" s="9">
        <f t="shared" si="78"/>
        <v>0</v>
      </c>
      <c r="DV122" s="9">
        <f t="shared" si="79"/>
        <v>0</v>
      </c>
      <c r="DW122" s="9">
        <f t="shared" si="80"/>
        <v>0</v>
      </c>
      <c r="DX122" s="9">
        <f t="shared" si="81"/>
        <v>0</v>
      </c>
      <c r="DY122" s="9">
        <f t="shared" si="82"/>
        <v>0</v>
      </c>
      <c r="DZ122" s="9">
        <f t="shared" si="83"/>
        <v>0</v>
      </c>
      <c r="EA122" s="9">
        <f t="shared" si="84"/>
        <v>0</v>
      </c>
      <c r="EB122" s="9">
        <f t="shared" si="85"/>
        <v>0</v>
      </c>
      <c r="EC122" s="9">
        <f t="shared" si="86"/>
        <v>0</v>
      </c>
      <c r="ED122" s="9">
        <f t="shared" si="87"/>
        <v>0</v>
      </c>
      <c r="EE122" s="9">
        <f t="shared" si="88"/>
        <v>0</v>
      </c>
      <c r="EF122" s="9">
        <f t="shared" si="89"/>
        <v>0</v>
      </c>
      <c r="EG122" s="9">
        <f t="shared" si="90"/>
        <v>0</v>
      </c>
      <c r="EH122" s="9">
        <f t="shared" si="91"/>
        <v>0</v>
      </c>
      <c r="EI122" s="9">
        <f t="shared" si="92"/>
        <v>0</v>
      </c>
      <c r="EJ122" s="10">
        <f t="shared" si="93"/>
        <v>0</v>
      </c>
      <c r="EK122" s="10">
        <f t="shared" si="94"/>
        <v>0</v>
      </c>
      <c r="EL122" s="10">
        <f t="shared" ref="EL122:EM122" si="591">IF(OR(ISNUMBER(SEARCH("ai software toolkit", $D122)), ISNUMBER(SEARCH("ai software toolkit", $T122)), ISNUMBER(SEARCH("ai software toolkit", $R122)), ISNUMBER(SEARCH("ai software toolkit", $S122))), 1, 0)</f>
        <v>0</v>
      </c>
      <c r="EM122" s="10">
        <f t="shared" si="591"/>
        <v>0</v>
      </c>
      <c r="EN122" s="10">
        <f t="shared" si="96"/>
        <v>0</v>
      </c>
      <c r="EO122" s="10">
        <f t="shared" si="97"/>
        <v>1</v>
      </c>
      <c r="EP122" s="10">
        <f t="shared" si="98"/>
        <v>0</v>
      </c>
      <c r="EQ122" s="10">
        <f t="shared" si="99"/>
        <v>0</v>
      </c>
      <c r="ER122" s="10">
        <f t="shared" si="100"/>
        <v>0</v>
      </c>
      <c r="ES122" s="10">
        <f t="shared" si="101"/>
        <v>0</v>
      </c>
      <c r="ET122" s="10">
        <f t="shared" si="102"/>
        <v>0</v>
      </c>
      <c r="EU122" s="10">
        <f t="shared" si="103"/>
        <v>0</v>
      </c>
      <c r="EV122" s="10">
        <f t="shared" si="104"/>
        <v>0</v>
      </c>
      <c r="EW122" s="10">
        <f t="shared" si="105"/>
        <v>0</v>
      </c>
      <c r="EX122" s="10">
        <f t="shared" si="106"/>
        <v>0</v>
      </c>
      <c r="EY122" s="10">
        <f t="shared" si="107"/>
        <v>0</v>
      </c>
      <c r="EZ122" s="10">
        <f t="shared" si="108"/>
        <v>0</v>
      </c>
      <c r="FA122" s="10">
        <f t="shared" si="109"/>
        <v>0</v>
      </c>
      <c r="FB122" s="10">
        <f t="shared" si="110"/>
        <v>0</v>
      </c>
      <c r="FC122" s="10">
        <f t="shared" si="111"/>
        <v>0</v>
      </c>
      <c r="FD122" s="10">
        <f t="shared" si="112"/>
        <v>0</v>
      </c>
      <c r="FE122" s="10">
        <f t="shared" si="113"/>
        <v>0</v>
      </c>
      <c r="FF122" s="10">
        <f t="shared" si="114"/>
        <v>0</v>
      </c>
      <c r="FG122" s="10">
        <f t="shared" si="115"/>
        <v>0</v>
      </c>
      <c r="FH122" s="10">
        <f t="shared" si="116"/>
        <v>0</v>
      </c>
      <c r="FI122" s="10">
        <f t="shared" si="117"/>
        <v>0</v>
      </c>
      <c r="FJ122" s="10">
        <f t="shared" si="118"/>
        <v>0</v>
      </c>
      <c r="FK122" s="10">
        <f t="shared" si="119"/>
        <v>0</v>
      </c>
      <c r="FL122" s="10">
        <f t="shared" si="120"/>
        <v>0</v>
      </c>
      <c r="FM122" s="10">
        <f t="shared" si="121"/>
        <v>0</v>
      </c>
      <c r="FN122" s="10">
        <f t="shared" si="122"/>
        <v>0</v>
      </c>
      <c r="FO122" s="10">
        <f t="shared" si="123"/>
        <v>0</v>
      </c>
      <c r="FP122" s="10">
        <f t="shared" si="124"/>
        <v>0</v>
      </c>
      <c r="FQ122" s="10">
        <f t="shared" si="125"/>
        <v>0</v>
      </c>
      <c r="FR122" s="11">
        <f t="shared" si="543"/>
        <v>0</v>
      </c>
      <c r="FS122" s="11">
        <f t="shared" si="127"/>
        <v>0</v>
      </c>
      <c r="FT122" s="11">
        <f t="shared" si="128"/>
        <v>0</v>
      </c>
      <c r="FU122" s="11">
        <f t="shared" si="129"/>
        <v>0</v>
      </c>
      <c r="FV122" s="11">
        <f t="shared" si="130"/>
        <v>0</v>
      </c>
      <c r="FW122" s="11">
        <f t="shared" si="131"/>
        <v>0</v>
      </c>
      <c r="FX122" s="11">
        <f t="shared" si="132"/>
        <v>0</v>
      </c>
      <c r="FY122" s="11">
        <f t="shared" si="133"/>
        <v>0</v>
      </c>
      <c r="FZ122" s="11">
        <f t="shared" si="134"/>
        <v>0</v>
      </c>
      <c r="GA122" s="11">
        <f t="shared" si="135"/>
        <v>0</v>
      </c>
      <c r="GB122" s="11">
        <f t="shared" si="136"/>
        <v>0</v>
      </c>
      <c r="GC122" s="11">
        <f t="shared" si="137"/>
        <v>0</v>
      </c>
      <c r="GD122" s="11">
        <f t="shared" si="138"/>
        <v>0</v>
      </c>
      <c r="GE122" s="11">
        <f t="shared" si="139"/>
        <v>0</v>
      </c>
      <c r="GF122" s="11">
        <f t="shared" si="140"/>
        <v>0</v>
      </c>
      <c r="GG122" s="11">
        <f t="shared" si="141"/>
        <v>0</v>
      </c>
      <c r="GH122" s="11">
        <f t="shared" si="142"/>
        <v>0</v>
      </c>
      <c r="GI122" s="11">
        <f t="shared" si="143"/>
        <v>0</v>
      </c>
      <c r="GJ122" s="11">
        <f t="shared" si="144"/>
        <v>0</v>
      </c>
      <c r="GK122" s="11">
        <f t="shared" si="145"/>
        <v>0</v>
      </c>
      <c r="GL122" s="11">
        <f t="shared" si="146"/>
        <v>0</v>
      </c>
      <c r="GM122" s="11">
        <f t="shared" si="147"/>
        <v>0</v>
      </c>
      <c r="GN122" s="11">
        <f t="shared" si="148"/>
        <v>0</v>
      </c>
      <c r="GO122" s="11">
        <f t="shared" si="149"/>
        <v>0</v>
      </c>
      <c r="GP122" s="11">
        <f t="shared" si="150"/>
        <v>0</v>
      </c>
      <c r="GQ122" s="11">
        <f t="shared" si="151"/>
        <v>0</v>
      </c>
      <c r="GR122" s="11">
        <f t="shared" si="152"/>
        <v>0</v>
      </c>
      <c r="GS122" s="11">
        <f t="shared" si="153"/>
        <v>0</v>
      </c>
      <c r="GT122" s="11">
        <f t="shared" si="154"/>
        <v>0</v>
      </c>
      <c r="GU122" s="12">
        <f t="shared" si="155"/>
        <v>0</v>
      </c>
      <c r="GV122" s="12">
        <f t="shared" si="156"/>
        <v>0</v>
      </c>
      <c r="GW122" s="12">
        <f t="shared" si="157"/>
        <v>0</v>
      </c>
      <c r="GX122" s="12">
        <f t="shared" si="158"/>
        <v>0</v>
      </c>
      <c r="GY122" s="12">
        <f t="shared" si="159"/>
        <v>0</v>
      </c>
      <c r="GZ122" s="12">
        <f t="shared" si="160"/>
        <v>0</v>
      </c>
      <c r="HA122" s="12">
        <f t="shared" si="161"/>
        <v>0</v>
      </c>
      <c r="HB122" s="12">
        <f t="shared" si="162"/>
        <v>0</v>
      </c>
      <c r="HC122" s="12">
        <f t="shared" si="163"/>
        <v>0</v>
      </c>
      <c r="HD122" s="12">
        <f t="shared" si="164"/>
        <v>0</v>
      </c>
      <c r="HE122" s="12">
        <f t="shared" si="165"/>
        <v>0</v>
      </c>
      <c r="HF122" s="12">
        <f t="shared" si="166"/>
        <v>0</v>
      </c>
      <c r="HG122" s="12">
        <f t="shared" si="167"/>
        <v>0</v>
      </c>
      <c r="HH122" s="12">
        <f t="shared" si="168"/>
        <v>0</v>
      </c>
      <c r="HI122" s="12">
        <f t="shared" si="169"/>
        <v>0</v>
      </c>
      <c r="HJ122" s="12">
        <f t="shared" si="170"/>
        <v>0</v>
      </c>
      <c r="HK122" s="12">
        <f t="shared" si="171"/>
        <v>0</v>
      </c>
      <c r="HL122" s="12">
        <f t="shared" si="172"/>
        <v>0</v>
      </c>
      <c r="HM122" s="12">
        <f t="shared" si="173"/>
        <v>0</v>
      </c>
      <c r="HN122" s="12">
        <f t="shared" si="174"/>
        <v>0</v>
      </c>
      <c r="HO122" s="12">
        <f t="shared" si="175"/>
        <v>0</v>
      </c>
      <c r="HP122" s="12">
        <f t="shared" si="176"/>
        <v>0</v>
      </c>
      <c r="HQ122" s="12">
        <f t="shared" si="177"/>
        <v>0</v>
      </c>
      <c r="HR122" s="12">
        <f t="shared" si="178"/>
        <v>0</v>
      </c>
      <c r="HS122" s="12">
        <f t="shared" si="179"/>
        <v>0</v>
      </c>
      <c r="HT122" s="12">
        <f t="shared" si="180"/>
        <v>0</v>
      </c>
      <c r="HU122" s="12">
        <f t="shared" si="181"/>
        <v>0</v>
      </c>
      <c r="HV122" s="12">
        <f t="shared" si="182"/>
        <v>1</v>
      </c>
      <c r="HW122" s="12">
        <f t="shared" si="183"/>
        <v>0</v>
      </c>
      <c r="HX122" s="12">
        <f t="shared" si="184"/>
        <v>0</v>
      </c>
      <c r="HY122" s="12">
        <f t="shared" si="185"/>
        <v>0</v>
      </c>
      <c r="HZ122" s="12">
        <f t="shared" si="186"/>
        <v>0</v>
      </c>
      <c r="IA122" s="12">
        <f t="shared" si="187"/>
        <v>0</v>
      </c>
      <c r="IB122" s="12">
        <f t="shared" si="188"/>
        <v>0</v>
      </c>
      <c r="IC122" s="12">
        <f t="shared" si="189"/>
        <v>0</v>
      </c>
      <c r="ID122" s="12">
        <f t="shared" si="190"/>
        <v>0</v>
      </c>
      <c r="IE122" s="12">
        <f t="shared" si="191"/>
        <v>0</v>
      </c>
      <c r="IF122" s="12">
        <f t="shared" si="192"/>
        <v>0</v>
      </c>
      <c r="IG122" s="12">
        <f t="shared" si="193"/>
        <v>0</v>
      </c>
      <c r="IH122" s="12">
        <f t="shared" si="194"/>
        <v>0</v>
      </c>
      <c r="II122" s="12">
        <f t="shared" si="195"/>
        <v>0</v>
      </c>
      <c r="IJ122" s="12">
        <f t="shared" si="196"/>
        <v>0</v>
      </c>
      <c r="IK122" s="12">
        <f t="shared" si="197"/>
        <v>0</v>
      </c>
      <c r="IL122" s="12">
        <f t="shared" si="198"/>
        <v>0</v>
      </c>
      <c r="IM122" s="12">
        <f t="shared" si="199"/>
        <v>0</v>
      </c>
      <c r="IN122" s="12">
        <f t="shared" si="200"/>
        <v>0</v>
      </c>
      <c r="IO122" s="12">
        <f t="shared" si="201"/>
        <v>0</v>
      </c>
      <c r="IP122" s="12">
        <f t="shared" si="202"/>
        <v>0</v>
      </c>
      <c r="IQ122" s="12">
        <f t="shared" si="203"/>
        <v>0</v>
      </c>
      <c r="IR122" s="12">
        <f t="shared" si="204"/>
        <v>0</v>
      </c>
      <c r="IS122" s="12">
        <f t="shared" si="205"/>
        <v>0</v>
      </c>
      <c r="IT122" s="12">
        <f t="shared" si="206"/>
        <v>0</v>
      </c>
      <c r="IU122" s="12">
        <f t="shared" si="207"/>
        <v>0</v>
      </c>
      <c r="IV122" s="12">
        <f t="shared" si="208"/>
        <v>0</v>
      </c>
      <c r="IW122" s="12">
        <f t="shared" si="209"/>
        <v>0</v>
      </c>
      <c r="IX122" s="12">
        <f t="shared" si="210"/>
        <v>0</v>
      </c>
      <c r="IY122" s="12">
        <f t="shared" si="211"/>
        <v>0</v>
      </c>
      <c r="IZ122" s="12">
        <f t="shared" si="212"/>
        <v>0</v>
      </c>
      <c r="JA122" s="13">
        <f t="shared" si="213"/>
        <v>0</v>
      </c>
      <c r="JB122" s="13">
        <f t="shared" si="214"/>
        <v>0</v>
      </c>
      <c r="JC122" s="13">
        <f t="shared" si="215"/>
        <v>0</v>
      </c>
      <c r="JD122" s="13">
        <f t="shared" si="216"/>
        <v>0</v>
      </c>
      <c r="JE122" s="13">
        <f t="shared" si="217"/>
        <v>0</v>
      </c>
      <c r="JF122" s="13">
        <f t="shared" si="218"/>
        <v>0</v>
      </c>
      <c r="JG122" s="13">
        <f t="shared" si="219"/>
        <v>0</v>
      </c>
      <c r="JH122" s="13">
        <f t="shared" si="220"/>
        <v>0</v>
      </c>
      <c r="JI122" s="13">
        <f t="shared" si="221"/>
        <v>0</v>
      </c>
      <c r="JJ122" s="13">
        <f t="shared" si="222"/>
        <v>0</v>
      </c>
      <c r="JK122" s="13">
        <f t="shared" si="223"/>
        <v>0</v>
      </c>
      <c r="JL122" s="13">
        <f t="shared" si="224"/>
        <v>0</v>
      </c>
      <c r="JM122" s="13">
        <f t="shared" si="225"/>
        <v>0</v>
      </c>
      <c r="JN122" s="13">
        <f t="shared" si="226"/>
        <v>0</v>
      </c>
      <c r="JO122" s="13">
        <f t="shared" si="227"/>
        <v>0</v>
      </c>
      <c r="JP122" s="13">
        <f t="shared" si="228"/>
        <v>0</v>
      </c>
      <c r="JQ122" s="13">
        <f t="shared" si="229"/>
        <v>0</v>
      </c>
      <c r="JR122" s="13">
        <f t="shared" si="230"/>
        <v>0</v>
      </c>
      <c r="JS122" s="13">
        <f t="shared" si="231"/>
        <v>0</v>
      </c>
      <c r="JT122" s="13">
        <f t="shared" si="232"/>
        <v>0</v>
      </c>
      <c r="JU122" s="13">
        <f t="shared" si="233"/>
        <v>0</v>
      </c>
      <c r="JV122" s="12">
        <f t="shared" si="234"/>
        <v>0</v>
      </c>
      <c r="JW122" s="12">
        <f t="shared" si="235"/>
        <v>0</v>
      </c>
      <c r="JX122" s="12">
        <f t="shared" si="236"/>
        <v>0</v>
      </c>
      <c r="JY122" s="12">
        <f t="shared" si="237"/>
        <v>0</v>
      </c>
      <c r="JZ122" s="12">
        <f t="shared" si="238"/>
        <v>0</v>
      </c>
      <c r="KA122" s="12">
        <f t="shared" si="239"/>
        <v>0</v>
      </c>
      <c r="KB122" s="12">
        <f t="shared" si="240"/>
        <v>0</v>
      </c>
      <c r="KC122" s="12">
        <f t="shared" si="241"/>
        <v>0</v>
      </c>
      <c r="KD122" s="12">
        <f t="shared" si="242"/>
        <v>0</v>
      </c>
      <c r="KE122" s="12">
        <f t="shared" si="243"/>
        <v>0</v>
      </c>
      <c r="KF122" s="12">
        <f t="shared" si="244"/>
        <v>0</v>
      </c>
      <c r="KG122" s="12">
        <f t="shared" si="245"/>
        <v>0</v>
      </c>
      <c r="KH122" s="12">
        <f t="shared" si="246"/>
        <v>0</v>
      </c>
      <c r="KI122" s="12">
        <f t="shared" si="247"/>
        <v>0</v>
      </c>
      <c r="KJ122" s="12">
        <f t="shared" si="248"/>
        <v>0</v>
      </c>
      <c r="KK122" s="12">
        <f t="shared" si="249"/>
        <v>0</v>
      </c>
      <c r="KL122" s="12">
        <f t="shared" si="250"/>
        <v>0</v>
      </c>
      <c r="KM122" s="12">
        <f t="shared" si="251"/>
        <v>0</v>
      </c>
      <c r="KN122" s="12">
        <f t="shared" si="252"/>
        <v>0</v>
      </c>
      <c r="KO122" s="12">
        <f t="shared" si="253"/>
        <v>0</v>
      </c>
      <c r="KP122" s="12">
        <f t="shared" si="254"/>
        <v>0</v>
      </c>
      <c r="KQ122" s="12">
        <f t="shared" si="255"/>
        <v>0</v>
      </c>
      <c r="KR122" s="12">
        <f t="shared" si="256"/>
        <v>0</v>
      </c>
      <c r="KS122" s="12">
        <f t="shared" si="257"/>
        <v>0</v>
      </c>
      <c r="KT122" s="12">
        <f t="shared" si="258"/>
        <v>0</v>
      </c>
      <c r="KU122" s="12">
        <f t="shared" si="259"/>
        <v>0</v>
      </c>
      <c r="KV122" s="12">
        <f t="shared" si="260"/>
        <v>0</v>
      </c>
      <c r="KW122" s="12">
        <f t="shared" si="261"/>
        <v>0</v>
      </c>
      <c r="KX122" s="12">
        <f t="shared" si="262"/>
        <v>0</v>
      </c>
      <c r="KY122" s="12">
        <f t="shared" si="263"/>
        <v>0</v>
      </c>
      <c r="KZ122" s="12">
        <f t="shared" si="264"/>
        <v>0</v>
      </c>
      <c r="LA122" s="12">
        <f t="shared" si="265"/>
        <v>0</v>
      </c>
      <c r="LB122" s="12">
        <f t="shared" si="266"/>
        <v>0</v>
      </c>
      <c r="LC122" s="12">
        <f t="shared" si="267"/>
        <v>0</v>
      </c>
      <c r="LD122" s="12">
        <f t="shared" si="268"/>
        <v>0</v>
      </c>
      <c r="LE122" s="12">
        <f t="shared" si="269"/>
        <v>0</v>
      </c>
      <c r="LF122" s="12">
        <f t="shared" si="270"/>
        <v>0</v>
      </c>
      <c r="LG122" s="12">
        <f t="shared" si="271"/>
        <v>0</v>
      </c>
      <c r="LH122" s="12">
        <f t="shared" si="272"/>
        <v>0</v>
      </c>
      <c r="LI122" s="12">
        <f t="shared" si="273"/>
        <v>0</v>
      </c>
      <c r="LJ122" s="12">
        <f t="shared" si="274"/>
        <v>0</v>
      </c>
      <c r="LK122" s="12">
        <f t="shared" si="275"/>
        <v>0</v>
      </c>
      <c r="LL122" s="12">
        <f t="shared" si="276"/>
        <v>0</v>
      </c>
      <c r="LM122" s="12">
        <f t="shared" si="277"/>
        <v>0</v>
      </c>
      <c r="LN122" s="12">
        <f t="shared" si="278"/>
        <v>0</v>
      </c>
      <c r="LO122" s="12">
        <f t="shared" si="279"/>
        <v>0</v>
      </c>
      <c r="LP122" s="12">
        <f t="shared" si="280"/>
        <v>0</v>
      </c>
      <c r="LQ122" s="12">
        <f t="shared" si="281"/>
        <v>0</v>
      </c>
      <c r="LR122" s="12">
        <f t="shared" si="282"/>
        <v>0</v>
      </c>
      <c r="LS122" s="12">
        <f t="shared" si="283"/>
        <v>0</v>
      </c>
      <c r="LT122" s="13">
        <f t="shared" si="284"/>
        <v>0</v>
      </c>
      <c r="LU122" s="13">
        <f t="shared" si="285"/>
        <v>0</v>
      </c>
      <c r="LV122" s="13">
        <f t="shared" si="286"/>
        <v>0</v>
      </c>
      <c r="LW122" s="13">
        <f t="shared" si="287"/>
        <v>0</v>
      </c>
      <c r="LX122" s="13">
        <f t="shared" si="288"/>
        <v>0</v>
      </c>
      <c r="LY122" s="13">
        <f t="shared" si="289"/>
        <v>0</v>
      </c>
      <c r="LZ122" s="13">
        <f t="shared" si="290"/>
        <v>0</v>
      </c>
      <c r="MA122" s="13">
        <f t="shared" si="291"/>
        <v>0</v>
      </c>
      <c r="MB122" s="13">
        <f t="shared" si="292"/>
        <v>0</v>
      </c>
      <c r="MC122" s="13">
        <f t="shared" si="293"/>
        <v>0</v>
      </c>
      <c r="MD122" s="13">
        <f t="shared" si="294"/>
        <v>0</v>
      </c>
      <c r="ME122" s="13">
        <f t="shared" si="295"/>
        <v>0</v>
      </c>
      <c r="MF122" s="13">
        <f t="shared" si="296"/>
        <v>0</v>
      </c>
      <c r="MG122" s="13">
        <f t="shared" si="297"/>
        <v>0</v>
      </c>
      <c r="MH122" s="13">
        <f t="shared" si="298"/>
        <v>0</v>
      </c>
      <c r="MI122" s="13">
        <f t="shared" si="299"/>
        <v>0</v>
      </c>
      <c r="MJ122" s="13">
        <f t="shared" si="300"/>
        <v>0</v>
      </c>
      <c r="MK122" s="13">
        <f t="shared" si="301"/>
        <v>0</v>
      </c>
      <c r="ML122" s="14">
        <f t="shared" si="302"/>
        <v>0</v>
      </c>
      <c r="MM122" s="14">
        <f t="shared" si="303"/>
        <v>0</v>
      </c>
      <c r="MN122" s="14">
        <f t="shared" si="304"/>
        <v>0</v>
      </c>
      <c r="MO122" s="14">
        <f t="shared" si="305"/>
        <v>0</v>
      </c>
      <c r="MP122" s="14">
        <f t="shared" si="306"/>
        <v>0</v>
      </c>
      <c r="MQ122" s="14">
        <f t="shared" si="307"/>
        <v>0</v>
      </c>
      <c r="MR122" s="14">
        <f t="shared" si="308"/>
        <v>0</v>
      </c>
      <c r="MS122" s="14">
        <f t="shared" si="309"/>
        <v>0</v>
      </c>
      <c r="MT122" s="14">
        <f t="shared" si="310"/>
        <v>0</v>
      </c>
      <c r="MU122" s="14">
        <f t="shared" si="311"/>
        <v>0</v>
      </c>
      <c r="MV122" s="14">
        <f t="shared" si="312"/>
        <v>0</v>
      </c>
      <c r="MW122" s="14">
        <f t="shared" si="313"/>
        <v>0</v>
      </c>
      <c r="MX122" s="14">
        <f t="shared" si="314"/>
        <v>0</v>
      </c>
      <c r="MY122" s="14">
        <f t="shared" si="315"/>
        <v>0</v>
      </c>
      <c r="MZ122" s="14">
        <f t="shared" si="316"/>
        <v>0</v>
      </c>
      <c r="NA122" s="14">
        <f t="shared" si="317"/>
        <v>0</v>
      </c>
      <c r="NB122" s="14">
        <f t="shared" si="318"/>
        <v>0</v>
      </c>
    </row>
    <row r="123" ht="15.75" customHeight="1">
      <c r="A123" s="2">
        <v>574.0</v>
      </c>
      <c r="B123" s="2" t="s">
        <v>2450</v>
      </c>
      <c r="C123" s="2" t="s">
        <v>2451</v>
      </c>
      <c r="D123" s="2" t="s">
        <v>2452</v>
      </c>
      <c r="E123" s="2">
        <v>2022.0</v>
      </c>
      <c r="F123" s="2" t="s">
        <v>2453</v>
      </c>
      <c r="G123" s="2">
        <v>4.0</v>
      </c>
      <c r="I123" s="2" t="s">
        <v>2454</v>
      </c>
      <c r="M123" s="2">
        <v>6.0</v>
      </c>
      <c r="N123" s="2" t="s">
        <v>2455</v>
      </c>
      <c r="O123" s="2" t="s">
        <v>2456</v>
      </c>
      <c r="P123" s="2" t="s">
        <v>2457</v>
      </c>
      <c r="Q123" s="2" t="s">
        <v>2458</v>
      </c>
      <c r="R123" s="2" t="s">
        <v>2459</v>
      </c>
      <c r="S123" s="2" t="s">
        <v>2460</v>
      </c>
      <c r="T123" s="2" t="s">
        <v>2461</v>
      </c>
      <c r="Y123" s="2" t="s">
        <v>2462</v>
      </c>
      <c r="AB123" s="2" t="s">
        <v>2463</v>
      </c>
      <c r="AG123" s="2" t="s">
        <v>2464</v>
      </c>
      <c r="AK123" s="2" t="s">
        <v>2465</v>
      </c>
      <c r="AL123" s="2" t="s">
        <v>384</v>
      </c>
      <c r="AM123" s="2" t="s">
        <v>484</v>
      </c>
      <c r="AN123" s="2" t="s">
        <v>386</v>
      </c>
      <c r="AO123" s="2" t="s">
        <v>2466</v>
      </c>
      <c r="AP123" s="2" t="s">
        <v>386</v>
      </c>
      <c r="AQ123" s="2">
        <v>2214.0</v>
      </c>
      <c r="AR123" s="2" t="s">
        <v>2467</v>
      </c>
      <c r="AS123" s="2" t="b">
        <v>0</v>
      </c>
      <c r="AT123" s="3">
        <v>0.0</v>
      </c>
      <c r="AU123" s="4"/>
      <c r="AV123" s="4"/>
      <c r="AW123" s="5">
        <f t="shared" si="432"/>
        <v>0</v>
      </c>
      <c r="AX123" s="5">
        <f t="shared" si="4"/>
        <v>0</v>
      </c>
      <c r="AY123" s="5">
        <f t="shared" si="5"/>
        <v>0</v>
      </c>
      <c r="AZ123" s="5">
        <f t="shared" si="6"/>
        <v>0</v>
      </c>
      <c r="BA123" s="5">
        <f t="shared" si="7"/>
        <v>0</v>
      </c>
      <c r="BB123" s="5">
        <f t="shared" si="8"/>
        <v>0</v>
      </c>
      <c r="BC123" s="5">
        <f t="shared" si="9"/>
        <v>0</v>
      </c>
      <c r="BD123" s="5">
        <f t="shared" si="10"/>
        <v>0</v>
      </c>
      <c r="BE123" s="5">
        <f t="shared" si="11"/>
        <v>0</v>
      </c>
      <c r="BF123" s="5">
        <f t="shared" si="12"/>
        <v>0</v>
      </c>
      <c r="BG123" s="5">
        <f t="shared" si="13"/>
        <v>0</v>
      </c>
      <c r="BH123" s="5">
        <f t="shared" si="14"/>
        <v>0</v>
      </c>
      <c r="BI123" s="5">
        <f t="shared" si="15"/>
        <v>0</v>
      </c>
      <c r="BJ123" s="5">
        <f t="shared" si="16"/>
        <v>0</v>
      </c>
      <c r="BK123" s="5">
        <f t="shared" si="17"/>
        <v>0</v>
      </c>
      <c r="BL123" s="5">
        <f t="shared" si="18"/>
        <v>0</v>
      </c>
      <c r="BM123" s="5">
        <f t="shared" si="19"/>
        <v>0</v>
      </c>
      <c r="BN123" s="5">
        <f t="shared" si="20"/>
        <v>0</v>
      </c>
      <c r="BO123" s="5">
        <f t="shared" si="21"/>
        <v>0</v>
      </c>
      <c r="BP123" s="5">
        <f t="shared" si="22"/>
        <v>0</v>
      </c>
      <c r="BQ123" s="5">
        <f t="shared" si="23"/>
        <v>0</v>
      </c>
      <c r="BR123" s="5">
        <f t="shared" si="24"/>
        <v>0</v>
      </c>
      <c r="BS123" s="5">
        <f t="shared" si="25"/>
        <v>0</v>
      </c>
      <c r="BT123" s="5">
        <f t="shared" si="26"/>
        <v>0</v>
      </c>
      <c r="BU123" s="5">
        <f t="shared" si="27"/>
        <v>0</v>
      </c>
      <c r="BV123" s="5">
        <f t="shared" ref="BV123:BW123" si="592">IF(OR(ISNUMBER(SEARCH("grit",$D123)),ISNUMBER(SEARCH("grit",$T123)),ISNUMBER(SEARCH("grit",$R123)),ISNUMBER(SEARCH("grit",$S123)),
ISNUMBER(SEARCH("determination",$D123)),ISNUMBER(SEARCH("determination",$T123)),ISNUMBER(SEARCH("determination",$R123)),ISNUMBER(SEARCH("determination",$S123)),
ISNUMBER(SEARCH("tenacity",$D123)),ISNUMBER(SEARCH("tenacity",$T123)),ISNUMBER(SEARCH("tenacity",$R123)),ISNUMBER(SEARCH("tenacity",$S123)),
ISNUMBER(SEARCH("endurance",$D123)),ISNUMBER(SEARCH("endurance",$T123)),ISNUMBER(SEARCH("endurance",$R123)),ISNUMBER(SEARCH("endurance",$S123)),
ISNUMBER(SEARCH("fortitude",$D123)),ISNUMBER(SEARCH("fortitude",$T123)),ISNUMBER(SEARCH("fortitude",$R123)),ISNUMBER(SEARCH("fortitude",$S123)),
ISNUMBER(SEARCH("resolve",$D123)),ISNUMBER(SEARCH("resolve",$T123)),ISNUMBER(SEARCH("resolve",$R123)),ISNUMBER(SEARCH("resolve",$S123)),
ISNUMBER(SEARCH("stamina",$D123)),ISNUMBER(SEARCH("stamina",$T123)),ISNUMBER(SEARCH("stamina",$R123)),ISNUMBER(SEARCH("stamina",$S123)),
ISNUMBER(SEARCH("guts",$D123)),ISNUMBER(SEARCH("guts",$T123)),ISNUMBER(SEARCH("guts",$R123)),ISNUMBER(SEARCH("guts",$S123)),
ISNUMBER(SEARCH("spunk",$D123)),ISNUMBER(SEARCH("spunk",$T123)),ISNUMBER(SEARCH("spunk",$R123)),ISNUMBER(SEARCH("spunk",$S123))), 1, 0)</f>
        <v>0</v>
      </c>
      <c r="BW123" s="5">
        <f t="shared" si="592"/>
        <v>0</v>
      </c>
      <c r="BX123" s="5">
        <f t="shared" si="29"/>
        <v>0</v>
      </c>
      <c r="BY123" s="5">
        <f t="shared" si="30"/>
        <v>0</v>
      </c>
      <c r="BZ123" s="5">
        <f t="shared" si="31"/>
        <v>0</v>
      </c>
      <c r="CA123" s="5">
        <f t="shared" si="32"/>
        <v>0</v>
      </c>
      <c r="CB123" s="5">
        <f t="shared" si="33"/>
        <v>0</v>
      </c>
      <c r="CC123" s="5">
        <f t="shared" si="34"/>
        <v>0</v>
      </c>
      <c r="CD123" s="5">
        <f t="shared" si="35"/>
        <v>0</v>
      </c>
      <c r="CE123" s="5">
        <f t="shared" si="36"/>
        <v>0</v>
      </c>
      <c r="CF123" s="5">
        <f t="shared" si="37"/>
        <v>0</v>
      </c>
      <c r="CG123" s="5">
        <f t="shared" si="38"/>
        <v>0</v>
      </c>
      <c r="CH123" s="5">
        <f t="shared" si="39"/>
        <v>0</v>
      </c>
      <c r="CI123" s="5">
        <f t="shared" si="40"/>
        <v>0</v>
      </c>
      <c r="CJ123" s="5">
        <f t="shared" si="41"/>
        <v>0</v>
      </c>
      <c r="CK123" s="5">
        <f t="shared" si="42"/>
        <v>0</v>
      </c>
      <c r="CL123" s="5">
        <f t="shared" si="43"/>
        <v>0</v>
      </c>
      <c r="CM123" s="5">
        <f t="shared" si="44"/>
        <v>0</v>
      </c>
      <c r="CN123" s="5">
        <f t="shared" si="45"/>
        <v>0</v>
      </c>
      <c r="CO123" s="5">
        <f t="shared" si="46"/>
        <v>0</v>
      </c>
      <c r="CP123" s="6">
        <f t="shared" si="47"/>
        <v>0</v>
      </c>
      <c r="CQ123" s="6">
        <f t="shared" si="48"/>
        <v>0</v>
      </c>
      <c r="CR123" s="6">
        <f t="shared" si="49"/>
        <v>0</v>
      </c>
      <c r="CS123" s="6">
        <f t="shared" si="50"/>
        <v>0</v>
      </c>
      <c r="CT123" s="6">
        <f t="shared" si="584"/>
        <v>0</v>
      </c>
      <c r="CU123" s="6">
        <f t="shared" si="52"/>
        <v>0</v>
      </c>
      <c r="CV123" s="6">
        <f t="shared" si="53"/>
        <v>0</v>
      </c>
      <c r="CW123" s="6">
        <f t="shared" si="54"/>
        <v>0</v>
      </c>
      <c r="CX123" s="6">
        <f t="shared" si="55"/>
        <v>0</v>
      </c>
      <c r="CY123" s="6">
        <f t="shared" si="56"/>
        <v>0</v>
      </c>
      <c r="CZ123" s="6">
        <f t="shared" si="57"/>
        <v>0</v>
      </c>
      <c r="DA123" s="6">
        <f t="shared" si="58"/>
        <v>0</v>
      </c>
      <c r="DB123" s="6">
        <f t="shared" si="59"/>
        <v>0</v>
      </c>
      <c r="DC123" s="6">
        <f t="shared" si="60"/>
        <v>0</v>
      </c>
      <c r="DD123" s="6">
        <f t="shared" si="61"/>
        <v>0</v>
      </c>
      <c r="DE123" s="6">
        <f t="shared" si="62"/>
        <v>0</v>
      </c>
      <c r="DF123" s="6">
        <f t="shared" si="63"/>
        <v>0</v>
      </c>
      <c r="DG123" s="6">
        <f t="shared" si="64"/>
        <v>0</v>
      </c>
      <c r="DH123" s="6">
        <f t="shared" si="579"/>
        <v>0</v>
      </c>
      <c r="DI123" s="6">
        <f t="shared" si="66"/>
        <v>0</v>
      </c>
      <c r="DJ123" s="6">
        <f t="shared" si="574"/>
        <v>0</v>
      </c>
      <c r="DK123" s="7">
        <f t="shared" si="68"/>
        <v>0</v>
      </c>
      <c r="DL123" s="7">
        <f t="shared" si="498"/>
        <v>0</v>
      </c>
      <c r="DM123" s="7">
        <f t="shared" si="70"/>
        <v>0</v>
      </c>
      <c r="DN123" s="7">
        <f t="shared" si="71"/>
        <v>0</v>
      </c>
      <c r="DO123" s="7">
        <f t="shared" si="72"/>
        <v>1</v>
      </c>
      <c r="DP123" s="8">
        <f t="shared" si="73"/>
        <v>0</v>
      </c>
      <c r="DQ123" s="8">
        <f t="shared" si="74"/>
        <v>1</v>
      </c>
      <c r="DR123" s="7">
        <f t="shared" si="75"/>
        <v>0</v>
      </c>
      <c r="DS123" s="7">
        <f t="shared" si="76"/>
        <v>0</v>
      </c>
      <c r="DT123" s="7">
        <f t="shared" si="77"/>
        <v>0</v>
      </c>
      <c r="DU123" s="9">
        <f t="shared" si="78"/>
        <v>0</v>
      </c>
      <c r="DV123" s="9">
        <f t="shared" si="79"/>
        <v>0</v>
      </c>
      <c r="DW123" s="9">
        <f t="shared" si="80"/>
        <v>0</v>
      </c>
      <c r="DX123" s="9">
        <f t="shared" si="81"/>
        <v>0</v>
      </c>
      <c r="DY123" s="9">
        <f t="shared" si="82"/>
        <v>0</v>
      </c>
      <c r="DZ123" s="9">
        <f t="shared" si="83"/>
        <v>0</v>
      </c>
      <c r="EA123" s="9">
        <f t="shared" si="84"/>
        <v>0</v>
      </c>
      <c r="EB123" s="9">
        <f t="shared" si="85"/>
        <v>0</v>
      </c>
      <c r="EC123" s="9">
        <f t="shared" si="86"/>
        <v>0</v>
      </c>
      <c r="ED123" s="9">
        <f t="shared" si="87"/>
        <v>0</v>
      </c>
      <c r="EE123" s="9">
        <f t="shared" si="88"/>
        <v>0</v>
      </c>
      <c r="EF123" s="9">
        <f t="shared" si="89"/>
        <v>0</v>
      </c>
      <c r="EG123" s="9">
        <f t="shared" si="90"/>
        <v>0</v>
      </c>
      <c r="EH123" s="9">
        <f t="shared" si="91"/>
        <v>0</v>
      </c>
      <c r="EI123" s="9">
        <f t="shared" si="92"/>
        <v>0</v>
      </c>
      <c r="EJ123" s="10">
        <f t="shared" si="93"/>
        <v>0</v>
      </c>
      <c r="EK123" s="10">
        <f t="shared" si="94"/>
        <v>0</v>
      </c>
      <c r="EL123" s="10">
        <f t="shared" ref="EL123:EM123" si="593">IF(OR(ISNUMBER(SEARCH("ai software toolkit", $D123)), ISNUMBER(SEARCH("ai software toolkit", $T123)), ISNUMBER(SEARCH("ai software toolkit", $R123)), ISNUMBER(SEARCH("ai software toolkit", $S123))), 1, 0)</f>
        <v>0</v>
      </c>
      <c r="EM123" s="10">
        <f t="shared" si="593"/>
        <v>0</v>
      </c>
      <c r="EN123" s="10">
        <f t="shared" si="96"/>
        <v>0</v>
      </c>
      <c r="EO123" s="10">
        <f t="shared" si="97"/>
        <v>0</v>
      </c>
      <c r="EP123" s="10">
        <f t="shared" si="98"/>
        <v>0</v>
      </c>
      <c r="EQ123" s="10">
        <f t="shared" si="99"/>
        <v>0</v>
      </c>
      <c r="ER123" s="10">
        <f t="shared" si="100"/>
        <v>0</v>
      </c>
      <c r="ES123" s="10">
        <f t="shared" si="101"/>
        <v>0</v>
      </c>
      <c r="ET123" s="10">
        <f t="shared" si="102"/>
        <v>0</v>
      </c>
      <c r="EU123" s="10">
        <f t="shared" si="103"/>
        <v>0</v>
      </c>
      <c r="EV123" s="10">
        <f t="shared" si="104"/>
        <v>0</v>
      </c>
      <c r="EW123" s="10">
        <f t="shared" si="105"/>
        <v>0</v>
      </c>
      <c r="EX123" s="10">
        <f t="shared" si="106"/>
        <v>0</v>
      </c>
      <c r="EY123" s="10">
        <f t="shared" si="107"/>
        <v>0</v>
      </c>
      <c r="EZ123" s="10">
        <f t="shared" si="108"/>
        <v>0</v>
      </c>
      <c r="FA123" s="10">
        <f t="shared" si="109"/>
        <v>0</v>
      </c>
      <c r="FB123" s="10">
        <f t="shared" si="110"/>
        <v>0</v>
      </c>
      <c r="FC123" s="10">
        <f t="shared" si="111"/>
        <v>0</v>
      </c>
      <c r="FD123" s="10">
        <f t="shared" si="112"/>
        <v>0</v>
      </c>
      <c r="FE123" s="10">
        <f t="shared" si="113"/>
        <v>0</v>
      </c>
      <c r="FF123" s="10">
        <f t="shared" si="114"/>
        <v>0</v>
      </c>
      <c r="FG123" s="10">
        <f t="shared" si="115"/>
        <v>0</v>
      </c>
      <c r="FH123" s="10">
        <f t="shared" si="116"/>
        <v>0</v>
      </c>
      <c r="FI123" s="10">
        <f t="shared" si="117"/>
        <v>0</v>
      </c>
      <c r="FJ123" s="10">
        <f t="shared" si="118"/>
        <v>0</v>
      </c>
      <c r="FK123" s="10">
        <f t="shared" si="119"/>
        <v>0</v>
      </c>
      <c r="FL123" s="10">
        <f t="shared" si="120"/>
        <v>0</v>
      </c>
      <c r="FM123" s="10">
        <f t="shared" si="121"/>
        <v>0</v>
      </c>
      <c r="FN123" s="10">
        <f t="shared" si="122"/>
        <v>0</v>
      </c>
      <c r="FO123" s="10">
        <f t="shared" si="123"/>
        <v>0</v>
      </c>
      <c r="FP123" s="10">
        <f t="shared" si="124"/>
        <v>0</v>
      </c>
      <c r="FQ123" s="10">
        <f t="shared" si="125"/>
        <v>0</v>
      </c>
      <c r="FR123" s="11">
        <f t="shared" si="543"/>
        <v>0</v>
      </c>
      <c r="FS123" s="11">
        <f t="shared" si="127"/>
        <v>0</v>
      </c>
      <c r="FT123" s="11">
        <f t="shared" si="128"/>
        <v>0</v>
      </c>
      <c r="FU123" s="11">
        <f t="shared" si="129"/>
        <v>0</v>
      </c>
      <c r="FV123" s="11">
        <f t="shared" si="130"/>
        <v>0</v>
      </c>
      <c r="FW123" s="11">
        <f t="shared" si="131"/>
        <v>0</v>
      </c>
      <c r="FX123" s="11">
        <f t="shared" si="132"/>
        <v>0</v>
      </c>
      <c r="FY123" s="11">
        <f t="shared" si="133"/>
        <v>0</v>
      </c>
      <c r="FZ123" s="11">
        <f t="shared" si="134"/>
        <v>0</v>
      </c>
      <c r="GA123" s="11">
        <f t="shared" si="135"/>
        <v>0</v>
      </c>
      <c r="GB123" s="11">
        <f t="shared" si="136"/>
        <v>0</v>
      </c>
      <c r="GC123" s="11">
        <f t="shared" si="137"/>
        <v>0</v>
      </c>
      <c r="GD123" s="11">
        <f t="shared" si="138"/>
        <v>0</v>
      </c>
      <c r="GE123" s="11">
        <f t="shared" si="139"/>
        <v>0</v>
      </c>
      <c r="GF123" s="11">
        <f t="shared" si="140"/>
        <v>0</v>
      </c>
      <c r="GG123" s="11">
        <f t="shared" si="141"/>
        <v>0</v>
      </c>
      <c r="GH123" s="11">
        <f t="shared" si="142"/>
        <v>0</v>
      </c>
      <c r="GI123" s="11">
        <f t="shared" si="143"/>
        <v>0</v>
      </c>
      <c r="GJ123" s="11">
        <f t="shared" si="144"/>
        <v>0</v>
      </c>
      <c r="GK123" s="11">
        <f t="shared" si="145"/>
        <v>0</v>
      </c>
      <c r="GL123" s="11">
        <f t="shared" si="146"/>
        <v>0</v>
      </c>
      <c r="GM123" s="11">
        <f t="shared" si="147"/>
        <v>0</v>
      </c>
      <c r="GN123" s="11">
        <f t="shared" si="148"/>
        <v>0</v>
      </c>
      <c r="GO123" s="11">
        <f t="shared" si="149"/>
        <v>0</v>
      </c>
      <c r="GP123" s="11">
        <f t="shared" si="150"/>
        <v>0</v>
      </c>
      <c r="GQ123" s="11">
        <f t="shared" si="151"/>
        <v>0</v>
      </c>
      <c r="GR123" s="11">
        <f t="shared" si="152"/>
        <v>0</v>
      </c>
      <c r="GS123" s="11">
        <f t="shared" si="153"/>
        <v>0</v>
      </c>
      <c r="GT123" s="11">
        <f t="shared" si="154"/>
        <v>0</v>
      </c>
      <c r="GU123" s="12">
        <f t="shared" si="155"/>
        <v>0</v>
      </c>
      <c r="GV123" s="12">
        <f t="shared" si="156"/>
        <v>0</v>
      </c>
      <c r="GW123" s="12">
        <f t="shared" si="157"/>
        <v>0</v>
      </c>
      <c r="GX123" s="12">
        <f t="shared" si="158"/>
        <v>0</v>
      </c>
      <c r="GY123" s="12">
        <f t="shared" si="159"/>
        <v>0</v>
      </c>
      <c r="GZ123" s="12">
        <f t="shared" si="160"/>
        <v>0</v>
      </c>
      <c r="HA123" s="12">
        <f t="shared" si="161"/>
        <v>0</v>
      </c>
      <c r="HB123" s="12">
        <f t="shared" si="162"/>
        <v>0</v>
      </c>
      <c r="HC123" s="12">
        <f t="shared" si="163"/>
        <v>0</v>
      </c>
      <c r="HD123" s="12">
        <f t="shared" si="164"/>
        <v>0</v>
      </c>
      <c r="HE123" s="12">
        <f t="shared" si="165"/>
        <v>0</v>
      </c>
      <c r="HF123" s="12">
        <f t="shared" si="166"/>
        <v>0</v>
      </c>
      <c r="HG123" s="12">
        <f t="shared" si="167"/>
        <v>0</v>
      </c>
      <c r="HH123" s="12">
        <f t="shared" si="168"/>
        <v>0</v>
      </c>
      <c r="HI123" s="12">
        <f t="shared" si="169"/>
        <v>0</v>
      </c>
      <c r="HJ123" s="12">
        <f t="shared" si="170"/>
        <v>0</v>
      </c>
      <c r="HK123" s="12">
        <f t="shared" si="171"/>
        <v>0</v>
      </c>
      <c r="HL123" s="12">
        <f t="shared" si="172"/>
        <v>0</v>
      </c>
      <c r="HM123" s="12">
        <f t="shared" si="173"/>
        <v>0</v>
      </c>
      <c r="HN123" s="12">
        <f t="shared" si="174"/>
        <v>0</v>
      </c>
      <c r="HO123" s="12">
        <f t="shared" si="175"/>
        <v>0</v>
      </c>
      <c r="HP123" s="12">
        <f t="shared" si="176"/>
        <v>0</v>
      </c>
      <c r="HQ123" s="12">
        <f t="shared" si="177"/>
        <v>0</v>
      </c>
      <c r="HR123" s="12">
        <f t="shared" si="178"/>
        <v>0</v>
      </c>
      <c r="HS123" s="12">
        <f t="shared" si="179"/>
        <v>0</v>
      </c>
      <c r="HT123" s="12">
        <f t="shared" si="180"/>
        <v>0</v>
      </c>
      <c r="HU123" s="12">
        <f t="shared" si="181"/>
        <v>0</v>
      </c>
      <c r="HV123" s="12">
        <f t="shared" si="182"/>
        <v>0</v>
      </c>
      <c r="HW123" s="12">
        <f t="shared" si="183"/>
        <v>0</v>
      </c>
      <c r="HX123" s="12">
        <f t="shared" si="184"/>
        <v>0</v>
      </c>
      <c r="HY123" s="12">
        <f t="shared" si="185"/>
        <v>0</v>
      </c>
      <c r="HZ123" s="12">
        <f t="shared" si="186"/>
        <v>0</v>
      </c>
      <c r="IA123" s="12">
        <f t="shared" si="187"/>
        <v>0</v>
      </c>
      <c r="IB123" s="12">
        <f t="shared" si="188"/>
        <v>0</v>
      </c>
      <c r="IC123" s="12">
        <f t="shared" si="189"/>
        <v>0</v>
      </c>
      <c r="ID123" s="12">
        <f t="shared" si="190"/>
        <v>0</v>
      </c>
      <c r="IE123" s="12">
        <f t="shared" si="191"/>
        <v>0</v>
      </c>
      <c r="IF123" s="12">
        <f t="shared" si="192"/>
        <v>0</v>
      </c>
      <c r="IG123" s="12">
        <f t="shared" si="193"/>
        <v>0</v>
      </c>
      <c r="IH123" s="12">
        <f t="shared" si="194"/>
        <v>0</v>
      </c>
      <c r="II123" s="12">
        <f t="shared" si="195"/>
        <v>0</v>
      </c>
      <c r="IJ123" s="12">
        <f t="shared" si="196"/>
        <v>0</v>
      </c>
      <c r="IK123" s="12">
        <f t="shared" si="197"/>
        <v>0</v>
      </c>
      <c r="IL123" s="12">
        <f t="shared" si="198"/>
        <v>0</v>
      </c>
      <c r="IM123" s="12">
        <f t="shared" si="199"/>
        <v>0</v>
      </c>
      <c r="IN123" s="12">
        <f t="shared" si="200"/>
        <v>0</v>
      </c>
      <c r="IO123" s="12">
        <f t="shared" si="201"/>
        <v>0</v>
      </c>
      <c r="IP123" s="12">
        <f t="shared" si="202"/>
        <v>0</v>
      </c>
      <c r="IQ123" s="12">
        <f t="shared" si="203"/>
        <v>0</v>
      </c>
      <c r="IR123" s="12">
        <f t="shared" si="204"/>
        <v>0</v>
      </c>
      <c r="IS123" s="12">
        <f t="shared" si="205"/>
        <v>0</v>
      </c>
      <c r="IT123" s="12">
        <f t="shared" si="206"/>
        <v>0</v>
      </c>
      <c r="IU123" s="12">
        <f t="shared" si="207"/>
        <v>0</v>
      </c>
      <c r="IV123" s="12">
        <f t="shared" si="208"/>
        <v>0</v>
      </c>
      <c r="IW123" s="12">
        <f t="shared" si="209"/>
        <v>0</v>
      </c>
      <c r="IX123" s="12">
        <f t="shared" si="210"/>
        <v>0</v>
      </c>
      <c r="IY123" s="12">
        <f t="shared" si="211"/>
        <v>0</v>
      </c>
      <c r="IZ123" s="12">
        <f t="shared" si="212"/>
        <v>0</v>
      </c>
      <c r="JA123" s="13">
        <f t="shared" si="213"/>
        <v>0</v>
      </c>
      <c r="JB123" s="13">
        <f t="shared" si="214"/>
        <v>0</v>
      </c>
      <c r="JC123" s="13">
        <f t="shared" si="215"/>
        <v>0</v>
      </c>
      <c r="JD123" s="13">
        <f t="shared" si="216"/>
        <v>0</v>
      </c>
      <c r="JE123" s="13">
        <f t="shared" si="217"/>
        <v>0</v>
      </c>
      <c r="JF123" s="13">
        <f t="shared" si="218"/>
        <v>0</v>
      </c>
      <c r="JG123" s="13">
        <f t="shared" si="219"/>
        <v>0</v>
      </c>
      <c r="JH123" s="13">
        <f t="shared" si="220"/>
        <v>0</v>
      </c>
      <c r="JI123" s="13">
        <f t="shared" si="221"/>
        <v>0</v>
      </c>
      <c r="JJ123" s="13">
        <f t="shared" si="222"/>
        <v>0</v>
      </c>
      <c r="JK123" s="13">
        <f t="shared" si="223"/>
        <v>0</v>
      </c>
      <c r="JL123" s="13">
        <f t="shared" si="224"/>
        <v>0</v>
      </c>
      <c r="JM123" s="13">
        <f t="shared" si="225"/>
        <v>0</v>
      </c>
      <c r="JN123" s="13">
        <f t="shared" si="226"/>
        <v>0</v>
      </c>
      <c r="JO123" s="13">
        <f t="shared" si="227"/>
        <v>0</v>
      </c>
      <c r="JP123" s="13">
        <f t="shared" si="228"/>
        <v>0</v>
      </c>
      <c r="JQ123" s="13">
        <f t="shared" si="229"/>
        <v>0</v>
      </c>
      <c r="JR123" s="13">
        <f t="shared" si="230"/>
        <v>0</v>
      </c>
      <c r="JS123" s="13">
        <f t="shared" si="231"/>
        <v>0</v>
      </c>
      <c r="JT123" s="13">
        <f t="shared" si="232"/>
        <v>0</v>
      </c>
      <c r="JU123" s="13">
        <f t="shared" si="233"/>
        <v>0</v>
      </c>
      <c r="JV123" s="12">
        <f t="shared" si="234"/>
        <v>0</v>
      </c>
      <c r="JW123" s="12">
        <f t="shared" si="235"/>
        <v>0</v>
      </c>
      <c r="JX123" s="12">
        <f t="shared" si="236"/>
        <v>0</v>
      </c>
      <c r="JY123" s="12">
        <f t="shared" si="237"/>
        <v>0</v>
      </c>
      <c r="JZ123" s="12">
        <f t="shared" si="238"/>
        <v>0</v>
      </c>
      <c r="KA123" s="12">
        <f t="shared" si="239"/>
        <v>0</v>
      </c>
      <c r="KB123" s="12">
        <f t="shared" si="240"/>
        <v>0</v>
      </c>
      <c r="KC123" s="12">
        <f t="shared" si="241"/>
        <v>0</v>
      </c>
      <c r="KD123" s="12">
        <f t="shared" si="242"/>
        <v>0</v>
      </c>
      <c r="KE123" s="12">
        <f t="shared" si="243"/>
        <v>0</v>
      </c>
      <c r="KF123" s="12">
        <f t="shared" si="244"/>
        <v>0</v>
      </c>
      <c r="KG123" s="12">
        <f t="shared" si="245"/>
        <v>0</v>
      </c>
      <c r="KH123" s="12">
        <f t="shared" si="246"/>
        <v>0</v>
      </c>
      <c r="KI123" s="12">
        <f t="shared" si="247"/>
        <v>0</v>
      </c>
      <c r="KJ123" s="12">
        <f t="shared" si="248"/>
        <v>0</v>
      </c>
      <c r="KK123" s="12">
        <f t="shared" si="249"/>
        <v>0</v>
      </c>
      <c r="KL123" s="12">
        <f t="shared" si="250"/>
        <v>0</v>
      </c>
      <c r="KM123" s="12">
        <f t="shared" si="251"/>
        <v>0</v>
      </c>
      <c r="KN123" s="12">
        <f t="shared" si="252"/>
        <v>0</v>
      </c>
      <c r="KO123" s="12">
        <f t="shared" si="253"/>
        <v>0</v>
      </c>
      <c r="KP123" s="12">
        <f t="shared" si="254"/>
        <v>0</v>
      </c>
      <c r="KQ123" s="12">
        <f t="shared" si="255"/>
        <v>0</v>
      </c>
      <c r="KR123" s="12">
        <f t="shared" si="256"/>
        <v>0</v>
      </c>
      <c r="KS123" s="12">
        <f t="shared" si="257"/>
        <v>0</v>
      </c>
      <c r="KT123" s="12">
        <f t="shared" si="258"/>
        <v>0</v>
      </c>
      <c r="KU123" s="12">
        <f t="shared" si="259"/>
        <v>0</v>
      </c>
      <c r="KV123" s="12">
        <f t="shared" si="260"/>
        <v>0</v>
      </c>
      <c r="KW123" s="12">
        <f t="shared" si="261"/>
        <v>0</v>
      </c>
      <c r="KX123" s="12">
        <f t="shared" si="262"/>
        <v>0</v>
      </c>
      <c r="KY123" s="12">
        <f t="shared" si="263"/>
        <v>0</v>
      </c>
      <c r="KZ123" s="12">
        <f t="shared" si="264"/>
        <v>0</v>
      </c>
      <c r="LA123" s="12">
        <f t="shared" si="265"/>
        <v>0</v>
      </c>
      <c r="LB123" s="12">
        <f t="shared" si="266"/>
        <v>0</v>
      </c>
      <c r="LC123" s="12">
        <f t="shared" si="267"/>
        <v>0</v>
      </c>
      <c r="LD123" s="12">
        <f t="shared" si="268"/>
        <v>0</v>
      </c>
      <c r="LE123" s="12">
        <f t="shared" si="269"/>
        <v>0</v>
      </c>
      <c r="LF123" s="12">
        <f t="shared" si="270"/>
        <v>0</v>
      </c>
      <c r="LG123" s="12">
        <f t="shared" si="271"/>
        <v>0</v>
      </c>
      <c r="LH123" s="12">
        <f t="shared" si="272"/>
        <v>0</v>
      </c>
      <c r="LI123" s="12">
        <f t="shared" si="273"/>
        <v>0</v>
      </c>
      <c r="LJ123" s="12">
        <f t="shared" si="274"/>
        <v>0</v>
      </c>
      <c r="LK123" s="12">
        <f t="shared" si="275"/>
        <v>0</v>
      </c>
      <c r="LL123" s="12">
        <f t="shared" si="276"/>
        <v>0</v>
      </c>
      <c r="LM123" s="12">
        <f t="shared" si="277"/>
        <v>0</v>
      </c>
      <c r="LN123" s="12">
        <f t="shared" si="278"/>
        <v>0</v>
      </c>
      <c r="LO123" s="12">
        <f t="shared" si="279"/>
        <v>0</v>
      </c>
      <c r="LP123" s="12">
        <f t="shared" si="280"/>
        <v>0</v>
      </c>
      <c r="LQ123" s="12">
        <f t="shared" si="281"/>
        <v>0</v>
      </c>
      <c r="LR123" s="12">
        <f t="shared" si="282"/>
        <v>0</v>
      </c>
      <c r="LS123" s="12">
        <f t="shared" si="283"/>
        <v>0</v>
      </c>
      <c r="LT123" s="13">
        <f t="shared" si="284"/>
        <v>0</v>
      </c>
      <c r="LU123" s="13">
        <f t="shared" si="285"/>
        <v>0</v>
      </c>
      <c r="LV123" s="13">
        <f t="shared" si="286"/>
        <v>0</v>
      </c>
      <c r="LW123" s="13">
        <f t="shared" si="287"/>
        <v>0</v>
      </c>
      <c r="LX123" s="13">
        <f t="shared" si="288"/>
        <v>0</v>
      </c>
      <c r="LY123" s="13">
        <f t="shared" si="289"/>
        <v>0</v>
      </c>
      <c r="LZ123" s="13">
        <f t="shared" si="290"/>
        <v>0</v>
      </c>
      <c r="MA123" s="13">
        <f t="shared" si="291"/>
        <v>0</v>
      </c>
      <c r="MB123" s="13">
        <f t="shared" si="292"/>
        <v>0</v>
      </c>
      <c r="MC123" s="13">
        <f t="shared" si="293"/>
        <v>0</v>
      </c>
      <c r="MD123" s="13">
        <f t="shared" si="294"/>
        <v>0</v>
      </c>
      <c r="ME123" s="13">
        <f t="shared" si="295"/>
        <v>0</v>
      </c>
      <c r="MF123" s="13">
        <f t="shared" si="296"/>
        <v>0</v>
      </c>
      <c r="MG123" s="13">
        <f t="shared" si="297"/>
        <v>1</v>
      </c>
      <c r="MH123" s="13">
        <f t="shared" si="298"/>
        <v>0</v>
      </c>
      <c r="MI123" s="13">
        <f t="shared" si="299"/>
        <v>0</v>
      </c>
      <c r="MJ123" s="13">
        <f t="shared" si="300"/>
        <v>0</v>
      </c>
      <c r="MK123" s="13">
        <f t="shared" si="301"/>
        <v>0</v>
      </c>
      <c r="ML123" s="14">
        <f t="shared" si="302"/>
        <v>0</v>
      </c>
      <c r="MM123" s="14">
        <f t="shared" si="303"/>
        <v>0</v>
      </c>
      <c r="MN123" s="14">
        <f t="shared" si="304"/>
        <v>0</v>
      </c>
      <c r="MO123" s="14">
        <f t="shared" si="305"/>
        <v>0</v>
      </c>
      <c r="MP123" s="14">
        <f t="shared" si="306"/>
        <v>0</v>
      </c>
      <c r="MQ123" s="14">
        <f t="shared" si="307"/>
        <v>0</v>
      </c>
      <c r="MR123" s="14">
        <f t="shared" si="308"/>
        <v>0</v>
      </c>
      <c r="MS123" s="14">
        <f t="shared" si="309"/>
        <v>0</v>
      </c>
      <c r="MT123" s="14">
        <f t="shared" si="310"/>
        <v>0</v>
      </c>
      <c r="MU123" s="14">
        <f t="shared" si="311"/>
        <v>0</v>
      </c>
      <c r="MV123" s="14">
        <f t="shared" si="312"/>
        <v>0</v>
      </c>
      <c r="MW123" s="14">
        <f t="shared" si="313"/>
        <v>0</v>
      </c>
      <c r="MX123" s="14">
        <f t="shared" si="314"/>
        <v>0</v>
      </c>
      <c r="MY123" s="14">
        <f t="shared" si="315"/>
        <v>0</v>
      </c>
      <c r="MZ123" s="14">
        <f t="shared" si="316"/>
        <v>0</v>
      </c>
      <c r="NA123" s="14">
        <f t="shared" si="317"/>
        <v>0</v>
      </c>
      <c r="NB123" s="14">
        <f t="shared" si="318"/>
        <v>0</v>
      </c>
    </row>
    <row r="124" ht="15.75" customHeight="1">
      <c r="A124" s="2">
        <v>742.0</v>
      </c>
      <c r="B124" s="2" t="s">
        <v>2468</v>
      </c>
      <c r="C124" s="2" t="s">
        <v>2469</v>
      </c>
      <c r="D124" s="2" t="s">
        <v>2470</v>
      </c>
      <c r="E124" s="2">
        <v>2022.0</v>
      </c>
      <c r="F124" s="2" t="s">
        <v>2471</v>
      </c>
      <c r="G124" s="2">
        <v>2022.0</v>
      </c>
      <c r="I124" s="2" t="s">
        <v>2472</v>
      </c>
      <c r="M124" s="2">
        <v>6.0</v>
      </c>
      <c r="N124" s="2" t="s">
        <v>2473</v>
      </c>
      <c r="O124" s="2" t="s">
        <v>2474</v>
      </c>
      <c r="P124" s="2" t="s">
        <v>2475</v>
      </c>
      <c r="Q124" s="2" t="s">
        <v>2476</v>
      </c>
      <c r="R124" s="2" t="s">
        <v>2477</v>
      </c>
      <c r="T124" s="2" t="s">
        <v>2478</v>
      </c>
      <c r="Y124" s="2" t="s">
        <v>2479</v>
      </c>
      <c r="AB124" s="2" t="s">
        <v>1237</v>
      </c>
      <c r="AG124" s="2" t="s">
        <v>2480</v>
      </c>
      <c r="AK124" s="2" t="s">
        <v>2481</v>
      </c>
      <c r="AL124" s="2" t="s">
        <v>384</v>
      </c>
      <c r="AM124" s="2" t="s">
        <v>484</v>
      </c>
      <c r="AN124" s="2" t="s">
        <v>386</v>
      </c>
      <c r="AO124" s="2" t="s">
        <v>2482</v>
      </c>
      <c r="AP124" s="2" t="s">
        <v>386</v>
      </c>
      <c r="AQ124" s="2">
        <v>2912.0</v>
      </c>
      <c r="AR124" s="2" t="s">
        <v>2483</v>
      </c>
      <c r="AS124" s="2" t="b">
        <v>1</v>
      </c>
      <c r="AT124" s="3">
        <v>0.0</v>
      </c>
      <c r="AU124" s="4"/>
      <c r="AV124" s="4"/>
      <c r="AW124" s="5">
        <f t="shared" si="432"/>
        <v>0</v>
      </c>
      <c r="AX124" s="5">
        <f t="shared" si="4"/>
        <v>0</v>
      </c>
      <c r="AY124" s="5">
        <f t="shared" si="5"/>
        <v>0</v>
      </c>
      <c r="AZ124" s="5">
        <f t="shared" si="6"/>
        <v>0</v>
      </c>
      <c r="BA124" s="5">
        <f t="shared" si="7"/>
        <v>0</v>
      </c>
      <c r="BB124" s="5">
        <f t="shared" si="8"/>
        <v>0</v>
      </c>
      <c r="BC124" s="5">
        <f t="shared" si="9"/>
        <v>0</v>
      </c>
      <c r="BD124" s="5">
        <f t="shared" si="10"/>
        <v>0</v>
      </c>
      <c r="BE124" s="5">
        <f t="shared" si="11"/>
        <v>0</v>
      </c>
      <c r="BF124" s="5">
        <f t="shared" si="12"/>
        <v>0</v>
      </c>
      <c r="BG124" s="5">
        <f t="shared" si="13"/>
        <v>0</v>
      </c>
      <c r="BH124" s="5">
        <f t="shared" si="14"/>
        <v>0</v>
      </c>
      <c r="BI124" s="5">
        <f t="shared" si="15"/>
        <v>0</v>
      </c>
      <c r="BJ124" s="5">
        <f t="shared" si="16"/>
        <v>0</v>
      </c>
      <c r="BK124" s="5">
        <f t="shared" si="17"/>
        <v>0</v>
      </c>
      <c r="BL124" s="5">
        <f t="shared" si="18"/>
        <v>0</v>
      </c>
      <c r="BM124" s="5">
        <f t="shared" si="19"/>
        <v>0</v>
      </c>
      <c r="BN124" s="5">
        <f t="shared" si="20"/>
        <v>0</v>
      </c>
      <c r="BO124" s="5">
        <f t="shared" si="21"/>
        <v>0</v>
      </c>
      <c r="BP124" s="5">
        <f t="shared" si="22"/>
        <v>0</v>
      </c>
      <c r="BQ124" s="5">
        <f t="shared" si="23"/>
        <v>0</v>
      </c>
      <c r="BR124" s="5">
        <f t="shared" si="24"/>
        <v>0</v>
      </c>
      <c r="BS124" s="5">
        <f t="shared" si="25"/>
        <v>0</v>
      </c>
      <c r="BT124" s="5">
        <f t="shared" si="26"/>
        <v>0</v>
      </c>
      <c r="BU124" s="5">
        <f t="shared" si="27"/>
        <v>0</v>
      </c>
      <c r="BV124" s="5">
        <f t="shared" ref="BV124:BW124" si="594">IF(OR(ISNUMBER(SEARCH("grit",$D124)),ISNUMBER(SEARCH("grit",$T124)),ISNUMBER(SEARCH("grit",$R124)),ISNUMBER(SEARCH("grit",$S124)),
ISNUMBER(SEARCH("determination",$D124)),ISNUMBER(SEARCH("determination",$T124)),ISNUMBER(SEARCH("determination",$R124)),ISNUMBER(SEARCH("determination",$S124)),
ISNUMBER(SEARCH("tenacity",$D124)),ISNUMBER(SEARCH("tenacity",$T124)),ISNUMBER(SEARCH("tenacity",$R124)),ISNUMBER(SEARCH("tenacity",$S124)),
ISNUMBER(SEARCH("endurance",$D124)),ISNUMBER(SEARCH("endurance",$T124)),ISNUMBER(SEARCH("endurance",$R124)),ISNUMBER(SEARCH("endurance",$S124)),
ISNUMBER(SEARCH("fortitude",$D124)),ISNUMBER(SEARCH("fortitude",$T124)),ISNUMBER(SEARCH("fortitude",$R124)),ISNUMBER(SEARCH("fortitude",$S124)),
ISNUMBER(SEARCH("resolve",$D124)),ISNUMBER(SEARCH("resolve",$T124)),ISNUMBER(SEARCH("resolve",$R124)),ISNUMBER(SEARCH("resolve",$S124)),
ISNUMBER(SEARCH("stamina",$D124)),ISNUMBER(SEARCH("stamina",$T124)),ISNUMBER(SEARCH("stamina",$R124)),ISNUMBER(SEARCH("stamina",$S124)),
ISNUMBER(SEARCH("guts",$D124)),ISNUMBER(SEARCH("guts",$T124)),ISNUMBER(SEARCH("guts",$R124)),ISNUMBER(SEARCH("guts",$S124)),
ISNUMBER(SEARCH("spunk",$D124)),ISNUMBER(SEARCH("spunk",$T124)),ISNUMBER(SEARCH("spunk",$R124)),ISNUMBER(SEARCH("spunk",$S124))), 1, 0)</f>
        <v>0</v>
      </c>
      <c r="BW124" s="5">
        <f t="shared" si="594"/>
        <v>0</v>
      </c>
      <c r="BX124" s="5">
        <f t="shared" si="29"/>
        <v>0</v>
      </c>
      <c r="BY124" s="5">
        <f t="shared" si="30"/>
        <v>0</v>
      </c>
      <c r="BZ124" s="5">
        <f t="shared" si="31"/>
        <v>0</v>
      </c>
      <c r="CA124" s="5">
        <f t="shared" si="32"/>
        <v>0</v>
      </c>
      <c r="CB124" s="5">
        <f t="shared" si="33"/>
        <v>0</v>
      </c>
      <c r="CC124" s="5">
        <f t="shared" si="34"/>
        <v>0</v>
      </c>
      <c r="CD124" s="5">
        <f t="shared" si="35"/>
        <v>0</v>
      </c>
      <c r="CE124" s="5">
        <f t="shared" si="36"/>
        <v>0</v>
      </c>
      <c r="CF124" s="5">
        <f t="shared" si="37"/>
        <v>0</v>
      </c>
      <c r="CG124" s="5">
        <f t="shared" si="38"/>
        <v>0</v>
      </c>
      <c r="CH124" s="5">
        <f t="shared" si="39"/>
        <v>0</v>
      </c>
      <c r="CI124" s="5">
        <f t="shared" si="40"/>
        <v>0</v>
      </c>
      <c r="CJ124" s="5">
        <f t="shared" si="41"/>
        <v>0</v>
      </c>
      <c r="CK124" s="5">
        <f t="shared" si="42"/>
        <v>0</v>
      </c>
      <c r="CL124" s="5">
        <f t="shared" si="43"/>
        <v>0</v>
      </c>
      <c r="CM124" s="5">
        <f t="shared" si="44"/>
        <v>0</v>
      </c>
      <c r="CN124" s="5">
        <f t="shared" si="45"/>
        <v>0</v>
      </c>
      <c r="CO124" s="5">
        <f t="shared" si="46"/>
        <v>0</v>
      </c>
      <c r="CP124" s="6">
        <f t="shared" si="47"/>
        <v>0</v>
      </c>
      <c r="CQ124" s="6">
        <f t="shared" si="48"/>
        <v>0</v>
      </c>
      <c r="CR124" s="6">
        <f t="shared" si="49"/>
        <v>0</v>
      </c>
      <c r="CS124" s="6">
        <f t="shared" si="50"/>
        <v>0</v>
      </c>
      <c r="CT124" s="6">
        <f t="shared" si="584"/>
        <v>0</v>
      </c>
      <c r="CU124" s="6">
        <f t="shared" si="52"/>
        <v>0</v>
      </c>
      <c r="CV124" s="6">
        <f t="shared" si="53"/>
        <v>0</v>
      </c>
      <c r="CW124" s="6">
        <f t="shared" si="54"/>
        <v>0</v>
      </c>
      <c r="CX124" s="6">
        <f t="shared" si="55"/>
        <v>0</v>
      </c>
      <c r="CY124" s="6">
        <f t="shared" si="56"/>
        <v>0</v>
      </c>
      <c r="CZ124" s="6">
        <f t="shared" si="57"/>
        <v>0</v>
      </c>
      <c r="DA124" s="6">
        <f t="shared" si="58"/>
        <v>0</v>
      </c>
      <c r="DB124" s="6">
        <f t="shared" si="59"/>
        <v>0</v>
      </c>
      <c r="DC124" s="6">
        <f t="shared" si="60"/>
        <v>0</v>
      </c>
      <c r="DD124" s="6">
        <f t="shared" si="61"/>
        <v>0</v>
      </c>
      <c r="DE124" s="6">
        <f t="shared" si="62"/>
        <v>0</v>
      </c>
      <c r="DF124" s="6">
        <f t="shared" si="63"/>
        <v>0</v>
      </c>
      <c r="DG124" s="6">
        <f t="shared" si="64"/>
        <v>0</v>
      </c>
      <c r="DH124" s="6">
        <f t="shared" si="579"/>
        <v>0</v>
      </c>
      <c r="DI124" s="6">
        <f t="shared" si="66"/>
        <v>0</v>
      </c>
      <c r="DJ124" s="6">
        <f t="shared" si="574"/>
        <v>0</v>
      </c>
      <c r="DK124" s="7">
        <f t="shared" si="68"/>
        <v>0</v>
      </c>
      <c r="DL124" s="7">
        <f t="shared" si="498"/>
        <v>0</v>
      </c>
      <c r="DM124" s="7">
        <f t="shared" si="70"/>
        <v>0</v>
      </c>
      <c r="DN124" s="7">
        <f t="shared" si="71"/>
        <v>0</v>
      </c>
      <c r="DO124" s="7">
        <f t="shared" si="72"/>
        <v>0</v>
      </c>
      <c r="DP124" s="8">
        <f t="shared" si="73"/>
        <v>0</v>
      </c>
      <c r="DQ124" s="8">
        <f t="shared" si="74"/>
        <v>1</v>
      </c>
      <c r="DR124" s="7">
        <f t="shared" si="75"/>
        <v>0</v>
      </c>
      <c r="DS124" s="7">
        <f t="shared" si="76"/>
        <v>0</v>
      </c>
      <c r="DT124" s="7">
        <f t="shared" si="77"/>
        <v>0</v>
      </c>
      <c r="DU124" s="9">
        <f t="shared" si="78"/>
        <v>0</v>
      </c>
      <c r="DV124" s="9">
        <f t="shared" si="79"/>
        <v>0</v>
      </c>
      <c r="DW124" s="9">
        <f t="shared" si="80"/>
        <v>0</v>
      </c>
      <c r="DX124" s="9">
        <f t="shared" si="81"/>
        <v>0</v>
      </c>
      <c r="DY124" s="9">
        <f t="shared" si="82"/>
        <v>0</v>
      </c>
      <c r="DZ124" s="9">
        <f t="shared" si="83"/>
        <v>0</v>
      </c>
      <c r="EA124" s="9">
        <f t="shared" si="84"/>
        <v>0</v>
      </c>
      <c r="EB124" s="9">
        <f t="shared" si="85"/>
        <v>0</v>
      </c>
      <c r="EC124" s="9">
        <f t="shared" si="86"/>
        <v>0</v>
      </c>
      <c r="ED124" s="9">
        <f t="shared" si="87"/>
        <v>0</v>
      </c>
      <c r="EE124" s="9">
        <f t="shared" si="88"/>
        <v>0</v>
      </c>
      <c r="EF124" s="9">
        <f t="shared" si="89"/>
        <v>0</v>
      </c>
      <c r="EG124" s="9">
        <f t="shared" si="90"/>
        <v>0</v>
      </c>
      <c r="EH124" s="9">
        <f t="shared" si="91"/>
        <v>0</v>
      </c>
      <c r="EI124" s="9">
        <f t="shared" si="92"/>
        <v>0</v>
      </c>
      <c r="EJ124" s="10">
        <f t="shared" si="93"/>
        <v>0</v>
      </c>
      <c r="EK124" s="10">
        <f t="shared" si="94"/>
        <v>0</v>
      </c>
      <c r="EL124" s="10">
        <f t="shared" ref="EL124:EM124" si="595">IF(OR(ISNUMBER(SEARCH("ai software toolkit", $D124)), ISNUMBER(SEARCH("ai software toolkit", $T124)), ISNUMBER(SEARCH("ai software toolkit", $R124)), ISNUMBER(SEARCH("ai software toolkit", $S124))), 1, 0)</f>
        <v>0</v>
      </c>
      <c r="EM124" s="10">
        <f t="shared" si="595"/>
        <v>0</v>
      </c>
      <c r="EN124" s="10">
        <f t="shared" si="96"/>
        <v>0</v>
      </c>
      <c r="EO124" s="10">
        <f t="shared" si="97"/>
        <v>1</v>
      </c>
      <c r="EP124" s="10">
        <f t="shared" si="98"/>
        <v>0</v>
      </c>
      <c r="EQ124" s="10">
        <f t="shared" si="99"/>
        <v>0</v>
      </c>
      <c r="ER124" s="10">
        <f t="shared" si="100"/>
        <v>0</v>
      </c>
      <c r="ES124" s="10">
        <f t="shared" si="101"/>
        <v>0</v>
      </c>
      <c r="ET124" s="10">
        <f t="shared" si="102"/>
        <v>0</v>
      </c>
      <c r="EU124" s="10">
        <f t="shared" si="103"/>
        <v>0</v>
      </c>
      <c r="EV124" s="10">
        <f t="shared" si="104"/>
        <v>0</v>
      </c>
      <c r="EW124" s="10">
        <f t="shared" si="105"/>
        <v>0</v>
      </c>
      <c r="EX124" s="10">
        <f t="shared" si="106"/>
        <v>0</v>
      </c>
      <c r="EY124" s="10">
        <f t="shared" si="107"/>
        <v>0</v>
      </c>
      <c r="EZ124" s="10">
        <f t="shared" si="108"/>
        <v>0</v>
      </c>
      <c r="FA124" s="10">
        <f t="shared" si="109"/>
        <v>0</v>
      </c>
      <c r="FB124" s="10">
        <f t="shared" si="110"/>
        <v>0</v>
      </c>
      <c r="FC124" s="10">
        <f t="shared" si="111"/>
        <v>0</v>
      </c>
      <c r="FD124" s="10">
        <f t="shared" si="112"/>
        <v>0</v>
      </c>
      <c r="FE124" s="10">
        <f t="shared" si="113"/>
        <v>0</v>
      </c>
      <c r="FF124" s="10">
        <f t="shared" si="114"/>
        <v>0</v>
      </c>
      <c r="FG124" s="10">
        <f t="shared" si="115"/>
        <v>0</v>
      </c>
      <c r="FH124" s="10">
        <f t="shared" si="116"/>
        <v>0</v>
      </c>
      <c r="FI124" s="10">
        <f t="shared" si="117"/>
        <v>0</v>
      </c>
      <c r="FJ124" s="10">
        <f t="shared" si="118"/>
        <v>0</v>
      </c>
      <c r="FK124" s="10">
        <f t="shared" si="119"/>
        <v>0</v>
      </c>
      <c r="FL124" s="10">
        <f t="shared" si="120"/>
        <v>0</v>
      </c>
      <c r="FM124" s="10">
        <f t="shared" si="121"/>
        <v>0</v>
      </c>
      <c r="FN124" s="10">
        <f t="shared" si="122"/>
        <v>0</v>
      </c>
      <c r="FO124" s="10">
        <f t="shared" si="123"/>
        <v>0</v>
      </c>
      <c r="FP124" s="10">
        <f t="shared" si="124"/>
        <v>0</v>
      </c>
      <c r="FQ124" s="10">
        <f t="shared" si="125"/>
        <v>0</v>
      </c>
      <c r="FR124" s="11">
        <f t="shared" si="543"/>
        <v>0</v>
      </c>
      <c r="FS124" s="11">
        <f t="shared" si="127"/>
        <v>0</v>
      </c>
      <c r="FT124" s="11">
        <f t="shared" si="128"/>
        <v>0</v>
      </c>
      <c r="FU124" s="11">
        <f t="shared" si="129"/>
        <v>0</v>
      </c>
      <c r="FV124" s="11">
        <f t="shared" si="130"/>
        <v>0</v>
      </c>
      <c r="FW124" s="11">
        <f t="shared" si="131"/>
        <v>0</v>
      </c>
      <c r="FX124" s="11">
        <f t="shared" si="132"/>
        <v>0</v>
      </c>
      <c r="FY124" s="11">
        <f t="shared" si="133"/>
        <v>0</v>
      </c>
      <c r="FZ124" s="11">
        <f t="shared" si="134"/>
        <v>0</v>
      </c>
      <c r="GA124" s="11">
        <f t="shared" si="135"/>
        <v>0</v>
      </c>
      <c r="GB124" s="11">
        <f t="shared" si="136"/>
        <v>0</v>
      </c>
      <c r="GC124" s="11">
        <f t="shared" si="137"/>
        <v>0</v>
      </c>
      <c r="GD124" s="11">
        <f t="shared" si="138"/>
        <v>0</v>
      </c>
      <c r="GE124" s="11">
        <f t="shared" si="139"/>
        <v>0</v>
      </c>
      <c r="GF124" s="11">
        <f t="shared" si="140"/>
        <v>0</v>
      </c>
      <c r="GG124" s="11">
        <f t="shared" si="141"/>
        <v>0</v>
      </c>
      <c r="GH124" s="11">
        <f t="shared" si="142"/>
        <v>0</v>
      </c>
      <c r="GI124" s="11">
        <f t="shared" si="143"/>
        <v>0</v>
      </c>
      <c r="GJ124" s="11">
        <f t="shared" si="144"/>
        <v>0</v>
      </c>
      <c r="GK124" s="11">
        <f t="shared" si="145"/>
        <v>0</v>
      </c>
      <c r="GL124" s="11">
        <f t="shared" si="146"/>
        <v>0</v>
      </c>
      <c r="GM124" s="11">
        <f t="shared" si="147"/>
        <v>0</v>
      </c>
      <c r="GN124" s="11">
        <f t="shared" si="148"/>
        <v>0</v>
      </c>
      <c r="GO124" s="11">
        <f t="shared" si="149"/>
        <v>0</v>
      </c>
      <c r="GP124" s="11">
        <f t="shared" si="150"/>
        <v>0</v>
      </c>
      <c r="GQ124" s="11">
        <f t="shared" si="151"/>
        <v>0</v>
      </c>
      <c r="GR124" s="11">
        <f t="shared" si="152"/>
        <v>0</v>
      </c>
      <c r="GS124" s="11">
        <f t="shared" si="153"/>
        <v>0</v>
      </c>
      <c r="GT124" s="11">
        <f t="shared" si="154"/>
        <v>0</v>
      </c>
      <c r="GU124" s="12">
        <f t="shared" si="155"/>
        <v>0</v>
      </c>
      <c r="GV124" s="12">
        <f t="shared" si="156"/>
        <v>0</v>
      </c>
      <c r="GW124" s="12">
        <f t="shared" si="157"/>
        <v>0</v>
      </c>
      <c r="GX124" s="12">
        <f t="shared" si="158"/>
        <v>0</v>
      </c>
      <c r="GY124" s="12">
        <f t="shared" si="159"/>
        <v>0</v>
      </c>
      <c r="GZ124" s="12">
        <f t="shared" si="160"/>
        <v>0</v>
      </c>
      <c r="HA124" s="12">
        <f t="shared" si="161"/>
        <v>0</v>
      </c>
      <c r="HB124" s="12">
        <f t="shared" si="162"/>
        <v>0</v>
      </c>
      <c r="HC124" s="12">
        <f t="shared" si="163"/>
        <v>0</v>
      </c>
      <c r="HD124" s="12">
        <f t="shared" si="164"/>
        <v>0</v>
      </c>
      <c r="HE124" s="12">
        <f t="shared" si="165"/>
        <v>0</v>
      </c>
      <c r="HF124" s="12">
        <f t="shared" si="166"/>
        <v>0</v>
      </c>
      <c r="HG124" s="12">
        <f t="shared" si="167"/>
        <v>0</v>
      </c>
      <c r="HH124" s="12">
        <f t="shared" si="168"/>
        <v>0</v>
      </c>
      <c r="HI124" s="12">
        <f t="shared" si="169"/>
        <v>0</v>
      </c>
      <c r="HJ124" s="12">
        <f t="shared" si="170"/>
        <v>0</v>
      </c>
      <c r="HK124" s="12">
        <f t="shared" si="171"/>
        <v>0</v>
      </c>
      <c r="HL124" s="12">
        <f t="shared" si="172"/>
        <v>0</v>
      </c>
      <c r="HM124" s="12">
        <f t="shared" si="173"/>
        <v>0</v>
      </c>
      <c r="HN124" s="12">
        <f t="shared" si="174"/>
        <v>0</v>
      </c>
      <c r="HO124" s="12">
        <f t="shared" si="175"/>
        <v>0</v>
      </c>
      <c r="HP124" s="12">
        <f t="shared" si="176"/>
        <v>0</v>
      </c>
      <c r="HQ124" s="12">
        <f t="shared" si="177"/>
        <v>0</v>
      </c>
      <c r="HR124" s="12">
        <f t="shared" si="178"/>
        <v>0</v>
      </c>
      <c r="HS124" s="12">
        <f t="shared" si="179"/>
        <v>0</v>
      </c>
      <c r="HT124" s="12">
        <f t="shared" si="180"/>
        <v>0</v>
      </c>
      <c r="HU124" s="12">
        <f t="shared" si="181"/>
        <v>0</v>
      </c>
      <c r="HV124" s="12">
        <f t="shared" si="182"/>
        <v>0</v>
      </c>
      <c r="HW124" s="12">
        <f t="shared" si="183"/>
        <v>0</v>
      </c>
      <c r="HX124" s="12">
        <f t="shared" si="184"/>
        <v>0</v>
      </c>
      <c r="HY124" s="12">
        <f t="shared" si="185"/>
        <v>0</v>
      </c>
      <c r="HZ124" s="12">
        <f t="shared" si="186"/>
        <v>0</v>
      </c>
      <c r="IA124" s="12">
        <f t="shared" si="187"/>
        <v>0</v>
      </c>
      <c r="IB124" s="12">
        <f t="shared" si="188"/>
        <v>0</v>
      </c>
      <c r="IC124" s="12">
        <f t="shared" si="189"/>
        <v>0</v>
      </c>
      <c r="ID124" s="12">
        <f t="shared" si="190"/>
        <v>0</v>
      </c>
      <c r="IE124" s="12">
        <f t="shared" si="191"/>
        <v>0</v>
      </c>
      <c r="IF124" s="12">
        <f t="shared" si="192"/>
        <v>0</v>
      </c>
      <c r="IG124" s="12">
        <f t="shared" si="193"/>
        <v>0</v>
      </c>
      <c r="IH124" s="12">
        <f t="shared" si="194"/>
        <v>0</v>
      </c>
      <c r="II124" s="12">
        <f t="shared" si="195"/>
        <v>0</v>
      </c>
      <c r="IJ124" s="12">
        <f t="shared" si="196"/>
        <v>0</v>
      </c>
      <c r="IK124" s="12">
        <f t="shared" si="197"/>
        <v>0</v>
      </c>
      <c r="IL124" s="12">
        <f t="shared" si="198"/>
        <v>0</v>
      </c>
      <c r="IM124" s="12">
        <f t="shared" si="199"/>
        <v>0</v>
      </c>
      <c r="IN124" s="12">
        <f t="shared" si="200"/>
        <v>0</v>
      </c>
      <c r="IO124" s="12">
        <f t="shared" si="201"/>
        <v>0</v>
      </c>
      <c r="IP124" s="12">
        <f t="shared" si="202"/>
        <v>0</v>
      </c>
      <c r="IQ124" s="12">
        <f t="shared" si="203"/>
        <v>0</v>
      </c>
      <c r="IR124" s="12">
        <f t="shared" si="204"/>
        <v>0</v>
      </c>
      <c r="IS124" s="12">
        <f t="shared" si="205"/>
        <v>0</v>
      </c>
      <c r="IT124" s="12">
        <f t="shared" si="206"/>
        <v>0</v>
      </c>
      <c r="IU124" s="12">
        <f t="shared" si="207"/>
        <v>0</v>
      </c>
      <c r="IV124" s="12">
        <f t="shared" si="208"/>
        <v>0</v>
      </c>
      <c r="IW124" s="12">
        <f t="shared" si="209"/>
        <v>0</v>
      </c>
      <c r="IX124" s="12">
        <f t="shared" si="210"/>
        <v>0</v>
      </c>
      <c r="IY124" s="12">
        <f t="shared" si="211"/>
        <v>0</v>
      </c>
      <c r="IZ124" s="12">
        <f t="shared" si="212"/>
        <v>1</v>
      </c>
      <c r="JA124" s="13">
        <f t="shared" si="213"/>
        <v>0</v>
      </c>
      <c r="JB124" s="13">
        <f t="shared" si="214"/>
        <v>0</v>
      </c>
      <c r="JC124" s="13">
        <f t="shared" si="215"/>
        <v>0</v>
      </c>
      <c r="JD124" s="13">
        <f t="shared" si="216"/>
        <v>0</v>
      </c>
      <c r="JE124" s="13">
        <f t="shared" si="217"/>
        <v>0</v>
      </c>
      <c r="JF124" s="13">
        <f t="shared" si="218"/>
        <v>0</v>
      </c>
      <c r="JG124" s="13">
        <f t="shared" si="219"/>
        <v>0</v>
      </c>
      <c r="JH124" s="13">
        <f t="shared" si="220"/>
        <v>0</v>
      </c>
      <c r="JI124" s="13">
        <f t="shared" si="221"/>
        <v>0</v>
      </c>
      <c r="JJ124" s="13">
        <f t="shared" si="222"/>
        <v>0</v>
      </c>
      <c r="JK124" s="13">
        <f t="shared" si="223"/>
        <v>0</v>
      </c>
      <c r="JL124" s="13">
        <f t="shared" si="224"/>
        <v>0</v>
      </c>
      <c r="JM124" s="13">
        <f t="shared" si="225"/>
        <v>0</v>
      </c>
      <c r="JN124" s="13">
        <f t="shared" si="226"/>
        <v>0</v>
      </c>
      <c r="JO124" s="13">
        <f t="shared" si="227"/>
        <v>0</v>
      </c>
      <c r="JP124" s="13">
        <f t="shared" si="228"/>
        <v>0</v>
      </c>
      <c r="JQ124" s="13">
        <f t="shared" si="229"/>
        <v>0</v>
      </c>
      <c r="JR124" s="13">
        <f t="shared" si="230"/>
        <v>0</v>
      </c>
      <c r="JS124" s="13">
        <f t="shared" si="231"/>
        <v>0</v>
      </c>
      <c r="JT124" s="13">
        <f t="shared" si="232"/>
        <v>0</v>
      </c>
      <c r="JU124" s="13">
        <f t="shared" si="233"/>
        <v>0</v>
      </c>
      <c r="JV124" s="12">
        <f t="shared" si="234"/>
        <v>0</v>
      </c>
      <c r="JW124" s="12">
        <f t="shared" si="235"/>
        <v>0</v>
      </c>
      <c r="JX124" s="12">
        <f t="shared" si="236"/>
        <v>0</v>
      </c>
      <c r="JY124" s="12">
        <f t="shared" si="237"/>
        <v>0</v>
      </c>
      <c r="JZ124" s="12">
        <f t="shared" si="238"/>
        <v>0</v>
      </c>
      <c r="KA124" s="12">
        <f t="shared" si="239"/>
        <v>0</v>
      </c>
      <c r="KB124" s="12">
        <f t="shared" si="240"/>
        <v>0</v>
      </c>
      <c r="KC124" s="12">
        <f t="shared" si="241"/>
        <v>0</v>
      </c>
      <c r="KD124" s="12">
        <f t="shared" si="242"/>
        <v>0</v>
      </c>
      <c r="KE124" s="12">
        <f t="shared" si="243"/>
        <v>0</v>
      </c>
      <c r="KF124" s="12">
        <f t="shared" si="244"/>
        <v>0</v>
      </c>
      <c r="KG124" s="12">
        <f t="shared" si="245"/>
        <v>0</v>
      </c>
      <c r="KH124" s="12">
        <f t="shared" si="246"/>
        <v>0</v>
      </c>
      <c r="KI124" s="12">
        <f t="shared" si="247"/>
        <v>0</v>
      </c>
      <c r="KJ124" s="12">
        <f t="shared" si="248"/>
        <v>0</v>
      </c>
      <c r="KK124" s="12">
        <f t="shared" si="249"/>
        <v>0</v>
      </c>
      <c r="KL124" s="12">
        <f t="shared" si="250"/>
        <v>0</v>
      </c>
      <c r="KM124" s="12">
        <f t="shared" si="251"/>
        <v>0</v>
      </c>
      <c r="KN124" s="12">
        <f t="shared" si="252"/>
        <v>0</v>
      </c>
      <c r="KO124" s="12">
        <f t="shared" si="253"/>
        <v>0</v>
      </c>
      <c r="KP124" s="12">
        <f t="shared" si="254"/>
        <v>0</v>
      </c>
      <c r="KQ124" s="12">
        <f t="shared" si="255"/>
        <v>0</v>
      </c>
      <c r="KR124" s="12">
        <f t="shared" si="256"/>
        <v>0</v>
      </c>
      <c r="KS124" s="12">
        <f t="shared" si="257"/>
        <v>0</v>
      </c>
      <c r="KT124" s="12">
        <f t="shared" si="258"/>
        <v>0</v>
      </c>
      <c r="KU124" s="12">
        <f t="shared" si="259"/>
        <v>0</v>
      </c>
      <c r="KV124" s="12">
        <f t="shared" si="260"/>
        <v>0</v>
      </c>
      <c r="KW124" s="12">
        <f t="shared" si="261"/>
        <v>0</v>
      </c>
      <c r="KX124" s="12">
        <f t="shared" si="262"/>
        <v>0</v>
      </c>
      <c r="KY124" s="12">
        <f t="shared" si="263"/>
        <v>0</v>
      </c>
      <c r="KZ124" s="12">
        <f t="shared" si="264"/>
        <v>0</v>
      </c>
      <c r="LA124" s="12">
        <f t="shared" si="265"/>
        <v>0</v>
      </c>
      <c r="LB124" s="12">
        <f t="shared" si="266"/>
        <v>0</v>
      </c>
      <c r="LC124" s="12">
        <f t="shared" si="267"/>
        <v>0</v>
      </c>
      <c r="LD124" s="12">
        <f t="shared" si="268"/>
        <v>0</v>
      </c>
      <c r="LE124" s="12">
        <f t="shared" si="269"/>
        <v>0</v>
      </c>
      <c r="LF124" s="12">
        <f t="shared" si="270"/>
        <v>0</v>
      </c>
      <c r="LG124" s="12">
        <f t="shared" si="271"/>
        <v>0</v>
      </c>
      <c r="LH124" s="12">
        <f t="shared" si="272"/>
        <v>0</v>
      </c>
      <c r="LI124" s="12">
        <f t="shared" si="273"/>
        <v>0</v>
      </c>
      <c r="LJ124" s="12">
        <f t="shared" si="274"/>
        <v>0</v>
      </c>
      <c r="LK124" s="12">
        <f t="shared" si="275"/>
        <v>0</v>
      </c>
      <c r="LL124" s="12">
        <f t="shared" si="276"/>
        <v>0</v>
      </c>
      <c r="LM124" s="12">
        <f t="shared" si="277"/>
        <v>0</v>
      </c>
      <c r="LN124" s="12">
        <f t="shared" si="278"/>
        <v>0</v>
      </c>
      <c r="LO124" s="12">
        <f t="shared" si="279"/>
        <v>0</v>
      </c>
      <c r="LP124" s="12">
        <f t="shared" si="280"/>
        <v>0</v>
      </c>
      <c r="LQ124" s="12">
        <f t="shared" si="281"/>
        <v>0</v>
      </c>
      <c r="LR124" s="12">
        <f t="shared" si="282"/>
        <v>0</v>
      </c>
      <c r="LS124" s="12">
        <f t="shared" si="283"/>
        <v>0</v>
      </c>
      <c r="LT124" s="13">
        <f t="shared" si="284"/>
        <v>0</v>
      </c>
      <c r="LU124" s="13">
        <f t="shared" si="285"/>
        <v>0</v>
      </c>
      <c r="LV124" s="13">
        <f t="shared" si="286"/>
        <v>0</v>
      </c>
      <c r="LW124" s="13">
        <f t="shared" si="287"/>
        <v>0</v>
      </c>
      <c r="LX124" s="13">
        <f t="shared" si="288"/>
        <v>0</v>
      </c>
      <c r="LY124" s="13">
        <f t="shared" si="289"/>
        <v>0</v>
      </c>
      <c r="LZ124" s="13">
        <f t="shared" si="290"/>
        <v>0</v>
      </c>
      <c r="MA124" s="13">
        <f t="shared" si="291"/>
        <v>0</v>
      </c>
      <c r="MB124" s="13">
        <f t="shared" si="292"/>
        <v>0</v>
      </c>
      <c r="MC124" s="13">
        <f t="shared" si="293"/>
        <v>0</v>
      </c>
      <c r="MD124" s="13">
        <f t="shared" si="294"/>
        <v>0</v>
      </c>
      <c r="ME124" s="13">
        <f t="shared" si="295"/>
        <v>0</v>
      </c>
      <c r="MF124" s="13">
        <f t="shared" si="296"/>
        <v>0</v>
      </c>
      <c r="MG124" s="13">
        <f t="shared" si="297"/>
        <v>0</v>
      </c>
      <c r="MH124" s="13">
        <f t="shared" si="298"/>
        <v>0</v>
      </c>
      <c r="MI124" s="13">
        <f t="shared" si="299"/>
        <v>0</v>
      </c>
      <c r="MJ124" s="13">
        <f t="shared" si="300"/>
        <v>0</v>
      </c>
      <c r="MK124" s="13">
        <f t="shared" si="301"/>
        <v>0</v>
      </c>
      <c r="ML124" s="14">
        <f t="shared" si="302"/>
        <v>0</v>
      </c>
      <c r="MM124" s="14">
        <f t="shared" si="303"/>
        <v>0</v>
      </c>
      <c r="MN124" s="14">
        <f t="shared" si="304"/>
        <v>0</v>
      </c>
      <c r="MO124" s="14">
        <f t="shared" si="305"/>
        <v>0</v>
      </c>
      <c r="MP124" s="14">
        <f t="shared" si="306"/>
        <v>0</v>
      </c>
      <c r="MQ124" s="14">
        <f t="shared" si="307"/>
        <v>0</v>
      </c>
      <c r="MR124" s="14">
        <f t="shared" si="308"/>
        <v>0</v>
      </c>
      <c r="MS124" s="14">
        <f t="shared" si="309"/>
        <v>0</v>
      </c>
      <c r="MT124" s="14">
        <f t="shared" si="310"/>
        <v>0</v>
      </c>
      <c r="MU124" s="14">
        <f t="shared" si="311"/>
        <v>0</v>
      </c>
      <c r="MV124" s="14">
        <f t="shared" si="312"/>
        <v>0</v>
      </c>
      <c r="MW124" s="14">
        <f t="shared" si="313"/>
        <v>0</v>
      </c>
      <c r="MX124" s="14">
        <f t="shared" si="314"/>
        <v>0</v>
      </c>
      <c r="MY124" s="14">
        <f t="shared" si="315"/>
        <v>0</v>
      </c>
      <c r="MZ124" s="14">
        <f t="shared" si="316"/>
        <v>0</v>
      </c>
      <c r="NA124" s="14">
        <f t="shared" si="317"/>
        <v>0</v>
      </c>
      <c r="NB124" s="14">
        <f t="shared" si="318"/>
        <v>0</v>
      </c>
    </row>
    <row r="125" ht="15.75" customHeight="1">
      <c r="A125" s="2">
        <v>359.0</v>
      </c>
      <c r="B125" s="2" t="s">
        <v>2484</v>
      </c>
      <c r="C125" s="2" t="s">
        <v>2485</v>
      </c>
      <c r="D125" s="2" t="s">
        <v>2486</v>
      </c>
      <c r="E125" s="2">
        <v>2019.0</v>
      </c>
      <c r="F125" s="2" t="s">
        <v>2487</v>
      </c>
      <c r="G125" s="2" t="s">
        <v>1013</v>
      </c>
      <c r="H125" s="2" t="s">
        <v>603</v>
      </c>
      <c r="I125" s="2" t="s">
        <v>2488</v>
      </c>
      <c r="M125" s="2">
        <v>6.0</v>
      </c>
      <c r="N125" s="2" t="s">
        <v>2489</v>
      </c>
      <c r="O125" s="2" t="s">
        <v>2490</v>
      </c>
      <c r="P125" s="2" t="s">
        <v>2491</v>
      </c>
      <c r="Q125" s="2" t="s">
        <v>2492</v>
      </c>
      <c r="R125" s="2" t="s">
        <v>2493</v>
      </c>
      <c r="S125" s="2" t="s">
        <v>2494</v>
      </c>
      <c r="Y125" s="2" t="s">
        <v>2495</v>
      </c>
      <c r="AB125" s="2" t="s">
        <v>2496</v>
      </c>
      <c r="AG125" s="2" t="s">
        <v>2497</v>
      </c>
      <c r="AK125" s="2" t="s">
        <v>2487</v>
      </c>
      <c r="AL125" s="2" t="s">
        <v>384</v>
      </c>
      <c r="AM125" s="2" t="s">
        <v>484</v>
      </c>
      <c r="AN125" s="2" t="s">
        <v>386</v>
      </c>
      <c r="AO125" s="2" t="s">
        <v>2498</v>
      </c>
      <c r="AP125" s="2" t="s">
        <v>386</v>
      </c>
      <c r="AQ125" s="2">
        <v>1087.0</v>
      </c>
      <c r="AR125" s="2" t="s">
        <v>2499</v>
      </c>
      <c r="AS125" s="2" t="b">
        <v>1</v>
      </c>
      <c r="AT125" s="3">
        <v>0.0</v>
      </c>
      <c r="AU125" s="4"/>
      <c r="AV125" s="4"/>
      <c r="AW125" s="5">
        <f t="shared" si="432"/>
        <v>0</v>
      </c>
      <c r="AX125" s="5">
        <f t="shared" si="4"/>
        <v>0</v>
      </c>
      <c r="AY125" s="5">
        <f t="shared" si="5"/>
        <v>0</v>
      </c>
      <c r="AZ125" s="5">
        <f t="shared" si="6"/>
        <v>0</v>
      </c>
      <c r="BA125" s="5">
        <f t="shared" si="7"/>
        <v>0</v>
      </c>
      <c r="BB125" s="5">
        <f t="shared" si="8"/>
        <v>0</v>
      </c>
      <c r="BC125" s="5">
        <f t="shared" si="9"/>
        <v>0</v>
      </c>
      <c r="BD125" s="5">
        <f t="shared" si="10"/>
        <v>0</v>
      </c>
      <c r="BE125" s="5">
        <f t="shared" si="11"/>
        <v>0</v>
      </c>
      <c r="BF125" s="5">
        <f t="shared" si="12"/>
        <v>0</v>
      </c>
      <c r="BG125" s="5">
        <f t="shared" si="13"/>
        <v>0</v>
      </c>
      <c r="BH125" s="5">
        <f t="shared" si="14"/>
        <v>0</v>
      </c>
      <c r="BI125" s="5">
        <f t="shared" si="15"/>
        <v>0</v>
      </c>
      <c r="BJ125" s="5">
        <f t="shared" si="16"/>
        <v>0</v>
      </c>
      <c r="BK125" s="5">
        <f t="shared" si="17"/>
        <v>1</v>
      </c>
      <c r="BL125" s="5">
        <f t="shared" si="18"/>
        <v>0</v>
      </c>
      <c r="BM125" s="5">
        <f t="shared" si="19"/>
        <v>0</v>
      </c>
      <c r="BN125" s="5">
        <f t="shared" si="20"/>
        <v>0</v>
      </c>
      <c r="BO125" s="5">
        <f t="shared" si="21"/>
        <v>0</v>
      </c>
      <c r="BP125" s="5">
        <f t="shared" si="22"/>
        <v>0</v>
      </c>
      <c r="BQ125" s="5">
        <f t="shared" si="23"/>
        <v>0</v>
      </c>
      <c r="BR125" s="5">
        <f t="shared" si="24"/>
        <v>0</v>
      </c>
      <c r="BS125" s="5">
        <f t="shared" si="25"/>
        <v>0</v>
      </c>
      <c r="BT125" s="5">
        <f t="shared" si="26"/>
        <v>0</v>
      </c>
      <c r="BU125" s="5">
        <f t="shared" si="27"/>
        <v>0</v>
      </c>
      <c r="BV125" s="5">
        <f t="shared" ref="BV125:BW125" si="596">IF(OR(ISNUMBER(SEARCH("grit",$D125)),ISNUMBER(SEARCH("grit",$T125)),ISNUMBER(SEARCH("grit",$R125)),ISNUMBER(SEARCH("grit",$S125)),
ISNUMBER(SEARCH("determination",$D125)),ISNUMBER(SEARCH("determination",$T125)),ISNUMBER(SEARCH("determination",$R125)),ISNUMBER(SEARCH("determination",$S125)),
ISNUMBER(SEARCH("tenacity",$D125)),ISNUMBER(SEARCH("tenacity",$T125)),ISNUMBER(SEARCH("tenacity",$R125)),ISNUMBER(SEARCH("tenacity",$S125)),
ISNUMBER(SEARCH("endurance",$D125)),ISNUMBER(SEARCH("endurance",$T125)),ISNUMBER(SEARCH("endurance",$R125)),ISNUMBER(SEARCH("endurance",$S125)),
ISNUMBER(SEARCH("fortitude",$D125)),ISNUMBER(SEARCH("fortitude",$T125)),ISNUMBER(SEARCH("fortitude",$R125)),ISNUMBER(SEARCH("fortitude",$S125)),
ISNUMBER(SEARCH("resolve",$D125)),ISNUMBER(SEARCH("resolve",$T125)),ISNUMBER(SEARCH("resolve",$R125)),ISNUMBER(SEARCH("resolve",$S125)),
ISNUMBER(SEARCH("stamina",$D125)),ISNUMBER(SEARCH("stamina",$T125)),ISNUMBER(SEARCH("stamina",$R125)),ISNUMBER(SEARCH("stamina",$S125)),
ISNUMBER(SEARCH("guts",$D125)),ISNUMBER(SEARCH("guts",$T125)),ISNUMBER(SEARCH("guts",$R125)),ISNUMBER(SEARCH("guts",$S125)),
ISNUMBER(SEARCH("spunk",$D125)),ISNUMBER(SEARCH("spunk",$T125)),ISNUMBER(SEARCH("spunk",$R125)),ISNUMBER(SEARCH("spunk",$S125))), 1, 0)</f>
        <v>0</v>
      </c>
      <c r="BW125" s="5">
        <f t="shared" si="596"/>
        <v>0</v>
      </c>
      <c r="BX125" s="5">
        <f t="shared" si="29"/>
        <v>0</v>
      </c>
      <c r="BY125" s="5">
        <f t="shared" si="30"/>
        <v>0</v>
      </c>
      <c r="BZ125" s="5">
        <f t="shared" si="31"/>
        <v>0</v>
      </c>
      <c r="CA125" s="5">
        <f t="shared" si="32"/>
        <v>0</v>
      </c>
      <c r="CB125" s="5">
        <f t="shared" si="33"/>
        <v>0</v>
      </c>
      <c r="CC125" s="5">
        <f t="shared" si="34"/>
        <v>0</v>
      </c>
      <c r="CD125" s="5">
        <f t="shared" si="35"/>
        <v>0</v>
      </c>
      <c r="CE125" s="5">
        <f t="shared" si="36"/>
        <v>0</v>
      </c>
      <c r="CF125" s="5">
        <f t="shared" si="37"/>
        <v>0</v>
      </c>
      <c r="CG125" s="5">
        <f t="shared" si="38"/>
        <v>0</v>
      </c>
      <c r="CH125" s="5">
        <f t="shared" si="39"/>
        <v>0</v>
      </c>
      <c r="CI125" s="5">
        <f t="shared" si="40"/>
        <v>0</v>
      </c>
      <c r="CJ125" s="5">
        <f t="shared" si="41"/>
        <v>0</v>
      </c>
      <c r="CK125" s="5">
        <f t="shared" si="42"/>
        <v>1</v>
      </c>
      <c r="CL125" s="5">
        <f t="shared" si="43"/>
        <v>0</v>
      </c>
      <c r="CM125" s="5">
        <f t="shared" si="44"/>
        <v>0</v>
      </c>
      <c r="CN125" s="5">
        <f t="shared" si="45"/>
        <v>0</v>
      </c>
      <c r="CO125" s="5">
        <f t="shared" si="46"/>
        <v>0</v>
      </c>
      <c r="CP125" s="6">
        <f t="shared" si="47"/>
        <v>0</v>
      </c>
      <c r="CQ125" s="6">
        <f t="shared" si="48"/>
        <v>1</v>
      </c>
      <c r="CR125" s="6">
        <f t="shared" si="49"/>
        <v>0</v>
      </c>
      <c r="CS125" s="6">
        <f t="shared" si="50"/>
        <v>0</v>
      </c>
      <c r="CT125" s="6">
        <f t="shared" si="584"/>
        <v>0</v>
      </c>
      <c r="CU125" s="6">
        <f t="shared" si="52"/>
        <v>0</v>
      </c>
      <c r="CV125" s="6">
        <f t="shared" si="53"/>
        <v>0</v>
      </c>
      <c r="CW125" s="6">
        <f t="shared" si="54"/>
        <v>0</v>
      </c>
      <c r="CX125" s="6">
        <f t="shared" si="55"/>
        <v>0</v>
      </c>
      <c r="CY125" s="6">
        <f t="shared" si="56"/>
        <v>0</v>
      </c>
      <c r="CZ125" s="6">
        <f t="shared" si="57"/>
        <v>1</v>
      </c>
      <c r="DA125" s="6">
        <f t="shared" si="58"/>
        <v>0</v>
      </c>
      <c r="DB125" s="6">
        <f t="shared" si="59"/>
        <v>0</v>
      </c>
      <c r="DC125" s="6">
        <f t="shared" si="60"/>
        <v>0</v>
      </c>
      <c r="DD125" s="6">
        <f t="shared" si="61"/>
        <v>0</v>
      </c>
      <c r="DE125" s="6">
        <f t="shared" si="62"/>
        <v>1</v>
      </c>
      <c r="DF125" s="6">
        <f t="shared" si="63"/>
        <v>0</v>
      </c>
      <c r="DG125" s="6">
        <f t="shared" si="64"/>
        <v>0</v>
      </c>
      <c r="DH125" s="6">
        <f t="shared" si="579"/>
        <v>0</v>
      </c>
      <c r="DI125" s="6">
        <f t="shared" si="66"/>
        <v>0</v>
      </c>
      <c r="DJ125" s="6">
        <f t="shared" si="574"/>
        <v>0</v>
      </c>
      <c r="DK125" s="7">
        <f t="shared" si="68"/>
        <v>0</v>
      </c>
      <c r="DL125" s="7">
        <f t="shared" si="498"/>
        <v>0</v>
      </c>
      <c r="DM125" s="7">
        <f t="shared" si="70"/>
        <v>0</v>
      </c>
      <c r="DN125" s="7">
        <f t="shared" si="71"/>
        <v>0</v>
      </c>
      <c r="DO125" s="7">
        <f t="shared" si="72"/>
        <v>1</v>
      </c>
      <c r="DP125" s="8">
        <f t="shared" si="73"/>
        <v>0</v>
      </c>
      <c r="DQ125" s="8">
        <f t="shared" si="74"/>
        <v>1</v>
      </c>
      <c r="DR125" s="7">
        <f t="shared" si="75"/>
        <v>0</v>
      </c>
      <c r="DS125" s="7">
        <f t="shared" si="76"/>
        <v>0</v>
      </c>
      <c r="DT125" s="7">
        <f t="shared" si="77"/>
        <v>0</v>
      </c>
      <c r="DU125" s="9">
        <f t="shared" si="78"/>
        <v>0</v>
      </c>
      <c r="DV125" s="9">
        <f t="shared" si="79"/>
        <v>0</v>
      </c>
      <c r="DW125" s="9">
        <f t="shared" si="80"/>
        <v>0</v>
      </c>
      <c r="DX125" s="9">
        <f t="shared" si="81"/>
        <v>0</v>
      </c>
      <c r="DY125" s="9">
        <f t="shared" si="82"/>
        <v>0</v>
      </c>
      <c r="DZ125" s="9">
        <f t="shared" si="83"/>
        <v>0</v>
      </c>
      <c r="EA125" s="9">
        <f t="shared" si="84"/>
        <v>0</v>
      </c>
      <c r="EB125" s="9">
        <f t="shared" si="85"/>
        <v>0</v>
      </c>
      <c r="EC125" s="9">
        <f t="shared" si="86"/>
        <v>0</v>
      </c>
      <c r="ED125" s="9">
        <f t="shared" si="87"/>
        <v>0</v>
      </c>
      <c r="EE125" s="9">
        <f t="shared" si="88"/>
        <v>0</v>
      </c>
      <c r="EF125" s="9">
        <f t="shared" si="89"/>
        <v>0</v>
      </c>
      <c r="EG125" s="9">
        <f t="shared" si="90"/>
        <v>0</v>
      </c>
      <c r="EH125" s="9">
        <f t="shared" si="91"/>
        <v>0</v>
      </c>
      <c r="EI125" s="9">
        <f t="shared" si="92"/>
        <v>0</v>
      </c>
      <c r="EJ125" s="10">
        <f t="shared" si="93"/>
        <v>0</v>
      </c>
      <c r="EK125" s="10">
        <f t="shared" si="94"/>
        <v>0</v>
      </c>
      <c r="EL125" s="10">
        <f t="shared" ref="EL125:EM125" si="597">IF(OR(ISNUMBER(SEARCH("ai software toolkit", $D125)), ISNUMBER(SEARCH("ai software toolkit", $T125)), ISNUMBER(SEARCH("ai software toolkit", $R125)), ISNUMBER(SEARCH("ai software toolkit", $S125))), 1, 0)</f>
        <v>0</v>
      </c>
      <c r="EM125" s="10">
        <f t="shared" si="597"/>
        <v>0</v>
      </c>
      <c r="EN125" s="10">
        <f t="shared" si="96"/>
        <v>0</v>
      </c>
      <c r="EO125" s="10">
        <f t="shared" si="97"/>
        <v>0</v>
      </c>
      <c r="EP125" s="10">
        <f t="shared" si="98"/>
        <v>0</v>
      </c>
      <c r="EQ125" s="10">
        <f t="shared" si="99"/>
        <v>0</v>
      </c>
      <c r="ER125" s="10">
        <f t="shared" si="100"/>
        <v>0</v>
      </c>
      <c r="ES125" s="10">
        <f t="shared" si="101"/>
        <v>0</v>
      </c>
      <c r="ET125" s="10">
        <f t="shared" si="102"/>
        <v>0</v>
      </c>
      <c r="EU125" s="10">
        <f t="shared" si="103"/>
        <v>0</v>
      </c>
      <c r="EV125" s="10">
        <f t="shared" si="104"/>
        <v>0</v>
      </c>
      <c r="EW125" s="10">
        <f t="shared" si="105"/>
        <v>0</v>
      </c>
      <c r="EX125" s="10">
        <f t="shared" si="106"/>
        <v>0</v>
      </c>
      <c r="EY125" s="10">
        <f t="shared" si="107"/>
        <v>0</v>
      </c>
      <c r="EZ125" s="10">
        <f t="shared" si="108"/>
        <v>0</v>
      </c>
      <c r="FA125" s="10">
        <f t="shared" si="109"/>
        <v>0</v>
      </c>
      <c r="FB125" s="10">
        <f t="shared" si="110"/>
        <v>0</v>
      </c>
      <c r="FC125" s="10">
        <f t="shared" si="111"/>
        <v>0</v>
      </c>
      <c r="FD125" s="10">
        <f t="shared" si="112"/>
        <v>0</v>
      </c>
      <c r="FE125" s="10">
        <f t="shared" si="113"/>
        <v>0</v>
      </c>
      <c r="FF125" s="10">
        <f t="shared" si="114"/>
        <v>0</v>
      </c>
      <c r="FG125" s="10">
        <f t="shared" si="115"/>
        <v>0</v>
      </c>
      <c r="FH125" s="10">
        <f t="shared" si="116"/>
        <v>0</v>
      </c>
      <c r="FI125" s="10">
        <f t="shared" si="117"/>
        <v>0</v>
      </c>
      <c r="FJ125" s="10">
        <f t="shared" si="118"/>
        <v>0</v>
      </c>
      <c r="FK125" s="10">
        <f t="shared" si="119"/>
        <v>0</v>
      </c>
      <c r="FL125" s="10">
        <f t="shared" si="120"/>
        <v>0</v>
      </c>
      <c r="FM125" s="10">
        <f t="shared" si="121"/>
        <v>0</v>
      </c>
      <c r="FN125" s="10">
        <f t="shared" si="122"/>
        <v>0</v>
      </c>
      <c r="FO125" s="10">
        <f t="shared" si="123"/>
        <v>0</v>
      </c>
      <c r="FP125" s="10">
        <f t="shared" si="124"/>
        <v>0</v>
      </c>
      <c r="FQ125" s="10">
        <f t="shared" si="125"/>
        <v>0</v>
      </c>
      <c r="FR125" s="11">
        <f t="shared" si="543"/>
        <v>0</v>
      </c>
      <c r="FS125" s="11">
        <f t="shared" si="127"/>
        <v>0</v>
      </c>
      <c r="FT125" s="11">
        <f t="shared" si="128"/>
        <v>0</v>
      </c>
      <c r="FU125" s="11">
        <f t="shared" si="129"/>
        <v>0</v>
      </c>
      <c r="FV125" s="11">
        <f t="shared" si="130"/>
        <v>0</v>
      </c>
      <c r="FW125" s="11">
        <f t="shared" si="131"/>
        <v>0</v>
      </c>
      <c r="FX125" s="11">
        <f t="shared" si="132"/>
        <v>0</v>
      </c>
      <c r="FY125" s="11">
        <f t="shared" si="133"/>
        <v>0</v>
      </c>
      <c r="FZ125" s="11">
        <f t="shared" si="134"/>
        <v>0</v>
      </c>
      <c r="GA125" s="11">
        <f t="shared" si="135"/>
        <v>0</v>
      </c>
      <c r="GB125" s="11">
        <f t="shared" si="136"/>
        <v>0</v>
      </c>
      <c r="GC125" s="11">
        <f t="shared" si="137"/>
        <v>0</v>
      </c>
      <c r="GD125" s="11">
        <f t="shared" si="138"/>
        <v>0</v>
      </c>
      <c r="GE125" s="11">
        <f t="shared" si="139"/>
        <v>0</v>
      </c>
      <c r="GF125" s="11">
        <f t="shared" si="140"/>
        <v>0</v>
      </c>
      <c r="GG125" s="11">
        <f t="shared" si="141"/>
        <v>0</v>
      </c>
      <c r="GH125" s="11">
        <f t="shared" si="142"/>
        <v>0</v>
      </c>
      <c r="GI125" s="11">
        <f t="shared" si="143"/>
        <v>0</v>
      </c>
      <c r="GJ125" s="11">
        <f t="shared" si="144"/>
        <v>0</v>
      </c>
      <c r="GK125" s="11">
        <f t="shared" si="145"/>
        <v>0</v>
      </c>
      <c r="GL125" s="11">
        <f t="shared" si="146"/>
        <v>0</v>
      </c>
      <c r="GM125" s="11">
        <f t="shared" si="147"/>
        <v>0</v>
      </c>
      <c r="GN125" s="11">
        <f t="shared" si="148"/>
        <v>0</v>
      </c>
      <c r="GO125" s="11">
        <f t="shared" si="149"/>
        <v>0</v>
      </c>
      <c r="GP125" s="11">
        <f t="shared" si="150"/>
        <v>0</v>
      </c>
      <c r="GQ125" s="11">
        <f t="shared" si="151"/>
        <v>0</v>
      </c>
      <c r="GR125" s="11">
        <f t="shared" si="152"/>
        <v>0</v>
      </c>
      <c r="GS125" s="11">
        <f t="shared" si="153"/>
        <v>0</v>
      </c>
      <c r="GT125" s="11">
        <f t="shared" si="154"/>
        <v>0</v>
      </c>
      <c r="GU125" s="12">
        <f t="shared" si="155"/>
        <v>0</v>
      </c>
      <c r="GV125" s="12">
        <f t="shared" si="156"/>
        <v>0</v>
      </c>
      <c r="GW125" s="12">
        <f t="shared" si="157"/>
        <v>0</v>
      </c>
      <c r="GX125" s="12">
        <f t="shared" si="158"/>
        <v>0</v>
      </c>
      <c r="GY125" s="12">
        <f t="shared" si="159"/>
        <v>0</v>
      </c>
      <c r="GZ125" s="12">
        <f t="shared" si="160"/>
        <v>0</v>
      </c>
      <c r="HA125" s="12">
        <f t="shared" si="161"/>
        <v>0</v>
      </c>
      <c r="HB125" s="12">
        <f t="shared" si="162"/>
        <v>0</v>
      </c>
      <c r="HC125" s="12">
        <f t="shared" si="163"/>
        <v>0</v>
      </c>
      <c r="HD125" s="12">
        <f t="shared" si="164"/>
        <v>0</v>
      </c>
      <c r="HE125" s="12">
        <f t="shared" si="165"/>
        <v>0</v>
      </c>
      <c r="HF125" s="12">
        <f t="shared" si="166"/>
        <v>0</v>
      </c>
      <c r="HG125" s="12">
        <f t="shared" si="167"/>
        <v>0</v>
      </c>
      <c r="HH125" s="12">
        <f t="shared" si="168"/>
        <v>0</v>
      </c>
      <c r="HI125" s="12">
        <f t="shared" si="169"/>
        <v>0</v>
      </c>
      <c r="HJ125" s="12">
        <f t="shared" si="170"/>
        <v>0</v>
      </c>
      <c r="HK125" s="12">
        <f t="shared" si="171"/>
        <v>0</v>
      </c>
      <c r="HL125" s="12">
        <f t="shared" si="172"/>
        <v>0</v>
      </c>
      <c r="HM125" s="12">
        <f t="shared" si="173"/>
        <v>0</v>
      </c>
      <c r="HN125" s="12">
        <f t="shared" si="174"/>
        <v>0</v>
      </c>
      <c r="HO125" s="12">
        <f t="shared" si="175"/>
        <v>0</v>
      </c>
      <c r="HP125" s="12">
        <f t="shared" si="176"/>
        <v>0</v>
      </c>
      <c r="HQ125" s="12">
        <f t="shared" si="177"/>
        <v>0</v>
      </c>
      <c r="HR125" s="12">
        <f t="shared" si="178"/>
        <v>0</v>
      </c>
      <c r="HS125" s="12">
        <f t="shared" si="179"/>
        <v>0</v>
      </c>
      <c r="HT125" s="12">
        <f t="shared" si="180"/>
        <v>0</v>
      </c>
      <c r="HU125" s="12">
        <f t="shared" si="181"/>
        <v>0</v>
      </c>
      <c r="HV125" s="12">
        <f t="shared" si="182"/>
        <v>0</v>
      </c>
      <c r="HW125" s="12">
        <f t="shared" si="183"/>
        <v>0</v>
      </c>
      <c r="HX125" s="12">
        <f t="shared" si="184"/>
        <v>0</v>
      </c>
      <c r="HY125" s="12">
        <f t="shared" si="185"/>
        <v>0</v>
      </c>
      <c r="HZ125" s="12">
        <f t="shared" si="186"/>
        <v>0</v>
      </c>
      <c r="IA125" s="12">
        <f t="shared" si="187"/>
        <v>0</v>
      </c>
      <c r="IB125" s="12">
        <f t="shared" si="188"/>
        <v>0</v>
      </c>
      <c r="IC125" s="12">
        <f t="shared" si="189"/>
        <v>0</v>
      </c>
      <c r="ID125" s="12">
        <f t="shared" si="190"/>
        <v>0</v>
      </c>
      <c r="IE125" s="12">
        <f t="shared" si="191"/>
        <v>0</v>
      </c>
      <c r="IF125" s="12">
        <f t="shared" si="192"/>
        <v>0</v>
      </c>
      <c r="IG125" s="12">
        <f t="shared" si="193"/>
        <v>0</v>
      </c>
      <c r="IH125" s="12">
        <f t="shared" si="194"/>
        <v>0</v>
      </c>
      <c r="II125" s="12">
        <f t="shared" si="195"/>
        <v>0</v>
      </c>
      <c r="IJ125" s="12">
        <f t="shared" si="196"/>
        <v>0</v>
      </c>
      <c r="IK125" s="12">
        <f t="shared" si="197"/>
        <v>0</v>
      </c>
      <c r="IL125" s="12">
        <f t="shared" si="198"/>
        <v>0</v>
      </c>
      <c r="IM125" s="12">
        <f t="shared" si="199"/>
        <v>0</v>
      </c>
      <c r="IN125" s="12">
        <f t="shared" si="200"/>
        <v>0</v>
      </c>
      <c r="IO125" s="12">
        <f t="shared" si="201"/>
        <v>0</v>
      </c>
      <c r="IP125" s="12">
        <f t="shared" si="202"/>
        <v>0</v>
      </c>
      <c r="IQ125" s="12">
        <f t="shared" si="203"/>
        <v>0</v>
      </c>
      <c r="IR125" s="12">
        <f t="shared" si="204"/>
        <v>0</v>
      </c>
      <c r="IS125" s="12">
        <f t="shared" si="205"/>
        <v>0</v>
      </c>
      <c r="IT125" s="12">
        <f t="shared" si="206"/>
        <v>0</v>
      </c>
      <c r="IU125" s="12">
        <f t="shared" si="207"/>
        <v>0</v>
      </c>
      <c r="IV125" s="12">
        <f t="shared" si="208"/>
        <v>0</v>
      </c>
      <c r="IW125" s="12">
        <f t="shared" si="209"/>
        <v>0</v>
      </c>
      <c r="IX125" s="12">
        <f t="shared" si="210"/>
        <v>0</v>
      </c>
      <c r="IY125" s="12">
        <f t="shared" si="211"/>
        <v>0</v>
      </c>
      <c r="IZ125" s="12">
        <f t="shared" si="212"/>
        <v>0</v>
      </c>
      <c r="JA125" s="13">
        <f t="shared" si="213"/>
        <v>0</v>
      </c>
      <c r="JB125" s="13">
        <f t="shared" si="214"/>
        <v>0</v>
      </c>
      <c r="JC125" s="13">
        <f t="shared" si="215"/>
        <v>0</v>
      </c>
      <c r="JD125" s="13">
        <f t="shared" si="216"/>
        <v>0</v>
      </c>
      <c r="JE125" s="13">
        <f t="shared" si="217"/>
        <v>0</v>
      </c>
      <c r="JF125" s="13">
        <f t="shared" si="218"/>
        <v>0</v>
      </c>
      <c r="JG125" s="13">
        <f t="shared" si="219"/>
        <v>0</v>
      </c>
      <c r="JH125" s="13">
        <f t="shared" si="220"/>
        <v>0</v>
      </c>
      <c r="JI125" s="13">
        <f t="shared" si="221"/>
        <v>0</v>
      </c>
      <c r="JJ125" s="13">
        <f t="shared" si="222"/>
        <v>0</v>
      </c>
      <c r="JK125" s="13">
        <f t="shared" si="223"/>
        <v>0</v>
      </c>
      <c r="JL125" s="13">
        <f t="shared" si="224"/>
        <v>0</v>
      </c>
      <c r="JM125" s="13">
        <f t="shared" si="225"/>
        <v>0</v>
      </c>
      <c r="JN125" s="13">
        <f t="shared" si="226"/>
        <v>0</v>
      </c>
      <c r="JO125" s="13">
        <f t="shared" si="227"/>
        <v>0</v>
      </c>
      <c r="JP125" s="13">
        <f t="shared" si="228"/>
        <v>0</v>
      </c>
      <c r="JQ125" s="13">
        <f t="shared" si="229"/>
        <v>0</v>
      </c>
      <c r="JR125" s="13">
        <f t="shared" si="230"/>
        <v>0</v>
      </c>
      <c r="JS125" s="13">
        <f t="shared" si="231"/>
        <v>0</v>
      </c>
      <c r="JT125" s="13">
        <f t="shared" si="232"/>
        <v>0</v>
      </c>
      <c r="JU125" s="13">
        <f t="shared" si="233"/>
        <v>0</v>
      </c>
      <c r="JV125" s="12">
        <f t="shared" si="234"/>
        <v>0</v>
      </c>
      <c r="JW125" s="12">
        <f t="shared" si="235"/>
        <v>0</v>
      </c>
      <c r="JX125" s="12">
        <f t="shared" si="236"/>
        <v>0</v>
      </c>
      <c r="JY125" s="12">
        <f t="shared" si="237"/>
        <v>0</v>
      </c>
      <c r="JZ125" s="12">
        <f t="shared" si="238"/>
        <v>0</v>
      </c>
      <c r="KA125" s="12">
        <f t="shared" si="239"/>
        <v>0</v>
      </c>
      <c r="KB125" s="12">
        <f t="shared" si="240"/>
        <v>0</v>
      </c>
      <c r="KC125" s="12">
        <f t="shared" si="241"/>
        <v>0</v>
      </c>
      <c r="KD125" s="12">
        <f t="shared" si="242"/>
        <v>0</v>
      </c>
      <c r="KE125" s="12">
        <f t="shared" si="243"/>
        <v>0</v>
      </c>
      <c r="KF125" s="12">
        <f t="shared" si="244"/>
        <v>0</v>
      </c>
      <c r="KG125" s="12">
        <f t="shared" si="245"/>
        <v>0</v>
      </c>
      <c r="KH125" s="12">
        <f t="shared" si="246"/>
        <v>0</v>
      </c>
      <c r="KI125" s="12">
        <f t="shared" si="247"/>
        <v>0</v>
      </c>
      <c r="KJ125" s="12">
        <f t="shared" si="248"/>
        <v>0</v>
      </c>
      <c r="KK125" s="12">
        <f t="shared" si="249"/>
        <v>0</v>
      </c>
      <c r="KL125" s="12">
        <f t="shared" si="250"/>
        <v>0</v>
      </c>
      <c r="KM125" s="12">
        <f t="shared" si="251"/>
        <v>0</v>
      </c>
      <c r="KN125" s="12">
        <f t="shared" si="252"/>
        <v>0</v>
      </c>
      <c r="KO125" s="12">
        <f t="shared" si="253"/>
        <v>0</v>
      </c>
      <c r="KP125" s="12">
        <f t="shared" si="254"/>
        <v>0</v>
      </c>
      <c r="KQ125" s="12">
        <f t="shared" si="255"/>
        <v>0</v>
      </c>
      <c r="KR125" s="12">
        <f t="shared" si="256"/>
        <v>0</v>
      </c>
      <c r="KS125" s="12">
        <f t="shared" si="257"/>
        <v>0</v>
      </c>
      <c r="KT125" s="12">
        <f t="shared" si="258"/>
        <v>0</v>
      </c>
      <c r="KU125" s="12">
        <f t="shared" si="259"/>
        <v>0</v>
      </c>
      <c r="KV125" s="12">
        <f t="shared" si="260"/>
        <v>0</v>
      </c>
      <c r="KW125" s="12">
        <f t="shared" si="261"/>
        <v>0</v>
      </c>
      <c r="KX125" s="12">
        <f t="shared" si="262"/>
        <v>0</v>
      </c>
      <c r="KY125" s="12">
        <f t="shared" si="263"/>
        <v>0</v>
      </c>
      <c r="KZ125" s="12">
        <f t="shared" si="264"/>
        <v>0</v>
      </c>
      <c r="LA125" s="12">
        <f t="shared" si="265"/>
        <v>0</v>
      </c>
      <c r="LB125" s="12">
        <f t="shared" si="266"/>
        <v>0</v>
      </c>
      <c r="LC125" s="12">
        <f t="shared" si="267"/>
        <v>0</v>
      </c>
      <c r="LD125" s="12">
        <f t="shared" si="268"/>
        <v>0</v>
      </c>
      <c r="LE125" s="12">
        <f t="shared" si="269"/>
        <v>0</v>
      </c>
      <c r="LF125" s="12">
        <f t="shared" si="270"/>
        <v>0</v>
      </c>
      <c r="LG125" s="12">
        <f t="shared" si="271"/>
        <v>0</v>
      </c>
      <c r="LH125" s="12">
        <f t="shared" si="272"/>
        <v>0</v>
      </c>
      <c r="LI125" s="12">
        <f t="shared" si="273"/>
        <v>0</v>
      </c>
      <c r="LJ125" s="12">
        <f t="shared" si="274"/>
        <v>0</v>
      </c>
      <c r="LK125" s="12">
        <f t="shared" si="275"/>
        <v>0</v>
      </c>
      <c r="LL125" s="12">
        <f t="shared" si="276"/>
        <v>0</v>
      </c>
      <c r="LM125" s="12">
        <f t="shared" si="277"/>
        <v>0</v>
      </c>
      <c r="LN125" s="12">
        <f t="shared" si="278"/>
        <v>0</v>
      </c>
      <c r="LO125" s="12">
        <f t="shared" si="279"/>
        <v>0</v>
      </c>
      <c r="LP125" s="12">
        <f t="shared" si="280"/>
        <v>0</v>
      </c>
      <c r="LQ125" s="12">
        <f t="shared" si="281"/>
        <v>0</v>
      </c>
      <c r="LR125" s="12">
        <f t="shared" si="282"/>
        <v>0</v>
      </c>
      <c r="LS125" s="12">
        <f t="shared" si="283"/>
        <v>0</v>
      </c>
      <c r="LT125" s="13">
        <f t="shared" si="284"/>
        <v>0</v>
      </c>
      <c r="LU125" s="13">
        <f t="shared" si="285"/>
        <v>0</v>
      </c>
      <c r="LV125" s="13">
        <f t="shared" si="286"/>
        <v>0</v>
      </c>
      <c r="LW125" s="13">
        <f t="shared" si="287"/>
        <v>0</v>
      </c>
      <c r="LX125" s="13">
        <f t="shared" si="288"/>
        <v>0</v>
      </c>
      <c r="LY125" s="13">
        <f t="shared" si="289"/>
        <v>0</v>
      </c>
      <c r="LZ125" s="13">
        <f t="shared" si="290"/>
        <v>0</v>
      </c>
      <c r="MA125" s="13">
        <f t="shared" si="291"/>
        <v>0</v>
      </c>
      <c r="MB125" s="13">
        <f t="shared" si="292"/>
        <v>0</v>
      </c>
      <c r="MC125" s="13">
        <f t="shared" si="293"/>
        <v>0</v>
      </c>
      <c r="MD125" s="13">
        <f t="shared" si="294"/>
        <v>0</v>
      </c>
      <c r="ME125" s="13">
        <f t="shared" si="295"/>
        <v>0</v>
      </c>
      <c r="MF125" s="13">
        <f t="shared" si="296"/>
        <v>0</v>
      </c>
      <c r="MG125" s="13">
        <f t="shared" si="297"/>
        <v>0</v>
      </c>
      <c r="MH125" s="13">
        <f t="shared" si="298"/>
        <v>0</v>
      </c>
      <c r="MI125" s="13">
        <f t="shared" si="299"/>
        <v>0</v>
      </c>
      <c r="MJ125" s="13">
        <f t="shared" si="300"/>
        <v>0</v>
      </c>
      <c r="MK125" s="13">
        <f t="shared" si="301"/>
        <v>0</v>
      </c>
      <c r="ML125" s="14">
        <f t="shared" si="302"/>
        <v>0</v>
      </c>
      <c r="MM125" s="14">
        <f t="shared" si="303"/>
        <v>0</v>
      </c>
      <c r="MN125" s="14">
        <f t="shared" si="304"/>
        <v>0</v>
      </c>
      <c r="MO125" s="14">
        <f t="shared" si="305"/>
        <v>0</v>
      </c>
      <c r="MP125" s="14">
        <f t="shared" si="306"/>
        <v>0</v>
      </c>
      <c r="MQ125" s="14">
        <f t="shared" si="307"/>
        <v>0</v>
      </c>
      <c r="MR125" s="14">
        <f t="shared" si="308"/>
        <v>0</v>
      </c>
      <c r="MS125" s="14">
        <f t="shared" si="309"/>
        <v>0</v>
      </c>
      <c r="MT125" s="14">
        <f t="shared" si="310"/>
        <v>0</v>
      </c>
      <c r="MU125" s="14">
        <f t="shared" si="311"/>
        <v>0</v>
      </c>
      <c r="MV125" s="14">
        <f t="shared" si="312"/>
        <v>0</v>
      </c>
      <c r="MW125" s="14">
        <f t="shared" si="313"/>
        <v>0</v>
      </c>
      <c r="MX125" s="14">
        <f t="shared" si="314"/>
        <v>0</v>
      </c>
      <c r="MY125" s="14">
        <f t="shared" si="315"/>
        <v>1</v>
      </c>
      <c r="MZ125" s="14">
        <f t="shared" si="316"/>
        <v>0</v>
      </c>
      <c r="NA125" s="14">
        <f t="shared" si="317"/>
        <v>0</v>
      </c>
      <c r="NB125" s="14">
        <f t="shared" si="318"/>
        <v>0</v>
      </c>
    </row>
    <row r="126" ht="15.75" customHeight="1">
      <c r="A126" s="2">
        <v>425.0</v>
      </c>
      <c r="B126" s="2" t="s">
        <v>2500</v>
      </c>
      <c r="C126" s="2" t="s">
        <v>2501</v>
      </c>
      <c r="D126" s="2" t="s">
        <v>2502</v>
      </c>
      <c r="E126" s="2">
        <v>2012.0</v>
      </c>
      <c r="F126" s="2" t="s">
        <v>2503</v>
      </c>
      <c r="G126" s="2" t="s">
        <v>1029</v>
      </c>
      <c r="H126" s="2" t="s">
        <v>2504</v>
      </c>
      <c r="J126" s="2" t="s">
        <v>2505</v>
      </c>
      <c r="K126" s="2" t="s">
        <v>2506</v>
      </c>
      <c r="M126" s="2">
        <v>6.0</v>
      </c>
      <c r="N126" s="2" t="s">
        <v>2507</v>
      </c>
      <c r="O126" s="2" t="s">
        <v>2508</v>
      </c>
      <c r="P126" s="2" t="s">
        <v>2509</v>
      </c>
      <c r="Q126" s="2" t="s">
        <v>2510</v>
      </c>
      <c r="R126" s="2" t="s">
        <v>2511</v>
      </c>
      <c r="S126" s="2" t="s">
        <v>2512</v>
      </c>
      <c r="T126" s="2" t="s">
        <v>2513</v>
      </c>
      <c r="Y126" s="2" t="s">
        <v>2514</v>
      </c>
      <c r="AB126" s="2" t="s">
        <v>1117</v>
      </c>
      <c r="AG126" s="2" t="s">
        <v>2515</v>
      </c>
      <c r="AJ126" s="2">
        <v>2.1997309E7</v>
      </c>
      <c r="AK126" s="2" t="s">
        <v>2516</v>
      </c>
      <c r="AL126" s="2" t="s">
        <v>384</v>
      </c>
      <c r="AN126" s="2" t="s">
        <v>386</v>
      </c>
      <c r="AO126" s="2" t="s">
        <v>2517</v>
      </c>
      <c r="AP126" s="2" t="s">
        <v>386</v>
      </c>
      <c r="AQ126" s="2">
        <v>1668.0</v>
      </c>
      <c r="AR126" s="2" t="s">
        <v>2518</v>
      </c>
      <c r="AS126" s="2" t="b">
        <v>0</v>
      </c>
      <c r="AT126" s="3">
        <v>0.0</v>
      </c>
      <c r="AU126" s="4"/>
      <c r="AV126" s="4"/>
      <c r="AW126" s="5">
        <f t="shared" si="432"/>
        <v>0</v>
      </c>
      <c r="AX126" s="5">
        <f t="shared" si="4"/>
        <v>0</v>
      </c>
      <c r="AY126" s="5">
        <f t="shared" si="5"/>
        <v>0</v>
      </c>
      <c r="AZ126" s="5">
        <f t="shared" si="6"/>
        <v>0</v>
      </c>
      <c r="BA126" s="5">
        <f t="shared" si="7"/>
        <v>0</v>
      </c>
      <c r="BB126" s="5">
        <f t="shared" si="8"/>
        <v>0</v>
      </c>
      <c r="BC126" s="5">
        <f t="shared" si="9"/>
        <v>0</v>
      </c>
      <c r="BD126" s="5">
        <f t="shared" si="10"/>
        <v>0</v>
      </c>
      <c r="BE126" s="5">
        <f t="shared" si="11"/>
        <v>0</v>
      </c>
      <c r="BF126" s="5">
        <f t="shared" si="12"/>
        <v>0</v>
      </c>
      <c r="BG126" s="5">
        <f t="shared" si="13"/>
        <v>0</v>
      </c>
      <c r="BH126" s="5">
        <f t="shared" si="14"/>
        <v>0</v>
      </c>
      <c r="BI126" s="5">
        <f t="shared" si="15"/>
        <v>0</v>
      </c>
      <c r="BJ126" s="5">
        <f t="shared" si="16"/>
        <v>0</v>
      </c>
      <c r="BK126" s="5">
        <f t="shared" si="17"/>
        <v>0</v>
      </c>
      <c r="BL126" s="5">
        <f t="shared" si="18"/>
        <v>0</v>
      </c>
      <c r="BM126" s="5">
        <f t="shared" si="19"/>
        <v>0</v>
      </c>
      <c r="BN126" s="5">
        <f t="shared" si="20"/>
        <v>0</v>
      </c>
      <c r="BO126" s="5">
        <f t="shared" si="21"/>
        <v>0</v>
      </c>
      <c r="BP126" s="5">
        <f t="shared" si="22"/>
        <v>0</v>
      </c>
      <c r="BQ126" s="5">
        <f t="shared" si="23"/>
        <v>0</v>
      </c>
      <c r="BR126" s="5">
        <f t="shared" si="24"/>
        <v>0</v>
      </c>
      <c r="BS126" s="5">
        <f t="shared" si="25"/>
        <v>1</v>
      </c>
      <c r="BT126" s="5">
        <f t="shared" si="26"/>
        <v>0</v>
      </c>
      <c r="BU126" s="5">
        <f t="shared" si="27"/>
        <v>1</v>
      </c>
      <c r="BV126" s="5">
        <f t="shared" ref="BV126:BW126" si="598">IF(OR(ISNUMBER(SEARCH("grit",$D126)),ISNUMBER(SEARCH("grit",$T126)),ISNUMBER(SEARCH("grit",$R126)),ISNUMBER(SEARCH("grit",$S126)),
ISNUMBER(SEARCH("determination",$D126)),ISNUMBER(SEARCH("determination",$T126)),ISNUMBER(SEARCH("determination",$R126)),ISNUMBER(SEARCH("determination",$S126)),
ISNUMBER(SEARCH("tenacity",$D126)),ISNUMBER(SEARCH("tenacity",$T126)),ISNUMBER(SEARCH("tenacity",$R126)),ISNUMBER(SEARCH("tenacity",$S126)),
ISNUMBER(SEARCH("endurance",$D126)),ISNUMBER(SEARCH("endurance",$T126)),ISNUMBER(SEARCH("endurance",$R126)),ISNUMBER(SEARCH("endurance",$S126)),
ISNUMBER(SEARCH("fortitude",$D126)),ISNUMBER(SEARCH("fortitude",$T126)),ISNUMBER(SEARCH("fortitude",$R126)),ISNUMBER(SEARCH("fortitude",$S126)),
ISNUMBER(SEARCH("resolve",$D126)),ISNUMBER(SEARCH("resolve",$T126)),ISNUMBER(SEARCH("resolve",$R126)),ISNUMBER(SEARCH("resolve",$S126)),
ISNUMBER(SEARCH("stamina",$D126)),ISNUMBER(SEARCH("stamina",$T126)),ISNUMBER(SEARCH("stamina",$R126)),ISNUMBER(SEARCH("stamina",$S126)),
ISNUMBER(SEARCH("guts",$D126)),ISNUMBER(SEARCH("guts",$T126)),ISNUMBER(SEARCH("guts",$R126)),ISNUMBER(SEARCH("guts",$S126)),
ISNUMBER(SEARCH("spunk",$D126)),ISNUMBER(SEARCH("spunk",$T126)),ISNUMBER(SEARCH("spunk",$R126)),ISNUMBER(SEARCH("spunk",$S126))), 1, 0)</f>
        <v>0</v>
      </c>
      <c r="BW126" s="5">
        <f t="shared" si="598"/>
        <v>0</v>
      </c>
      <c r="BX126" s="5">
        <f t="shared" si="29"/>
        <v>0</v>
      </c>
      <c r="BY126" s="5">
        <f t="shared" si="30"/>
        <v>0</v>
      </c>
      <c r="BZ126" s="5">
        <f t="shared" si="31"/>
        <v>0</v>
      </c>
      <c r="CA126" s="5">
        <f t="shared" si="32"/>
        <v>0</v>
      </c>
      <c r="CB126" s="5">
        <f t="shared" si="33"/>
        <v>0</v>
      </c>
      <c r="CC126" s="5">
        <f t="shared" si="34"/>
        <v>0</v>
      </c>
      <c r="CD126" s="5">
        <f t="shared" si="35"/>
        <v>0</v>
      </c>
      <c r="CE126" s="5">
        <f t="shared" si="36"/>
        <v>0</v>
      </c>
      <c r="CF126" s="5">
        <f t="shared" si="37"/>
        <v>0</v>
      </c>
      <c r="CG126" s="5">
        <f t="shared" si="38"/>
        <v>0</v>
      </c>
      <c r="CH126" s="5">
        <f t="shared" si="39"/>
        <v>0</v>
      </c>
      <c r="CI126" s="5">
        <f t="shared" si="40"/>
        <v>0</v>
      </c>
      <c r="CJ126" s="5">
        <f t="shared" si="41"/>
        <v>0</v>
      </c>
      <c r="CK126" s="5">
        <f t="shared" si="42"/>
        <v>0</v>
      </c>
      <c r="CL126" s="5">
        <f t="shared" si="43"/>
        <v>0</v>
      </c>
      <c r="CM126" s="5">
        <f t="shared" si="44"/>
        <v>0</v>
      </c>
      <c r="CN126" s="5">
        <f t="shared" si="45"/>
        <v>0</v>
      </c>
      <c r="CO126" s="5">
        <f t="shared" si="46"/>
        <v>0</v>
      </c>
      <c r="CP126" s="6">
        <f t="shared" si="47"/>
        <v>0</v>
      </c>
      <c r="CQ126" s="6">
        <f t="shared" si="48"/>
        <v>0</v>
      </c>
      <c r="CR126" s="6">
        <f t="shared" si="49"/>
        <v>0</v>
      </c>
      <c r="CS126" s="6">
        <f t="shared" si="50"/>
        <v>0</v>
      </c>
      <c r="CT126" s="6">
        <f t="shared" si="584"/>
        <v>0</v>
      </c>
      <c r="CU126" s="6">
        <f t="shared" si="52"/>
        <v>0</v>
      </c>
      <c r="CV126" s="6">
        <f t="shared" si="53"/>
        <v>0</v>
      </c>
      <c r="CW126" s="6">
        <f t="shared" si="54"/>
        <v>0</v>
      </c>
      <c r="CX126" s="6">
        <f t="shared" si="55"/>
        <v>0</v>
      </c>
      <c r="CY126" s="6">
        <f t="shared" si="56"/>
        <v>0</v>
      </c>
      <c r="CZ126" s="6">
        <f t="shared" si="57"/>
        <v>0</v>
      </c>
      <c r="DA126" s="6">
        <f t="shared" si="58"/>
        <v>0</v>
      </c>
      <c r="DB126" s="6">
        <f t="shared" si="59"/>
        <v>0</v>
      </c>
      <c r="DC126" s="6">
        <f t="shared" si="60"/>
        <v>0</v>
      </c>
      <c r="DD126" s="6">
        <f t="shared" si="61"/>
        <v>0</v>
      </c>
      <c r="DE126" s="6">
        <f t="shared" si="62"/>
        <v>0</v>
      </c>
      <c r="DF126" s="6">
        <f t="shared" si="63"/>
        <v>0</v>
      </c>
      <c r="DG126" s="6">
        <f t="shared" si="64"/>
        <v>0</v>
      </c>
      <c r="DH126" s="6">
        <f t="shared" si="579"/>
        <v>0</v>
      </c>
      <c r="DI126" s="6">
        <f t="shared" si="66"/>
        <v>0</v>
      </c>
      <c r="DJ126" s="6">
        <f t="shared" si="574"/>
        <v>0</v>
      </c>
      <c r="DK126" s="7">
        <f t="shared" si="68"/>
        <v>0</v>
      </c>
      <c r="DL126" s="7">
        <f t="shared" si="498"/>
        <v>0</v>
      </c>
      <c r="DM126" s="7">
        <f t="shared" si="70"/>
        <v>0</v>
      </c>
      <c r="DN126" s="7">
        <f t="shared" si="71"/>
        <v>0</v>
      </c>
      <c r="DO126" s="7">
        <f t="shared" si="72"/>
        <v>1</v>
      </c>
      <c r="DP126" s="8">
        <f t="shared" si="73"/>
        <v>0</v>
      </c>
      <c r="DQ126" s="8">
        <f t="shared" si="74"/>
        <v>0</v>
      </c>
      <c r="DR126" s="7">
        <f t="shared" si="75"/>
        <v>0</v>
      </c>
      <c r="DS126" s="7">
        <f t="shared" si="76"/>
        <v>0</v>
      </c>
      <c r="DT126" s="7">
        <f t="shared" si="77"/>
        <v>0</v>
      </c>
      <c r="DU126" s="9">
        <f t="shared" si="78"/>
        <v>0</v>
      </c>
      <c r="DV126" s="9">
        <f t="shared" si="79"/>
        <v>0</v>
      </c>
      <c r="DW126" s="9">
        <f t="shared" si="80"/>
        <v>0</v>
      </c>
      <c r="DX126" s="9">
        <f t="shared" si="81"/>
        <v>0</v>
      </c>
      <c r="DY126" s="9">
        <f t="shared" si="82"/>
        <v>0</v>
      </c>
      <c r="DZ126" s="9">
        <f t="shared" si="83"/>
        <v>0</v>
      </c>
      <c r="EA126" s="9">
        <f t="shared" si="84"/>
        <v>0</v>
      </c>
      <c r="EB126" s="9">
        <f t="shared" si="85"/>
        <v>0</v>
      </c>
      <c r="EC126" s="9">
        <f t="shared" si="86"/>
        <v>0</v>
      </c>
      <c r="ED126" s="9">
        <f t="shared" si="87"/>
        <v>0</v>
      </c>
      <c r="EE126" s="9">
        <f t="shared" si="88"/>
        <v>0</v>
      </c>
      <c r="EF126" s="9">
        <f t="shared" si="89"/>
        <v>0</v>
      </c>
      <c r="EG126" s="9">
        <f t="shared" si="90"/>
        <v>0</v>
      </c>
      <c r="EH126" s="9">
        <f t="shared" si="91"/>
        <v>0</v>
      </c>
      <c r="EI126" s="9">
        <f t="shared" si="92"/>
        <v>0</v>
      </c>
      <c r="EJ126" s="10">
        <f t="shared" si="93"/>
        <v>0</v>
      </c>
      <c r="EK126" s="10">
        <f t="shared" si="94"/>
        <v>0</v>
      </c>
      <c r="EL126" s="10">
        <f t="shared" ref="EL126:EM126" si="599">IF(OR(ISNUMBER(SEARCH("ai software toolkit", $D126)), ISNUMBER(SEARCH("ai software toolkit", $T126)), ISNUMBER(SEARCH("ai software toolkit", $R126)), ISNUMBER(SEARCH("ai software toolkit", $S126))), 1, 0)</f>
        <v>0</v>
      </c>
      <c r="EM126" s="10">
        <f t="shared" si="599"/>
        <v>0</v>
      </c>
      <c r="EN126" s="10">
        <f t="shared" si="96"/>
        <v>0</v>
      </c>
      <c r="EO126" s="10">
        <f t="shared" si="97"/>
        <v>0</v>
      </c>
      <c r="EP126" s="10">
        <f t="shared" si="98"/>
        <v>0</v>
      </c>
      <c r="EQ126" s="10">
        <f t="shared" si="99"/>
        <v>0</v>
      </c>
      <c r="ER126" s="10">
        <f t="shared" si="100"/>
        <v>0</v>
      </c>
      <c r="ES126" s="10">
        <f t="shared" si="101"/>
        <v>0</v>
      </c>
      <c r="ET126" s="10">
        <f t="shared" si="102"/>
        <v>0</v>
      </c>
      <c r="EU126" s="10">
        <f t="shared" si="103"/>
        <v>0</v>
      </c>
      <c r="EV126" s="10">
        <f t="shared" si="104"/>
        <v>0</v>
      </c>
      <c r="EW126" s="10">
        <f t="shared" si="105"/>
        <v>0</v>
      </c>
      <c r="EX126" s="10">
        <f t="shared" si="106"/>
        <v>0</v>
      </c>
      <c r="EY126" s="10">
        <f t="shared" si="107"/>
        <v>0</v>
      </c>
      <c r="EZ126" s="10">
        <f t="shared" si="108"/>
        <v>0</v>
      </c>
      <c r="FA126" s="10">
        <f t="shared" si="109"/>
        <v>0</v>
      </c>
      <c r="FB126" s="10">
        <f t="shared" si="110"/>
        <v>0</v>
      </c>
      <c r="FC126" s="10">
        <f t="shared" si="111"/>
        <v>0</v>
      </c>
      <c r="FD126" s="10">
        <f t="shared" si="112"/>
        <v>0</v>
      </c>
      <c r="FE126" s="10">
        <f t="shared" si="113"/>
        <v>0</v>
      </c>
      <c r="FF126" s="10">
        <f t="shared" si="114"/>
        <v>0</v>
      </c>
      <c r="FG126" s="10">
        <f t="shared" si="115"/>
        <v>0</v>
      </c>
      <c r="FH126" s="10">
        <f t="shared" si="116"/>
        <v>0</v>
      </c>
      <c r="FI126" s="10">
        <f t="shared" si="117"/>
        <v>0</v>
      </c>
      <c r="FJ126" s="10">
        <f t="shared" si="118"/>
        <v>0</v>
      </c>
      <c r="FK126" s="10">
        <f t="shared" si="119"/>
        <v>0</v>
      </c>
      <c r="FL126" s="10">
        <f t="shared" si="120"/>
        <v>0</v>
      </c>
      <c r="FM126" s="10">
        <f t="shared" si="121"/>
        <v>0</v>
      </c>
      <c r="FN126" s="10">
        <f t="shared" si="122"/>
        <v>0</v>
      </c>
      <c r="FO126" s="10">
        <f t="shared" si="123"/>
        <v>0</v>
      </c>
      <c r="FP126" s="10">
        <f t="shared" si="124"/>
        <v>0</v>
      </c>
      <c r="FQ126" s="10">
        <f t="shared" si="125"/>
        <v>0</v>
      </c>
      <c r="FR126" s="11">
        <f t="shared" si="543"/>
        <v>0</v>
      </c>
      <c r="FS126" s="11">
        <f t="shared" si="127"/>
        <v>0</v>
      </c>
      <c r="FT126" s="11">
        <f t="shared" si="128"/>
        <v>0</v>
      </c>
      <c r="FU126" s="11">
        <f t="shared" si="129"/>
        <v>0</v>
      </c>
      <c r="FV126" s="11">
        <f t="shared" si="130"/>
        <v>0</v>
      </c>
      <c r="FW126" s="11">
        <f t="shared" si="131"/>
        <v>0</v>
      </c>
      <c r="FX126" s="11">
        <f t="shared" si="132"/>
        <v>0</v>
      </c>
      <c r="FY126" s="11">
        <f t="shared" si="133"/>
        <v>0</v>
      </c>
      <c r="FZ126" s="11">
        <f t="shared" si="134"/>
        <v>0</v>
      </c>
      <c r="GA126" s="11">
        <f t="shared" si="135"/>
        <v>0</v>
      </c>
      <c r="GB126" s="11">
        <f t="shared" si="136"/>
        <v>0</v>
      </c>
      <c r="GC126" s="11">
        <f t="shared" si="137"/>
        <v>0</v>
      </c>
      <c r="GD126" s="11">
        <f t="shared" si="138"/>
        <v>0</v>
      </c>
      <c r="GE126" s="11">
        <f t="shared" si="139"/>
        <v>0</v>
      </c>
      <c r="GF126" s="11">
        <f t="shared" si="140"/>
        <v>0</v>
      </c>
      <c r="GG126" s="11">
        <f t="shared" si="141"/>
        <v>0</v>
      </c>
      <c r="GH126" s="11">
        <f t="shared" si="142"/>
        <v>0</v>
      </c>
      <c r="GI126" s="11">
        <f t="shared" si="143"/>
        <v>0</v>
      </c>
      <c r="GJ126" s="11">
        <f t="shared" si="144"/>
        <v>0</v>
      </c>
      <c r="GK126" s="11">
        <f t="shared" si="145"/>
        <v>0</v>
      </c>
      <c r="GL126" s="11">
        <f t="shared" si="146"/>
        <v>0</v>
      </c>
      <c r="GM126" s="11">
        <f t="shared" si="147"/>
        <v>0</v>
      </c>
      <c r="GN126" s="11">
        <f t="shared" si="148"/>
        <v>0</v>
      </c>
      <c r="GO126" s="11">
        <f t="shared" si="149"/>
        <v>0</v>
      </c>
      <c r="GP126" s="11">
        <f t="shared" si="150"/>
        <v>0</v>
      </c>
      <c r="GQ126" s="11">
        <f t="shared" si="151"/>
        <v>0</v>
      </c>
      <c r="GR126" s="11">
        <f t="shared" si="152"/>
        <v>0</v>
      </c>
      <c r="GS126" s="11">
        <f t="shared" si="153"/>
        <v>0</v>
      </c>
      <c r="GT126" s="11">
        <f t="shared" si="154"/>
        <v>0</v>
      </c>
      <c r="GU126" s="12">
        <f t="shared" si="155"/>
        <v>0</v>
      </c>
      <c r="GV126" s="12">
        <f t="shared" si="156"/>
        <v>0</v>
      </c>
      <c r="GW126" s="12">
        <f t="shared" si="157"/>
        <v>0</v>
      </c>
      <c r="GX126" s="12">
        <f t="shared" si="158"/>
        <v>0</v>
      </c>
      <c r="GY126" s="12">
        <f t="shared" si="159"/>
        <v>0</v>
      </c>
      <c r="GZ126" s="12">
        <f t="shared" si="160"/>
        <v>0</v>
      </c>
      <c r="HA126" s="12">
        <f t="shared" si="161"/>
        <v>0</v>
      </c>
      <c r="HB126" s="12">
        <f t="shared" si="162"/>
        <v>0</v>
      </c>
      <c r="HC126" s="12">
        <f t="shared" si="163"/>
        <v>0</v>
      </c>
      <c r="HD126" s="12">
        <f t="shared" si="164"/>
        <v>0</v>
      </c>
      <c r="HE126" s="12">
        <f t="shared" si="165"/>
        <v>0</v>
      </c>
      <c r="HF126" s="12">
        <f t="shared" si="166"/>
        <v>0</v>
      </c>
      <c r="HG126" s="12">
        <f t="shared" si="167"/>
        <v>0</v>
      </c>
      <c r="HH126" s="12">
        <f t="shared" si="168"/>
        <v>0</v>
      </c>
      <c r="HI126" s="12">
        <f t="shared" si="169"/>
        <v>0</v>
      </c>
      <c r="HJ126" s="12">
        <f t="shared" si="170"/>
        <v>0</v>
      </c>
      <c r="HK126" s="12">
        <f t="shared" si="171"/>
        <v>0</v>
      </c>
      <c r="HL126" s="12">
        <f t="shared" si="172"/>
        <v>0</v>
      </c>
      <c r="HM126" s="12">
        <f t="shared" si="173"/>
        <v>0</v>
      </c>
      <c r="HN126" s="12">
        <f t="shared" si="174"/>
        <v>0</v>
      </c>
      <c r="HO126" s="12">
        <f t="shared" si="175"/>
        <v>0</v>
      </c>
      <c r="HP126" s="12">
        <f t="shared" si="176"/>
        <v>0</v>
      </c>
      <c r="HQ126" s="12">
        <f t="shared" si="177"/>
        <v>0</v>
      </c>
      <c r="HR126" s="12">
        <f t="shared" si="178"/>
        <v>0</v>
      </c>
      <c r="HS126" s="12">
        <f t="shared" si="179"/>
        <v>0</v>
      </c>
      <c r="HT126" s="12">
        <f t="shared" si="180"/>
        <v>0</v>
      </c>
      <c r="HU126" s="12">
        <f t="shared" si="181"/>
        <v>0</v>
      </c>
      <c r="HV126" s="12">
        <f t="shared" si="182"/>
        <v>1</v>
      </c>
      <c r="HW126" s="12">
        <f t="shared" si="183"/>
        <v>0</v>
      </c>
      <c r="HX126" s="12">
        <f t="shared" si="184"/>
        <v>0</v>
      </c>
      <c r="HY126" s="12">
        <f t="shared" si="185"/>
        <v>0</v>
      </c>
      <c r="HZ126" s="12">
        <f t="shared" si="186"/>
        <v>0</v>
      </c>
      <c r="IA126" s="12">
        <f t="shared" si="187"/>
        <v>0</v>
      </c>
      <c r="IB126" s="12">
        <f t="shared" si="188"/>
        <v>0</v>
      </c>
      <c r="IC126" s="12">
        <f t="shared" si="189"/>
        <v>0</v>
      </c>
      <c r="ID126" s="12">
        <f t="shared" si="190"/>
        <v>0</v>
      </c>
      <c r="IE126" s="12">
        <f t="shared" si="191"/>
        <v>0</v>
      </c>
      <c r="IF126" s="12">
        <f t="shared" si="192"/>
        <v>0</v>
      </c>
      <c r="IG126" s="12">
        <f t="shared" si="193"/>
        <v>0</v>
      </c>
      <c r="IH126" s="12">
        <f t="shared" si="194"/>
        <v>0</v>
      </c>
      <c r="II126" s="12">
        <f t="shared" si="195"/>
        <v>0</v>
      </c>
      <c r="IJ126" s="12">
        <f t="shared" si="196"/>
        <v>0</v>
      </c>
      <c r="IK126" s="12">
        <f t="shared" si="197"/>
        <v>0</v>
      </c>
      <c r="IL126" s="12">
        <f t="shared" si="198"/>
        <v>0</v>
      </c>
      <c r="IM126" s="12">
        <f t="shared" si="199"/>
        <v>0</v>
      </c>
      <c r="IN126" s="12">
        <f t="shared" si="200"/>
        <v>0</v>
      </c>
      <c r="IO126" s="12">
        <f t="shared" si="201"/>
        <v>0</v>
      </c>
      <c r="IP126" s="12">
        <f t="shared" si="202"/>
        <v>0</v>
      </c>
      <c r="IQ126" s="12">
        <f t="shared" si="203"/>
        <v>0</v>
      </c>
      <c r="IR126" s="12">
        <f t="shared" si="204"/>
        <v>0</v>
      </c>
      <c r="IS126" s="12">
        <f t="shared" si="205"/>
        <v>0</v>
      </c>
      <c r="IT126" s="12">
        <f t="shared" si="206"/>
        <v>0</v>
      </c>
      <c r="IU126" s="12">
        <f t="shared" si="207"/>
        <v>0</v>
      </c>
      <c r="IV126" s="12">
        <f t="shared" si="208"/>
        <v>0</v>
      </c>
      <c r="IW126" s="12">
        <f t="shared" si="209"/>
        <v>0</v>
      </c>
      <c r="IX126" s="12">
        <f t="shared" si="210"/>
        <v>0</v>
      </c>
      <c r="IY126" s="12">
        <f t="shared" si="211"/>
        <v>0</v>
      </c>
      <c r="IZ126" s="12">
        <f t="shared" si="212"/>
        <v>0</v>
      </c>
      <c r="JA126" s="13">
        <f t="shared" si="213"/>
        <v>0</v>
      </c>
      <c r="JB126" s="13">
        <f t="shared" si="214"/>
        <v>0</v>
      </c>
      <c r="JC126" s="13">
        <f t="shared" si="215"/>
        <v>0</v>
      </c>
      <c r="JD126" s="13">
        <f t="shared" si="216"/>
        <v>0</v>
      </c>
      <c r="JE126" s="13">
        <f t="shared" si="217"/>
        <v>0</v>
      </c>
      <c r="JF126" s="13">
        <f t="shared" si="218"/>
        <v>0</v>
      </c>
      <c r="JG126" s="13">
        <f t="shared" si="219"/>
        <v>0</v>
      </c>
      <c r="JH126" s="13">
        <f t="shared" si="220"/>
        <v>0</v>
      </c>
      <c r="JI126" s="13">
        <f t="shared" si="221"/>
        <v>0</v>
      </c>
      <c r="JJ126" s="13">
        <f t="shared" si="222"/>
        <v>0</v>
      </c>
      <c r="JK126" s="13">
        <f t="shared" si="223"/>
        <v>0</v>
      </c>
      <c r="JL126" s="13">
        <f t="shared" si="224"/>
        <v>0</v>
      </c>
      <c r="JM126" s="13">
        <f t="shared" si="225"/>
        <v>0</v>
      </c>
      <c r="JN126" s="13">
        <f t="shared" si="226"/>
        <v>0</v>
      </c>
      <c r="JO126" s="13">
        <f t="shared" si="227"/>
        <v>0</v>
      </c>
      <c r="JP126" s="13">
        <f t="shared" si="228"/>
        <v>0</v>
      </c>
      <c r="JQ126" s="13">
        <f t="shared" si="229"/>
        <v>0</v>
      </c>
      <c r="JR126" s="13">
        <f t="shared" si="230"/>
        <v>0</v>
      </c>
      <c r="JS126" s="13">
        <f t="shared" si="231"/>
        <v>0</v>
      </c>
      <c r="JT126" s="13">
        <f t="shared" si="232"/>
        <v>0</v>
      </c>
      <c r="JU126" s="13">
        <f t="shared" si="233"/>
        <v>0</v>
      </c>
      <c r="JV126" s="12">
        <f t="shared" si="234"/>
        <v>0</v>
      </c>
      <c r="JW126" s="12">
        <f t="shared" si="235"/>
        <v>0</v>
      </c>
      <c r="JX126" s="12">
        <f t="shared" si="236"/>
        <v>0</v>
      </c>
      <c r="JY126" s="12">
        <f t="shared" si="237"/>
        <v>0</v>
      </c>
      <c r="JZ126" s="12">
        <f t="shared" si="238"/>
        <v>0</v>
      </c>
      <c r="KA126" s="12">
        <f t="shared" si="239"/>
        <v>0</v>
      </c>
      <c r="KB126" s="12">
        <f t="shared" si="240"/>
        <v>0</v>
      </c>
      <c r="KC126" s="12">
        <f t="shared" si="241"/>
        <v>0</v>
      </c>
      <c r="KD126" s="12">
        <f t="shared" si="242"/>
        <v>0</v>
      </c>
      <c r="KE126" s="12">
        <f t="shared" si="243"/>
        <v>0</v>
      </c>
      <c r="KF126" s="12">
        <f t="shared" si="244"/>
        <v>0</v>
      </c>
      <c r="KG126" s="12">
        <f t="shared" si="245"/>
        <v>0</v>
      </c>
      <c r="KH126" s="12">
        <f t="shared" si="246"/>
        <v>0</v>
      </c>
      <c r="KI126" s="12">
        <f t="shared" si="247"/>
        <v>0</v>
      </c>
      <c r="KJ126" s="12">
        <f t="shared" si="248"/>
        <v>0</v>
      </c>
      <c r="KK126" s="12">
        <f t="shared" si="249"/>
        <v>0</v>
      </c>
      <c r="KL126" s="12">
        <f t="shared" si="250"/>
        <v>0</v>
      </c>
      <c r="KM126" s="12">
        <f t="shared" si="251"/>
        <v>0</v>
      </c>
      <c r="KN126" s="12">
        <f t="shared" si="252"/>
        <v>0</v>
      </c>
      <c r="KO126" s="12">
        <f t="shared" si="253"/>
        <v>0</v>
      </c>
      <c r="KP126" s="12">
        <f t="shared" si="254"/>
        <v>0</v>
      </c>
      <c r="KQ126" s="12">
        <f t="shared" si="255"/>
        <v>0</v>
      </c>
      <c r="KR126" s="12">
        <f t="shared" si="256"/>
        <v>0</v>
      </c>
      <c r="KS126" s="12">
        <f t="shared" si="257"/>
        <v>0</v>
      </c>
      <c r="KT126" s="12">
        <f t="shared" si="258"/>
        <v>0</v>
      </c>
      <c r="KU126" s="12">
        <f t="shared" si="259"/>
        <v>0</v>
      </c>
      <c r="KV126" s="12">
        <f t="shared" si="260"/>
        <v>0</v>
      </c>
      <c r="KW126" s="12">
        <f t="shared" si="261"/>
        <v>0</v>
      </c>
      <c r="KX126" s="12">
        <f t="shared" si="262"/>
        <v>0</v>
      </c>
      <c r="KY126" s="12">
        <f t="shared" si="263"/>
        <v>0</v>
      </c>
      <c r="KZ126" s="12">
        <f t="shared" si="264"/>
        <v>0</v>
      </c>
      <c r="LA126" s="12">
        <f t="shared" si="265"/>
        <v>0</v>
      </c>
      <c r="LB126" s="12">
        <f t="shared" si="266"/>
        <v>0</v>
      </c>
      <c r="LC126" s="12">
        <f t="shared" si="267"/>
        <v>0</v>
      </c>
      <c r="LD126" s="12">
        <f t="shared" si="268"/>
        <v>0</v>
      </c>
      <c r="LE126" s="12">
        <f t="shared" si="269"/>
        <v>0</v>
      </c>
      <c r="LF126" s="12">
        <f t="shared" si="270"/>
        <v>0</v>
      </c>
      <c r="LG126" s="12">
        <f t="shared" si="271"/>
        <v>0</v>
      </c>
      <c r="LH126" s="12">
        <f t="shared" si="272"/>
        <v>0</v>
      </c>
      <c r="LI126" s="12">
        <f t="shared" si="273"/>
        <v>0</v>
      </c>
      <c r="LJ126" s="12">
        <f t="shared" si="274"/>
        <v>0</v>
      </c>
      <c r="LK126" s="12">
        <f t="shared" si="275"/>
        <v>0</v>
      </c>
      <c r="LL126" s="12">
        <f t="shared" si="276"/>
        <v>0</v>
      </c>
      <c r="LM126" s="12">
        <f t="shared" si="277"/>
        <v>0</v>
      </c>
      <c r="LN126" s="12">
        <f t="shared" si="278"/>
        <v>0</v>
      </c>
      <c r="LO126" s="12">
        <f t="shared" si="279"/>
        <v>0</v>
      </c>
      <c r="LP126" s="12">
        <f t="shared" si="280"/>
        <v>0</v>
      </c>
      <c r="LQ126" s="12">
        <f t="shared" si="281"/>
        <v>0</v>
      </c>
      <c r="LR126" s="12">
        <f t="shared" si="282"/>
        <v>0</v>
      </c>
      <c r="LS126" s="12">
        <f t="shared" si="283"/>
        <v>0</v>
      </c>
      <c r="LT126" s="13">
        <f t="shared" si="284"/>
        <v>0</v>
      </c>
      <c r="LU126" s="13">
        <f t="shared" si="285"/>
        <v>0</v>
      </c>
      <c r="LV126" s="13">
        <f t="shared" si="286"/>
        <v>0</v>
      </c>
      <c r="LW126" s="13">
        <f t="shared" si="287"/>
        <v>0</v>
      </c>
      <c r="LX126" s="13">
        <f t="shared" si="288"/>
        <v>0</v>
      </c>
      <c r="LY126" s="13">
        <f t="shared" si="289"/>
        <v>0</v>
      </c>
      <c r="LZ126" s="13">
        <f t="shared" si="290"/>
        <v>0</v>
      </c>
      <c r="MA126" s="13">
        <f t="shared" si="291"/>
        <v>0</v>
      </c>
      <c r="MB126" s="13">
        <f t="shared" si="292"/>
        <v>0</v>
      </c>
      <c r="MC126" s="13">
        <f t="shared" si="293"/>
        <v>0</v>
      </c>
      <c r="MD126" s="13">
        <f t="shared" si="294"/>
        <v>0</v>
      </c>
      <c r="ME126" s="13">
        <f t="shared" si="295"/>
        <v>0</v>
      </c>
      <c r="MF126" s="13">
        <f t="shared" si="296"/>
        <v>0</v>
      </c>
      <c r="MG126" s="13">
        <f t="shared" si="297"/>
        <v>0</v>
      </c>
      <c r="MH126" s="13">
        <f t="shared" si="298"/>
        <v>0</v>
      </c>
      <c r="MI126" s="13">
        <f t="shared" si="299"/>
        <v>0</v>
      </c>
      <c r="MJ126" s="13">
        <f t="shared" si="300"/>
        <v>0</v>
      </c>
      <c r="MK126" s="13">
        <f t="shared" si="301"/>
        <v>0</v>
      </c>
      <c r="ML126" s="14">
        <f t="shared" si="302"/>
        <v>0</v>
      </c>
      <c r="MM126" s="14">
        <f t="shared" si="303"/>
        <v>0</v>
      </c>
      <c r="MN126" s="14">
        <f t="shared" si="304"/>
        <v>0</v>
      </c>
      <c r="MO126" s="14">
        <f t="shared" si="305"/>
        <v>0</v>
      </c>
      <c r="MP126" s="14">
        <f t="shared" si="306"/>
        <v>0</v>
      </c>
      <c r="MQ126" s="14">
        <f t="shared" si="307"/>
        <v>0</v>
      </c>
      <c r="MR126" s="14">
        <f t="shared" si="308"/>
        <v>0</v>
      </c>
      <c r="MS126" s="14">
        <f t="shared" si="309"/>
        <v>0</v>
      </c>
      <c r="MT126" s="14">
        <f t="shared" si="310"/>
        <v>0</v>
      </c>
      <c r="MU126" s="14">
        <f t="shared" si="311"/>
        <v>0</v>
      </c>
      <c r="MV126" s="14">
        <f t="shared" si="312"/>
        <v>0</v>
      </c>
      <c r="MW126" s="14">
        <f t="shared" si="313"/>
        <v>0</v>
      </c>
      <c r="MX126" s="14">
        <f t="shared" si="314"/>
        <v>0</v>
      </c>
      <c r="MY126" s="14">
        <f t="shared" si="315"/>
        <v>0</v>
      </c>
      <c r="MZ126" s="14">
        <f t="shared" si="316"/>
        <v>0</v>
      </c>
      <c r="NA126" s="14">
        <f t="shared" si="317"/>
        <v>0</v>
      </c>
      <c r="NB126" s="14">
        <f t="shared" si="318"/>
        <v>0</v>
      </c>
    </row>
    <row r="127" ht="15.75" customHeight="1">
      <c r="A127" s="2">
        <v>609.0</v>
      </c>
      <c r="B127" s="2" t="s">
        <v>2519</v>
      </c>
      <c r="C127" s="2" t="s">
        <v>2520</v>
      </c>
      <c r="D127" s="2" t="s">
        <v>2521</v>
      </c>
      <c r="E127" s="2">
        <v>2022.0</v>
      </c>
      <c r="F127" s="2" t="s">
        <v>1837</v>
      </c>
      <c r="G127" s="2">
        <v>11.0</v>
      </c>
      <c r="H127" s="2" t="s">
        <v>694</v>
      </c>
      <c r="I127" s="2" t="s">
        <v>2522</v>
      </c>
      <c r="M127" s="2">
        <v>6.0</v>
      </c>
      <c r="N127" s="2" t="s">
        <v>2523</v>
      </c>
      <c r="O127" s="2" t="s">
        <v>2524</v>
      </c>
      <c r="P127" s="2" t="s">
        <v>2525</v>
      </c>
      <c r="Q127" s="2" t="s">
        <v>2526</v>
      </c>
      <c r="R127" s="2" t="s">
        <v>2527</v>
      </c>
      <c r="S127" s="2" t="s">
        <v>2528</v>
      </c>
      <c r="Y127" s="2" t="s">
        <v>2529</v>
      </c>
      <c r="AB127" s="2" t="s">
        <v>1303</v>
      </c>
      <c r="AG127" s="2" t="s">
        <v>1846</v>
      </c>
      <c r="AK127" s="2" t="s">
        <v>1837</v>
      </c>
      <c r="AL127" s="2" t="s">
        <v>384</v>
      </c>
      <c r="AM127" s="2" t="s">
        <v>1306</v>
      </c>
      <c r="AN127" s="2" t="s">
        <v>386</v>
      </c>
      <c r="AO127" s="2" t="s">
        <v>2530</v>
      </c>
      <c r="AP127" s="2" t="s">
        <v>386</v>
      </c>
      <c r="AQ127" s="2">
        <v>2376.0</v>
      </c>
      <c r="AR127" s="2" t="s">
        <v>2531</v>
      </c>
      <c r="AS127" s="2" t="b">
        <v>1</v>
      </c>
      <c r="AT127" s="3">
        <v>0.0</v>
      </c>
      <c r="AU127" s="4"/>
      <c r="AV127" s="4"/>
      <c r="AW127" s="5">
        <f t="shared" si="432"/>
        <v>0</v>
      </c>
      <c r="AX127" s="5">
        <f t="shared" si="4"/>
        <v>0</v>
      </c>
      <c r="AY127" s="5">
        <f t="shared" si="5"/>
        <v>0</v>
      </c>
      <c r="AZ127" s="5">
        <f t="shared" si="6"/>
        <v>0</v>
      </c>
      <c r="BA127" s="5">
        <f t="shared" si="7"/>
        <v>0</v>
      </c>
      <c r="BB127" s="5">
        <f t="shared" si="8"/>
        <v>0</v>
      </c>
      <c r="BC127" s="5">
        <f t="shared" si="9"/>
        <v>0</v>
      </c>
      <c r="BD127" s="5">
        <f t="shared" si="10"/>
        <v>0</v>
      </c>
      <c r="BE127" s="5">
        <f t="shared" si="11"/>
        <v>0</v>
      </c>
      <c r="BF127" s="5">
        <f t="shared" si="12"/>
        <v>0</v>
      </c>
      <c r="BG127" s="5">
        <f t="shared" si="13"/>
        <v>0</v>
      </c>
      <c r="BH127" s="5">
        <f t="shared" si="14"/>
        <v>0</v>
      </c>
      <c r="BI127" s="5">
        <f t="shared" si="15"/>
        <v>0</v>
      </c>
      <c r="BJ127" s="5">
        <f t="shared" si="16"/>
        <v>0</v>
      </c>
      <c r="BK127" s="5">
        <f t="shared" si="17"/>
        <v>0</v>
      </c>
      <c r="BL127" s="5">
        <f t="shared" si="18"/>
        <v>0</v>
      </c>
      <c r="BM127" s="5">
        <f t="shared" si="19"/>
        <v>0</v>
      </c>
      <c r="BN127" s="5">
        <f t="shared" si="20"/>
        <v>0</v>
      </c>
      <c r="BO127" s="5">
        <f t="shared" si="21"/>
        <v>0</v>
      </c>
      <c r="BP127" s="5">
        <f t="shared" si="22"/>
        <v>0</v>
      </c>
      <c r="BQ127" s="5">
        <f t="shared" si="23"/>
        <v>0</v>
      </c>
      <c r="BR127" s="5">
        <f t="shared" si="24"/>
        <v>0</v>
      </c>
      <c r="BS127" s="5">
        <f t="shared" si="25"/>
        <v>1</v>
      </c>
      <c r="BT127" s="5">
        <f t="shared" si="26"/>
        <v>0</v>
      </c>
      <c r="BU127" s="5">
        <f t="shared" si="27"/>
        <v>0</v>
      </c>
      <c r="BV127" s="5">
        <f t="shared" ref="BV127:BW127" si="600">IF(OR(ISNUMBER(SEARCH("grit",$D127)),ISNUMBER(SEARCH("grit",$T127)),ISNUMBER(SEARCH("grit",$R127)),ISNUMBER(SEARCH("grit",$S127)),
ISNUMBER(SEARCH("determination",$D127)),ISNUMBER(SEARCH("determination",$T127)),ISNUMBER(SEARCH("determination",$R127)),ISNUMBER(SEARCH("determination",$S127)),
ISNUMBER(SEARCH("tenacity",$D127)),ISNUMBER(SEARCH("tenacity",$T127)),ISNUMBER(SEARCH("tenacity",$R127)),ISNUMBER(SEARCH("tenacity",$S127)),
ISNUMBER(SEARCH("endurance",$D127)),ISNUMBER(SEARCH("endurance",$T127)),ISNUMBER(SEARCH("endurance",$R127)),ISNUMBER(SEARCH("endurance",$S127)),
ISNUMBER(SEARCH("fortitude",$D127)),ISNUMBER(SEARCH("fortitude",$T127)),ISNUMBER(SEARCH("fortitude",$R127)),ISNUMBER(SEARCH("fortitude",$S127)),
ISNUMBER(SEARCH("resolve",$D127)),ISNUMBER(SEARCH("resolve",$T127)),ISNUMBER(SEARCH("resolve",$R127)),ISNUMBER(SEARCH("resolve",$S127)),
ISNUMBER(SEARCH("stamina",$D127)),ISNUMBER(SEARCH("stamina",$T127)),ISNUMBER(SEARCH("stamina",$R127)),ISNUMBER(SEARCH("stamina",$S127)),
ISNUMBER(SEARCH("guts",$D127)),ISNUMBER(SEARCH("guts",$T127)),ISNUMBER(SEARCH("guts",$R127)),ISNUMBER(SEARCH("guts",$S127)),
ISNUMBER(SEARCH("spunk",$D127)),ISNUMBER(SEARCH("spunk",$T127)),ISNUMBER(SEARCH("spunk",$R127)),ISNUMBER(SEARCH("spunk",$S127))), 1, 0)</f>
        <v>0</v>
      </c>
      <c r="BW127" s="5">
        <f t="shared" si="600"/>
        <v>0</v>
      </c>
      <c r="BX127" s="5">
        <f t="shared" si="29"/>
        <v>0</v>
      </c>
      <c r="BY127" s="5">
        <f t="shared" si="30"/>
        <v>0</v>
      </c>
      <c r="BZ127" s="5">
        <f t="shared" si="31"/>
        <v>0</v>
      </c>
      <c r="CA127" s="5">
        <f t="shared" si="32"/>
        <v>0</v>
      </c>
      <c r="CB127" s="5">
        <f t="shared" si="33"/>
        <v>0</v>
      </c>
      <c r="CC127" s="5">
        <f t="shared" si="34"/>
        <v>0</v>
      </c>
      <c r="CD127" s="5">
        <f t="shared" si="35"/>
        <v>0</v>
      </c>
      <c r="CE127" s="5">
        <f t="shared" si="36"/>
        <v>0</v>
      </c>
      <c r="CF127" s="5">
        <f t="shared" si="37"/>
        <v>0</v>
      </c>
      <c r="CG127" s="5">
        <f t="shared" si="38"/>
        <v>0</v>
      </c>
      <c r="CH127" s="5">
        <f t="shared" si="39"/>
        <v>0</v>
      </c>
      <c r="CI127" s="5">
        <f t="shared" si="40"/>
        <v>0</v>
      </c>
      <c r="CJ127" s="5">
        <f t="shared" si="41"/>
        <v>0</v>
      </c>
      <c r="CK127" s="5">
        <f t="shared" si="42"/>
        <v>0</v>
      </c>
      <c r="CL127" s="5">
        <f t="shared" si="43"/>
        <v>0</v>
      </c>
      <c r="CM127" s="5">
        <f t="shared" si="44"/>
        <v>0</v>
      </c>
      <c r="CN127" s="5">
        <f t="shared" si="45"/>
        <v>0</v>
      </c>
      <c r="CO127" s="5">
        <f t="shared" si="46"/>
        <v>0</v>
      </c>
      <c r="CP127" s="6">
        <f t="shared" si="47"/>
        <v>0</v>
      </c>
      <c r="CQ127" s="6">
        <f t="shared" si="48"/>
        <v>0</v>
      </c>
      <c r="CR127" s="6">
        <f t="shared" si="49"/>
        <v>0</v>
      </c>
      <c r="CS127" s="6">
        <f t="shared" si="50"/>
        <v>0</v>
      </c>
      <c r="CT127" s="6">
        <f t="shared" si="584"/>
        <v>0</v>
      </c>
      <c r="CU127" s="6">
        <f t="shared" si="52"/>
        <v>0</v>
      </c>
      <c r="CV127" s="6">
        <f t="shared" si="53"/>
        <v>0</v>
      </c>
      <c r="CW127" s="6">
        <f t="shared" si="54"/>
        <v>0</v>
      </c>
      <c r="CX127" s="6">
        <f t="shared" si="55"/>
        <v>0</v>
      </c>
      <c r="CY127" s="6">
        <f t="shared" si="56"/>
        <v>1</v>
      </c>
      <c r="CZ127" s="6">
        <f t="shared" si="57"/>
        <v>0</v>
      </c>
      <c r="DA127" s="6">
        <f t="shared" si="58"/>
        <v>0</v>
      </c>
      <c r="DB127" s="6">
        <f t="shared" si="59"/>
        <v>0</v>
      </c>
      <c r="DC127" s="6">
        <f t="shared" si="60"/>
        <v>0</v>
      </c>
      <c r="DD127" s="6">
        <f t="shared" si="61"/>
        <v>0</v>
      </c>
      <c r="DE127" s="6">
        <f t="shared" si="62"/>
        <v>0</v>
      </c>
      <c r="DF127" s="6">
        <f t="shared" si="63"/>
        <v>0</v>
      </c>
      <c r="DG127" s="6">
        <f t="shared" si="64"/>
        <v>0</v>
      </c>
      <c r="DH127" s="6">
        <f t="shared" si="579"/>
        <v>0</v>
      </c>
      <c r="DI127" s="6">
        <f t="shared" si="66"/>
        <v>0</v>
      </c>
      <c r="DJ127" s="6">
        <f t="shared" si="574"/>
        <v>0</v>
      </c>
      <c r="DK127" s="7">
        <f t="shared" si="68"/>
        <v>0</v>
      </c>
      <c r="DL127" s="7">
        <f t="shared" si="498"/>
        <v>0</v>
      </c>
      <c r="DM127" s="7">
        <f t="shared" si="70"/>
        <v>0</v>
      </c>
      <c r="DN127" s="7">
        <f t="shared" si="71"/>
        <v>0</v>
      </c>
      <c r="DO127" s="7">
        <f t="shared" si="72"/>
        <v>1</v>
      </c>
      <c r="DP127" s="8">
        <f t="shared" si="73"/>
        <v>0</v>
      </c>
      <c r="DQ127" s="8">
        <f t="shared" si="74"/>
        <v>1</v>
      </c>
      <c r="DR127" s="7">
        <f t="shared" si="75"/>
        <v>0</v>
      </c>
      <c r="DS127" s="7">
        <f t="shared" si="76"/>
        <v>0</v>
      </c>
      <c r="DT127" s="7">
        <f t="shared" si="77"/>
        <v>0</v>
      </c>
      <c r="DU127" s="9">
        <f t="shared" si="78"/>
        <v>0</v>
      </c>
      <c r="DV127" s="9">
        <f t="shared" si="79"/>
        <v>0</v>
      </c>
      <c r="DW127" s="9">
        <f t="shared" si="80"/>
        <v>0</v>
      </c>
      <c r="DX127" s="9">
        <f t="shared" si="81"/>
        <v>0</v>
      </c>
      <c r="DY127" s="9">
        <f t="shared" si="82"/>
        <v>0</v>
      </c>
      <c r="DZ127" s="9">
        <f t="shared" si="83"/>
        <v>0</v>
      </c>
      <c r="EA127" s="9">
        <f t="shared" si="84"/>
        <v>0</v>
      </c>
      <c r="EB127" s="9">
        <f t="shared" si="85"/>
        <v>0</v>
      </c>
      <c r="EC127" s="9">
        <f t="shared" si="86"/>
        <v>0</v>
      </c>
      <c r="ED127" s="9">
        <f t="shared" si="87"/>
        <v>0</v>
      </c>
      <c r="EE127" s="9">
        <f t="shared" si="88"/>
        <v>0</v>
      </c>
      <c r="EF127" s="9">
        <f t="shared" si="89"/>
        <v>0</v>
      </c>
      <c r="EG127" s="9">
        <f t="shared" si="90"/>
        <v>0</v>
      </c>
      <c r="EH127" s="9">
        <f t="shared" si="91"/>
        <v>0</v>
      </c>
      <c r="EI127" s="9">
        <f t="shared" si="92"/>
        <v>0</v>
      </c>
      <c r="EJ127" s="10">
        <f t="shared" si="93"/>
        <v>0</v>
      </c>
      <c r="EK127" s="10">
        <f t="shared" si="94"/>
        <v>0</v>
      </c>
      <c r="EL127" s="10">
        <f t="shared" ref="EL127:EM127" si="601">IF(OR(ISNUMBER(SEARCH("ai software toolkit", $D127)), ISNUMBER(SEARCH("ai software toolkit", $T127)), ISNUMBER(SEARCH("ai software toolkit", $R127)), ISNUMBER(SEARCH("ai software toolkit", $S127))), 1, 0)</f>
        <v>0</v>
      </c>
      <c r="EM127" s="10">
        <f t="shared" si="601"/>
        <v>0</v>
      </c>
      <c r="EN127" s="10">
        <f t="shared" si="96"/>
        <v>0</v>
      </c>
      <c r="EO127" s="10">
        <f t="shared" si="97"/>
        <v>0</v>
      </c>
      <c r="EP127" s="10">
        <f t="shared" si="98"/>
        <v>0</v>
      </c>
      <c r="EQ127" s="10">
        <f t="shared" si="99"/>
        <v>0</v>
      </c>
      <c r="ER127" s="10">
        <f t="shared" si="100"/>
        <v>0</v>
      </c>
      <c r="ES127" s="10">
        <f t="shared" si="101"/>
        <v>0</v>
      </c>
      <c r="ET127" s="10">
        <f t="shared" si="102"/>
        <v>0</v>
      </c>
      <c r="EU127" s="10">
        <f t="shared" si="103"/>
        <v>0</v>
      </c>
      <c r="EV127" s="10">
        <f t="shared" si="104"/>
        <v>0</v>
      </c>
      <c r="EW127" s="10">
        <f t="shared" si="105"/>
        <v>0</v>
      </c>
      <c r="EX127" s="10">
        <f t="shared" si="106"/>
        <v>0</v>
      </c>
      <c r="EY127" s="10">
        <f t="shared" si="107"/>
        <v>0</v>
      </c>
      <c r="EZ127" s="10">
        <f t="shared" si="108"/>
        <v>0</v>
      </c>
      <c r="FA127" s="10">
        <f t="shared" si="109"/>
        <v>0</v>
      </c>
      <c r="FB127" s="10">
        <f t="shared" si="110"/>
        <v>0</v>
      </c>
      <c r="FC127" s="10">
        <f t="shared" si="111"/>
        <v>0</v>
      </c>
      <c r="FD127" s="10">
        <f t="shared" si="112"/>
        <v>0</v>
      </c>
      <c r="FE127" s="10">
        <f t="shared" si="113"/>
        <v>0</v>
      </c>
      <c r="FF127" s="10">
        <f t="shared" si="114"/>
        <v>0</v>
      </c>
      <c r="FG127" s="10">
        <f t="shared" si="115"/>
        <v>0</v>
      </c>
      <c r="FH127" s="10">
        <f t="shared" si="116"/>
        <v>0</v>
      </c>
      <c r="FI127" s="10">
        <f t="shared" si="117"/>
        <v>0</v>
      </c>
      <c r="FJ127" s="10">
        <f t="shared" si="118"/>
        <v>0</v>
      </c>
      <c r="FK127" s="10">
        <f t="shared" si="119"/>
        <v>0</v>
      </c>
      <c r="FL127" s="10">
        <f t="shared" si="120"/>
        <v>0</v>
      </c>
      <c r="FM127" s="10">
        <f t="shared" si="121"/>
        <v>0</v>
      </c>
      <c r="FN127" s="10">
        <f t="shared" si="122"/>
        <v>0</v>
      </c>
      <c r="FO127" s="10">
        <f t="shared" si="123"/>
        <v>0</v>
      </c>
      <c r="FP127" s="10">
        <f t="shared" si="124"/>
        <v>0</v>
      </c>
      <c r="FQ127" s="10">
        <f t="shared" si="125"/>
        <v>0</v>
      </c>
      <c r="FR127" s="11">
        <f t="shared" si="543"/>
        <v>0</v>
      </c>
      <c r="FS127" s="11">
        <f t="shared" si="127"/>
        <v>0</v>
      </c>
      <c r="FT127" s="11">
        <f t="shared" si="128"/>
        <v>0</v>
      </c>
      <c r="FU127" s="11">
        <f t="shared" si="129"/>
        <v>0</v>
      </c>
      <c r="FV127" s="11">
        <f t="shared" si="130"/>
        <v>0</v>
      </c>
      <c r="FW127" s="11">
        <f t="shared" si="131"/>
        <v>0</v>
      </c>
      <c r="FX127" s="11">
        <f t="shared" si="132"/>
        <v>0</v>
      </c>
      <c r="FY127" s="11">
        <f t="shared" si="133"/>
        <v>0</v>
      </c>
      <c r="FZ127" s="11">
        <f t="shared" si="134"/>
        <v>0</v>
      </c>
      <c r="GA127" s="11">
        <f t="shared" si="135"/>
        <v>0</v>
      </c>
      <c r="GB127" s="11">
        <f t="shared" si="136"/>
        <v>0</v>
      </c>
      <c r="GC127" s="11">
        <f t="shared" si="137"/>
        <v>0</v>
      </c>
      <c r="GD127" s="11">
        <f t="shared" si="138"/>
        <v>0</v>
      </c>
      <c r="GE127" s="11">
        <f t="shared" si="139"/>
        <v>0</v>
      </c>
      <c r="GF127" s="11">
        <f t="shared" si="140"/>
        <v>0</v>
      </c>
      <c r="GG127" s="11">
        <f t="shared" si="141"/>
        <v>0</v>
      </c>
      <c r="GH127" s="11">
        <f t="shared" si="142"/>
        <v>0</v>
      </c>
      <c r="GI127" s="11">
        <f t="shared" si="143"/>
        <v>0</v>
      </c>
      <c r="GJ127" s="11">
        <f t="shared" si="144"/>
        <v>0</v>
      </c>
      <c r="GK127" s="11">
        <f t="shared" si="145"/>
        <v>0</v>
      </c>
      <c r="GL127" s="11">
        <f t="shared" si="146"/>
        <v>0</v>
      </c>
      <c r="GM127" s="11">
        <f t="shared" si="147"/>
        <v>0</v>
      </c>
      <c r="GN127" s="11">
        <f t="shared" si="148"/>
        <v>0</v>
      </c>
      <c r="GO127" s="11">
        <f t="shared" si="149"/>
        <v>0</v>
      </c>
      <c r="GP127" s="11">
        <f t="shared" si="150"/>
        <v>0</v>
      </c>
      <c r="GQ127" s="11">
        <f t="shared" si="151"/>
        <v>0</v>
      </c>
      <c r="GR127" s="11">
        <f t="shared" si="152"/>
        <v>0</v>
      </c>
      <c r="GS127" s="11">
        <f t="shared" si="153"/>
        <v>0</v>
      </c>
      <c r="GT127" s="11">
        <f t="shared" si="154"/>
        <v>0</v>
      </c>
      <c r="GU127" s="12">
        <f t="shared" si="155"/>
        <v>0</v>
      </c>
      <c r="GV127" s="12">
        <f t="shared" si="156"/>
        <v>0</v>
      </c>
      <c r="GW127" s="12">
        <f t="shared" si="157"/>
        <v>0</v>
      </c>
      <c r="GX127" s="12">
        <f t="shared" si="158"/>
        <v>0</v>
      </c>
      <c r="GY127" s="12">
        <f t="shared" si="159"/>
        <v>0</v>
      </c>
      <c r="GZ127" s="12">
        <f t="shared" si="160"/>
        <v>0</v>
      </c>
      <c r="HA127" s="12">
        <f t="shared" si="161"/>
        <v>0</v>
      </c>
      <c r="HB127" s="12">
        <f t="shared" si="162"/>
        <v>0</v>
      </c>
      <c r="HC127" s="12">
        <f t="shared" si="163"/>
        <v>0</v>
      </c>
      <c r="HD127" s="12">
        <f t="shared" si="164"/>
        <v>0</v>
      </c>
      <c r="HE127" s="12">
        <f t="shared" si="165"/>
        <v>0</v>
      </c>
      <c r="HF127" s="12">
        <f t="shared" si="166"/>
        <v>0</v>
      </c>
      <c r="HG127" s="12">
        <f t="shared" si="167"/>
        <v>0</v>
      </c>
      <c r="HH127" s="12">
        <f t="shared" si="168"/>
        <v>0</v>
      </c>
      <c r="HI127" s="12">
        <f t="shared" si="169"/>
        <v>0</v>
      </c>
      <c r="HJ127" s="12">
        <f t="shared" si="170"/>
        <v>0</v>
      </c>
      <c r="HK127" s="12">
        <f t="shared" si="171"/>
        <v>0</v>
      </c>
      <c r="HL127" s="12">
        <f t="shared" si="172"/>
        <v>0</v>
      </c>
      <c r="HM127" s="12">
        <f t="shared" si="173"/>
        <v>0</v>
      </c>
      <c r="HN127" s="12">
        <f t="shared" si="174"/>
        <v>0</v>
      </c>
      <c r="HO127" s="12">
        <f t="shared" si="175"/>
        <v>0</v>
      </c>
      <c r="HP127" s="12">
        <f t="shared" si="176"/>
        <v>0</v>
      </c>
      <c r="HQ127" s="12">
        <f t="shared" si="177"/>
        <v>0</v>
      </c>
      <c r="HR127" s="12">
        <f t="shared" si="178"/>
        <v>0</v>
      </c>
      <c r="HS127" s="12">
        <f t="shared" si="179"/>
        <v>0</v>
      </c>
      <c r="HT127" s="12">
        <f t="shared" si="180"/>
        <v>0</v>
      </c>
      <c r="HU127" s="12">
        <f t="shared" si="181"/>
        <v>0</v>
      </c>
      <c r="HV127" s="12">
        <f t="shared" si="182"/>
        <v>1</v>
      </c>
      <c r="HW127" s="12">
        <f t="shared" si="183"/>
        <v>0</v>
      </c>
      <c r="HX127" s="12">
        <f t="shared" si="184"/>
        <v>0</v>
      </c>
      <c r="HY127" s="12">
        <f t="shared" si="185"/>
        <v>0</v>
      </c>
      <c r="HZ127" s="12">
        <f t="shared" si="186"/>
        <v>0</v>
      </c>
      <c r="IA127" s="12">
        <f t="shared" si="187"/>
        <v>0</v>
      </c>
      <c r="IB127" s="12">
        <f t="shared" si="188"/>
        <v>0</v>
      </c>
      <c r="IC127" s="12">
        <f t="shared" si="189"/>
        <v>0</v>
      </c>
      <c r="ID127" s="12">
        <f t="shared" si="190"/>
        <v>0</v>
      </c>
      <c r="IE127" s="12">
        <f t="shared" si="191"/>
        <v>0</v>
      </c>
      <c r="IF127" s="12">
        <f t="shared" si="192"/>
        <v>0</v>
      </c>
      <c r="IG127" s="12">
        <f t="shared" si="193"/>
        <v>0</v>
      </c>
      <c r="IH127" s="12">
        <f t="shared" si="194"/>
        <v>0</v>
      </c>
      <c r="II127" s="12">
        <f t="shared" si="195"/>
        <v>0</v>
      </c>
      <c r="IJ127" s="12">
        <f t="shared" si="196"/>
        <v>0</v>
      </c>
      <c r="IK127" s="12">
        <f t="shared" si="197"/>
        <v>0</v>
      </c>
      <c r="IL127" s="12">
        <f t="shared" si="198"/>
        <v>0</v>
      </c>
      <c r="IM127" s="12">
        <f t="shared" si="199"/>
        <v>0</v>
      </c>
      <c r="IN127" s="12">
        <f t="shared" si="200"/>
        <v>0</v>
      </c>
      <c r="IO127" s="12">
        <f t="shared" si="201"/>
        <v>0</v>
      </c>
      <c r="IP127" s="12">
        <f t="shared" si="202"/>
        <v>0</v>
      </c>
      <c r="IQ127" s="12">
        <f t="shared" si="203"/>
        <v>0</v>
      </c>
      <c r="IR127" s="12">
        <f t="shared" si="204"/>
        <v>0</v>
      </c>
      <c r="IS127" s="12">
        <f t="shared" si="205"/>
        <v>0</v>
      </c>
      <c r="IT127" s="12">
        <f t="shared" si="206"/>
        <v>0</v>
      </c>
      <c r="IU127" s="12">
        <f t="shared" si="207"/>
        <v>0</v>
      </c>
      <c r="IV127" s="12">
        <f t="shared" si="208"/>
        <v>0</v>
      </c>
      <c r="IW127" s="12">
        <f t="shared" si="209"/>
        <v>0</v>
      </c>
      <c r="IX127" s="12">
        <f t="shared" si="210"/>
        <v>0</v>
      </c>
      <c r="IY127" s="12">
        <f t="shared" si="211"/>
        <v>0</v>
      </c>
      <c r="IZ127" s="12">
        <f t="shared" si="212"/>
        <v>1</v>
      </c>
      <c r="JA127" s="13">
        <f t="shared" si="213"/>
        <v>0</v>
      </c>
      <c r="JB127" s="13">
        <f t="shared" si="214"/>
        <v>0</v>
      </c>
      <c r="JC127" s="13">
        <f t="shared" si="215"/>
        <v>0</v>
      </c>
      <c r="JD127" s="13">
        <f t="shared" si="216"/>
        <v>0</v>
      </c>
      <c r="JE127" s="13">
        <f t="shared" si="217"/>
        <v>0</v>
      </c>
      <c r="JF127" s="13">
        <f t="shared" si="218"/>
        <v>0</v>
      </c>
      <c r="JG127" s="13">
        <f t="shared" si="219"/>
        <v>0</v>
      </c>
      <c r="JH127" s="13">
        <f t="shared" si="220"/>
        <v>0</v>
      </c>
      <c r="JI127" s="13">
        <f t="shared" si="221"/>
        <v>0</v>
      </c>
      <c r="JJ127" s="13">
        <f t="shared" si="222"/>
        <v>0</v>
      </c>
      <c r="JK127" s="13">
        <f t="shared" si="223"/>
        <v>0</v>
      </c>
      <c r="JL127" s="13">
        <f t="shared" si="224"/>
        <v>1</v>
      </c>
      <c r="JM127" s="13">
        <f t="shared" si="225"/>
        <v>0</v>
      </c>
      <c r="JN127" s="13">
        <f t="shared" si="226"/>
        <v>0</v>
      </c>
      <c r="JO127" s="13">
        <f t="shared" si="227"/>
        <v>0</v>
      </c>
      <c r="JP127" s="13">
        <f t="shared" si="228"/>
        <v>0</v>
      </c>
      <c r="JQ127" s="13">
        <f t="shared" si="229"/>
        <v>0</v>
      </c>
      <c r="JR127" s="13">
        <f t="shared" si="230"/>
        <v>0</v>
      </c>
      <c r="JS127" s="13">
        <f t="shared" si="231"/>
        <v>0</v>
      </c>
      <c r="JT127" s="13">
        <f t="shared" si="232"/>
        <v>0</v>
      </c>
      <c r="JU127" s="13">
        <f t="shared" si="233"/>
        <v>0</v>
      </c>
      <c r="JV127" s="12">
        <f t="shared" si="234"/>
        <v>0</v>
      </c>
      <c r="JW127" s="12">
        <f t="shared" si="235"/>
        <v>0</v>
      </c>
      <c r="JX127" s="12">
        <f t="shared" si="236"/>
        <v>0</v>
      </c>
      <c r="JY127" s="12">
        <f t="shared" si="237"/>
        <v>0</v>
      </c>
      <c r="JZ127" s="12">
        <f t="shared" si="238"/>
        <v>0</v>
      </c>
      <c r="KA127" s="12">
        <f t="shared" si="239"/>
        <v>0</v>
      </c>
      <c r="KB127" s="12">
        <f t="shared" si="240"/>
        <v>0</v>
      </c>
      <c r="KC127" s="12">
        <f t="shared" si="241"/>
        <v>0</v>
      </c>
      <c r="KD127" s="12">
        <f t="shared" si="242"/>
        <v>0</v>
      </c>
      <c r="KE127" s="12">
        <f t="shared" si="243"/>
        <v>0</v>
      </c>
      <c r="KF127" s="12">
        <f t="shared" si="244"/>
        <v>0</v>
      </c>
      <c r="KG127" s="12">
        <f t="shared" si="245"/>
        <v>0</v>
      </c>
      <c r="KH127" s="12">
        <f t="shared" si="246"/>
        <v>0</v>
      </c>
      <c r="KI127" s="12">
        <f t="shared" si="247"/>
        <v>0</v>
      </c>
      <c r="KJ127" s="12">
        <f t="shared" si="248"/>
        <v>0</v>
      </c>
      <c r="KK127" s="12">
        <f t="shared" si="249"/>
        <v>0</v>
      </c>
      <c r="KL127" s="12">
        <f t="shared" si="250"/>
        <v>0</v>
      </c>
      <c r="KM127" s="12">
        <f t="shared" si="251"/>
        <v>0</v>
      </c>
      <c r="KN127" s="12">
        <f t="shared" si="252"/>
        <v>0</v>
      </c>
      <c r="KO127" s="12">
        <f t="shared" si="253"/>
        <v>0</v>
      </c>
      <c r="KP127" s="12">
        <f t="shared" si="254"/>
        <v>0</v>
      </c>
      <c r="KQ127" s="12">
        <f t="shared" si="255"/>
        <v>0</v>
      </c>
      <c r="KR127" s="12">
        <f t="shared" si="256"/>
        <v>0</v>
      </c>
      <c r="KS127" s="12">
        <f t="shared" si="257"/>
        <v>0</v>
      </c>
      <c r="KT127" s="12">
        <f t="shared" si="258"/>
        <v>0</v>
      </c>
      <c r="KU127" s="12">
        <f t="shared" si="259"/>
        <v>0</v>
      </c>
      <c r="KV127" s="12">
        <f t="shared" si="260"/>
        <v>0</v>
      </c>
      <c r="KW127" s="12">
        <f t="shared" si="261"/>
        <v>0</v>
      </c>
      <c r="KX127" s="12">
        <f t="shared" si="262"/>
        <v>0</v>
      </c>
      <c r="KY127" s="12">
        <f t="shared" si="263"/>
        <v>0</v>
      </c>
      <c r="KZ127" s="12">
        <f t="shared" si="264"/>
        <v>0</v>
      </c>
      <c r="LA127" s="12">
        <f t="shared" si="265"/>
        <v>0</v>
      </c>
      <c r="LB127" s="12">
        <f t="shared" si="266"/>
        <v>0</v>
      </c>
      <c r="LC127" s="12">
        <f t="shared" si="267"/>
        <v>0</v>
      </c>
      <c r="LD127" s="12">
        <f t="shared" si="268"/>
        <v>0</v>
      </c>
      <c r="LE127" s="12">
        <f t="shared" si="269"/>
        <v>0</v>
      </c>
      <c r="LF127" s="12">
        <f t="shared" si="270"/>
        <v>0</v>
      </c>
      <c r="LG127" s="12">
        <f t="shared" si="271"/>
        <v>0</v>
      </c>
      <c r="LH127" s="12">
        <f t="shared" si="272"/>
        <v>0</v>
      </c>
      <c r="LI127" s="12">
        <f t="shared" si="273"/>
        <v>0</v>
      </c>
      <c r="LJ127" s="12">
        <f t="shared" si="274"/>
        <v>0</v>
      </c>
      <c r="LK127" s="12">
        <f t="shared" si="275"/>
        <v>0</v>
      </c>
      <c r="LL127" s="12">
        <f t="shared" si="276"/>
        <v>0</v>
      </c>
      <c r="LM127" s="12">
        <f t="shared" si="277"/>
        <v>0</v>
      </c>
      <c r="LN127" s="12">
        <f t="shared" si="278"/>
        <v>0</v>
      </c>
      <c r="LO127" s="12">
        <f t="shared" si="279"/>
        <v>0</v>
      </c>
      <c r="LP127" s="12">
        <f t="shared" si="280"/>
        <v>0</v>
      </c>
      <c r="LQ127" s="12">
        <f t="shared" si="281"/>
        <v>0</v>
      </c>
      <c r="LR127" s="12">
        <f t="shared" si="282"/>
        <v>0</v>
      </c>
      <c r="LS127" s="12">
        <f t="shared" si="283"/>
        <v>0</v>
      </c>
      <c r="LT127" s="13">
        <f t="shared" si="284"/>
        <v>0</v>
      </c>
      <c r="LU127" s="13">
        <f t="shared" si="285"/>
        <v>0</v>
      </c>
      <c r="LV127" s="13">
        <f t="shared" si="286"/>
        <v>0</v>
      </c>
      <c r="LW127" s="13">
        <f t="shared" si="287"/>
        <v>0</v>
      </c>
      <c r="LX127" s="13">
        <f t="shared" si="288"/>
        <v>0</v>
      </c>
      <c r="LY127" s="13">
        <f t="shared" si="289"/>
        <v>0</v>
      </c>
      <c r="LZ127" s="13">
        <f t="shared" si="290"/>
        <v>0</v>
      </c>
      <c r="MA127" s="13">
        <f t="shared" si="291"/>
        <v>0</v>
      </c>
      <c r="MB127" s="13">
        <f t="shared" si="292"/>
        <v>0</v>
      </c>
      <c r="MC127" s="13">
        <f t="shared" si="293"/>
        <v>0</v>
      </c>
      <c r="MD127" s="13">
        <f t="shared" si="294"/>
        <v>0</v>
      </c>
      <c r="ME127" s="13">
        <f t="shared" si="295"/>
        <v>0</v>
      </c>
      <c r="MF127" s="13">
        <f t="shared" si="296"/>
        <v>0</v>
      </c>
      <c r="MG127" s="13">
        <f t="shared" si="297"/>
        <v>0</v>
      </c>
      <c r="MH127" s="13">
        <f t="shared" si="298"/>
        <v>0</v>
      </c>
      <c r="MI127" s="13">
        <f t="shared" si="299"/>
        <v>0</v>
      </c>
      <c r="MJ127" s="13">
        <f t="shared" si="300"/>
        <v>0</v>
      </c>
      <c r="MK127" s="13">
        <f t="shared" si="301"/>
        <v>0</v>
      </c>
      <c r="ML127" s="14">
        <f t="shared" si="302"/>
        <v>0</v>
      </c>
      <c r="MM127" s="14">
        <f t="shared" si="303"/>
        <v>0</v>
      </c>
      <c r="MN127" s="14">
        <f t="shared" si="304"/>
        <v>0</v>
      </c>
      <c r="MO127" s="14">
        <f t="shared" si="305"/>
        <v>0</v>
      </c>
      <c r="MP127" s="14">
        <f t="shared" si="306"/>
        <v>0</v>
      </c>
      <c r="MQ127" s="14">
        <f t="shared" si="307"/>
        <v>0</v>
      </c>
      <c r="MR127" s="14">
        <f t="shared" si="308"/>
        <v>0</v>
      </c>
      <c r="MS127" s="14">
        <f t="shared" si="309"/>
        <v>0</v>
      </c>
      <c r="MT127" s="14">
        <f t="shared" si="310"/>
        <v>0</v>
      </c>
      <c r="MU127" s="14">
        <f t="shared" si="311"/>
        <v>0</v>
      </c>
      <c r="MV127" s="14">
        <f t="shared" si="312"/>
        <v>0</v>
      </c>
      <c r="MW127" s="14">
        <f t="shared" si="313"/>
        <v>0</v>
      </c>
      <c r="MX127" s="14">
        <f t="shared" si="314"/>
        <v>0</v>
      </c>
      <c r="MY127" s="14">
        <f t="shared" si="315"/>
        <v>0</v>
      </c>
      <c r="MZ127" s="14">
        <f t="shared" si="316"/>
        <v>0</v>
      </c>
      <c r="NA127" s="14">
        <f t="shared" si="317"/>
        <v>0</v>
      </c>
      <c r="NB127" s="14">
        <f t="shared" si="318"/>
        <v>0</v>
      </c>
    </row>
    <row r="128" ht="15.75" customHeight="1">
      <c r="A128" s="2">
        <v>185.0</v>
      </c>
      <c r="B128" s="2" t="s">
        <v>2532</v>
      </c>
      <c r="C128" s="2" t="s">
        <v>2533</v>
      </c>
      <c r="D128" s="2" t="s">
        <v>2534</v>
      </c>
      <c r="E128" s="2">
        <v>2020.0</v>
      </c>
      <c r="F128" s="2" t="s">
        <v>2535</v>
      </c>
      <c r="G128" s="2" t="s">
        <v>2536</v>
      </c>
      <c r="H128" s="2" t="s">
        <v>452</v>
      </c>
      <c r="J128" s="2" t="s">
        <v>2537</v>
      </c>
      <c r="K128" s="2" t="s">
        <v>2538</v>
      </c>
      <c r="M128" s="2">
        <v>5.0</v>
      </c>
      <c r="N128" s="2" t="s">
        <v>2539</v>
      </c>
      <c r="O128" s="2" t="s">
        <v>2540</v>
      </c>
      <c r="Q128" s="2" t="s">
        <v>2541</v>
      </c>
      <c r="R128" s="2" t="s">
        <v>2542</v>
      </c>
      <c r="Y128" s="2" t="s">
        <v>2543</v>
      </c>
      <c r="AB128" s="2" t="s">
        <v>554</v>
      </c>
      <c r="AG128" s="2" t="s">
        <v>2544</v>
      </c>
      <c r="AK128" s="2" t="s">
        <v>2545</v>
      </c>
      <c r="AL128" s="2" t="s">
        <v>384</v>
      </c>
      <c r="AN128" s="2" t="s">
        <v>386</v>
      </c>
      <c r="AO128" s="2" t="s">
        <v>2546</v>
      </c>
      <c r="AP128" s="2" t="s">
        <v>386</v>
      </c>
      <c r="AQ128" s="2">
        <v>734.0</v>
      </c>
      <c r="AR128" s="2" t="s">
        <v>2547</v>
      </c>
      <c r="AS128" s="2" t="b">
        <v>0</v>
      </c>
      <c r="AT128" s="3">
        <v>0.0</v>
      </c>
      <c r="AU128" s="4"/>
      <c r="AV128" s="4"/>
      <c r="AW128" s="5">
        <f t="shared" si="432"/>
        <v>0</v>
      </c>
      <c r="AX128" s="5">
        <f t="shared" si="4"/>
        <v>0</v>
      </c>
      <c r="AY128" s="5">
        <f t="shared" si="5"/>
        <v>0</v>
      </c>
      <c r="AZ128" s="5">
        <f t="shared" si="6"/>
        <v>1</v>
      </c>
      <c r="BA128" s="5">
        <f t="shared" si="7"/>
        <v>0</v>
      </c>
      <c r="BB128" s="5">
        <f t="shared" si="8"/>
        <v>0</v>
      </c>
      <c r="BC128" s="5">
        <f t="shared" si="9"/>
        <v>0</v>
      </c>
      <c r="BD128" s="5">
        <f t="shared" si="10"/>
        <v>0</v>
      </c>
      <c r="BE128" s="5">
        <f t="shared" si="11"/>
        <v>0</v>
      </c>
      <c r="BF128" s="5">
        <f t="shared" si="12"/>
        <v>0</v>
      </c>
      <c r="BG128" s="5">
        <f t="shared" si="13"/>
        <v>0</v>
      </c>
      <c r="BH128" s="5">
        <f t="shared" si="14"/>
        <v>0</v>
      </c>
      <c r="BI128" s="5">
        <f t="shared" si="15"/>
        <v>0</v>
      </c>
      <c r="BJ128" s="5">
        <f t="shared" si="16"/>
        <v>0</v>
      </c>
      <c r="BK128" s="5">
        <f t="shared" si="17"/>
        <v>0</v>
      </c>
      <c r="BL128" s="5">
        <f t="shared" si="18"/>
        <v>0</v>
      </c>
      <c r="BM128" s="5">
        <f t="shared" si="19"/>
        <v>0</v>
      </c>
      <c r="BN128" s="5">
        <f t="shared" si="20"/>
        <v>0</v>
      </c>
      <c r="BO128" s="5">
        <f t="shared" si="21"/>
        <v>0</v>
      </c>
      <c r="BP128" s="5">
        <f t="shared" si="22"/>
        <v>0</v>
      </c>
      <c r="BQ128" s="5">
        <f t="shared" si="23"/>
        <v>0</v>
      </c>
      <c r="BR128" s="5">
        <f t="shared" si="24"/>
        <v>0</v>
      </c>
      <c r="BS128" s="5">
        <f t="shared" si="25"/>
        <v>0</v>
      </c>
      <c r="BT128" s="5">
        <f t="shared" si="26"/>
        <v>0</v>
      </c>
      <c r="BU128" s="5">
        <f t="shared" si="27"/>
        <v>0</v>
      </c>
      <c r="BV128" s="5">
        <f t="shared" ref="BV128:BW128" si="602">IF(OR(ISNUMBER(SEARCH("grit",$D128)),ISNUMBER(SEARCH("grit",$T128)),ISNUMBER(SEARCH("grit",$R128)),ISNUMBER(SEARCH("grit",$S128)),
ISNUMBER(SEARCH("determination",$D128)),ISNUMBER(SEARCH("determination",$T128)),ISNUMBER(SEARCH("determination",$R128)),ISNUMBER(SEARCH("determination",$S128)),
ISNUMBER(SEARCH("tenacity",$D128)),ISNUMBER(SEARCH("tenacity",$T128)),ISNUMBER(SEARCH("tenacity",$R128)),ISNUMBER(SEARCH("tenacity",$S128)),
ISNUMBER(SEARCH("endurance",$D128)),ISNUMBER(SEARCH("endurance",$T128)),ISNUMBER(SEARCH("endurance",$R128)),ISNUMBER(SEARCH("endurance",$S128)),
ISNUMBER(SEARCH("fortitude",$D128)),ISNUMBER(SEARCH("fortitude",$T128)),ISNUMBER(SEARCH("fortitude",$R128)),ISNUMBER(SEARCH("fortitude",$S128)),
ISNUMBER(SEARCH("resolve",$D128)),ISNUMBER(SEARCH("resolve",$T128)),ISNUMBER(SEARCH("resolve",$R128)),ISNUMBER(SEARCH("resolve",$S128)),
ISNUMBER(SEARCH("stamina",$D128)),ISNUMBER(SEARCH("stamina",$T128)),ISNUMBER(SEARCH("stamina",$R128)),ISNUMBER(SEARCH("stamina",$S128)),
ISNUMBER(SEARCH("guts",$D128)),ISNUMBER(SEARCH("guts",$T128)),ISNUMBER(SEARCH("guts",$R128)),ISNUMBER(SEARCH("guts",$S128)),
ISNUMBER(SEARCH("spunk",$D128)),ISNUMBER(SEARCH("spunk",$T128)),ISNUMBER(SEARCH("spunk",$R128)),ISNUMBER(SEARCH("spunk",$S128))), 1, 0)</f>
        <v>0</v>
      </c>
      <c r="BW128" s="5">
        <f t="shared" si="602"/>
        <v>0</v>
      </c>
      <c r="BX128" s="5">
        <f t="shared" si="29"/>
        <v>0</v>
      </c>
      <c r="BY128" s="5">
        <f t="shared" si="30"/>
        <v>0</v>
      </c>
      <c r="BZ128" s="5">
        <f t="shared" si="31"/>
        <v>0</v>
      </c>
      <c r="CA128" s="5">
        <f t="shared" si="32"/>
        <v>0</v>
      </c>
      <c r="CB128" s="5">
        <f t="shared" si="33"/>
        <v>0</v>
      </c>
      <c r="CC128" s="5">
        <f t="shared" si="34"/>
        <v>0</v>
      </c>
      <c r="CD128" s="5">
        <f t="shared" si="35"/>
        <v>0</v>
      </c>
      <c r="CE128" s="5">
        <f t="shared" si="36"/>
        <v>0</v>
      </c>
      <c r="CF128" s="5">
        <f t="shared" si="37"/>
        <v>0</v>
      </c>
      <c r="CG128" s="5">
        <f t="shared" si="38"/>
        <v>0</v>
      </c>
      <c r="CH128" s="5">
        <f t="shared" si="39"/>
        <v>0</v>
      </c>
      <c r="CI128" s="5">
        <f t="shared" si="40"/>
        <v>0</v>
      </c>
      <c r="CJ128" s="5">
        <f t="shared" si="41"/>
        <v>0</v>
      </c>
      <c r="CK128" s="5">
        <f t="shared" si="42"/>
        <v>0</v>
      </c>
      <c r="CL128" s="5">
        <f t="shared" si="43"/>
        <v>0</v>
      </c>
      <c r="CM128" s="5">
        <f t="shared" si="44"/>
        <v>0</v>
      </c>
      <c r="CN128" s="5">
        <f t="shared" si="45"/>
        <v>0</v>
      </c>
      <c r="CO128" s="5">
        <f t="shared" si="46"/>
        <v>0</v>
      </c>
      <c r="CP128" s="6">
        <f t="shared" si="47"/>
        <v>0</v>
      </c>
      <c r="CQ128" s="6">
        <f t="shared" si="48"/>
        <v>0</v>
      </c>
      <c r="CR128" s="6">
        <f t="shared" si="49"/>
        <v>0</v>
      </c>
      <c r="CS128" s="6">
        <f t="shared" si="50"/>
        <v>0</v>
      </c>
      <c r="CT128" s="6">
        <f t="shared" si="584"/>
        <v>0</v>
      </c>
      <c r="CU128" s="6">
        <f t="shared" si="52"/>
        <v>0</v>
      </c>
      <c r="CV128" s="6">
        <f t="shared" si="53"/>
        <v>0</v>
      </c>
      <c r="CW128" s="6">
        <f t="shared" si="54"/>
        <v>0</v>
      </c>
      <c r="CX128" s="6">
        <f t="shared" si="55"/>
        <v>0</v>
      </c>
      <c r="CY128" s="6">
        <f t="shared" si="56"/>
        <v>0</v>
      </c>
      <c r="CZ128" s="6">
        <f t="shared" si="57"/>
        <v>0</v>
      </c>
      <c r="DA128" s="6">
        <f t="shared" si="58"/>
        <v>0</v>
      </c>
      <c r="DB128" s="6">
        <f t="shared" si="59"/>
        <v>0</v>
      </c>
      <c r="DC128" s="6">
        <f t="shared" si="60"/>
        <v>0</v>
      </c>
      <c r="DD128" s="6">
        <f t="shared" si="61"/>
        <v>0</v>
      </c>
      <c r="DE128" s="6">
        <f t="shared" si="62"/>
        <v>0</v>
      </c>
      <c r="DF128" s="6">
        <f t="shared" si="63"/>
        <v>0</v>
      </c>
      <c r="DG128" s="6">
        <f t="shared" si="64"/>
        <v>0</v>
      </c>
      <c r="DH128" s="6">
        <f t="shared" si="579"/>
        <v>0</v>
      </c>
      <c r="DI128" s="6">
        <f t="shared" si="66"/>
        <v>0</v>
      </c>
      <c r="DJ128" s="6">
        <f t="shared" si="574"/>
        <v>0</v>
      </c>
      <c r="DK128" s="7">
        <f t="shared" si="68"/>
        <v>0</v>
      </c>
      <c r="DL128" s="7">
        <f t="shared" si="498"/>
        <v>0</v>
      </c>
      <c r="DM128" s="7">
        <f t="shared" si="70"/>
        <v>0</v>
      </c>
      <c r="DN128" s="7">
        <f t="shared" si="71"/>
        <v>0</v>
      </c>
      <c r="DO128" s="7">
        <f t="shared" si="72"/>
        <v>0</v>
      </c>
      <c r="DP128" s="8">
        <f t="shared" si="73"/>
        <v>0</v>
      </c>
      <c r="DQ128" s="8">
        <f t="shared" si="74"/>
        <v>0</v>
      </c>
      <c r="DR128" s="7">
        <f t="shared" si="75"/>
        <v>0</v>
      </c>
      <c r="DS128" s="7">
        <f t="shared" si="76"/>
        <v>0</v>
      </c>
      <c r="DT128" s="7">
        <f t="shared" si="77"/>
        <v>0</v>
      </c>
      <c r="DU128" s="9">
        <f t="shared" si="78"/>
        <v>0</v>
      </c>
      <c r="DV128" s="9">
        <f t="shared" si="79"/>
        <v>0</v>
      </c>
      <c r="DW128" s="9">
        <f t="shared" si="80"/>
        <v>0</v>
      </c>
      <c r="DX128" s="9">
        <f t="shared" si="81"/>
        <v>0</v>
      </c>
      <c r="DY128" s="9">
        <f t="shared" si="82"/>
        <v>0</v>
      </c>
      <c r="DZ128" s="9">
        <f t="shared" si="83"/>
        <v>0</v>
      </c>
      <c r="EA128" s="9">
        <f t="shared" si="84"/>
        <v>0</v>
      </c>
      <c r="EB128" s="9">
        <f t="shared" si="85"/>
        <v>0</v>
      </c>
      <c r="EC128" s="9">
        <f t="shared" si="86"/>
        <v>0</v>
      </c>
      <c r="ED128" s="9">
        <f t="shared" si="87"/>
        <v>0</v>
      </c>
      <c r="EE128" s="9">
        <f t="shared" si="88"/>
        <v>0</v>
      </c>
      <c r="EF128" s="9">
        <f t="shared" si="89"/>
        <v>0</v>
      </c>
      <c r="EG128" s="9">
        <f t="shared" si="90"/>
        <v>0</v>
      </c>
      <c r="EH128" s="9">
        <f t="shared" si="91"/>
        <v>0</v>
      </c>
      <c r="EI128" s="9">
        <f t="shared" si="92"/>
        <v>0</v>
      </c>
      <c r="EJ128" s="10">
        <f t="shared" si="93"/>
        <v>0</v>
      </c>
      <c r="EK128" s="10">
        <f t="shared" si="94"/>
        <v>0</v>
      </c>
      <c r="EL128" s="10">
        <f t="shared" ref="EL128:EM128" si="603">IF(OR(ISNUMBER(SEARCH("ai software toolkit", $D128)), ISNUMBER(SEARCH("ai software toolkit", $T128)), ISNUMBER(SEARCH("ai software toolkit", $R128)), ISNUMBER(SEARCH("ai software toolkit", $S128))), 1, 0)</f>
        <v>0</v>
      </c>
      <c r="EM128" s="10">
        <f t="shared" si="603"/>
        <v>0</v>
      </c>
      <c r="EN128" s="10">
        <f t="shared" si="96"/>
        <v>0</v>
      </c>
      <c r="EO128" s="10">
        <f t="shared" si="97"/>
        <v>0</v>
      </c>
      <c r="EP128" s="10">
        <f t="shared" si="98"/>
        <v>0</v>
      </c>
      <c r="EQ128" s="10">
        <f t="shared" si="99"/>
        <v>0</v>
      </c>
      <c r="ER128" s="10">
        <f t="shared" si="100"/>
        <v>0</v>
      </c>
      <c r="ES128" s="10">
        <f t="shared" si="101"/>
        <v>0</v>
      </c>
      <c r="ET128" s="10">
        <f t="shared" si="102"/>
        <v>0</v>
      </c>
      <c r="EU128" s="10">
        <f t="shared" si="103"/>
        <v>0</v>
      </c>
      <c r="EV128" s="10">
        <f t="shared" si="104"/>
        <v>0</v>
      </c>
      <c r="EW128" s="10">
        <f t="shared" si="105"/>
        <v>0</v>
      </c>
      <c r="EX128" s="10">
        <f t="shared" si="106"/>
        <v>0</v>
      </c>
      <c r="EY128" s="10">
        <f t="shared" si="107"/>
        <v>0</v>
      </c>
      <c r="EZ128" s="10">
        <f t="shared" si="108"/>
        <v>0</v>
      </c>
      <c r="FA128" s="10">
        <f t="shared" si="109"/>
        <v>0</v>
      </c>
      <c r="FB128" s="10">
        <f t="shared" si="110"/>
        <v>0</v>
      </c>
      <c r="FC128" s="10">
        <f t="shared" si="111"/>
        <v>0</v>
      </c>
      <c r="FD128" s="10">
        <f t="shared" si="112"/>
        <v>0</v>
      </c>
      <c r="FE128" s="10">
        <f t="shared" si="113"/>
        <v>0</v>
      </c>
      <c r="FF128" s="10">
        <f t="shared" si="114"/>
        <v>0</v>
      </c>
      <c r="FG128" s="10">
        <f t="shared" si="115"/>
        <v>0</v>
      </c>
      <c r="FH128" s="10">
        <f t="shared" si="116"/>
        <v>0</v>
      </c>
      <c r="FI128" s="10">
        <f t="shared" si="117"/>
        <v>0</v>
      </c>
      <c r="FJ128" s="10">
        <f t="shared" si="118"/>
        <v>0</v>
      </c>
      <c r="FK128" s="10">
        <f t="shared" si="119"/>
        <v>0</v>
      </c>
      <c r="FL128" s="10">
        <f t="shared" si="120"/>
        <v>0</v>
      </c>
      <c r="FM128" s="10">
        <f t="shared" si="121"/>
        <v>0</v>
      </c>
      <c r="FN128" s="10">
        <f t="shared" si="122"/>
        <v>0</v>
      </c>
      <c r="FO128" s="10">
        <f t="shared" si="123"/>
        <v>0</v>
      </c>
      <c r="FP128" s="10">
        <f t="shared" si="124"/>
        <v>0</v>
      </c>
      <c r="FQ128" s="10">
        <f t="shared" si="125"/>
        <v>0</v>
      </c>
      <c r="FR128" s="11">
        <f t="shared" ref="FR128:FR129" si="606">IF(
OR(
ISNUMBER(SEARCH("chatbot",$D128)),ISNUMBER(SEARCH("chatbot",$T128)),ISNUMBER(SEARCH("chatbot",$R127)),ISNUMBER(SEARCH("chatbot",$S128)),
ISNUMBER(SEARCH("virtual assistance",$D128)),ISNUMBER(SEARCH("virtual assistance",$T128)),ISNUMBER(SEARCH("virtual assistance",$R128)),ISNUMBER(SEARCH("virtual assistance",$S128))), 1, 0)</f>
        <v>0</v>
      </c>
      <c r="FS128" s="11">
        <f t="shared" si="127"/>
        <v>0</v>
      </c>
      <c r="FT128" s="11">
        <f t="shared" si="128"/>
        <v>0</v>
      </c>
      <c r="FU128" s="11">
        <f t="shared" si="129"/>
        <v>0</v>
      </c>
      <c r="FV128" s="11">
        <f t="shared" si="130"/>
        <v>0</v>
      </c>
      <c r="FW128" s="11">
        <f t="shared" si="131"/>
        <v>0</v>
      </c>
      <c r="FX128" s="11">
        <f t="shared" si="132"/>
        <v>0</v>
      </c>
      <c r="FY128" s="11">
        <f t="shared" si="133"/>
        <v>0</v>
      </c>
      <c r="FZ128" s="11">
        <f t="shared" si="134"/>
        <v>0</v>
      </c>
      <c r="GA128" s="11">
        <f t="shared" si="135"/>
        <v>0</v>
      </c>
      <c r="GB128" s="11">
        <f t="shared" si="136"/>
        <v>0</v>
      </c>
      <c r="GC128" s="11">
        <f t="shared" si="137"/>
        <v>0</v>
      </c>
      <c r="GD128" s="11">
        <f t="shared" si="138"/>
        <v>0</v>
      </c>
      <c r="GE128" s="11">
        <f t="shared" si="139"/>
        <v>0</v>
      </c>
      <c r="GF128" s="11">
        <f t="shared" si="140"/>
        <v>0</v>
      </c>
      <c r="GG128" s="11">
        <f t="shared" si="141"/>
        <v>0</v>
      </c>
      <c r="GH128" s="11">
        <f t="shared" si="142"/>
        <v>0</v>
      </c>
      <c r="GI128" s="11">
        <f t="shared" si="143"/>
        <v>0</v>
      </c>
      <c r="GJ128" s="11">
        <f t="shared" si="144"/>
        <v>0</v>
      </c>
      <c r="GK128" s="11">
        <f t="shared" si="145"/>
        <v>0</v>
      </c>
      <c r="GL128" s="11">
        <f t="shared" si="146"/>
        <v>0</v>
      </c>
      <c r="GM128" s="11">
        <f t="shared" si="147"/>
        <v>0</v>
      </c>
      <c r="GN128" s="11">
        <f t="shared" si="148"/>
        <v>0</v>
      </c>
      <c r="GO128" s="11">
        <f t="shared" si="149"/>
        <v>0</v>
      </c>
      <c r="GP128" s="11">
        <f t="shared" si="150"/>
        <v>0</v>
      </c>
      <c r="GQ128" s="11">
        <f t="shared" si="151"/>
        <v>0</v>
      </c>
      <c r="GR128" s="11">
        <f t="shared" si="152"/>
        <v>0</v>
      </c>
      <c r="GS128" s="11">
        <f t="shared" si="153"/>
        <v>0</v>
      </c>
      <c r="GT128" s="11">
        <f t="shared" si="154"/>
        <v>0</v>
      </c>
      <c r="GU128" s="12">
        <f t="shared" si="155"/>
        <v>0</v>
      </c>
      <c r="GV128" s="12">
        <f t="shared" si="156"/>
        <v>0</v>
      </c>
      <c r="GW128" s="12">
        <f t="shared" si="157"/>
        <v>0</v>
      </c>
      <c r="GX128" s="12">
        <f t="shared" si="158"/>
        <v>0</v>
      </c>
      <c r="GY128" s="12">
        <f t="shared" si="159"/>
        <v>0</v>
      </c>
      <c r="GZ128" s="12">
        <f t="shared" si="160"/>
        <v>0</v>
      </c>
      <c r="HA128" s="12">
        <f t="shared" si="161"/>
        <v>0</v>
      </c>
      <c r="HB128" s="12">
        <f t="shared" si="162"/>
        <v>0</v>
      </c>
      <c r="HC128" s="12">
        <f t="shared" si="163"/>
        <v>0</v>
      </c>
      <c r="HD128" s="12">
        <f t="shared" si="164"/>
        <v>0</v>
      </c>
      <c r="HE128" s="12">
        <f t="shared" si="165"/>
        <v>0</v>
      </c>
      <c r="HF128" s="12">
        <f t="shared" si="166"/>
        <v>0</v>
      </c>
      <c r="HG128" s="12">
        <f t="shared" si="167"/>
        <v>0</v>
      </c>
      <c r="HH128" s="12">
        <f t="shared" si="168"/>
        <v>0</v>
      </c>
      <c r="HI128" s="12">
        <f t="shared" si="169"/>
        <v>0</v>
      </c>
      <c r="HJ128" s="12">
        <f t="shared" si="170"/>
        <v>0</v>
      </c>
      <c r="HK128" s="12">
        <f t="shared" si="171"/>
        <v>0</v>
      </c>
      <c r="HL128" s="12">
        <f t="shared" si="172"/>
        <v>0</v>
      </c>
      <c r="HM128" s="12">
        <f t="shared" si="173"/>
        <v>0</v>
      </c>
      <c r="HN128" s="12">
        <f t="shared" si="174"/>
        <v>0</v>
      </c>
      <c r="HO128" s="12">
        <f t="shared" si="175"/>
        <v>0</v>
      </c>
      <c r="HP128" s="12">
        <f t="shared" si="176"/>
        <v>0</v>
      </c>
      <c r="HQ128" s="12">
        <f t="shared" si="177"/>
        <v>0</v>
      </c>
      <c r="HR128" s="12">
        <f t="shared" si="178"/>
        <v>0</v>
      </c>
      <c r="HS128" s="12">
        <f t="shared" si="179"/>
        <v>0</v>
      </c>
      <c r="HT128" s="12">
        <f t="shared" si="180"/>
        <v>0</v>
      </c>
      <c r="HU128" s="12">
        <f t="shared" si="181"/>
        <v>0</v>
      </c>
      <c r="HV128" s="12">
        <f t="shared" si="182"/>
        <v>0</v>
      </c>
      <c r="HW128" s="12">
        <f t="shared" si="183"/>
        <v>0</v>
      </c>
      <c r="HX128" s="12">
        <f t="shared" si="184"/>
        <v>0</v>
      </c>
      <c r="HY128" s="12">
        <f t="shared" si="185"/>
        <v>0</v>
      </c>
      <c r="HZ128" s="12">
        <f t="shared" si="186"/>
        <v>0</v>
      </c>
      <c r="IA128" s="12">
        <f t="shared" si="187"/>
        <v>0</v>
      </c>
      <c r="IB128" s="12">
        <f t="shared" si="188"/>
        <v>0</v>
      </c>
      <c r="IC128" s="12">
        <f t="shared" si="189"/>
        <v>0</v>
      </c>
      <c r="ID128" s="12">
        <f t="shared" si="190"/>
        <v>0</v>
      </c>
      <c r="IE128" s="12">
        <f t="shared" si="191"/>
        <v>0</v>
      </c>
      <c r="IF128" s="12">
        <f t="shared" si="192"/>
        <v>0</v>
      </c>
      <c r="IG128" s="12">
        <f t="shared" si="193"/>
        <v>0</v>
      </c>
      <c r="IH128" s="12">
        <f t="shared" si="194"/>
        <v>0</v>
      </c>
      <c r="II128" s="12">
        <f t="shared" si="195"/>
        <v>0</v>
      </c>
      <c r="IJ128" s="12">
        <f t="shared" si="196"/>
        <v>0</v>
      </c>
      <c r="IK128" s="12">
        <f t="shared" si="197"/>
        <v>0</v>
      </c>
      <c r="IL128" s="12">
        <f t="shared" si="198"/>
        <v>0</v>
      </c>
      <c r="IM128" s="12">
        <f t="shared" si="199"/>
        <v>0</v>
      </c>
      <c r="IN128" s="12">
        <f t="shared" si="200"/>
        <v>0</v>
      </c>
      <c r="IO128" s="12">
        <f t="shared" si="201"/>
        <v>0</v>
      </c>
      <c r="IP128" s="12">
        <f t="shared" si="202"/>
        <v>0</v>
      </c>
      <c r="IQ128" s="12">
        <f t="shared" si="203"/>
        <v>0</v>
      </c>
      <c r="IR128" s="12">
        <f t="shared" si="204"/>
        <v>0</v>
      </c>
      <c r="IS128" s="12">
        <f t="shared" si="205"/>
        <v>0</v>
      </c>
      <c r="IT128" s="12">
        <f t="shared" si="206"/>
        <v>0</v>
      </c>
      <c r="IU128" s="12">
        <f t="shared" si="207"/>
        <v>0</v>
      </c>
      <c r="IV128" s="12">
        <f t="shared" si="208"/>
        <v>0</v>
      </c>
      <c r="IW128" s="12">
        <f t="shared" si="209"/>
        <v>0</v>
      </c>
      <c r="IX128" s="12">
        <f t="shared" si="210"/>
        <v>0</v>
      </c>
      <c r="IY128" s="12">
        <f t="shared" si="211"/>
        <v>0</v>
      </c>
      <c r="IZ128" s="12">
        <f t="shared" si="212"/>
        <v>0</v>
      </c>
      <c r="JA128" s="13">
        <f t="shared" si="213"/>
        <v>0</v>
      </c>
      <c r="JB128" s="13">
        <f t="shared" si="214"/>
        <v>0</v>
      </c>
      <c r="JC128" s="13">
        <f t="shared" si="215"/>
        <v>0</v>
      </c>
      <c r="JD128" s="13">
        <f t="shared" si="216"/>
        <v>0</v>
      </c>
      <c r="JE128" s="13">
        <f t="shared" si="217"/>
        <v>0</v>
      </c>
      <c r="JF128" s="13">
        <f t="shared" si="218"/>
        <v>0</v>
      </c>
      <c r="JG128" s="13">
        <f t="shared" si="219"/>
        <v>0</v>
      </c>
      <c r="JH128" s="13">
        <f t="shared" si="220"/>
        <v>0</v>
      </c>
      <c r="JI128" s="13">
        <f t="shared" si="221"/>
        <v>0</v>
      </c>
      <c r="JJ128" s="13">
        <f t="shared" si="222"/>
        <v>0</v>
      </c>
      <c r="JK128" s="13">
        <f t="shared" si="223"/>
        <v>0</v>
      </c>
      <c r="JL128" s="13">
        <f t="shared" si="224"/>
        <v>0</v>
      </c>
      <c r="JM128" s="13">
        <f t="shared" si="225"/>
        <v>0</v>
      </c>
      <c r="JN128" s="13">
        <f t="shared" si="226"/>
        <v>0</v>
      </c>
      <c r="JO128" s="13">
        <f t="shared" si="227"/>
        <v>0</v>
      </c>
      <c r="JP128" s="13">
        <f t="shared" si="228"/>
        <v>0</v>
      </c>
      <c r="JQ128" s="13">
        <f t="shared" si="229"/>
        <v>0</v>
      </c>
      <c r="JR128" s="13">
        <f t="shared" si="230"/>
        <v>0</v>
      </c>
      <c r="JS128" s="13">
        <f t="shared" si="231"/>
        <v>0</v>
      </c>
      <c r="JT128" s="13">
        <f t="shared" si="232"/>
        <v>0</v>
      </c>
      <c r="JU128" s="13">
        <f t="shared" si="233"/>
        <v>0</v>
      </c>
      <c r="JV128" s="12">
        <f t="shared" si="234"/>
        <v>0</v>
      </c>
      <c r="JW128" s="12">
        <f t="shared" si="235"/>
        <v>0</v>
      </c>
      <c r="JX128" s="12">
        <f t="shared" si="236"/>
        <v>0</v>
      </c>
      <c r="JY128" s="12">
        <f t="shared" si="237"/>
        <v>0</v>
      </c>
      <c r="JZ128" s="12">
        <f t="shared" si="238"/>
        <v>0</v>
      </c>
      <c r="KA128" s="12">
        <f t="shared" si="239"/>
        <v>0</v>
      </c>
      <c r="KB128" s="12">
        <f t="shared" si="240"/>
        <v>0</v>
      </c>
      <c r="KC128" s="12">
        <f t="shared" si="241"/>
        <v>0</v>
      </c>
      <c r="KD128" s="12">
        <f t="shared" si="242"/>
        <v>0</v>
      </c>
      <c r="KE128" s="12">
        <f t="shared" si="243"/>
        <v>0</v>
      </c>
      <c r="KF128" s="12">
        <f t="shared" si="244"/>
        <v>0</v>
      </c>
      <c r="KG128" s="12">
        <f t="shared" si="245"/>
        <v>0</v>
      </c>
      <c r="KH128" s="12">
        <f t="shared" si="246"/>
        <v>0</v>
      </c>
      <c r="KI128" s="12">
        <f t="shared" si="247"/>
        <v>0</v>
      </c>
      <c r="KJ128" s="12">
        <f t="shared" si="248"/>
        <v>0</v>
      </c>
      <c r="KK128" s="12">
        <f t="shared" si="249"/>
        <v>0</v>
      </c>
      <c r="KL128" s="12">
        <f t="shared" si="250"/>
        <v>0</v>
      </c>
      <c r="KM128" s="12">
        <f t="shared" si="251"/>
        <v>0</v>
      </c>
      <c r="KN128" s="12">
        <f t="shared" si="252"/>
        <v>0</v>
      </c>
      <c r="KO128" s="12">
        <f t="shared" si="253"/>
        <v>0</v>
      </c>
      <c r="KP128" s="12">
        <f t="shared" si="254"/>
        <v>0</v>
      </c>
      <c r="KQ128" s="12">
        <f t="shared" si="255"/>
        <v>0</v>
      </c>
      <c r="KR128" s="12">
        <f t="shared" si="256"/>
        <v>0</v>
      </c>
      <c r="KS128" s="12">
        <f t="shared" si="257"/>
        <v>0</v>
      </c>
      <c r="KT128" s="12">
        <f t="shared" si="258"/>
        <v>0</v>
      </c>
      <c r="KU128" s="12">
        <f t="shared" si="259"/>
        <v>0</v>
      </c>
      <c r="KV128" s="12">
        <f t="shared" si="260"/>
        <v>0</v>
      </c>
      <c r="KW128" s="12">
        <f t="shared" si="261"/>
        <v>0</v>
      </c>
      <c r="KX128" s="12">
        <f t="shared" si="262"/>
        <v>0</v>
      </c>
      <c r="KY128" s="12">
        <f t="shared" si="263"/>
        <v>0</v>
      </c>
      <c r="KZ128" s="12">
        <f t="shared" si="264"/>
        <v>0</v>
      </c>
      <c r="LA128" s="12">
        <f t="shared" si="265"/>
        <v>0</v>
      </c>
      <c r="LB128" s="12">
        <f t="shared" si="266"/>
        <v>0</v>
      </c>
      <c r="LC128" s="12">
        <f t="shared" si="267"/>
        <v>0</v>
      </c>
      <c r="LD128" s="12">
        <f t="shared" si="268"/>
        <v>0</v>
      </c>
      <c r="LE128" s="12">
        <f t="shared" si="269"/>
        <v>0</v>
      </c>
      <c r="LF128" s="12">
        <f t="shared" si="270"/>
        <v>0</v>
      </c>
      <c r="LG128" s="12">
        <f t="shared" si="271"/>
        <v>0</v>
      </c>
      <c r="LH128" s="12">
        <f t="shared" si="272"/>
        <v>0</v>
      </c>
      <c r="LI128" s="12">
        <f t="shared" si="273"/>
        <v>0</v>
      </c>
      <c r="LJ128" s="12">
        <f t="shared" si="274"/>
        <v>0</v>
      </c>
      <c r="LK128" s="12">
        <f t="shared" si="275"/>
        <v>0</v>
      </c>
      <c r="LL128" s="12">
        <f t="shared" si="276"/>
        <v>0</v>
      </c>
      <c r="LM128" s="12">
        <f t="shared" si="277"/>
        <v>0</v>
      </c>
      <c r="LN128" s="12">
        <f t="shared" si="278"/>
        <v>0</v>
      </c>
      <c r="LO128" s="12">
        <f t="shared" si="279"/>
        <v>0</v>
      </c>
      <c r="LP128" s="12">
        <f t="shared" si="280"/>
        <v>0</v>
      </c>
      <c r="LQ128" s="12">
        <f t="shared" si="281"/>
        <v>0</v>
      </c>
      <c r="LR128" s="12">
        <f t="shared" si="282"/>
        <v>0</v>
      </c>
      <c r="LS128" s="12">
        <f t="shared" si="283"/>
        <v>0</v>
      </c>
      <c r="LT128" s="13">
        <f t="shared" si="284"/>
        <v>0</v>
      </c>
      <c r="LU128" s="13">
        <f t="shared" si="285"/>
        <v>0</v>
      </c>
      <c r="LV128" s="13">
        <f t="shared" si="286"/>
        <v>0</v>
      </c>
      <c r="LW128" s="13">
        <f t="shared" si="287"/>
        <v>0</v>
      </c>
      <c r="LX128" s="13">
        <f t="shared" si="288"/>
        <v>0</v>
      </c>
      <c r="LY128" s="13">
        <f t="shared" si="289"/>
        <v>0</v>
      </c>
      <c r="LZ128" s="13">
        <f t="shared" si="290"/>
        <v>0</v>
      </c>
      <c r="MA128" s="13">
        <f t="shared" si="291"/>
        <v>0</v>
      </c>
      <c r="MB128" s="13">
        <f t="shared" si="292"/>
        <v>0</v>
      </c>
      <c r="MC128" s="13">
        <f t="shared" si="293"/>
        <v>0</v>
      </c>
      <c r="MD128" s="13">
        <f t="shared" si="294"/>
        <v>0</v>
      </c>
      <c r="ME128" s="13">
        <f t="shared" si="295"/>
        <v>0</v>
      </c>
      <c r="MF128" s="13">
        <f t="shared" si="296"/>
        <v>0</v>
      </c>
      <c r="MG128" s="13">
        <f t="shared" si="297"/>
        <v>0</v>
      </c>
      <c r="MH128" s="13">
        <f t="shared" si="298"/>
        <v>0</v>
      </c>
      <c r="MI128" s="13">
        <f t="shared" si="299"/>
        <v>0</v>
      </c>
      <c r="MJ128" s="13">
        <f t="shared" si="300"/>
        <v>0</v>
      </c>
      <c r="MK128" s="13">
        <f t="shared" si="301"/>
        <v>0</v>
      </c>
      <c r="ML128" s="14">
        <f t="shared" si="302"/>
        <v>0</v>
      </c>
      <c r="MM128" s="14">
        <f t="shared" si="303"/>
        <v>0</v>
      </c>
      <c r="MN128" s="14">
        <f t="shared" si="304"/>
        <v>0</v>
      </c>
      <c r="MO128" s="14">
        <f t="shared" si="305"/>
        <v>0</v>
      </c>
      <c r="MP128" s="14">
        <f t="shared" si="306"/>
        <v>0</v>
      </c>
      <c r="MQ128" s="14">
        <f t="shared" si="307"/>
        <v>0</v>
      </c>
      <c r="MR128" s="14">
        <f t="shared" si="308"/>
        <v>0</v>
      </c>
      <c r="MS128" s="14">
        <f t="shared" si="309"/>
        <v>0</v>
      </c>
      <c r="MT128" s="14">
        <f t="shared" si="310"/>
        <v>0</v>
      </c>
      <c r="MU128" s="14">
        <f t="shared" si="311"/>
        <v>0</v>
      </c>
      <c r="MV128" s="14">
        <f t="shared" si="312"/>
        <v>0</v>
      </c>
      <c r="MW128" s="14">
        <f t="shared" si="313"/>
        <v>0</v>
      </c>
      <c r="MX128" s="14">
        <f t="shared" si="314"/>
        <v>0</v>
      </c>
      <c r="MY128" s="14">
        <f t="shared" si="315"/>
        <v>0</v>
      </c>
      <c r="MZ128" s="14">
        <f t="shared" si="316"/>
        <v>0</v>
      </c>
      <c r="NA128" s="14">
        <f t="shared" si="317"/>
        <v>0</v>
      </c>
      <c r="NB128" s="14">
        <f t="shared" si="318"/>
        <v>0</v>
      </c>
    </row>
    <row r="129" ht="15.75" customHeight="1">
      <c r="A129" s="2">
        <v>107.0</v>
      </c>
      <c r="B129" s="2" t="s">
        <v>2548</v>
      </c>
      <c r="C129" s="2" t="s">
        <v>2549</v>
      </c>
      <c r="D129" s="2" t="s">
        <v>2550</v>
      </c>
      <c r="E129" s="2">
        <v>2021.0</v>
      </c>
      <c r="F129" s="2" t="s">
        <v>2551</v>
      </c>
      <c r="G129" s="2" t="s">
        <v>371</v>
      </c>
      <c r="I129" s="2" t="s">
        <v>2552</v>
      </c>
      <c r="M129" s="2">
        <v>5.0</v>
      </c>
      <c r="N129" s="2" t="s">
        <v>2553</v>
      </c>
      <c r="O129" s="2" t="s">
        <v>2554</v>
      </c>
      <c r="P129" s="2" t="s">
        <v>2555</v>
      </c>
      <c r="Q129" s="2" t="s">
        <v>2556</v>
      </c>
      <c r="R129" s="2" t="s">
        <v>2557</v>
      </c>
      <c r="S129" s="2" t="s">
        <v>2558</v>
      </c>
      <c r="T129" s="2" t="s">
        <v>2559</v>
      </c>
      <c r="Y129" s="2" t="s">
        <v>2560</v>
      </c>
      <c r="AB129" s="2" t="s">
        <v>1039</v>
      </c>
      <c r="AG129" s="2" t="s">
        <v>2561</v>
      </c>
      <c r="AK129" s="2" t="s">
        <v>2562</v>
      </c>
      <c r="AL129" s="2" t="s">
        <v>384</v>
      </c>
      <c r="AM129" s="2" t="s">
        <v>484</v>
      </c>
      <c r="AN129" s="2" t="s">
        <v>386</v>
      </c>
      <c r="AO129" s="2" t="s">
        <v>2563</v>
      </c>
      <c r="AP129" s="2" t="s">
        <v>386</v>
      </c>
      <c r="AQ129" s="2">
        <v>359.0</v>
      </c>
      <c r="AR129" s="2" t="s">
        <v>2564</v>
      </c>
      <c r="AS129" s="2" t="b">
        <v>1</v>
      </c>
      <c r="AT129" s="3">
        <v>0.0</v>
      </c>
      <c r="AU129" s="4"/>
      <c r="AV129" s="4"/>
      <c r="AW129" s="5">
        <f t="shared" si="432"/>
        <v>0</v>
      </c>
      <c r="AX129" s="5">
        <f t="shared" si="4"/>
        <v>0</v>
      </c>
      <c r="AY129" s="5">
        <f t="shared" si="5"/>
        <v>0</v>
      </c>
      <c r="AZ129" s="5">
        <f t="shared" si="6"/>
        <v>0</v>
      </c>
      <c r="BA129" s="5">
        <f t="shared" si="7"/>
        <v>0</v>
      </c>
      <c r="BB129" s="5">
        <f t="shared" si="8"/>
        <v>0</v>
      </c>
      <c r="BC129" s="5">
        <f t="shared" si="9"/>
        <v>0</v>
      </c>
      <c r="BD129" s="5">
        <f t="shared" si="10"/>
        <v>0</v>
      </c>
      <c r="BE129" s="5">
        <f t="shared" si="11"/>
        <v>0</v>
      </c>
      <c r="BF129" s="5">
        <f t="shared" si="12"/>
        <v>0</v>
      </c>
      <c r="BG129" s="5">
        <f t="shared" si="13"/>
        <v>0</v>
      </c>
      <c r="BH129" s="5">
        <f t="shared" si="14"/>
        <v>0</v>
      </c>
      <c r="BI129" s="5">
        <f t="shared" si="15"/>
        <v>0</v>
      </c>
      <c r="BJ129" s="5">
        <f t="shared" si="16"/>
        <v>0</v>
      </c>
      <c r="BK129" s="5">
        <f t="shared" si="17"/>
        <v>0</v>
      </c>
      <c r="BL129" s="5">
        <f t="shared" si="18"/>
        <v>0</v>
      </c>
      <c r="BM129" s="5">
        <f t="shared" si="19"/>
        <v>0</v>
      </c>
      <c r="BN129" s="5">
        <f t="shared" si="20"/>
        <v>0</v>
      </c>
      <c r="BO129" s="5">
        <f t="shared" si="21"/>
        <v>0</v>
      </c>
      <c r="BP129" s="5">
        <f t="shared" si="22"/>
        <v>0</v>
      </c>
      <c r="BQ129" s="5">
        <f t="shared" si="23"/>
        <v>0</v>
      </c>
      <c r="BR129" s="5">
        <f t="shared" si="24"/>
        <v>0</v>
      </c>
      <c r="BS129" s="5">
        <f t="shared" si="25"/>
        <v>0</v>
      </c>
      <c r="BT129" s="5">
        <f t="shared" si="26"/>
        <v>0</v>
      </c>
      <c r="BU129" s="5">
        <f t="shared" si="27"/>
        <v>0</v>
      </c>
      <c r="BV129" s="5">
        <f t="shared" ref="BV129:BW129" si="604">IF(OR(ISNUMBER(SEARCH("grit",$D129)),ISNUMBER(SEARCH("grit",$T129)),ISNUMBER(SEARCH("grit",$R129)),ISNUMBER(SEARCH("grit",$S129)),
ISNUMBER(SEARCH("determination",$D129)),ISNUMBER(SEARCH("determination",$T129)),ISNUMBER(SEARCH("determination",$R129)),ISNUMBER(SEARCH("determination",$S129)),
ISNUMBER(SEARCH("tenacity",$D129)),ISNUMBER(SEARCH("tenacity",$T129)),ISNUMBER(SEARCH("tenacity",$R129)),ISNUMBER(SEARCH("tenacity",$S129)),
ISNUMBER(SEARCH("endurance",$D129)),ISNUMBER(SEARCH("endurance",$T129)),ISNUMBER(SEARCH("endurance",$R129)),ISNUMBER(SEARCH("endurance",$S129)),
ISNUMBER(SEARCH("fortitude",$D129)),ISNUMBER(SEARCH("fortitude",$T129)),ISNUMBER(SEARCH("fortitude",$R129)),ISNUMBER(SEARCH("fortitude",$S129)),
ISNUMBER(SEARCH("resolve",$D129)),ISNUMBER(SEARCH("resolve",$T129)),ISNUMBER(SEARCH("resolve",$R129)),ISNUMBER(SEARCH("resolve",$S129)),
ISNUMBER(SEARCH("stamina",$D129)),ISNUMBER(SEARCH("stamina",$T129)),ISNUMBER(SEARCH("stamina",$R129)),ISNUMBER(SEARCH("stamina",$S129)),
ISNUMBER(SEARCH("guts",$D129)),ISNUMBER(SEARCH("guts",$T129)),ISNUMBER(SEARCH("guts",$R129)),ISNUMBER(SEARCH("guts",$S129)),
ISNUMBER(SEARCH("spunk",$D129)),ISNUMBER(SEARCH("spunk",$T129)),ISNUMBER(SEARCH("spunk",$R129)),ISNUMBER(SEARCH("spunk",$S129))), 1, 0)</f>
        <v>0</v>
      </c>
      <c r="BW129" s="5">
        <f t="shared" si="604"/>
        <v>0</v>
      </c>
      <c r="BX129" s="5">
        <f t="shared" si="29"/>
        <v>0</v>
      </c>
      <c r="BY129" s="5">
        <f t="shared" si="30"/>
        <v>0</v>
      </c>
      <c r="BZ129" s="5">
        <f t="shared" si="31"/>
        <v>0</v>
      </c>
      <c r="CA129" s="5">
        <f t="shared" si="32"/>
        <v>0</v>
      </c>
      <c r="CB129" s="5">
        <f t="shared" si="33"/>
        <v>0</v>
      </c>
      <c r="CC129" s="5">
        <f t="shared" si="34"/>
        <v>0</v>
      </c>
      <c r="CD129" s="5">
        <f t="shared" si="35"/>
        <v>0</v>
      </c>
      <c r="CE129" s="5">
        <f t="shared" si="36"/>
        <v>0</v>
      </c>
      <c r="CF129" s="5">
        <f t="shared" si="37"/>
        <v>0</v>
      </c>
      <c r="CG129" s="5">
        <f t="shared" si="38"/>
        <v>0</v>
      </c>
      <c r="CH129" s="5">
        <f t="shared" si="39"/>
        <v>0</v>
      </c>
      <c r="CI129" s="5">
        <f t="shared" si="40"/>
        <v>0</v>
      </c>
      <c r="CJ129" s="5">
        <f t="shared" si="41"/>
        <v>0</v>
      </c>
      <c r="CK129" s="5">
        <f t="shared" si="42"/>
        <v>0</v>
      </c>
      <c r="CL129" s="5">
        <f t="shared" si="43"/>
        <v>0</v>
      </c>
      <c r="CM129" s="5">
        <f t="shared" si="44"/>
        <v>0</v>
      </c>
      <c r="CN129" s="5">
        <f t="shared" si="45"/>
        <v>0</v>
      </c>
      <c r="CO129" s="5">
        <f t="shared" si="46"/>
        <v>0</v>
      </c>
      <c r="CP129" s="6">
        <f t="shared" si="47"/>
        <v>0</v>
      </c>
      <c r="CQ129" s="6">
        <f t="shared" si="48"/>
        <v>0</v>
      </c>
      <c r="CR129" s="6">
        <f t="shared" si="49"/>
        <v>0</v>
      </c>
      <c r="CS129" s="6">
        <f t="shared" si="50"/>
        <v>0</v>
      </c>
      <c r="CT129" s="6">
        <f t="shared" si="584"/>
        <v>0</v>
      </c>
      <c r="CU129" s="6">
        <f t="shared" si="52"/>
        <v>0</v>
      </c>
      <c r="CV129" s="6">
        <f t="shared" si="53"/>
        <v>0</v>
      </c>
      <c r="CW129" s="6">
        <f t="shared" si="54"/>
        <v>0</v>
      </c>
      <c r="CX129" s="6">
        <f t="shared" si="55"/>
        <v>0</v>
      </c>
      <c r="CY129" s="6">
        <f t="shared" si="56"/>
        <v>1</v>
      </c>
      <c r="CZ129" s="6">
        <f t="shared" si="57"/>
        <v>0</v>
      </c>
      <c r="DA129" s="6">
        <f t="shared" si="58"/>
        <v>0</v>
      </c>
      <c r="DB129" s="6">
        <f t="shared" si="59"/>
        <v>0</v>
      </c>
      <c r="DC129" s="6">
        <f t="shared" si="60"/>
        <v>0</v>
      </c>
      <c r="DD129" s="6">
        <f t="shared" si="61"/>
        <v>0</v>
      </c>
      <c r="DE129" s="6">
        <f t="shared" si="62"/>
        <v>0</v>
      </c>
      <c r="DF129" s="6">
        <f t="shared" si="63"/>
        <v>0</v>
      </c>
      <c r="DG129" s="6">
        <f t="shared" si="64"/>
        <v>0</v>
      </c>
      <c r="DH129" s="6">
        <f t="shared" si="579"/>
        <v>0</v>
      </c>
      <c r="DI129" s="6">
        <f t="shared" si="66"/>
        <v>0</v>
      </c>
      <c r="DJ129" s="6">
        <f t="shared" si="574"/>
        <v>0</v>
      </c>
      <c r="DK129" s="7">
        <f t="shared" si="68"/>
        <v>0</v>
      </c>
      <c r="DL129" s="7">
        <f t="shared" si="498"/>
        <v>0</v>
      </c>
      <c r="DM129" s="7">
        <f t="shared" si="70"/>
        <v>0</v>
      </c>
      <c r="DN129" s="7">
        <f t="shared" si="71"/>
        <v>0</v>
      </c>
      <c r="DO129" s="7">
        <f t="shared" si="72"/>
        <v>0</v>
      </c>
      <c r="DP129" s="8">
        <f t="shared" si="73"/>
        <v>0</v>
      </c>
      <c r="DQ129" s="8">
        <f t="shared" si="74"/>
        <v>1</v>
      </c>
      <c r="DR129" s="7">
        <f t="shared" si="75"/>
        <v>0</v>
      </c>
      <c r="DS129" s="7">
        <f t="shared" si="76"/>
        <v>0</v>
      </c>
      <c r="DT129" s="7">
        <f t="shared" si="77"/>
        <v>0</v>
      </c>
      <c r="DU129" s="9">
        <f t="shared" si="78"/>
        <v>0</v>
      </c>
      <c r="DV129" s="9">
        <f t="shared" si="79"/>
        <v>0</v>
      </c>
      <c r="DW129" s="9">
        <f t="shared" si="80"/>
        <v>0</v>
      </c>
      <c r="DX129" s="9">
        <f t="shared" si="81"/>
        <v>0</v>
      </c>
      <c r="DY129" s="9">
        <f t="shared" si="82"/>
        <v>0</v>
      </c>
      <c r="DZ129" s="9">
        <f t="shared" si="83"/>
        <v>0</v>
      </c>
      <c r="EA129" s="9">
        <f t="shared" si="84"/>
        <v>0</v>
      </c>
      <c r="EB129" s="9">
        <f t="shared" si="85"/>
        <v>0</v>
      </c>
      <c r="EC129" s="9">
        <f t="shared" si="86"/>
        <v>0</v>
      </c>
      <c r="ED129" s="9">
        <f t="shared" si="87"/>
        <v>0</v>
      </c>
      <c r="EE129" s="9">
        <f t="shared" si="88"/>
        <v>0</v>
      </c>
      <c r="EF129" s="9">
        <f t="shared" si="89"/>
        <v>0</v>
      </c>
      <c r="EG129" s="9">
        <f t="shared" si="90"/>
        <v>0</v>
      </c>
      <c r="EH129" s="9">
        <f t="shared" si="91"/>
        <v>0</v>
      </c>
      <c r="EI129" s="9">
        <f t="shared" si="92"/>
        <v>0</v>
      </c>
      <c r="EJ129" s="10">
        <f t="shared" si="93"/>
        <v>0</v>
      </c>
      <c r="EK129" s="10">
        <f t="shared" si="94"/>
        <v>0</v>
      </c>
      <c r="EL129" s="10">
        <f t="shared" ref="EL129:EM129" si="605">IF(OR(ISNUMBER(SEARCH("ai software toolkit", $D129)), ISNUMBER(SEARCH("ai software toolkit", $T129)), ISNUMBER(SEARCH("ai software toolkit", $R129)), ISNUMBER(SEARCH("ai software toolkit", $S129))), 1, 0)</f>
        <v>0</v>
      </c>
      <c r="EM129" s="10">
        <f t="shared" si="605"/>
        <v>0</v>
      </c>
      <c r="EN129" s="10">
        <f t="shared" si="96"/>
        <v>0</v>
      </c>
      <c r="EO129" s="10">
        <f t="shared" si="97"/>
        <v>0</v>
      </c>
      <c r="EP129" s="10">
        <f t="shared" si="98"/>
        <v>0</v>
      </c>
      <c r="EQ129" s="10">
        <f t="shared" si="99"/>
        <v>0</v>
      </c>
      <c r="ER129" s="10">
        <f t="shared" si="100"/>
        <v>0</v>
      </c>
      <c r="ES129" s="10">
        <f t="shared" si="101"/>
        <v>0</v>
      </c>
      <c r="ET129" s="10">
        <f t="shared" si="102"/>
        <v>0</v>
      </c>
      <c r="EU129" s="10">
        <f t="shared" si="103"/>
        <v>0</v>
      </c>
      <c r="EV129" s="10">
        <f t="shared" si="104"/>
        <v>0</v>
      </c>
      <c r="EW129" s="10">
        <f t="shared" si="105"/>
        <v>0</v>
      </c>
      <c r="EX129" s="10">
        <f t="shared" si="106"/>
        <v>0</v>
      </c>
      <c r="EY129" s="10">
        <f t="shared" si="107"/>
        <v>0</v>
      </c>
      <c r="EZ129" s="10">
        <f t="shared" si="108"/>
        <v>0</v>
      </c>
      <c r="FA129" s="10">
        <f t="shared" si="109"/>
        <v>0</v>
      </c>
      <c r="FB129" s="10">
        <f t="shared" si="110"/>
        <v>0</v>
      </c>
      <c r="FC129" s="10">
        <f t="shared" si="111"/>
        <v>0</v>
      </c>
      <c r="FD129" s="10">
        <f t="shared" si="112"/>
        <v>0</v>
      </c>
      <c r="FE129" s="10">
        <f t="shared" si="113"/>
        <v>0</v>
      </c>
      <c r="FF129" s="10">
        <f t="shared" si="114"/>
        <v>0</v>
      </c>
      <c r="FG129" s="10">
        <f t="shared" si="115"/>
        <v>0</v>
      </c>
      <c r="FH129" s="10">
        <f t="shared" si="116"/>
        <v>0</v>
      </c>
      <c r="FI129" s="10">
        <f t="shared" si="117"/>
        <v>0</v>
      </c>
      <c r="FJ129" s="10">
        <f t="shared" si="118"/>
        <v>0</v>
      </c>
      <c r="FK129" s="10">
        <f t="shared" si="119"/>
        <v>0</v>
      </c>
      <c r="FL129" s="10">
        <f t="shared" si="120"/>
        <v>0</v>
      </c>
      <c r="FM129" s="10">
        <f t="shared" si="121"/>
        <v>0</v>
      </c>
      <c r="FN129" s="10">
        <f t="shared" si="122"/>
        <v>0</v>
      </c>
      <c r="FO129" s="10">
        <f t="shared" si="123"/>
        <v>0</v>
      </c>
      <c r="FP129" s="10">
        <f t="shared" si="124"/>
        <v>0</v>
      </c>
      <c r="FQ129" s="10">
        <f t="shared" si="125"/>
        <v>1</v>
      </c>
      <c r="FR129" s="11">
        <f t="shared" si="606"/>
        <v>0</v>
      </c>
      <c r="FS129" s="11">
        <f t="shared" si="127"/>
        <v>0</v>
      </c>
      <c r="FT129" s="11">
        <f t="shared" si="128"/>
        <v>0</v>
      </c>
      <c r="FU129" s="11">
        <f t="shared" si="129"/>
        <v>0</v>
      </c>
      <c r="FV129" s="11">
        <f t="shared" si="130"/>
        <v>0</v>
      </c>
      <c r="FW129" s="11">
        <f t="shared" si="131"/>
        <v>0</v>
      </c>
      <c r="FX129" s="11">
        <f t="shared" si="132"/>
        <v>0</v>
      </c>
      <c r="FY129" s="11">
        <f t="shared" si="133"/>
        <v>0</v>
      </c>
      <c r="FZ129" s="11">
        <f t="shared" si="134"/>
        <v>0</v>
      </c>
      <c r="GA129" s="11">
        <f t="shared" si="135"/>
        <v>0</v>
      </c>
      <c r="GB129" s="11">
        <f t="shared" si="136"/>
        <v>0</v>
      </c>
      <c r="GC129" s="11">
        <f t="shared" si="137"/>
        <v>0</v>
      </c>
      <c r="GD129" s="11">
        <f t="shared" si="138"/>
        <v>0</v>
      </c>
      <c r="GE129" s="11">
        <f t="shared" si="139"/>
        <v>0</v>
      </c>
      <c r="GF129" s="11">
        <f t="shared" si="140"/>
        <v>0</v>
      </c>
      <c r="GG129" s="11">
        <f t="shared" si="141"/>
        <v>0</v>
      </c>
      <c r="GH129" s="11">
        <f t="shared" si="142"/>
        <v>0</v>
      </c>
      <c r="GI129" s="11">
        <f t="shared" si="143"/>
        <v>0</v>
      </c>
      <c r="GJ129" s="11">
        <f t="shared" si="144"/>
        <v>0</v>
      </c>
      <c r="GK129" s="11">
        <f t="shared" si="145"/>
        <v>0</v>
      </c>
      <c r="GL129" s="11">
        <f t="shared" si="146"/>
        <v>0</v>
      </c>
      <c r="GM129" s="11">
        <f t="shared" si="147"/>
        <v>0</v>
      </c>
      <c r="GN129" s="11">
        <f t="shared" si="148"/>
        <v>1</v>
      </c>
      <c r="GO129" s="11">
        <f t="shared" si="149"/>
        <v>0</v>
      </c>
      <c r="GP129" s="11">
        <f t="shared" si="150"/>
        <v>0</v>
      </c>
      <c r="GQ129" s="11">
        <f t="shared" si="151"/>
        <v>0</v>
      </c>
      <c r="GR129" s="11">
        <f t="shared" si="152"/>
        <v>1</v>
      </c>
      <c r="GS129" s="11">
        <f t="shared" si="153"/>
        <v>0</v>
      </c>
      <c r="GT129" s="11">
        <f t="shared" si="154"/>
        <v>0</v>
      </c>
      <c r="GU129" s="12">
        <f t="shared" si="155"/>
        <v>0</v>
      </c>
      <c r="GV129" s="12">
        <f t="shared" si="156"/>
        <v>0</v>
      </c>
      <c r="GW129" s="12">
        <f t="shared" si="157"/>
        <v>0</v>
      </c>
      <c r="GX129" s="12">
        <f t="shared" si="158"/>
        <v>0</v>
      </c>
      <c r="GY129" s="12">
        <f t="shared" si="159"/>
        <v>0</v>
      </c>
      <c r="GZ129" s="12">
        <f t="shared" si="160"/>
        <v>0</v>
      </c>
      <c r="HA129" s="12">
        <f t="shared" si="161"/>
        <v>0</v>
      </c>
      <c r="HB129" s="12">
        <f t="shared" si="162"/>
        <v>0</v>
      </c>
      <c r="HC129" s="12">
        <f t="shared" si="163"/>
        <v>0</v>
      </c>
      <c r="HD129" s="12">
        <f t="shared" si="164"/>
        <v>0</v>
      </c>
      <c r="HE129" s="12">
        <f t="shared" si="165"/>
        <v>0</v>
      </c>
      <c r="HF129" s="12">
        <f t="shared" si="166"/>
        <v>0</v>
      </c>
      <c r="HG129" s="12">
        <f t="shared" si="167"/>
        <v>0</v>
      </c>
      <c r="HH129" s="12">
        <f t="shared" si="168"/>
        <v>0</v>
      </c>
      <c r="HI129" s="12">
        <f t="shared" si="169"/>
        <v>0</v>
      </c>
      <c r="HJ129" s="12">
        <f t="shared" si="170"/>
        <v>0</v>
      </c>
      <c r="HK129" s="12">
        <f t="shared" si="171"/>
        <v>0</v>
      </c>
      <c r="HL129" s="12">
        <f t="shared" si="172"/>
        <v>0</v>
      </c>
      <c r="HM129" s="12">
        <f t="shared" si="173"/>
        <v>0</v>
      </c>
      <c r="HN129" s="12">
        <f t="shared" si="174"/>
        <v>0</v>
      </c>
      <c r="HO129" s="12">
        <f t="shared" si="175"/>
        <v>0</v>
      </c>
      <c r="HP129" s="12">
        <f t="shared" si="176"/>
        <v>0</v>
      </c>
      <c r="HQ129" s="12">
        <f t="shared" si="177"/>
        <v>0</v>
      </c>
      <c r="HR129" s="12">
        <f t="shared" si="178"/>
        <v>0</v>
      </c>
      <c r="HS129" s="12">
        <f t="shared" si="179"/>
        <v>0</v>
      </c>
      <c r="HT129" s="12">
        <f t="shared" si="180"/>
        <v>0</v>
      </c>
      <c r="HU129" s="12">
        <f t="shared" si="181"/>
        <v>0</v>
      </c>
      <c r="HV129" s="12">
        <f t="shared" si="182"/>
        <v>0</v>
      </c>
      <c r="HW129" s="12">
        <f t="shared" si="183"/>
        <v>0</v>
      </c>
      <c r="HX129" s="12">
        <f t="shared" si="184"/>
        <v>0</v>
      </c>
      <c r="HY129" s="12">
        <f t="shared" si="185"/>
        <v>0</v>
      </c>
      <c r="HZ129" s="12">
        <f t="shared" si="186"/>
        <v>0</v>
      </c>
      <c r="IA129" s="12">
        <f t="shared" si="187"/>
        <v>0</v>
      </c>
      <c r="IB129" s="12">
        <f t="shared" si="188"/>
        <v>0</v>
      </c>
      <c r="IC129" s="12">
        <f t="shared" si="189"/>
        <v>0</v>
      </c>
      <c r="ID129" s="12">
        <f t="shared" si="190"/>
        <v>0</v>
      </c>
      <c r="IE129" s="12">
        <f t="shared" si="191"/>
        <v>0</v>
      </c>
      <c r="IF129" s="12">
        <f t="shared" si="192"/>
        <v>0</v>
      </c>
      <c r="IG129" s="12">
        <f t="shared" si="193"/>
        <v>0</v>
      </c>
      <c r="IH129" s="12">
        <f t="shared" si="194"/>
        <v>0</v>
      </c>
      <c r="II129" s="12">
        <f t="shared" si="195"/>
        <v>0</v>
      </c>
      <c r="IJ129" s="12">
        <f t="shared" si="196"/>
        <v>0</v>
      </c>
      <c r="IK129" s="12">
        <f t="shared" si="197"/>
        <v>0</v>
      </c>
      <c r="IL129" s="12">
        <f t="shared" si="198"/>
        <v>0</v>
      </c>
      <c r="IM129" s="12">
        <f t="shared" si="199"/>
        <v>0</v>
      </c>
      <c r="IN129" s="12">
        <f t="shared" si="200"/>
        <v>0</v>
      </c>
      <c r="IO129" s="12">
        <f t="shared" si="201"/>
        <v>0</v>
      </c>
      <c r="IP129" s="12">
        <f t="shared" si="202"/>
        <v>0</v>
      </c>
      <c r="IQ129" s="12">
        <f t="shared" si="203"/>
        <v>0</v>
      </c>
      <c r="IR129" s="12">
        <f t="shared" si="204"/>
        <v>0</v>
      </c>
      <c r="IS129" s="12">
        <f t="shared" si="205"/>
        <v>0</v>
      </c>
      <c r="IT129" s="12">
        <f t="shared" si="206"/>
        <v>0</v>
      </c>
      <c r="IU129" s="12">
        <f t="shared" si="207"/>
        <v>0</v>
      </c>
      <c r="IV129" s="12">
        <f t="shared" si="208"/>
        <v>0</v>
      </c>
      <c r="IW129" s="12">
        <f t="shared" si="209"/>
        <v>0</v>
      </c>
      <c r="IX129" s="12">
        <f t="shared" si="210"/>
        <v>0</v>
      </c>
      <c r="IY129" s="12">
        <f t="shared" si="211"/>
        <v>0</v>
      </c>
      <c r="IZ129" s="12">
        <f t="shared" si="212"/>
        <v>1</v>
      </c>
      <c r="JA129" s="13">
        <f t="shared" si="213"/>
        <v>1</v>
      </c>
      <c r="JB129" s="13">
        <f t="shared" si="214"/>
        <v>1</v>
      </c>
      <c r="JC129" s="13">
        <f t="shared" si="215"/>
        <v>0</v>
      </c>
      <c r="JD129" s="13">
        <f t="shared" si="216"/>
        <v>0</v>
      </c>
      <c r="JE129" s="13">
        <f t="shared" si="217"/>
        <v>0</v>
      </c>
      <c r="JF129" s="13">
        <f t="shared" si="218"/>
        <v>0</v>
      </c>
      <c r="JG129" s="13">
        <f t="shared" si="219"/>
        <v>0</v>
      </c>
      <c r="JH129" s="13">
        <f t="shared" si="220"/>
        <v>0</v>
      </c>
      <c r="JI129" s="13">
        <f t="shared" si="221"/>
        <v>0</v>
      </c>
      <c r="JJ129" s="13">
        <f t="shared" si="222"/>
        <v>0</v>
      </c>
      <c r="JK129" s="13">
        <f t="shared" si="223"/>
        <v>0</v>
      </c>
      <c r="JL129" s="13">
        <f t="shared" si="224"/>
        <v>0</v>
      </c>
      <c r="JM129" s="13">
        <f t="shared" si="225"/>
        <v>0</v>
      </c>
      <c r="JN129" s="13">
        <f t="shared" si="226"/>
        <v>0</v>
      </c>
      <c r="JO129" s="13">
        <f t="shared" si="227"/>
        <v>0</v>
      </c>
      <c r="JP129" s="13">
        <f t="shared" si="228"/>
        <v>0</v>
      </c>
      <c r="JQ129" s="13">
        <f t="shared" si="229"/>
        <v>0</v>
      </c>
      <c r="JR129" s="13">
        <f t="shared" si="230"/>
        <v>0</v>
      </c>
      <c r="JS129" s="13">
        <f t="shared" si="231"/>
        <v>0</v>
      </c>
      <c r="JT129" s="13">
        <f t="shared" si="232"/>
        <v>0</v>
      </c>
      <c r="JU129" s="13">
        <f t="shared" si="233"/>
        <v>1</v>
      </c>
      <c r="JV129" s="12">
        <f t="shared" si="234"/>
        <v>0</v>
      </c>
      <c r="JW129" s="12">
        <f t="shared" si="235"/>
        <v>0</v>
      </c>
      <c r="JX129" s="12">
        <f t="shared" si="236"/>
        <v>0</v>
      </c>
      <c r="JY129" s="12">
        <f t="shared" si="237"/>
        <v>0</v>
      </c>
      <c r="JZ129" s="12">
        <f t="shared" si="238"/>
        <v>0</v>
      </c>
      <c r="KA129" s="12">
        <f t="shared" si="239"/>
        <v>0</v>
      </c>
      <c r="KB129" s="12">
        <f t="shared" si="240"/>
        <v>0</v>
      </c>
      <c r="KC129" s="12">
        <f t="shared" si="241"/>
        <v>0</v>
      </c>
      <c r="KD129" s="12">
        <f t="shared" si="242"/>
        <v>0</v>
      </c>
      <c r="KE129" s="12">
        <f t="shared" si="243"/>
        <v>0</v>
      </c>
      <c r="KF129" s="12">
        <f t="shared" si="244"/>
        <v>0</v>
      </c>
      <c r="KG129" s="12">
        <f t="shared" si="245"/>
        <v>0</v>
      </c>
      <c r="KH129" s="12">
        <f t="shared" si="246"/>
        <v>0</v>
      </c>
      <c r="KI129" s="12">
        <f t="shared" si="247"/>
        <v>0</v>
      </c>
      <c r="KJ129" s="12">
        <f t="shared" si="248"/>
        <v>0</v>
      </c>
      <c r="KK129" s="12">
        <f t="shared" si="249"/>
        <v>0</v>
      </c>
      <c r="KL129" s="12">
        <f t="shared" si="250"/>
        <v>0</v>
      </c>
      <c r="KM129" s="12">
        <f t="shared" si="251"/>
        <v>0</v>
      </c>
      <c r="KN129" s="12">
        <f t="shared" si="252"/>
        <v>0</v>
      </c>
      <c r="KO129" s="12">
        <f t="shared" si="253"/>
        <v>0</v>
      </c>
      <c r="KP129" s="12">
        <f t="shared" si="254"/>
        <v>0</v>
      </c>
      <c r="KQ129" s="12">
        <f t="shared" si="255"/>
        <v>0</v>
      </c>
      <c r="KR129" s="12">
        <f t="shared" si="256"/>
        <v>0</v>
      </c>
      <c r="KS129" s="12">
        <f t="shared" si="257"/>
        <v>0</v>
      </c>
      <c r="KT129" s="12">
        <f t="shared" si="258"/>
        <v>0</v>
      </c>
      <c r="KU129" s="12">
        <f t="shared" si="259"/>
        <v>0</v>
      </c>
      <c r="KV129" s="12">
        <f t="shared" si="260"/>
        <v>0</v>
      </c>
      <c r="KW129" s="12">
        <f t="shared" si="261"/>
        <v>0</v>
      </c>
      <c r="KX129" s="12">
        <f t="shared" si="262"/>
        <v>0</v>
      </c>
      <c r="KY129" s="12">
        <f t="shared" si="263"/>
        <v>0</v>
      </c>
      <c r="KZ129" s="12">
        <f t="shared" si="264"/>
        <v>0</v>
      </c>
      <c r="LA129" s="12">
        <f t="shared" si="265"/>
        <v>0</v>
      </c>
      <c r="LB129" s="12">
        <f t="shared" si="266"/>
        <v>0</v>
      </c>
      <c r="LC129" s="12">
        <f t="shared" si="267"/>
        <v>0</v>
      </c>
      <c r="LD129" s="12">
        <f t="shared" si="268"/>
        <v>0</v>
      </c>
      <c r="LE129" s="12">
        <f t="shared" si="269"/>
        <v>0</v>
      </c>
      <c r="LF129" s="12">
        <f t="shared" si="270"/>
        <v>0</v>
      </c>
      <c r="LG129" s="12">
        <f t="shared" si="271"/>
        <v>0</v>
      </c>
      <c r="LH129" s="12">
        <f t="shared" si="272"/>
        <v>0</v>
      </c>
      <c r="LI129" s="12">
        <f t="shared" si="273"/>
        <v>0</v>
      </c>
      <c r="LJ129" s="12">
        <f t="shared" si="274"/>
        <v>0</v>
      </c>
      <c r="LK129" s="12">
        <f t="shared" si="275"/>
        <v>0</v>
      </c>
      <c r="LL129" s="12">
        <f t="shared" si="276"/>
        <v>0</v>
      </c>
      <c r="LM129" s="12">
        <f t="shared" si="277"/>
        <v>0</v>
      </c>
      <c r="LN129" s="12">
        <f t="shared" si="278"/>
        <v>0</v>
      </c>
      <c r="LO129" s="12">
        <f t="shared" si="279"/>
        <v>0</v>
      </c>
      <c r="LP129" s="12">
        <f t="shared" si="280"/>
        <v>0</v>
      </c>
      <c r="LQ129" s="12">
        <f t="shared" si="281"/>
        <v>0</v>
      </c>
      <c r="LR129" s="12">
        <f t="shared" si="282"/>
        <v>0</v>
      </c>
      <c r="LS129" s="12">
        <f t="shared" si="283"/>
        <v>0</v>
      </c>
      <c r="LT129" s="13">
        <f t="shared" si="284"/>
        <v>0</v>
      </c>
      <c r="LU129" s="13">
        <f t="shared" si="285"/>
        <v>0</v>
      </c>
      <c r="LV129" s="13">
        <f t="shared" si="286"/>
        <v>0</v>
      </c>
      <c r="LW129" s="13">
        <f t="shared" si="287"/>
        <v>0</v>
      </c>
      <c r="LX129" s="13">
        <f t="shared" si="288"/>
        <v>0</v>
      </c>
      <c r="LY129" s="13">
        <f t="shared" si="289"/>
        <v>0</v>
      </c>
      <c r="LZ129" s="13">
        <f t="shared" si="290"/>
        <v>0</v>
      </c>
      <c r="MA129" s="13">
        <f t="shared" si="291"/>
        <v>0</v>
      </c>
      <c r="MB129" s="13">
        <f t="shared" si="292"/>
        <v>0</v>
      </c>
      <c r="MC129" s="13">
        <f t="shared" si="293"/>
        <v>0</v>
      </c>
      <c r="MD129" s="13">
        <f t="shared" si="294"/>
        <v>0</v>
      </c>
      <c r="ME129" s="13">
        <f t="shared" si="295"/>
        <v>0</v>
      </c>
      <c r="MF129" s="13">
        <f t="shared" si="296"/>
        <v>0</v>
      </c>
      <c r="MG129" s="13">
        <f t="shared" si="297"/>
        <v>0</v>
      </c>
      <c r="MH129" s="13">
        <f t="shared" si="298"/>
        <v>0</v>
      </c>
      <c r="MI129" s="13">
        <f t="shared" si="299"/>
        <v>0</v>
      </c>
      <c r="MJ129" s="13">
        <f t="shared" si="300"/>
        <v>0</v>
      </c>
      <c r="MK129" s="13">
        <f t="shared" si="301"/>
        <v>0</v>
      </c>
      <c r="ML129" s="14">
        <f t="shared" si="302"/>
        <v>0</v>
      </c>
      <c r="MM129" s="14">
        <f t="shared" si="303"/>
        <v>0</v>
      </c>
      <c r="MN129" s="14">
        <f t="shared" si="304"/>
        <v>0</v>
      </c>
      <c r="MO129" s="14">
        <f t="shared" si="305"/>
        <v>1</v>
      </c>
      <c r="MP129" s="14">
        <f t="shared" si="306"/>
        <v>0</v>
      </c>
      <c r="MQ129" s="14">
        <f t="shared" si="307"/>
        <v>0</v>
      </c>
      <c r="MR129" s="14">
        <f t="shared" si="308"/>
        <v>0</v>
      </c>
      <c r="MS129" s="14">
        <f t="shared" si="309"/>
        <v>0</v>
      </c>
      <c r="MT129" s="14">
        <f t="shared" si="310"/>
        <v>0</v>
      </c>
      <c r="MU129" s="14">
        <f t="shared" si="311"/>
        <v>0</v>
      </c>
      <c r="MV129" s="14">
        <f t="shared" si="312"/>
        <v>0</v>
      </c>
      <c r="MW129" s="14">
        <f t="shared" si="313"/>
        <v>0</v>
      </c>
      <c r="MX129" s="14">
        <f t="shared" si="314"/>
        <v>0</v>
      </c>
      <c r="MY129" s="14">
        <f t="shared" si="315"/>
        <v>0</v>
      </c>
      <c r="MZ129" s="14">
        <f t="shared" si="316"/>
        <v>0</v>
      </c>
      <c r="NA129" s="14">
        <f t="shared" si="317"/>
        <v>0</v>
      </c>
      <c r="NB129" s="14">
        <f t="shared" si="318"/>
        <v>0</v>
      </c>
    </row>
    <row r="130" ht="15.75" customHeight="1">
      <c r="A130" s="15">
        <v>222.0</v>
      </c>
      <c r="B130" s="2" t="s">
        <v>2565</v>
      </c>
      <c r="C130" s="2" t="s">
        <v>2566</v>
      </c>
      <c r="D130" s="2" t="s">
        <v>2567</v>
      </c>
      <c r="E130" s="2">
        <v>2020.0</v>
      </c>
      <c r="F130" s="2" t="s">
        <v>2568</v>
      </c>
      <c r="G130" s="2" t="s">
        <v>1069</v>
      </c>
      <c r="H130" s="2" t="s">
        <v>452</v>
      </c>
      <c r="J130" s="2" t="s">
        <v>2569</v>
      </c>
      <c r="K130" s="2" t="s">
        <v>2570</v>
      </c>
      <c r="M130" s="2">
        <v>5.0</v>
      </c>
      <c r="N130" s="2" t="s">
        <v>2571</v>
      </c>
      <c r="O130" s="2" t="s">
        <v>2572</v>
      </c>
      <c r="P130" s="2" t="s">
        <v>2573</v>
      </c>
      <c r="Q130" s="2" t="s">
        <v>2574</v>
      </c>
      <c r="R130" s="2" t="s">
        <v>2575</v>
      </c>
      <c r="S130" s="2" t="s">
        <v>2576</v>
      </c>
      <c r="Y130" s="2" t="s">
        <v>2577</v>
      </c>
      <c r="AB130" s="2" t="s">
        <v>687</v>
      </c>
      <c r="AG130" s="2" t="s">
        <v>2578</v>
      </c>
      <c r="AK130" s="2" t="s">
        <v>2579</v>
      </c>
      <c r="AL130" s="2" t="s">
        <v>384</v>
      </c>
      <c r="AM130" s="2" t="s">
        <v>484</v>
      </c>
      <c r="AN130" s="2" t="s">
        <v>386</v>
      </c>
      <c r="AO130" s="2" t="s">
        <v>2580</v>
      </c>
      <c r="AP130" s="2" t="s">
        <v>386</v>
      </c>
      <c r="AQ130" s="2">
        <v>922.0</v>
      </c>
      <c r="AR130" s="2" t="s">
        <v>2567</v>
      </c>
      <c r="AS130" s="2" t="b">
        <v>0</v>
      </c>
      <c r="AT130" s="3">
        <v>0.0</v>
      </c>
      <c r="AU130" s="4"/>
      <c r="AV130" s="4"/>
      <c r="AW130" s="5">
        <f t="shared" si="432"/>
        <v>0</v>
      </c>
      <c r="AX130" s="5">
        <f t="shared" si="4"/>
        <v>0</v>
      </c>
      <c r="AY130" s="5">
        <f t="shared" si="5"/>
        <v>0</v>
      </c>
      <c r="AZ130" s="5">
        <f t="shared" si="6"/>
        <v>0</v>
      </c>
      <c r="BA130" s="5">
        <f t="shared" si="7"/>
        <v>0</v>
      </c>
      <c r="BB130" s="5">
        <f t="shared" si="8"/>
        <v>0</v>
      </c>
      <c r="BC130" s="5">
        <f t="shared" si="9"/>
        <v>0</v>
      </c>
      <c r="BD130" s="5">
        <f t="shared" si="10"/>
        <v>0</v>
      </c>
      <c r="BE130" s="5">
        <f t="shared" si="11"/>
        <v>0</v>
      </c>
      <c r="BF130" s="5">
        <f t="shared" si="12"/>
        <v>0</v>
      </c>
      <c r="BG130" s="5">
        <f t="shared" si="13"/>
        <v>0</v>
      </c>
      <c r="BH130" s="5">
        <f t="shared" si="14"/>
        <v>0</v>
      </c>
      <c r="BI130" s="5">
        <f t="shared" si="15"/>
        <v>0</v>
      </c>
      <c r="BJ130" s="5">
        <f t="shared" si="16"/>
        <v>0</v>
      </c>
      <c r="BK130" s="5">
        <f t="shared" si="17"/>
        <v>0</v>
      </c>
      <c r="BL130" s="5">
        <f t="shared" si="18"/>
        <v>0</v>
      </c>
      <c r="BM130" s="5">
        <f t="shared" si="19"/>
        <v>0</v>
      </c>
      <c r="BN130" s="5">
        <f t="shared" si="20"/>
        <v>0</v>
      </c>
      <c r="BO130" s="5">
        <f t="shared" si="21"/>
        <v>0</v>
      </c>
      <c r="BP130" s="5">
        <f t="shared" si="22"/>
        <v>0</v>
      </c>
      <c r="BQ130" s="5">
        <f t="shared" si="23"/>
        <v>0</v>
      </c>
      <c r="BR130" s="5">
        <f t="shared" si="24"/>
        <v>0</v>
      </c>
      <c r="BS130" s="5">
        <f t="shared" si="25"/>
        <v>0</v>
      </c>
      <c r="BT130" s="5">
        <f t="shared" si="26"/>
        <v>0</v>
      </c>
      <c r="BU130" s="5">
        <f t="shared" si="27"/>
        <v>0</v>
      </c>
      <c r="BV130" s="5">
        <f t="shared" ref="BV130:BW130" si="607">IF(OR(ISNUMBER(SEARCH("grit",$D130)),ISNUMBER(SEARCH("grit",$T130)),ISNUMBER(SEARCH("grit",$R130)),ISNUMBER(SEARCH("grit",$S130)),
ISNUMBER(SEARCH("determination",$D130)),ISNUMBER(SEARCH("determination",$T130)),ISNUMBER(SEARCH("determination",$R130)),ISNUMBER(SEARCH("determination",$S130)),
ISNUMBER(SEARCH("tenacity",$D130)),ISNUMBER(SEARCH("tenacity",$T130)),ISNUMBER(SEARCH("tenacity",$R130)),ISNUMBER(SEARCH("tenacity",$S130)),
ISNUMBER(SEARCH("endurance",$D130)),ISNUMBER(SEARCH("endurance",$T130)),ISNUMBER(SEARCH("endurance",$R130)),ISNUMBER(SEARCH("endurance",$S130)),
ISNUMBER(SEARCH("fortitude",$D130)),ISNUMBER(SEARCH("fortitude",$T130)),ISNUMBER(SEARCH("fortitude",$R130)),ISNUMBER(SEARCH("fortitude",$S130)),
ISNUMBER(SEARCH("resolve",$D130)),ISNUMBER(SEARCH("resolve",$T130)),ISNUMBER(SEARCH("resolve",$R130)),ISNUMBER(SEARCH("resolve",$S130)),
ISNUMBER(SEARCH("stamina",$D130)),ISNUMBER(SEARCH("stamina",$T130)),ISNUMBER(SEARCH("stamina",$R130)),ISNUMBER(SEARCH("stamina",$S130)),
ISNUMBER(SEARCH("guts",$D130)),ISNUMBER(SEARCH("guts",$T130)),ISNUMBER(SEARCH("guts",$R130)),ISNUMBER(SEARCH("guts",$S130)),
ISNUMBER(SEARCH("spunk",$D130)),ISNUMBER(SEARCH("spunk",$T130)),ISNUMBER(SEARCH("spunk",$R130)),ISNUMBER(SEARCH("spunk",$S130))), 1, 0)</f>
        <v>0</v>
      </c>
      <c r="BW130" s="5">
        <f t="shared" si="607"/>
        <v>0</v>
      </c>
      <c r="BX130" s="5">
        <f t="shared" si="29"/>
        <v>0</v>
      </c>
      <c r="BY130" s="5">
        <f t="shared" si="30"/>
        <v>0</v>
      </c>
      <c r="BZ130" s="5">
        <f t="shared" si="31"/>
        <v>0</v>
      </c>
      <c r="CA130" s="5">
        <f t="shared" si="32"/>
        <v>0</v>
      </c>
      <c r="CB130" s="5">
        <f t="shared" si="33"/>
        <v>0</v>
      </c>
      <c r="CC130" s="5">
        <f t="shared" si="34"/>
        <v>0</v>
      </c>
      <c r="CD130" s="5">
        <f t="shared" si="35"/>
        <v>0</v>
      </c>
      <c r="CE130" s="5">
        <f t="shared" si="36"/>
        <v>0</v>
      </c>
      <c r="CF130" s="5">
        <f t="shared" si="37"/>
        <v>0</v>
      </c>
      <c r="CG130" s="5">
        <f t="shared" si="38"/>
        <v>0</v>
      </c>
      <c r="CH130" s="5">
        <f t="shared" si="39"/>
        <v>0</v>
      </c>
      <c r="CI130" s="5">
        <f t="shared" si="40"/>
        <v>0</v>
      </c>
      <c r="CJ130" s="5">
        <f t="shared" si="41"/>
        <v>0</v>
      </c>
      <c r="CK130" s="5">
        <f t="shared" si="42"/>
        <v>0</v>
      </c>
      <c r="CL130" s="5">
        <f t="shared" si="43"/>
        <v>0</v>
      </c>
      <c r="CM130" s="5">
        <f t="shared" si="44"/>
        <v>0</v>
      </c>
      <c r="CN130" s="5">
        <f t="shared" si="45"/>
        <v>0</v>
      </c>
      <c r="CO130" s="5">
        <f t="shared" si="46"/>
        <v>0</v>
      </c>
      <c r="CP130" s="6">
        <f t="shared" si="47"/>
        <v>0</v>
      </c>
      <c r="CQ130" s="6">
        <f t="shared" si="48"/>
        <v>0</v>
      </c>
      <c r="CR130" s="6">
        <f t="shared" si="49"/>
        <v>0</v>
      </c>
      <c r="CS130" s="6">
        <f t="shared" si="50"/>
        <v>0</v>
      </c>
      <c r="CT130" s="6">
        <f t="shared" si="584"/>
        <v>0</v>
      </c>
      <c r="CU130" s="6">
        <f t="shared" si="52"/>
        <v>0</v>
      </c>
      <c r="CV130" s="6">
        <f t="shared" si="53"/>
        <v>0</v>
      </c>
      <c r="CW130" s="6">
        <f t="shared" si="54"/>
        <v>0</v>
      </c>
      <c r="CX130" s="6">
        <f t="shared" si="55"/>
        <v>0</v>
      </c>
      <c r="CY130" s="6">
        <f t="shared" si="56"/>
        <v>0</v>
      </c>
      <c r="CZ130" s="6">
        <f t="shared" si="57"/>
        <v>0</v>
      </c>
      <c r="DA130" s="6">
        <f t="shared" si="58"/>
        <v>0</v>
      </c>
      <c r="DB130" s="6">
        <f t="shared" si="59"/>
        <v>0</v>
      </c>
      <c r="DC130" s="6">
        <f t="shared" si="60"/>
        <v>0</v>
      </c>
      <c r="DD130" s="6">
        <f t="shared" si="61"/>
        <v>0</v>
      </c>
      <c r="DE130" s="6">
        <f t="shared" si="62"/>
        <v>0</v>
      </c>
      <c r="DF130" s="6">
        <f t="shared" si="63"/>
        <v>0</v>
      </c>
      <c r="DG130" s="6">
        <f t="shared" si="64"/>
        <v>0</v>
      </c>
      <c r="DH130" s="6">
        <f t="shared" si="579"/>
        <v>0</v>
      </c>
      <c r="DI130" s="6">
        <f t="shared" si="66"/>
        <v>0</v>
      </c>
      <c r="DJ130" s="6">
        <f t="shared" si="574"/>
        <v>0</v>
      </c>
      <c r="DK130" s="7">
        <f t="shared" si="68"/>
        <v>0</v>
      </c>
      <c r="DL130" s="7">
        <f t="shared" si="498"/>
        <v>0</v>
      </c>
      <c r="DM130" s="7">
        <f t="shared" si="70"/>
        <v>0</v>
      </c>
      <c r="DN130" s="7">
        <f t="shared" si="71"/>
        <v>0</v>
      </c>
      <c r="DO130" s="7">
        <f t="shared" si="72"/>
        <v>1</v>
      </c>
      <c r="DP130" s="8">
        <f t="shared" si="73"/>
        <v>0</v>
      </c>
      <c r="DQ130" s="8">
        <f t="shared" si="74"/>
        <v>1</v>
      </c>
      <c r="DR130" s="7">
        <f t="shared" si="75"/>
        <v>0</v>
      </c>
      <c r="DS130" s="7">
        <f t="shared" si="76"/>
        <v>0</v>
      </c>
      <c r="DT130" s="7">
        <f t="shared" si="77"/>
        <v>0</v>
      </c>
      <c r="DU130" s="9">
        <f t="shared" si="78"/>
        <v>0</v>
      </c>
      <c r="DV130" s="9">
        <f t="shared" si="79"/>
        <v>0</v>
      </c>
      <c r="DW130" s="9">
        <f t="shared" si="80"/>
        <v>0</v>
      </c>
      <c r="DX130" s="9">
        <f t="shared" si="81"/>
        <v>0</v>
      </c>
      <c r="DY130" s="9">
        <f t="shared" si="82"/>
        <v>0</v>
      </c>
      <c r="DZ130" s="9">
        <f t="shared" si="83"/>
        <v>0</v>
      </c>
      <c r="EA130" s="9">
        <f t="shared" si="84"/>
        <v>0</v>
      </c>
      <c r="EB130" s="9">
        <f t="shared" si="85"/>
        <v>0</v>
      </c>
      <c r="EC130" s="9">
        <f t="shared" si="86"/>
        <v>0</v>
      </c>
      <c r="ED130" s="9">
        <f t="shared" si="87"/>
        <v>0</v>
      </c>
      <c r="EE130" s="9">
        <f t="shared" si="88"/>
        <v>0</v>
      </c>
      <c r="EF130" s="9">
        <f t="shared" si="89"/>
        <v>0</v>
      </c>
      <c r="EG130" s="9">
        <f t="shared" si="90"/>
        <v>0</v>
      </c>
      <c r="EH130" s="9">
        <f t="shared" si="91"/>
        <v>0</v>
      </c>
      <c r="EI130" s="9">
        <f t="shared" si="92"/>
        <v>0</v>
      </c>
      <c r="EJ130" s="10">
        <f t="shared" si="93"/>
        <v>0</v>
      </c>
      <c r="EK130" s="10">
        <f t="shared" si="94"/>
        <v>0</v>
      </c>
      <c r="EL130" s="10">
        <f t="shared" ref="EL130:EM130" si="608">IF(OR(ISNUMBER(SEARCH("ai software toolkit", $D130)), ISNUMBER(SEARCH("ai software toolkit", $T130)), ISNUMBER(SEARCH("ai software toolkit", $R130)), ISNUMBER(SEARCH("ai software toolkit", $S130))), 1, 0)</f>
        <v>0</v>
      </c>
      <c r="EM130" s="10">
        <f t="shared" si="608"/>
        <v>0</v>
      </c>
      <c r="EN130" s="10">
        <f t="shared" si="96"/>
        <v>0</v>
      </c>
      <c r="EO130" s="10">
        <f t="shared" si="97"/>
        <v>0</v>
      </c>
      <c r="EP130" s="10">
        <f t="shared" si="98"/>
        <v>0</v>
      </c>
      <c r="EQ130" s="10">
        <f t="shared" si="99"/>
        <v>0</v>
      </c>
      <c r="ER130" s="10">
        <f t="shared" si="100"/>
        <v>0</v>
      </c>
      <c r="ES130" s="10">
        <f t="shared" si="101"/>
        <v>0</v>
      </c>
      <c r="ET130" s="10">
        <f t="shared" si="102"/>
        <v>0</v>
      </c>
      <c r="EU130" s="10">
        <f t="shared" si="103"/>
        <v>0</v>
      </c>
      <c r="EV130" s="10">
        <f t="shared" si="104"/>
        <v>0</v>
      </c>
      <c r="EW130" s="10">
        <f t="shared" si="105"/>
        <v>0</v>
      </c>
      <c r="EX130" s="10">
        <f t="shared" si="106"/>
        <v>0</v>
      </c>
      <c r="EY130" s="10">
        <f t="shared" si="107"/>
        <v>0</v>
      </c>
      <c r="EZ130" s="10">
        <f t="shared" si="108"/>
        <v>0</v>
      </c>
      <c r="FA130" s="10">
        <f t="shared" si="109"/>
        <v>0</v>
      </c>
      <c r="FB130" s="10">
        <f t="shared" si="110"/>
        <v>0</v>
      </c>
      <c r="FC130" s="10">
        <f t="shared" si="111"/>
        <v>0</v>
      </c>
      <c r="FD130" s="10">
        <f t="shared" si="112"/>
        <v>0</v>
      </c>
      <c r="FE130" s="10">
        <f t="shared" si="113"/>
        <v>0</v>
      </c>
      <c r="FF130" s="10">
        <f t="shared" si="114"/>
        <v>0</v>
      </c>
      <c r="FG130" s="10">
        <f t="shared" si="115"/>
        <v>0</v>
      </c>
      <c r="FH130" s="10">
        <f t="shared" si="116"/>
        <v>0</v>
      </c>
      <c r="FI130" s="10">
        <f t="shared" si="117"/>
        <v>0</v>
      </c>
      <c r="FJ130" s="10">
        <f t="shared" si="118"/>
        <v>0</v>
      </c>
      <c r="FK130" s="10">
        <f t="shared" si="119"/>
        <v>0</v>
      </c>
      <c r="FL130" s="10">
        <f t="shared" si="120"/>
        <v>0</v>
      </c>
      <c r="FM130" s="10">
        <f t="shared" si="121"/>
        <v>0</v>
      </c>
      <c r="FN130" s="10">
        <f t="shared" si="122"/>
        <v>0</v>
      </c>
      <c r="FO130" s="10">
        <f t="shared" si="123"/>
        <v>0</v>
      </c>
      <c r="FP130" s="10">
        <f t="shared" si="124"/>
        <v>0</v>
      </c>
      <c r="FQ130" s="10">
        <f t="shared" si="125"/>
        <v>0</v>
      </c>
      <c r="FR130" s="11">
        <f t="shared" ref="FR130:FR136" si="611">IF(
OR(
ISNUMBER(SEARCH("chatbot",$D130)),ISNUMBER(SEARCH("chatbot",$T130)),ISNUMBER(SEARCH("chatbot",#REF!)),ISNUMBER(SEARCH("chatbot",$S130)),
ISNUMBER(SEARCH("virtual assistance",$D130)),ISNUMBER(SEARCH("virtual assistance",$T130)),ISNUMBER(SEARCH("virtual assistance",$R130)),ISNUMBER(SEARCH("virtual assistance",$S130))), 1, 0)</f>
        <v>0</v>
      </c>
      <c r="FS130" s="11">
        <f t="shared" si="127"/>
        <v>0</v>
      </c>
      <c r="FT130" s="11">
        <f t="shared" si="128"/>
        <v>0</v>
      </c>
      <c r="FU130" s="11">
        <f t="shared" si="129"/>
        <v>0</v>
      </c>
      <c r="FV130" s="11">
        <f t="shared" si="130"/>
        <v>0</v>
      </c>
      <c r="FW130" s="11">
        <f t="shared" si="131"/>
        <v>0</v>
      </c>
      <c r="FX130" s="11">
        <f t="shared" si="132"/>
        <v>0</v>
      </c>
      <c r="FY130" s="11">
        <f t="shared" si="133"/>
        <v>0</v>
      </c>
      <c r="FZ130" s="11">
        <f t="shared" si="134"/>
        <v>0</v>
      </c>
      <c r="GA130" s="11">
        <f t="shared" si="135"/>
        <v>0</v>
      </c>
      <c r="GB130" s="11">
        <f t="shared" si="136"/>
        <v>0</v>
      </c>
      <c r="GC130" s="11">
        <f t="shared" si="137"/>
        <v>0</v>
      </c>
      <c r="GD130" s="11">
        <f t="shared" si="138"/>
        <v>0</v>
      </c>
      <c r="GE130" s="11">
        <f t="shared" si="139"/>
        <v>0</v>
      </c>
      <c r="GF130" s="11">
        <f t="shared" si="140"/>
        <v>0</v>
      </c>
      <c r="GG130" s="11">
        <f t="shared" si="141"/>
        <v>0</v>
      </c>
      <c r="GH130" s="11">
        <f t="shared" si="142"/>
        <v>0</v>
      </c>
      <c r="GI130" s="11">
        <f t="shared" si="143"/>
        <v>0</v>
      </c>
      <c r="GJ130" s="11">
        <f t="shared" si="144"/>
        <v>0</v>
      </c>
      <c r="GK130" s="11">
        <f t="shared" si="145"/>
        <v>0</v>
      </c>
      <c r="GL130" s="11">
        <f t="shared" si="146"/>
        <v>0</v>
      </c>
      <c r="GM130" s="11">
        <f t="shared" si="147"/>
        <v>0</v>
      </c>
      <c r="GN130" s="11">
        <f t="shared" si="148"/>
        <v>0</v>
      </c>
      <c r="GO130" s="11">
        <f t="shared" si="149"/>
        <v>0</v>
      </c>
      <c r="GP130" s="11">
        <f t="shared" si="150"/>
        <v>0</v>
      </c>
      <c r="GQ130" s="11">
        <f t="shared" si="151"/>
        <v>0</v>
      </c>
      <c r="GR130" s="11">
        <f t="shared" si="152"/>
        <v>0</v>
      </c>
      <c r="GS130" s="11">
        <f t="shared" si="153"/>
        <v>0</v>
      </c>
      <c r="GT130" s="11">
        <f t="shared" si="154"/>
        <v>0</v>
      </c>
      <c r="GU130" s="12">
        <f t="shared" si="155"/>
        <v>0</v>
      </c>
      <c r="GV130" s="12">
        <f t="shared" si="156"/>
        <v>0</v>
      </c>
      <c r="GW130" s="12">
        <f t="shared" si="157"/>
        <v>0</v>
      </c>
      <c r="GX130" s="12">
        <f t="shared" si="158"/>
        <v>0</v>
      </c>
      <c r="GY130" s="12">
        <f t="shared" si="159"/>
        <v>0</v>
      </c>
      <c r="GZ130" s="12">
        <f t="shared" si="160"/>
        <v>0</v>
      </c>
      <c r="HA130" s="12">
        <f t="shared" si="161"/>
        <v>0</v>
      </c>
      <c r="HB130" s="12">
        <f t="shared" si="162"/>
        <v>0</v>
      </c>
      <c r="HC130" s="12">
        <f t="shared" si="163"/>
        <v>0</v>
      </c>
      <c r="HD130" s="12">
        <f t="shared" si="164"/>
        <v>0</v>
      </c>
      <c r="HE130" s="12">
        <f t="shared" si="165"/>
        <v>0</v>
      </c>
      <c r="HF130" s="12">
        <f t="shared" si="166"/>
        <v>0</v>
      </c>
      <c r="HG130" s="12">
        <f t="shared" si="167"/>
        <v>0</v>
      </c>
      <c r="HH130" s="12">
        <f t="shared" si="168"/>
        <v>0</v>
      </c>
      <c r="HI130" s="12">
        <f t="shared" si="169"/>
        <v>0</v>
      </c>
      <c r="HJ130" s="12">
        <f t="shared" si="170"/>
        <v>0</v>
      </c>
      <c r="HK130" s="12">
        <f t="shared" si="171"/>
        <v>0</v>
      </c>
      <c r="HL130" s="12">
        <f t="shared" si="172"/>
        <v>0</v>
      </c>
      <c r="HM130" s="12">
        <f t="shared" si="173"/>
        <v>0</v>
      </c>
      <c r="HN130" s="12">
        <f t="shared" si="174"/>
        <v>0</v>
      </c>
      <c r="HO130" s="12">
        <f t="shared" si="175"/>
        <v>0</v>
      </c>
      <c r="HP130" s="12">
        <f t="shared" si="176"/>
        <v>0</v>
      </c>
      <c r="HQ130" s="12">
        <f t="shared" si="177"/>
        <v>0</v>
      </c>
      <c r="HR130" s="12">
        <f t="shared" si="178"/>
        <v>0</v>
      </c>
      <c r="HS130" s="12">
        <f t="shared" si="179"/>
        <v>0</v>
      </c>
      <c r="HT130" s="12">
        <f t="shared" si="180"/>
        <v>0</v>
      </c>
      <c r="HU130" s="12">
        <f t="shared" si="181"/>
        <v>0</v>
      </c>
      <c r="HV130" s="12">
        <f t="shared" si="182"/>
        <v>0</v>
      </c>
      <c r="HW130" s="12">
        <f t="shared" si="183"/>
        <v>0</v>
      </c>
      <c r="HX130" s="12">
        <f t="shared" si="184"/>
        <v>0</v>
      </c>
      <c r="HY130" s="12">
        <f t="shared" si="185"/>
        <v>0</v>
      </c>
      <c r="HZ130" s="12">
        <f t="shared" si="186"/>
        <v>0</v>
      </c>
      <c r="IA130" s="12">
        <f t="shared" si="187"/>
        <v>0</v>
      </c>
      <c r="IB130" s="12">
        <f t="shared" si="188"/>
        <v>0</v>
      </c>
      <c r="IC130" s="12">
        <f t="shared" si="189"/>
        <v>0</v>
      </c>
      <c r="ID130" s="12">
        <f t="shared" si="190"/>
        <v>0</v>
      </c>
      <c r="IE130" s="12">
        <f t="shared" si="191"/>
        <v>0</v>
      </c>
      <c r="IF130" s="12">
        <f t="shared" si="192"/>
        <v>0</v>
      </c>
      <c r="IG130" s="12">
        <f t="shared" si="193"/>
        <v>0</v>
      </c>
      <c r="IH130" s="12">
        <f t="shared" si="194"/>
        <v>0</v>
      </c>
      <c r="II130" s="12">
        <f t="shared" si="195"/>
        <v>0</v>
      </c>
      <c r="IJ130" s="12">
        <f t="shared" si="196"/>
        <v>0</v>
      </c>
      <c r="IK130" s="12">
        <f t="shared" si="197"/>
        <v>0</v>
      </c>
      <c r="IL130" s="12">
        <f t="shared" si="198"/>
        <v>0</v>
      </c>
      <c r="IM130" s="12">
        <f t="shared" si="199"/>
        <v>0</v>
      </c>
      <c r="IN130" s="12">
        <f t="shared" si="200"/>
        <v>0</v>
      </c>
      <c r="IO130" s="12">
        <f t="shared" si="201"/>
        <v>0</v>
      </c>
      <c r="IP130" s="12">
        <f t="shared" si="202"/>
        <v>0</v>
      </c>
      <c r="IQ130" s="12">
        <f t="shared" si="203"/>
        <v>0</v>
      </c>
      <c r="IR130" s="12">
        <f t="shared" si="204"/>
        <v>0</v>
      </c>
      <c r="IS130" s="12">
        <f t="shared" si="205"/>
        <v>0</v>
      </c>
      <c r="IT130" s="12">
        <f t="shared" si="206"/>
        <v>0</v>
      </c>
      <c r="IU130" s="12">
        <f t="shared" si="207"/>
        <v>0</v>
      </c>
      <c r="IV130" s="12">
        <f t="shared" si="208"/>
        <v>0</v>
      </c>
      <c r="IW130" s="12">
        <f t="shared" si="209"/>
        <v>0</v>
      </c>
      <c r="IX130" s="12">
        <f t="shared" si="210"/>
        <v>0</v>
      </c>
      <c r="IY130" s="12">
        <f t="shared" si="211"/>
        <v>0</v>
      </c>
      <c r="IZ130" s="12">
        <f t="shared" si="212"/>
        <v>0</v>
      </c>
      <c r="JA130" s="13">
        <f t="shared" si="213"/>
        <v>0</v>
      </c>
      <c r="JB130" s="13">
        <f t="shared" si="214"/>
        <v>0</v>
      </c>
      <c r="JC130" s="13">
        <f t="shared" si="215"/>
        <v>0</v>
      </c>
      <c r="JD130" s="13">
        <f t="shared" si="216"/>
        <v>0</v>
      </c>
      <c r="JE130" s="13">
        <f t="shared" si="217"/>
        <v>0</v>
      </c>
      <c r="JF130" s="13">
        <f t="shared" si="218"/>
        <v>0</v>
      </c>
      <c r="JG130" s="13">
        <f t="shared" si="219"/>
        <v>0</v>
      </c>
      <c r="JH130" s="13">
        <f t="shared" si="220"/>
        <v>0</v>
      </c>
      <c r="JI130" s="13">
        <f t="shared" si="221"/>
        <v>0</v>
      </c>
      <c r="JJ130" s="13">
        <f t="shared" si="222"/>
        <v>0</v>
      </c>
      <c r="JK130" s="13">
        <f t="shared" si="223"/>
        <v>0</v>
      </c>
      <c r="JL130" s="13">
        <f t="shared" si="224"/>
        <v>0</v>
      </c>
      <c r="JM130" s="13">
        <f t="shared" si="225"/>
        <v>0</v>
      </c>
      <c r="JN130" s="13">
        <f t="shared" si="226"/>
        <v>0</v>
      </c>
      <c r="JO130" s="13">
        <f t="shared" si="227"/>
        <v>0</v>
      </c>
      <c r="JP130" s="13">
        <f t="shared" si="228"/>
        <v>0</v>
      </c>
      <c r="JQ130" s="13">
        <f t="shared" si="229"/>
        <v>0</v>
      </c>
      <c r="JR130" s="13">
        <f t="shared" si="230"/>
        <v>0</v>
      </c>
      <c r="JS130" s="13">
        <f t="shared" si="231"/>
        <v>0</v>
      </c>
      <c r="JT130" s="13">
        <f t="shared" si="232"/>
        <v>0</v>
      </c>
      <c r="JU130" s="13">
        <f t="shared" si="233"/>
        <v>0</v>
      </c>
      <c r="JV130" s="12">
        <f t="shared" si="234"/>
        <v>0</v>
      </c>
      <c r="JW130" s="12">
        <f t="shared" si="235"/>
        <v>0</v>
      </c>
      <c r="JX130" s="12">
        <f t="shared" si="236"/>
        <v>0</v>
      </c>
      <c r="JY130" s="12">
        <f t="shared" si="237"/>
        <v>0</v>
      </c>
      <c r="JZ130" s="12">
        <f t="shared" si="238"/>
        <v>0</v>
      </c>
      <c r="KA130" s="12">
        <f t="shared" si="239"/>
        <v>0</v>
      </c>
      <c r="KB130" s="12">
        <f t="shared" si="240"/>
        <v>0</v>
      </c>
      <c r="KC130" s="12">
        <f t="shared" si="241"/>
        <v>0</v>
      </c>
      <c r="KD130" s="12">
        <f t="shared" si="242"/>
        <v>0</v>
      </c>
      <c r="KE130" s="12">
        <f t="shared" si="243"/>
        <v>0</v>
      </c>
      <c r="KF130" s="12">
        <f t="shared" si="244"/>
        <v>0</v>
      </c>
      <c r="KG130" s="12">
        <f t="shared" si="245"/>
        <v>0</v>
      </c>
      <c r="KH130" s="12">
        <f t="shared" si="246"/>
        <v>0</v>
      </c>
      <c r="KI130" s="12">
        <f t="shared" si="247"/>
        <v>0</v>
      </c>
      <c r="KJ130" s="12">
        <f t="shared" si="248"/>
        <v>0</v>
      </c>
      <c r="KK130" s="12">
        <f t="shared" si="249"/>
        <v>0</v>
      </c>
      <c r="KL130" s="12">
        <f t="shared" si="250"/>
        <v>0</v>
      </c>
      <c r="KM130" s="12">
        <f t="shared" si="251"/>
        <v>0</v>
      </c>
      <c r="KN130" s="12">
        <f t="shared" si="252"/>
        <v>0</v>
      </c>
      <c r="KO130" s="12">
        <f t="shared" si="253"/>
        <v>0</v>
      </c>
      <c r="KP130" s="12">
        <f t="shared" si="254"/>
        <v>0</v>
      </c>
      <c r="KQ130" s="12">
        <f t="shared" si="255"/>
        <v>0</v>
      </c>
      <c r="KR130" s="12">
        <f t="shared" si="256"/>
        <v>0</v>
      </c>
      <c r="KS130" s="12">
        <f t="shared" si="257"/>
        <v>0</v>
      </c>
      <c r="KT130" s="12">
        <f t="shared" si="258"/>
        <v>0</v>
      </c>
      <c r="KU130" s="12">
        <f t="shared" si="259"/>
        <v>0</v>
      </c>
      <c r="KV130" s="12">
        <f t="shared" si="260"/>
        <v>0</v>
      </c>
      <c r="KW130" s="12">
        <f t="shared" si="261"/>
        <v>0</v>
      </c>
      <c r="KX130" s="12">
        <f t="shared" si="262"/>
        <v>0</v>
      </c>
      <c r="KY130" s="12">
        <f t="shared" si="263"/>
        <v>0</v>
      </c>
      <c r="KZ130" s="12">
        <f t="shared" si="264"/>
        <v>0</v>
      </c>
      <c r="LA130" s="12">
        <f t="shared" si="265"/>
        <v>0</v>
      </c>
      <c r="LB130" s="12">
        <f t="shared" si="266"/>
        <v>0</v>
      </c>
      <c r="LC130" s="12">
        <f t="shared" si="267"/>
        <v>0</v>
      </c>
      <c r="LD130" s="12">
        <f t="shared" si="268"/>
        <v>0</v>
      </c>
      <c r="LE130" s="12">
        <f t="shared" si="269"/>
        <v>0</v>
      </c>
      <c r="LF130" s="12">
        <f t="shared" si="270"/>
        <v>0</v>
      </c>
      <c r="LG130" s="12">
        <f t="shared" si="271"/>
        <v>0</v>
      </c>
      <c r="LH130" s="12">
        <f t="shared" si="272"/>
        <v>0</v>
      </c>
      <c r="LI130" s="12">
        <f t="shared" si="273"/>
        <v>0</v>
      </c>
      <c r="LJ130" s="12">
        <f t="shared" si="274"/>
        <v>0</v>
      </c>
      <c r="LK130" s="12">
        <f t="shared" si="275"/>
        <v>0</v>
      </c>
      <c r="LL130" s="12">
        <f t="shared" si="276"/>
        <v>0</v>
      </c>
      <c r="LM130" s="12">
        <f t="shared" si="277"/>
        <v>0</v>
      </c>
      <c r="LN130" s="12">
        <f t="shared" si="278"/>
        <v>0</v>
      </c>
      <c r="LO130" s="12">
        <f t="shared" si="279"/>
        <v>0</v>
      </c>
      <c r="LP130" s="12">
        <f t="shared" si="280"/>
        <v>0</v>
      </c>
      <c r="LQ130" s="12">
        <f t="shared" si="281"/>
        <v>0</v>
      </c>
      <c r="LR130" s="12">
        <f t="shared" si="282"/>
        <v>0</v>
      </c>
      <c r="LS130" s="12">
        <f t="shared" si="283"/>
        <v>0</v>
      </c>
      <c r="LT130" s="13">
        <f t="shared" si="284"/>
        <v>0</v>
      </c>
      <c r="LU130" s="13">
        <f t="shared" si="285"/>
        <v>0</v>
      </c>
      <c r="LV130" s="13">
        <f t="shared" si="286"/>
        <v>0</v>
      </c>
      <c r="LW130" s="13">
        <f t="shared" si="287"/>
        <v>0</v>
      </c>
      <c r="LX130" s="13">
        <f t="shared" si="288"/>
        <v>0</v>
      </c>
      <c r="LY130" s="13">
        <f t="shared" si="289"/>
        <v>0</v>
      </c>
      <c r="LZ130" s="13">
        <f t="shared" si="290"/>
        <v>0</v>
      </c>
      <c r="MA130" s="13">
        <f t="shared" si="291"/>
        <v>0</v>
      </c>
      <c r="MB130" s="13">
        <f t="shared" si="292"/>
        <v>0</v>
      </c>
      <c r="MC130" s="13">
        <f t="shared" si="293"/>
        <v>0</v>
      </c>
      <c r="MD130" s="13">
        <f t="shared" si="294"/>
        <v>0</v>
      </c>
      <c r="ME130" s="13">
        <f t="shared" si="295"/>
        <v>0</v>
      </c>
      <c r="MF130" s="13">
        <f t="shared" si="296"/>
        <v>0</v>
      </c>
      <c r="MG130" s="13">
        <f t="shared" si="297"/>
        <v>0</v>
      </c>
      <c r="MH130" s="13">
        <f t="shared" si="298"/>
        <v>0</v>
      </c>
      <c r="MI130" s="13">
        <f t="shared" si="299"/>
        <v>0</v>
      </c>
      <c r="MJ130" s="13">
        <f t="shared" si="300"/>
        <v>0</v>
      </c>
      <c r="MK130" s="13">
        <f t="shared" si="301"/>
        <v>0</v>
      </c>
      <c r="ML130" s="14">
        <f t="shared" si="302"/>
        <v>0</v>
      </c>
      <c r="MM130" s="14">
        <f t="shared" si="303"/>
        <v>0</v>
      </c>
      <c r="MN130" s="14">
        <f t="shared" si="304"/>
        <v>0</v>
      </c>
      <c r="MO130" s="14">
        <f t="shared" si="305"/>
        <v>0</v>
      </c>
      <c r="MP130" s="14">
        <f t="shared" si="306"/>
        <v>0</v>
      </c>
      <c r="MQ130" s="14">
        <f t="shared" si="307"/>
        <v>0</v>
      </c>
      <c r="MR130" s="14">
        <f t="shared" si="308"/>
        <v>0</v>
      </c>
      <c r="MS130" s="14">
        <f t="shared" si="309"/>
        <v>0</v>
      </c>
      <c r="MT130" s="14">
        <f t="shared" si="310"/>
        <v>0</v>
      </c>
      <c r="MU130" s="14">
        <f t="shared" si="311"/>
        <v>0</v>
      </c>
      <c r="MV130" s="14">
        <f t="shared" si="312"/>
        <v>0</v>
      </c>
      <c r="MW130" s="14">
        <f t="shared" si="313"/>
        <v>0</v>
      </c>
      <c r="MX130" s="14">
        <f t="shared" si="314"/>
        <v>0</v>
      </c>
      <c r="MY130" s="14">
        <f t="shared" si="315"/>
        <v>0</v>
      </c>
      <c r="MZ130" s="14">
        <f t="shared" si="316"/>
        <v>0</v>
      </c>
      <c r="NA130" s="14">
        <f t="shared" si="317"/>
        <v>0</v>
      </c>
      <c r="NB130" s="14">
        <f t="shared" si="318"/>
        <v>0</v>
      </c>
    </row>
    <row r="131" ht="15.75" customHeight="1">
      <c r="A131" s="2">
        <v>212.0</v>
      </c>
      <c r="B131" s="2" t="s">
        <v>2581</v>
      </c>
      <c r="C131" s="2" t="s">
        <v>2582</v>
      </c>
      <c r="D131" s="2" t="s">
        <v>2583</v>
      </c>
      <c r="E131" s="2">
        <v>2020.0</v>
      </c>
      <c r="F131" s="2" t="s">
        <v>2584</v>
      </c>
      <c r="G131" s="2" t="s">
        <v>744</v>
      </c>
      <c r="H131" s="2" t="s">
        <v>432</v>
      </c>
      <c r="J131" s="2" t="s">
        <v>2585</v>
      </c>
      <c r="K131" s="2" t="s">
        <v>2586</v>
      </c>
      <c r="M131" s="2">
        <v>5.0</v>
      </c>
      <c r="N131" s="2" t="s">
        <v>2587</v>
      </c>
      <c r="O131" s="2" t="s">
        <v>2588</v>
      </c>
      <c r="P131" s="2" t="s">
        <v>2589</v>
      </c>
      <c r="Q131" s="2" t="s">
        <v>2590</v>
      </c>
      <c r="R131" s="2" t="s">
        <v>2591</v>
      </c>
      <c r="S131" s="2" t="s">
        <v>2592</v>
      </c>
      <c r="T131" s="2" t="s">
        <v>2593</v>
      </c>
      <c r="Y131" s="2" t="s">
        <v>2594</v>
      </c>
      <c r="AB131" s="2" t="s">
        <v>595</v>
      </c>
      <c r="AG131" s="2" t="s">
        <v>2595</v>
      </c>
      <c r="AI131" s="2" t="s">
        <v>2596</v>
      </c>
      <c r="AJ131" s="2">
        <v>3.1107975E7</v>
      </c>
      <c r="AK131" s="2" t="s">
        <v>2597</v>
      </c>
      <c r="AL131" s="2" t="s">
        <v>384</v>
      </c>
      <c r="AM131" s="2" t="s">
        <v>579</v>
      </c>
      <c r="AN131" s="2" t="s">
        <v>386</v>
      </c>
      <c r="AO131" s="2" t="s">
        <v>2598</v>
      </c>
      <c r="AP131" s="2" t="s">
        <v>386</v>
      </c>
      <c r="AQ131" s="2">
        <v>877.0</v>
      </c>
      <c r="AR131" s="2" t="s">
        <v>2599</v>
      </c>
      <c r="AS131" s="2" t="b">
        <v>1</v>
      </c>
      <c r="AT131" s="3">
        <v>0.0</v>
      </c>
      <c r="AU131" s="4"/>
      <c r="AV131" s="4"/>
      <c r="AW131" s="5">
        <f t="shared" si="432"/>
        <v>0</v>
      </c>
      <c r="AX131" s="5">
        <f t="shared" si="4"/>
        <v>0</v>
      </c>
      <c r="AY131" s="5">
        <f t="shared" si="5"/>
        <v>0</v>
      </c>
      <c r="AZ131" s="5">
        <f t="shared" si="6"/>
        <v>0</v>
      </c>
      <c r="BA131" s="5">
        <f t="shared" si="7"/>
        <v>0</v>
      </c>
      <c r="BB131" s="5">
        <f t="shared" si="8"/>
        <v>0</v>
      </c>
      <c r="BC131" s="5">
        <f t="shared" si="9"/>
        <v>0</v>
      </c>
      <c r="BD131" s="5">
        <f t="shared" si="10"/>
        <v>0</v>
      </c>
      <c r="BE131" s="5">
        <f t="shared" si="11"/>
        <v>0</v>
      </c>
      <c r="BF131" s="5">
        <f t="shared" si="12"/>
        <v>0</v>
      </c>
      <c r="BG131" s="5">
        <f t="shared" si="13"/>
        <v>0</v>
      </c>
      <c r="BH131" s="5">
        <f t="shared" si="14"/>
        <v>0</v>
      </c>
      <c r="BI131" s="5">
        <f t="shared" si="15"/>
        <v>0</v>
      </c>
      <c r="BJ131" s="5">
        <f t="shared" si="16"/>
        <v>0</v>
      </c>
      <c r="BK131" s="5">
        <f t="shared" si="17"/>
        <v>0</v>
      </c>
      <c r="BL131" s="5">
        <f t="shared" si="18"/>
        <v>0</v>
      </c>
      <c r="BM131" s="5">
        <f t="shared" si="19"/>
        <v>0</v>
      </c>
      <c r="BN131" s="5">
        <f t="shared" si="20"/>
        <v>0</v>
      </c>
      <c r="BO131" s="5">
        <f t="shared" si="21"/>
        <v>0</v>
      </c>
      <c r="BP131" s="5">
        <f t="shared" si="22"/>
        <v>0</v>
      </c>
      <c r="BQ131" s="5">
        <f t="shared" si="23"/>
        <v>0</v>
      </c>
      <c r="BR131" s="5">
        <f t="shared" si="24"/>
        <v>0</v>
      </c>
      <c r="BS131" s="5">
        <f t="shared" si="25"/>
        <v>0</v>
      </c>
      <c r="BT131" s="5">
        <f t="shared" si="26"/>
        <v>0</v>
      </c>
      <c r="BU131" s="5">
        <f t="shared" si="27"/>
        <v>0</v>
      </c>
      <c r="BV131" s="5">
        <f t="shared" ref="BV131:BW131" si="609">IF(OR(ISNUMBER(SEARCH("grit",$D131)),ISNUMBER(SEARCH("grit",$T131)),ISNUMBER(SEARCH("grit",$R131)),ISNUMBER(SEARCH("grit",$S131)),
ISNUMBER(SEARCH("determination",$D131)),ISNUMBER(SEARCH("determination",$T131)),ISNUMBER(SEARCH("determination",$R131)),ISNUMBER(SEARCH("determination",$S131)),
ISNUMBER(SEARCH("tenacity",$D131)),ISNUMBER(SEARCH("tenacity",$T131)),ISNUMBER(SEARCH("tenacity",$R131)),ISNUMBER(SEARCH("tenacity",$S131)),
ISNUMBER(SEARCH("endurance",$D131)),ISNUMBER(SEARCH("endurance",$T131)),ISNUMBER(SEARCH("endurance",$R131)),ISNUMBER(SEARCH("endurance",$S131)),
ISNUMBER(SEARCH("fortitude",$D131)),ISNUMBER(SEARCH("fortitude",$T131)),ISNUMBER(SEARCH("fortitude",$R131)),ISNUMBER(SEARCH("fortitude",$S131)),
ISNUMBER(SEARCH("resolve",$D131)),ISNUMBER(SEARCH("resolve",$T131)),ISNUMBER(SEARCH("resolve",$R131)),ISNUMBER(SEARCH("resolve",$S131)),
ISNUMBER(SEARCH("stamina",$D131)),ISNUMBER(SEARCH("stamina",$T131)),ISNUMBER(SEARCH("stamina",$R131)),ISNUMBER(SEARCH("stamina",$S131)),
ISNUMBER(SEARCH("guts",$D131)),ISNUMBER(SEARCH("guts",$T131)),ISNUMBER(SEARCH("guts",$R131)),ISNUMBER(SEARCH("guts",$S131)),
ISNUMBER(SEARCH("spunk",$D131)),ISNUMBER(SEARCH("spunk",$T131)),ISNUMBER(SEARCH("spunk",$R131)),ISNUMBER(SEARCH("spunk",$S131))), 1, 0)</f>
        <v>0</v>
      </c>
      <c r="BW131" s="5">
        <f t="shared" si="609"/>
        <v>0</v>
      </c>
      <c r="BX131" s="5">
        <f t="shared" si="29"/>
        <v>0</v>
      </c>
      <c r="BY131" s="5">
        <f t="shared" si="30"/>
        <v>0</v>
      </c>
      <c r="BZ131" s="5">
        <f t="shared" si="31"/>
        <v>0</v>
      </c>
      <c r="CA131" s="5">
        <f t="shared" si="32"/>
        <v>0</v>
      </c>
      <c r="CB131" s="5">
        <f t="shared" si="33"/>
        <v>0</v>
      </c>
      <c r="CC131" s="5">
        <f t="shared" si="34"/>
        <v>0</v>
      </c>
      <c r="CD131" s="5">
        <f t="shared" si="35"/>
        <v>0</v>
      </c>
      <c r="CE131" s="5">
        <f t="shared" si="36"/>
        <v>0</v>
      </c>
      <c r="CF131" s="5">
        <f t="shared" si="37"/>
        <v>0</v>
      </c>
      <c r="CG131" s="5">
        <f t="shared" si="38"/>
        <v>0</v>
      </c>
      <c r="CH131" s="5">
        <f t="shared" si="39"/>
        <v>0</v>
      </c>
      <c r="CI131" s="5">
        <f t="shared" si="40"/>
        <v>0</v>
      </c>
      <c r="CJ131" s="5">
        <f t="shared" si="41"/>
        <v>0</v>
      </c>
      <c r="CK131" s="5">
        <f t="shared" si="42"/>
        <v>0</v>
      </c>
      <c r="CL131" s="5">
        <f t="shared" si="43"/>
        <v>0</v>
      </c>
      <c r="CM131" s="5">
        <f t="shared" si="44"/>
        <v>0</v>
      </c>
      <c r="CN131" s="5">
        <f t="shared" si="45"/>
        <v>0</v>
      </c>
      <c r="CO131" s="5">
        <f t="shared" si="46"/>
        <v>0</v>
      </c>
      <c r="CP131" s="6">
        <f t="shared" si="47"/>
        <v>0</v>
      </c>
      <c r="CQ131" s="6">
        <f t="shared" si="48"/>
        <v>0</v>
      </c>
      <c r="CR131" s="6">
        <f t="shared" si="49"/>
        <v>0</v>
      </c>
      <c r="CS131" s="6">
        <f t="shared" si="50"/>
        <v>0</v>
      </c>
      <c r="CT131" s="6">
        <f t="shared" si="584"/>
        <v>0</v>
      </c>
      <c r="CU131" s="6">
        <f t="shared" si="52"/>
        <v>0</v>
      </c>
      <c r="CV131" s="6">
        <f t="shared" si="53"/>
        <v>0</v>
      </c>
      <c r="CW131" s="6">
        <f t="shared" si="54"/>
        <v>0</v>
      </c>
      <c r="CX131" s="6">
        <f t="shared" si="55"/>
        <v>0</v>
      </c>
      <c r="CY131" s="6">
        <f t="shared" si="56"/>
        <v>0</v>
      </c>
      <c r="CZ131" s="6">
        <f t="shared" si="57"/>
        <v>0</v>
      </c>
      <c r="DA131" s="6">
        <f t="shared" si="58"/>
        <v>0</v>
      </c>
      <c r="DB131" s="6">
        <f t="shared" si="59"/>
        <v>0</v>
      </c>
      <c r="DC131" s="6">
        <f t="shared" si="60"/>
        <v>0</v>
      </c>
      <c r="DD131" s="6">
        <f t="shared" si="61"/>
        <v>0</v>
      </c>
      <c r="DE131" s="6">
        <f t="shared" si="62"/>
        <v>0</v>
      </c>
      <c r="DF131" s="6">
        <f t="shared" si="63"/>
        <v>0</v>
      </c>
      <c r="DG131" s="6">
        <f t="shared" si="64"/>
        <v>0</v>
      </c>
      <c r="DH131" s="6">
        <f t="shared" si="579"/>
        <v>0</v>
      </c>
      <c r="DI131" s="6">
        <f t="shared" si="66"/>
        <v>0</v>
      </c>
      <c r="DJ131" s="6">
        <f t="shared" si="574"/>
        <v>0</v>
      </c>
      <c r="DK131" s="7">
        <f t="shared" si="68"/>
        <v>0</v>
      </c>
      <c r="DL131" s="7">
        <f t="shared" si="498"/>
        <v>0</v>
      </c>
      <c r="DM131" s="7">
        <f t="shared" si="70"/>
        <v>0</v>
      </c>
      <c r="DN131" s="7">
        <f t="shared" si="71"/>
        <v>0</v>
      </c>
      <c r="DO131" s="7">
        <f t="shared" si="72"/>
        <v>1</v>
      </c>
      <c r="DP131" s="8">
        <f t="shared" si="73"/>
        <v>0</v>
      </c>
      <c r="DQ131" s="8">
        <f t="shared" si="74"/>
        <v>1</v>
      </c>
      <c r="DR131" s="7">
        <f t="shared" si="75"/>
        <v>0</v>
      </c>
      <c r="DS131" s="7">
        <f t="shared" si="76"/>
        <v>0</v>
      </c>
      <c r="DT131" s="7">
        <f t="shared" si="77"/>
        <v>0</v>
      </c>
      <c r="DU131" s="9">
        <f t="shared" si="78"/>
        <v>0</v>
      </c>
      <c r="DV131" s="9">
        <f t="shared" si="79"/>
        <v>0</v>
      </c>
      <c r="DW131" s="9">
        <f t="shared" si="80"/>
        <v>0</v>
      </c>
      <c r="DX131" s="9">
        <f t="shared" si="81"/>
        <v>0</v>
      </c>
      <c r="DY131" s="9">
        <f t="shared" si="82"/>
        <v>0</v>
      </c>
      <c r="DZ131" s="9">
        <f t="shared" si="83"/>
        <v>0</v>
      </c>
      <c r="EA131" s="9">
        <f t="shared" si="84"/>
        <v>0</v>
      </c>
      <c r="EB131" s="9">
        <f t="shared" si="85"/>
        <v>0</v>
      </c>
      <c r="EC131" s="9">
        <f t="shared" si="86"/>
        <v>0</v>
      </c>
      <c r="ED131" s="9">
        <f t="shared" si="87"/>
        <v>0</v>
      </c>
      <c r="EE131" s="9">
        <f t="shared" si="88"/>
        <v>0</v>
      </c>
      <c r="EF131" s="9">
        <f t="shared" si="89"/>
        <v>0</v>
      </c>
      <c r="EG131" s="9">
        <f t="shared" si="90"/>
        <v>0</v>
      </c>
      <c r="EH131" s="9">
        <f t="shared" si="91"/>
        <v>0</v>
      </c>
      <c r="EI131" s="9">
        <f t="shared" si="92"/>
        <v>0</v>
      </c>
      <c r="EJ131" s="10">
        <f t="shared" si="93"/>
        <v>0</v>
      </c>
      <c r="EK131" s="10">
        <f t="shared" si="94"/>
        <v>0</v>
      </c>
      <c r="EL131" s="10">
        <f t="shared" ref="EL131:EM131" si="610">IF(OR(ISNUMBER(SEARCH("ai software toolkit", $D131)), ISNUMBER(SEARCH("ai software toolkit", $T131)), ISNUMBER(SEARCH("ai software toolkit", $R131)), ISNUMBER(SEARCH("ai software toolkit", $S131))), 1, 0)</f>
        <v>0</v>
      </c>
      <c r="EM131" s="10">
        <f t="shared" si="610"/>
        <v>0</v>
      </c>
      <c r="EN131" s="10">
        <f t="shared" si="96"/>
        <v>0</v>
      </c>
      <c r="EO131" s="10">
        <f t="shared" si="97"/>
        <v>1</v>
      </c>
      <c r="EP131" s="10">
        <f t="shared" si="98"/>
        <v>0</v>
      </c>
      <c r="EQ131" s="10">
        <f t="shared" si="99"/>
        <v>0</v>
      </c>
      <c r="ER131" s="10">
        <f t="shared" si="100"/>
        <v>0</v>
      </c>
      <c r="ES131" s="10">
        <f t="shared" si="101"/>
        <v>0</v>
      </c>
      <c r="ET131" s="10">
        <f t="shared" si="102"/>
        <v>0</v>
      </c>
      <c r="EU131" s="10">
        <f t="shared" si="103"/>
        <v>0</v>
      </c>
      <c r="EV131" s="10">
        <f t="shared" si="104"/>
        <v>0</v>
      </c>
      <c r="EW131" s="10">
        <f t="shared" si="105"/>
        <v>0</v>
      </c>
      <c r="EX131" s="10">
        <f t="shared" si="106"/>
        <v>0</v>
      </c>
      <c r="EY131" s="10">
        <f t="shared" si="107"/>
        <v>0</v>
      </c>
      <c r="EZ131" s="10">
        <f t="shared" si="108"/>
        <v>0</v>
      </c>
      <c r="FA131" s="10">
        <f t="shared" si="109"/>
        <v>0</v>
      </c>
      <c r="FB131" s="10">
        <f t="shared" si="110"/>
        <v>0</v>
      </c>
      <c r="FC131" s="10">
        <f t="shared" si="111"/>
        <v>0</v>
      </c>
      <c r="FD131" s="10">
        <f t="shared" si="112"/>
        <v>0</v>
      </c>
      <c r="FE131" s="10">
        <f t="shared" si="113"/>
        <v>0</v>
      </c>
      <c r="FF131" s="10">
        <f t="shared" si="114"/>
        <v>0</v>
      </c>
      <c r="FG131" s="10">
        <f t="shared" si="115"/>
        <v>0</v>
      </c>
      <c r="FH131" s="10">
        <f t="shared" si="116"/>
        <v>0</v>
      </c>
      <c r="FI131" s="10">
        <f t="shared" si="117"/>
        <v>0</v>
      </c>
      <c r="FJ131" s="10">
        <f t="shared" si="118"/>
        <v>0</v>
      </c>
      <c r="FK131" s="10">
        <f t="shared" si="119"/>
        <v>0</v>
      </c>
      <c r="FL131" s="10">
        <f t="shared" si="120"/>
        <v>0</v>
      </c>
      <c r="FM131" s="10">
        <f t="shared" si="121"/>
        <v>0</v>
      </c>
      <c r="FN131" s="10">
        <f t="shared" si="122"/>
        <v>0</v>
      </c>
      <c r="FO131" s="10">
        <f t="shared" si="123"/>
        <v>0</v>
      </c>
      <c r="FP131" s="10">
        <f t="shared" si="124"/>
        <v>0</v>
      </c>
      <c r="FQ131" s="10">
        <f t="shared" si="125"/>
        <v>0</v>
      </c>
      <c r="FR131" s="11">
        <f t="shared" si="611"/>
        <v>0</v>
      </c>
      <c r="FS131" s="11">
        <f t="shared" si="127"/>
        <v>0</v>
      </c>
      <c r="FT131" s="11">
        <f t="shared" si="128"/>
        <v>0</v>
      </c>
      <c r="FU131" s="11">
        <f t="shared" si="129"/>
        <v>0</v>
      </c>
      <c r="FV131" s="11">
        <f t="shared" si="130"/>
        <v>0</v>
      </c>
      <c r="FW131" s="11">
        <f t="shared" si="131"/>
        <v>0</v>
      </c>
      <c r="FX131" s="11">
        <f t="shared" si="132"/>
        <v>0</v>
      </c>
      <c r="FY131" s="11">
        <f t="shared" si="133"/>
        <v>0</v>
      </c>
      <c r="FZ131" s="11">
        <f t="shared" si="134"/>
        <v>0</v>
      </c>
      <c r="GA131" s="11">
        <f t="shared" si="135"/>
        <v>0</v>
      </c>
      <c r="GB131" s="11">
        <f t="shared" si="136"/>
        <v>0</v>
      </c>
      <c r="GC131" s="11">
        <f t="shared" si="137"/>
        <v>0</v>
      </c>
      <c r="GD131" s="11">
        <f t="shared" si="138"/>
        <v>0</v>
      </c>
      <c r="GE131" s="11">
        <f t="shared" si="139"/>
        <v>0</v>
      </c>
      <c r="GF131" s="11">
        <f t="shared" si="140"/>
        <v>0</v>
      </c>
      <c r="GG131" s="11">
        <f t="shared" si="141"/>
        <v>0</v>
      </c>
      <c r="GH131" s="11">
        <f t="shared" si="142"/>
        <v>0</v>
      </c>
      <c r="GI131" s="11">
        <f t="shared" si="143"/>
        <v>0</v>
      </c>
      <c r="GJ131" s="11">
        <f t="shared" si="144"/>
        <v>1</v>
      </c>
      <c r="GK131" s="11">
        <f t="shared" si="145"/>
        <v>0</v>
      </c>
      <c r="GL131" s="11">
        <f t="shared" si="146"/>
        <v>0</v>
      </c>
      <c r="GM131" s="11">
        <f t="shared" si="147"/>
        <v>0</v>
      </c>
      <c r="GN131" s="11">
        <f t="shared" si="148"/>
        <v>0</v>
      </c>
      <c r="GO131" s="11">
        <f t="shared" si="149"/>
        <v>0</v>
      </c>
      <c r="GP131" s="11">
        <f t="shared" si="150"/>
        <v>0</v>
      </c>
      <c r="GQ131" s="11">
        <f t="shared" si="151"/>
        <v>0</v>
      </c>
      <c r="GR131" s="11">
        <f t="shared" si="152"/>
        <v>0</v>
      </c>
      <c r="GS131" s="11">
        <f t="shared" si="153"/>
        <v>0</v>
      </c>
      <c r="GT131" s="11">
        <f t="shared" si="154"/>
        <v>0</v>
      </c>
      <c r="GU131" s="12">
        <f t="shared" si="155"/>
        <v>0</v>
      </c>
      <c r="GV131" s="12">
        <f t="shared" si="156"/>
        <v>0</v>
      </c>
      <c r="GW131" s="12">
        <f t="shared" si="157"/>
        <v>0</v>
      </c>
      <c r="GX131" s="12">
        <f t="shared" si="158"/>
        <v>0</v>
      </c>
      <c r="GY131" s="12">
        <f t="shared" si="159"/>
        <v>0</v>
      </c>
      <c r="GZ131" s="12">
        <f t="shared" si="160"/>
        <v>0</v>
      </c>
      <c r="HA131" s="12">
        <f t="shared" si="161"/>
        <v>0</v>
      </c>
      <c r="HB131" s="12">
        <f t="shared" si="162"/>
        <v>0</v>
      </c>
      <c r="HC131" s="12">
        <f t="shared" si="163"/>
        <v>0</v>
      </c>
      <c r="HD131" s="12">
        <f t="shared" si="164"/>
        <v>0</v>
      </c>
      <c r="HE131" s="12">
        <f t="shared" si="165"/>
        <v>0</v>
      </c>
      <c r="HF131" s="12">
        <f t="shared" si="166"/>
        <v>0</v>
      </c>
      <c r="HG131" s="12">
        <f t="shared" si="167"/>
        <v>0</v>
      </c>
      <c r="HH131" s="12">
        <f t="shared" si="168"/>
        <v>0</v>
      </c>
      <c r="HI131" s="12">
        <f t="shared" si="169"/>
        <v>0</v>
      </c>
      <c r="HJ131" s="12">
        <f t="shared" si="170"/>
        <v>0</v>
      </c>
      <c r="HK131" s="12">
        <f t="shared" si="171"/>
        <v>0</v>
      </c>
      <c r="HL131" s="12">
        <f t="shared" si="172"/>
        <v>0</v>
      </c>
      <c r="HM131" s="12">
        <f t="shared" si="173"/>
        <v>0</v>
      </c>
      <c r="HN131" s="12">
        <f t="shared" si="174"/>
        <v>0</v>
      </c>
      <c r="HO131" s="12">
        <f t="shared" si="175"/>
        <v>0</v>
      </c>
      <c r="HP131" s="12">
        <f t="shared" si="176"/>
        <v>0</v>
      </c>
      <c r="HQ131" s="12">
        <f t="shared" si="177"/>
        <v>0</v>
      </c>
      <c r="HR131" s="12">
        <f t="shared" si="178"/>
        <v>0</v>
      </c>
      <c r="HS131" s="12">
        <f t="shared" si="179"/>
        <v>0</v>
      </c>
      <c r="HT131" s="12">
        <f t="shared" si="180"/>
        <v>0</v>
      </c>
      <c r="HU131" s="12">
        <f t="shared" si="181"/>
        <v>0</v>
      </c>
      <c r="HV131" s="12">
        <f t="shared" si="182"/>
        <v>0</v>
      </c>
      <c r="HW131" s="12">
        <f t="shared" si="183"/>
        <v>0</v>
      </c>
      <c r="HX131" s="12">
        <f t="shared" si="184"/>
        <v>0</v>
      </c>
      <c r="HY131" s="12">
        <f t="shared" si="185"/>
        <v>0</v>
      </c>
      <c r="HZ131" s="12">
        <f t="shared" si="186"/>
        <v>0</v>
      </c>
      <c r="IA131" s="12">
        <f t="shared" si="187"/>
        <v>0</v>
      </c>
      <c r="IB131" s="12">
        <f t="shared" si="188"/>
        <v>0</v>
      </c>
      <c r="IC131" s="12">
        <f t="shared" si="189"/>
        <v>0</v>
      </c>
      <c r="ID131" s="12">
        <f t="shared" si="190"/>
        <v>0</v>
      </c>
      <c r="IE131" s="12">
        <f t="shared" si="191"/>
        <v>0</v>
      </c>
      <c r="IF131" s="12">
        <f t="shared" si="192"/>
        <v>0</v>
      </c>
      <c r="IG131" s="12">
        <f t="shared" si="193"/>
        <v>0</v>
      </c>
      <c r="IH131" s="12">
        <f t="shared" si="194"/>
        <v>0</v>
      </c>
      <c r="II131" s="12">
        <f t="shared" si="195"/>
        <v>0</v>
      </c>
      <c r="IJ131" s="12">
        <f t="shared" si="196"/>
        <v>0</v>
      </c>
      <c r="IK131" s="12">
        <f t="shared" si="197"/>
        <v>0</v>
      </c>
      <c r="IL131" s="12">
        <f t="shared" si="198"/>
        <v>0</v>
      </c>
      <c r="IM131" s="12">
        <f t="shared" si="199"/>
        <v>0</v>
      </c>
      <c r="IN131" s="12">
        <f t="shared" si="200"/>
        <v>0</v>
      </c>
      <c r="IO131" s="12">
        <f t="shared" si="201"/>
        <v>0</v>
      </c>
      <c r="IP131" s="12">
        <f t="shared" si="202"/>
        <v>0</v>
      </c>
      <c r="IQ131" s="12">
        <f t="shared" si="203"/>
        <v>0</v>
      </c>
      <c r="IR131" s="12">
        <f t="shared" si="204"/>
        <v>0</v>
      </c>
      <c r="IS131" s="12">
        <f t="shared" si="205"/>
        <v>0</v>
      </c>
      <c r="IT131" s="12">
        <f t="shared" si="206"/>
        <v>0</v>
      </c>
      <c r="IU131" s="12">
        <f t="shared" si="207"/>
        <v>0</v>
      </c>
      <c r="IV131" s="12">
        <f t="shared" si="208"/>
        <v>0</v>
      </c>
      <c r="IW131" s="12">
        <f t="shared" si="209"/>
        <v>0</v>
      </c>
      <c r="IX131" s="12">
        <f t="shared" si="210"/>
        <v>0</v>
      </c>
      <c r="IY131" s="12">
        <f t="shared" si="211"/>
        <v>0</v>
      </c>
      <c r="IZ131" s="12">
        <f t="shared" si="212"/>
        <v>1</v>
      </c>
      <c r="JA131" s="13">
        <f t="shared" si="213"/>
        <v>0</v>
      </c>
      <c r="JB131" s="13">
        <f t="shared" si="214"/>
        <v>0</v>
      </c>
      <c r="JC131" s="13">
        <f t="shared" si="215"/>
        <v>0</v>
      </c>
      <c r="JD131" s="13">
        <f t="shared" si="216"/>
        <v>0</v>
      </c>
      <c r="JE131" s="13">
        <f t="shared" si="217"/>
        <v>0</v>
      </c>
      <c r="JF131" s="13">
        <f t="shared" si="218"/>
        <v>0</v>
      </c>
      <c r="JG131" s="13">
        <f t="shared" si="219"/>
        <v>0</v>
      </c>
      <c r="JH131" s="13">
        <f t="shared" si="220"/>
        <v>0</v>
      </c>
      <c r="JI131" s="13">
        <f t="shared" si="221"/>
        <v>0</v>
      </c>
      <c r="JJ131" s="13">
        <f t="shared" si="222"/>
        <v>0</v>
      </c>
      <c r="JK131" s="13">
        <f t="shared" si="223"/>
        <v>0</v>
      </c>
      <c r="JL131" s="13">
        <f t="shared" si="224"/>
        <v>0</v>
      </c>
      <c r="JM131" s="13">
        <f t="shared" si="225"/>
        <v>0</v>
      </c>
      <c r="JN131" s="13">
        <f t="shared" si="226"/>
        <v>0</v>
      </c>
      <c r="JO131" s="13">
        <f t="shared" si="227"/>
        <v>0</v>
      </c>
      <c r="JP131" s="13">
        <f t="shared" si="228"/>
        <v>0</v>
      </c>
      <c r="JQ131" s="13">
        <f t="shared" si="229"/>
        <v>0</v>
      </c>
      <c r="JR131" s="13">
        <f t="shared" si="230"/>
        <v>0</v>
      </c>
      <c r="JS131" s="13">
        <f t="shared" si="231"/>
        <v>0</v>
      </c>
      <c r="JT131" s="13">
        <f t="shared" si="232"/>
        <v>0</v>
      </c>
      <c r="JU131" s="13">
        <f t="shared" si="233"/>
        <v>0</v>
      </c>
      <c r="JV131" s="12">
        <f t="shared" si="234"/>
        <v>0</v>
      </c>
      <c r="JW131" s="12">
        <f t="shared" si="235"/>
        <v>0</v>
      </c>
      <c r="JX131" s="12">
        <f t="shared" si="236"/>
        <v>0</v>
      </c>
      <c r="JY131" s="12">
        <f t="shared" si="237"/>
        <v>0</v>
      </c>
      <c r="JZ131" s="12">
        <f t="shared" si="238"/>
        <v>0</v>
      </c>
      <c r="KA131" s="12">
        <f t="shared" si="239"/>
        <v>0</v>
      </c>
      <c r="KB131" s="12">
        <f t="shared" si="240"/>
        <v>0</v>
      </c>
      <c r="KC131" s="12">
        <f t="shared" si="241"/>
        <v>0</v>
      </c>
      <c r="KD131" s="12">
        <f t="shared" si="242"/>
        <v>0</v>
      </c>
      <c r="KE131" s="12">
        <f t="shared" si="243"/>
        <v>0</v>
      </c>
      <c r="KF131" s="12">
        <f t="shared" si="244"/>
        <v>0</v>
      </c>
      <c r="KG131" s="12">
        <f t="shared" si="245"/>
        <v>0</v>
      </c>
      <c r="KH131" s="12">
        <f t="shared" si="246"/>
        <v>0</v>
      </c>
      <c r="KI131" s="12">
        <f t="shared" si="247"/>
        <v>0</v>
      </c>
      <c r="KJ131" s="12">
        <f t="shared" si="248"/>
        <v>0</v>
      </c>
      <c r="KK131" s="12">
        <f t="shared" si="249"/>
        <v>0</v>
      </c>
      <c r="KL131" s="12">
        <f t="shared" si="250"/>
        <v>0</v>
      </c>
      <c r="KM131" s="12">
        <f t="shared" si="251"/>
        <v>0</v>
      </c>
      <c r="KN131" s="12">
        <f t="shared" si="252"/>
        <v>0</v>
      </c>
      <c r="KO131" s="12">
        <f t="shared" si="253"/>
        <v>0</v>
      </c>
      <c r="KP131" s="12">
        <f t="shared" si="254"/>
        <v>0</v>
      </c>
      <c r="KQ131" s="12">
        <f t="shared" si="255"/>
        <v>0</v>
      </c>
      <c r="KR131" s="12">
        <f t="shared" si="256"/>
        <v>0</v>
      </c>
      <c r="KS131" s="12">
        <f t="shared" si="257"/>
        <v>0</v>
      </c>
      <c r="KT131" s="12">
        <f t="shared" si="258"/>
        <v>0</v>
      </c>
      <c r="KU131" s="12">
        <f t="shared" si="259"/>
        <v>0</v>
      </c>
      <c r="KV131" s="12">
        <f t="shared" si="260"/>
        <v>0</v>
      </c>
      <c r="KW131" s="12">
        <f t="shared" si="261"/>
        <v>0</v>
      </c>
      <c r="KX131" s="12">
        <f t="shared" si="262"/>
        <v>0</v>
      </c>
      <c r="KY131" s="12">
        <f t="shared" si="263"/>
        <v>0</v>
      </c>
      <c r="KZ131" s="12">
        <f t="shared" si="264"/>
        <v>0</v>
      </c>
      <c r="LA131" s="12">
        <f t="shared" si="265"/>
        <v>0</v>
      </c>
      <c r="LB131" s="12">
        <f t="shared" si="266"/>
        <v>0</v>
      </c>
      <c r="LC131" s="12">
        <f t="shared" si="267"/>
        <v>0</v>
      </c>
      <c r="LD131" s="12">
        <f t="shared" si="268"/>
        <v>0</v>
      </c>
      <c r="LE131" s="12">
        <f t="shared" si="269"/>
        <v>0</v>
      </c>
      <c r="LF131" s="12">
        <f t="shared" si="270"/>
        <v>0</v>
      </c>
      <c r="LG131" s="12">
        <f t="shared" si="271"/>
        <v>0</v>
      </c>
      <c r="LH131" s="12">
        <f t="shared" si="272"/>
        <v>0</v>
      </c>
      <c r="LI131" s="12">
        <f t="shared" si="273"/>
        <v>0</v>
      </c>
      <c r="LJ131" s="12">
        <f t="shared" si="274"/>
        <v>0</v>
      </c>
      <c r="LK131" s="12">
        <f t="shared" si="275"/>
        <v>0</v>
      </c>
      <c r="LL131" s="12">
        <f t="shared" si="276"/>
        <v>0</v>
      </c>
      <c r="LM131" s="12">
        <f t="shared" si="277"/>
        <v>0</v>
      </c>
      <c r="LN131" s="12">
        <f t="shared" si="278"/>
        <v>0</v>
      </c>
      <c r="LO131" s="12">
        <f t="shared" si="279"/>
        <v>0</v>
      </c>
      <c r="LP131" s="12">
        <f t="shared" si="280"/>
        <v>0</v>
      </c>
      <c r="LQ131" s="12">
        <f t="shared" si="281"/>
        <v>0</v>
      </c>
      <c r="LR131" s="12">
        <f t="shared" si="282"/>
        <v>0</v>
      </c>
      <c r="LS131" s="12">
        <f t="shared" si="283"/>
        <v>0</v>
      </c>
      <c r="LT131" s="13">
        <f t="shared" si="284"/>
        <v>0</v>
      </c>
      <c r="LU131" s="13">
        <f t="shared" si="285"/>
        <v>0</v>
      </c>
      <c r="LV131" s="13">
        <f t="shared" si="286"/>
        <v>0</v>
      </c>
      <c r="LW131" s="13">
        <f t="shared" si="287"/>
        <v>0</v>
      </c>
      <c r="LX131" s="13">
        <f t="shared" si="288"/>
        <v>0</v>
      </c>
      <c r="LY131" s="13">
        <f t="shared" si="289"/>
        <v>0</v>
      </c>
      <c r="LZ131" s="13">
        <f t="shared" si="290"/>
        <v>0</v>
      </c>
      <c r="MA131" s="13">
        <f t="shared" si="291"/>
        <v>0</v>
      </c>
      <c r="MB131" s="13">
        <f t="shared" si="292"/>
        <v>0</v>
      </c>
      <c r="MC131" s="13">
        <f t="shared" si="293"/>
        <v>0</v>
      </c>
      <c r="MD131" s="13">
        <f t="shared" si="294"/>
        <v>0</v>
      </c>
      <c r="ME131" s="13">
        <f t="shared" si="295"/>
        <v>0</v>
      </c>
      <c r="MF131" s="13">
        <f t="shared" si="296"/>
        <v>0</v>
      </c>
      <c r="MG131" s="13">
        <f t="shared" si="297"/>
        <v>0</v>
      </c>
      <c r="MH131" s="13">
        <f t="shared" si="298"/>
        <v>0</v>
      </c>
      <c r="MI131" s="13">
        <f t="shared" si="299"/>
        <v>0</v>
      </c>
      <c r="MJ131" s="13">
        <f t="shared" si="300"/>
        <v>0</v>
      </c>
      <c r="MK131" s="13">
        <f t="shared" si="301"/>
        <v>0</v>
      </c>
      <c r="ML131" s="14">
        <f t="shared" si="302"/>
        <v>0</v>
      </c>
      <c r="MM131" s="14">
        <f t="shared" si="303"/>
        <v>0</v>
      </c>
      <c r="MN131" s="14">
        <f t="shared" si="304"/>
        <v>0</v>
      </c>
      <c r="MO131" s="14">
        <f t="shared" si="305"/>
        <v>0</v>
      </c>
      <c r="MP131" s="14">
        <f t="shared" si="306"/>
        <v>0</v>
      </c>
      <c r="MQ131" s="14">
        <f t="shared" si="307"/>
        <v>0</v>
      </c>
      <c r="MR131" s="14">
        <f t="shared" si="308"/>
        <v>0</v>
      </c>
      <c r="MS131" s="14">
        <f t="shared" si="309"/>
        <v>0</v>
      </c>
      <c r="MT131" s="14">
        <f t="shared" si="310"/>
        <v>0</v>
      </c>
      <c r="MU131" s="14">
        <f t="shared" si="311"/>
        <v>0</v>
      </c>
      <c r="MV131" s="14">
        <f t="shared" si="312"/>
        <v>0</v>
      </c>
      <c r="MW131" s="14">
        <f t="shared" si="313"/>
        <v>0</v>
      </c>
      <c r="MX131" s="14">
        <f t="shared" si="314"/>
        <v>0</v>
      </c>
      <c r="MY131" s="14">
        <f t="shared" si="315"/>
        <v>0</v>
      </c>
      <c r="MZ131" s="14">
        <f t="shared" si="316"/>
        <v>0</v>
      </c>
      <c r="NA131" s="14">
        <f t="shared" si="317"/>
        <v>0</v>
      </c>
      <c r="NB131" s="14">
        <f t="shared" si="318"/>
        <v>0</v>
      </c>
    </row>
    <row r="132" ht="15.75" customHeight="1">
      <c r="A132" s="2">
        <v>190.0</v>
      </c>
      <c r="B132" s="2" t="s">
        <v>2600</v>
      </c>
      <c r="C132" s="2" t="s">
        <v>2601</v>
      </c>
      <c r="D132" s="2" t="s">
        <v>2602</v>
      </c>
      <c r="E132" s="2">
        <v>2020.0</v>
      </c>
      <c r="F132" s="2" t="s">
        <v>850</v>
      </c>
      <c r="G132" s="2" t="s">
        <v>2603</v>
      </c>
      <c r="J132" s="2" t="s">
        <v>2604</v>
      </c>
      <c r="K132" s="2" t="s">
        <v>587</v>
      </c>
      <c r="M132" s="2">
        <v>5.0</v>
      </c>
      <c r="N132" s="2" t="s">
        <v>2605</v>
      </c>
      <c r="O132" s="2" t="s">
        <v>2606</v>
      </c>
      <c r="P132" s="2" t="s">
        <v>2607</v>
      </c>
      <c r="Q132" s="2" t="s">
        <v>2608</v>
      </c>
      <c r="R132" s="2" t="s">
        <v>2609</v>
      </c>
      <c r="S132" s="2" t="s">
        <v>2610</v>
      </c>
      <c r="T132" s="2" t="s">
        <v>2611</v>
      </c>
      <c r="Y132" s="2" t="s">
        <v>2612</v>
      </c>
      <c r="AB132" s="2" t="s">
        <v>862</v>
      </c>
      <c r="AG132" s="2" t="s">
        <v>863</v>
      </c>
      <c r="AI132" s="2" t="s">
        <v>864</v>
      </c>
      <c r="AK132" s="2" t="s">
        <v>850</v>
      </c>
      <c r="AL132" s="2" t="s">
        <v>384</v>
      </c>
      <c r="AM132" s="2" t="s">
        <v>2613</v>
      </c>
      <c r="AN132" s="2" t="s">
        <v>386</v>
      </c>
      <c r="AO132" s="2" t="s">
        <v>2614</v>
      </c>
      <c r="AP132" s="2" t="s">
        <v>386</v>
      </c>
      <c r="AQ132" s="2">
        <v>779.0</v>
      </c>
      <c r="AR132" s="2" t="s">
        <v>2615</v>
      </c>
      <c r="AS132" s="2" t="b">
        <v>1</v>
      </c>
      <c r="AT132" s="3">
        <v>0.0</v>
      </c>
      <c r="AU132" s="4"/>
      <c r="AV132" s="4"/>
      <c r="AW132" s="5">
        <f t="shared" si="432"/>
        <v>0</v>
      </c>
      <c r="AX132" s="5">
        <f t="shared" si="4"/>
        <v>0</v>
      </c>
      <c r="AY132" s="5">
        <f t="shared" si="5"/>
        <v>0</v>
      </c>
      <c r="AZ132" s="5">
        <f t="shared" si="6"/>
        <v>0</v>
      </c>
      <c r="BA132" s="5">
        <f t="shared" si="7"/>
        <v>0</v>
      </c>
      <c r="BB132" s="5">
        <f t="shared" si="8"/>
        <v>0</v>
      </c>
      <c r="BC132" s="5">
        <f t="shared" si="9"/>
        <v>0</v>
      </c>
      <c r="BD132" s="5">
        <f t="shared" si="10"/>
        <v>0</v>
      </c>
      <c r="BE132" s="5">
        <f t="shared" si="11"/>
        <v>0</v>
      </c>
      <c r="BF132" s="5">
        <f t="shared" si="12"/>
        <v>0</v>
      </c>
      <c r="BG132" s="5">
        <f t="shared" si="13"/>
        <v>0</v>
      </c>
      <c r="BH132" s="5">
        <f t="shared" si="14"/>
        <v>0</v>
      </c>
      <c r="BI132" s="5">
        <f t="shared" si="15"/>
        <v>0</v>
      </c>
      <c r="BJ132" s="5">
        <f t="shared" si="16"/>
        <v>0</v>
      </c>
      <c r="BK132" s="5">
        <f t="shared" si="17"/>
        <v>0</v>
      </c>
      <c r="BL132" s="5">
        <f t="shared" si="18"/>
        <v>0</v>
      </c>
      <c r="BM132" s="5">
        <f t="shared" si="19"/>
        <v>0</v>
      </c>
      <c r="BN132" s="5">
        <f t="shared" si="20"/>
        <v>0</v>
      </c>
      <c r="BO132" s="5">
        <f t="shared" si="21"/>
        <v>0</v>
      </c>
      <c r="BP132" s="5">
        <f t="shared" si="22"/>
        <v>0</v>
      </c>
      <c r="BQ132" s="5">
        <f t="shared" si="23"/>
        <v>0</v>
      </c>
      <c r="BR132" s="5">
        <f t="shared" si="24"/>
        <v>0</v>
      </c>
      <c r="BS132" s="5">
        <f t="shared" si="25"/>
        <v>0</v>
      </c>
      <c r="BT132" s="5">
        <f t="shared" si="26"/>
        <v>0</v>
      </c>
      <c r="BU132" s="5">
        <f t="shared" si="27"/>
        <v>0</v>
      </c>
      <c r="BV132" s="5">
        <f t="shared" ref="BV132:BW132" si="612">IF(OR(ISNUMBER(SEARCH("grit",$D132)),ISNUMBER(SEARCH("grit",$T132)),ISNUMBER(SEARCH("grit",$R132)),ISNUMBER(SEARCH("grit",$S132)),
ISNUMBER(SEARCH("determination",$D132)),ISNUMBER(SEARCH("determination",$T132)),ISNUMBER(SEARCH("determination",$R132)),ISNUMBER(SEARCH("determination",$S132)),
ISNUMBER(SEARCH("tenacity",$D132)),ISNUMBER(SEARCH("tenacity",$T132)),ISNUMBER(SEARCH("tenacity",$R132)),ISNUMBER(SEARCH("tenacity",$S132)),
ISNUMBER(SEARCH("endurance",$D132)),ISNUMBER(SEARCH("endurance",$T132)),ISNUMBER(SEARCH("endurance",$R132)),ISNUMBER(SEARCH("endurance",$S132)),
ISNUMBER(SEARCH("fortitude",$D132)),ISNUMBER(SEARCH("fortitude",$T132)),ISNUMBER(SEARCH("fortitude",$R132)),ISNUMBER(SEARCH("fortitude",$S132)),
ISNUMBER(SEARCH("resolve",$D132)),ISNUMBER(SEARCH("resolve",$T132)),ISNUMBER(SEARCH("resolve",$R132)),ISNUMBER(SEARCH("resolve",$S132)),
ISNUMBER(SEARCH("stamina",$D132)),ISNUMBER(SEARCH("stamina",$T132)),ISNUMBER(SEARCH("stamina",$R132)),ISNUMBER(SEARCH("stamina",$S132)),
ISNUMBER(SEARCH("guts",$D132)),ISNUMBER(SEARCH("guts",$T132)),ISNUMBER(SEARCH("guts",$R132)),ISNUMBER(SEARCH("guts",$S132)),
ISNUMBER(SEARCH("spunk",$D132)),ISNUMBER(SEARCH("spunk",$T132)),ISNUMBER(SEARCH("spunk",$R132)),ISNUMBER(SEARCH("spunk",$S132))), 1, 0)</f>
        <v>0</v>
      </c>
      <c r="BW132" s="5">
        <f t="shared" si="612"/>
        <v>0</v>
      </c>
      <c r="BX132" s="5">
        <f t="shared" si="29"/>
        <v>0</v>
      </c>
      <c r="BY132" s="5">
        <f t="shared" si="30"/>
        <v>0</v>
      </c>
      <c r="BZ132" s="5">
        <f t="shared" si="31"/>
        <v>0</v>
      </c>
      <c r="CA132" s="5">
        <f t="shared" si="32"/>
        <v>0</v>
      </c>
      <c r="CB132" s="5">
        <f t="shared" si="33"/>
        <v>0</v>
      </c>
      <c r="CC132" s="5">
        <f t="shared" si="34"/>
        <v>0</v>
      </c>
      <c r="CD132" s="5">
        <f t="shared" si="35"/>
        <v>0</v>
      </c>
      <c r="CE132" s="5">
        <f t="shared" si="36"/>
        <v>0</v>
      </c>
      <c r="CF132" s="5">
        <f t="shared" si="37"/>
        <v>0</v>
      </c>
      <c r="CG132" s="5">
        <f t="shared" si="38"/>
        <v>0</v>
      </c>
      <c r="CH132" s="5">
        <f t="shared" si="39"/>
        <v>0</v>
      </c>
      <c r="CI132" s="5">
        <f t="shared" si="40"/>
        <v>0</v>
      </c>
      <c r="CJ132" s="5">
        <f t="shared" si="41"/>
        <v>0</v>
      </c>
      <c r="CK132" s="5">
        <f t="shared" si="42"/>
        <v>0</v>
      </c>
      <c r="CL132" s="5">
        <f t="shared" si="43"/>
        <v>0</v>
      </c>
      <c r="CM132" s="5">
        <f t="shared" si="44"/>
        <v>0</v>
      </c>
      <c r="CN132" s="5">
        <f t="shared" si="45"/>
        <v>0</v>
      </c>
      <c r="CO132" s="5">
        <f t="shared" si="46"/>
        <v>0</v>
      </c>
      <c r="CP132" s="6">
        <f t="shared" si="47"/>
        <v>0</v>
      </c>
      <c r="CQ132" s="6">
        <f t="shared" si="48"/>
        <v>1</v>
      </c>
      <c r="CR132" s="6">
        <f t="shared" si="49"/>
        <v>0</v>
      </c>
      <c r="CS132" s="6">
        <f t="shared" si="50"/>
        <v>0</v>
      </c>
      <c r="CT132" s="6">
        <f t="shared" si="584"/>
        <v>0</v>
      </c>
      <c r="CU132" s="6">
        <f t="shared" si="52"/>
        <v>0</v>
      </c>
      <c r="CV132" s="6">
        <f t="shared" si="53"/>
        <v>0</v>
      </c>
      <c r="CW132" s="6">
        <f t="shared" si="54"/>
        <v>0</v>
      </c>
      <c r="CX132" s="6">
        <f t="shared" si="55"/>
        <v>0</v>
      </c>
      <c r="CY132" s="6">
        <f t="shared" si="56"/>
        <v>0</v>
      </c>
      <c r="CZ132" s="6">
        <f t="shared" si="57"/>
        <v>0</v>
      </c>
      <c r="DA132" s="6">
        <f t="shared" si="58"/>
        <v>0</v>
      </c>
      <c r="DB132" s="6">
        <f t="shared" si="59"/>
        <v>0</v>
      </c>
      <c r="DC132" s="6">
        <f t="shared" si="60"/>
        <v>1</v>
      </c>
      <c r="DD132" s="6">
        <f t="shared" si="61"/>
        <v>0</v>
      </c>
      <c r="DE132" s="6">
        <f t="shared" si="62"/>
        <v>0</v>
      </c>
      <c r="DF132" s="6">
        <f t="shared" si="63"/>
        <v>0</v>
      </c>
      <c r="DG132" s="6">
        <f t="shared" si="64"/>
        <v>0</v>
      </c>
      <c r="DH132" s="6">
        <f t="shared" si="579"/>
        <v>0</v>
      </c>
      <c r="DI132" s="6">
        <f t="shared" si="66"/>
        <v>0</v>
      </c>
      <c r="DJ132" s="6">
        <f t="shared" si="574"/>
        <v>0</v>
      </c>
      <c r="DK132" s="7">
        <f t="shared" si="68"/>
        <v>0</v>
      </c>
      <c r="DL132" s="7">
        <f t="shared" si="498"/>
        <v>0</v>
      </c>
      <c r="DM132" s="7">
        <f t="shared" si="70"/>
        <v>0</v>
      </c>
      <c r="DN132" s="7">
        <f t="shared" si="71"/>
        <v>0</v>
      </c>
      <c r="DO132" s="7">
        <f t="shared" si="72"/>
        <v>0</v>
      </c>
      <c r="DP132" s="8">
        <f t="shared" si="73"/>
        <v>0</v>
      </c>
      <c r="DQ132" s="8">
        <f t="shared" si="74"/>
        <v>1</v>
      </c>
      <c r="DR132" s="7">
        <f t="shared" si="75"/>
        <v>0</v>
      </c>
      <c r="DS132" s="7">
        <f t="shared" si="76"/>
        <v>0</v>
      </c>
      <c r="DT132" s="7">
        <f t="shared" si="77"/>
        <v>0</v>
      </c>
      <c r="DU132" s="9">
        <f t="shared" si="78"/>
        <v>0</v>
      </c>
      <c r="DV132" s="9">
        <f t="shared" si="79"/>
        <v>0</v>
      </c>
      <c r="DW132" s="9">
        <f t="shared" si="80"/>
        <v>0</v>
      </c>
      <c r="DX132" s="9">
        <f t="shared" si="81"/>
        <v>0</v>
      </c>
      <c r="DY132" s="9">
        <f t="shared" si="82"/>
        <v>0</v>
      </c>
      <c r="DZ132" s="9">
        <f t="shared" si="83"/>
        <v>0</v>
      </c>
      <c r="EA132" s="9">
        <f t="shared" si="84"/>
        <v>0</v>
      </c>
      <c r="EB132" s="9">
        <f t="shared" si="85"/>
        <v>0</v>
      </c>
      <c r="EC132" s="9">
        <f t="shared" si="86"/>
        <v>0</v>
      </c>
      <c r="ED132" s="9">
        <f t="shared" si="87"/>
        <v>0</v>
      </c>
      <c r="EE132" s="9">
        <f t="shared" si="88"/>
        <v>0</v>
      </c>
      <c r="EF132" s="9">
        <f t="shared" si="89"/>
        <v>0</v>
      </c>
      <c r="EG132" s="9">
        <f t="shared" si="90"/>
        <v>0</v>
      </c>
      <c r="EH132" s="9">
        <f t="shared" si="91"/>
        <v>0</v>
      </c>
      <c r="EI132" s="9">
        <f t="shared" si="92"/>
        <v>0</v>
      </c>
      <c r="EJ132" s="10">
        <f t="shared" si="93"/>
        <v>0</v>
      </c>
      <c r="EK132" s="10">
        <f t="shared" si="94"/>
        <v>0</v>
      </c>
      <c r="EL132" s="10">
        <f t="shared" ref="EL132:EM132" si="613">IF(OR(ISNUMBER(SEARCH("ai software toolkit", $D132)), ISNUMBER(SEARCH("ai software toolkit", $T132)), ISNUMBER(SEARCH("ai software toolkit", $R132)), ISNUMBER(SEARCH("ai software toolkit", $S132))), 1, 0)</f>
        <v>0</v>
      </c>
      <c r="EM132" s="10">
        <f t="shared" si="613"/>
        <v>0</v>
      </c>
      <c r="EN132" s="10">
        <f t="shared" si="96"/>
        <v>0</v>
      </c>
      <c r="EO132" s="10">
        <f t="shared" si="97"/>
        <v>0</v>
      </c>
      <c r="EP132" s="10">
        <f t="shared" si="98"/>
        <v>0</v>
      </c>
      <c r="EQ132" s="10">
        <f t="shared" si="99"/>
        <v>0</v>
      </c>
      <c r="ER132" s="10">
        <f t="shared" si="100"/>
        <v>0</v>
      </c>
      <c r="ES132" s="10">
        <f t="shared" si="101"/>
        <v>0</v>
      </c>
      <c r="ET132" s="10">
        <f t="shared" si="102"/>
        <v>0</v>
      </c>
      <c r="EU132" s="10">
        <f t="shared" si="103"/>
        <v>0</v>
      </c>
      <c r="EV132" s="10">
        <f t="shared" si="104"/>
        <v>0</v>
      </c>
      <c r="EW132" s="10">
        <f t="shared" si="105"/>
        <v>0</v>
      </c>
      <c r="EX132" s="10">
        <f t="shared" si="106"/>
        <v>0</v>
      </c>
      <c r="EY132" s="10">
        <f t="shared" si="107"/>
        <v>0</v>
      </c>
      <c r="EZ132" s="10">
        <f t="shared" si="108"/>
        <v>0</v>
      </c>
      <c r="FA132" s="10">
        <f t="shared" si="109"/>
        <v>0</v>
      </c>
      <c r="FB132" s="10">
        <f t="shared" si="110"/>
        <v>0</v>
      </c>
      <c r="FC132" s="10">
        <f t="shared" si="111"/>
        <v>0</v>
      </c>
      <c r="FD132" s="10">
        <f t="shared" si="112"/>
        <v>0</v>
      </c>
      <c r="FE132" s="10">
        <f t="shared" si="113"/>
        <v>0</v>
      </c>
      <c r="FF132" s="10">
        <f t="shared" si="114"/>
        <v>0</v>
      </c>
      <c r="FG132" s="10">
        <f t="shared" si="115"/>
        <v>0</v>
      </c>
      <c r="FH132" s="10">
        <f t="shared" si="116"/>
        <v>0</v>
      </c>
      <c r="FI132" s="10">
        <f t="shared" si="117"/>
        <v>0</v>
      </c>
      <c r="FJ132" s="10">
        <f t="shared" si="118"/>
        <v>0</v>
      </c>
      <c r="FK132" s="10">
        <f t="shared" si="119"/>
        <v>0</v>
      </c>
      <c r="FL132" s="10">
        <f t="shared" si="120"/>
        <v>0</v>
      </c>
      <c r="FM132" s="10">
        <f t="shared" si="121"/>
        <v>0</v>
      </c>
      <c r="FN132" s="10">
        <f t="shared" si="122"/>
        <v>0</v>
      </c>
      <c r="FO132" s="10">
        <f t="shared" si="123"/>
        <v>0</v>
      </c>
      <c r="FP132" s="10">
        <f t="shared" si="124"/>
        <v>1</v>
      </c>
      <c r="FQ132" s="10">
        <f t="shared" si="125"/>
        <v>0</v>
      </c>
      <c r="FR132" s="11">
        <f t="shared" si="611"/>
        <v>0</v>
      </c>
      <c r="FS132" s="11">
        <f t="shared" si="127"/>
        <v>0</v>
      </c>
      <c r="FT132" s="11">
        <f t="shared" si="128"/>
        <v>0</v>
      </c>
      <c r="FU132" s="11">
        <f t="shared" si="129"/>
        <v>0</v>
      </c>
      <c r="FV132" s="11">
        <f t="shared" si="130"/>
        <v>0</v>
      </c>
      <c r="FW132" s="11">
        <f t="shared" si="131"/>
        <v>0</v>
      </c>
      <c r="FX132" s="11">
        <f t="shared" si="132"/>
        <v>0</v>
      </c>
      <c r="FY132" s="11">
        <f t="shared" si="133"/>
        <v>0</v>
      </c>
      <c r="FZ132" s="11">
        <f t="shared" si="134"/>
        <v>0</v>
      </c>
      <c r="GA132" s="11">
        <f t="shared" si="135"/>
        <v>0</v>
      </c>
      <c r="GB132" s="11">
        <f t="shared" si="136"/>
        <v>0</v>
      </c>
      <c r="GC132" s="11">
        <f t="shared" si="137"/>
        <v>0</v>
      </c>
      <c r="GD132" s="11">
        <f t="shared" si="138"/>
        <v>0</v>
      </c>
      <c r="GE132" s="11">
        <f t="shared" si="139"/>
        <v>0</v>
      </c>
      <c r="GF132" s="11">
        <f t="shared" si="140"/>
        <v>0</v>
      </c>
      <c r="GG132" s="11">
        <f t="shared" si="141"/>
        <v>0</v>
      </c>
      <c r="GH132" s="11">
        <f t="shared" si="142"/>
        <v>0</v>
      </c>
      <c r="GI132" s="11">
        <f t="shared" si="143"/>
        <v>0</v>
      </c>
      <c r="GJ132" s="11">
        <f t="shared" si="144"/>
        <v>0</v>
      </c>
      <c r="GK132" s="11">
        <f t="shared" si="145"/>
        <v>0</v>
      </c>
      <c r="GL132" s="11">
        <f t="shared" si="146"/>
        <v>0</v>
      </c>
      <c r="GM132" s="11">
        <f t="shared" si="147"/>
        <v>0</v>
      </c>
      <c r="GN132" s="11">
        <f t="shared" si="148"/>
        <v>0</v>
      </c>
      <c r="GO132" s="11">
        <f t="shared" si="149"/>
        <v>0</v>
      </c>
      <c r="GP132" s="11">
        <f t="shared" si="150"/>
        <v>0</v>
      </c>
      <c r="GQ132" s="11">
        <f t="shared" si="151"/>
        <v>1</v>
      </c>
      <c r="GR132" s="11">
        <f t="shared" si="152"/>
        <v>0</v>
      </c>
      <c r="GS132" s="11">
        <f t="shared" si="153"/>
        <v>0</v>
      </c>
      <c r="GT132" s="11">
        <f t="shared" si="154"/>
        <v>0</v>
      </c>
      <c r="GU132" s="12">
        <f t="shared" si="155"/>
        <v>0</v>
      </c>
      <c r="GV132" s="12">
        <f t="shared" si="156"/>
        <v>0</v>
      </c>
      <c r="GW132" s="12">
        <f t="shared" si="157"/>
        <v>0</v>
      </c>
      <c r="GX132" s="12">
        <f t="shared" si="158"/>
        <v>0</v>
      </c>
      <c r="GY132" s="12">
        <f t="shared" si="159"/>
        <v>0</v>
      </c>
      <c r="GZ132" s="12">
        <f t="shared" si="160"/>
        <v>0</v>
      </c>
      <c r="HA132" s="12">
        <f t="shared" si="161"/>
        <v>0</v>
      </c>
      <c r="HB132" s="12">
        <f t="shared" si="162"/>
        <v>0</v>
      </c>
      <c r="HC132" s="12">
        <f t="shared" si="163"/>
        <v>0</v>
      </c>
      <c r="HD132" s="12">
        <f t="shared" si="164"/>
        <v>0</v>
      </c>
      <c r="HE132" s="12">
        <f t="shared" si="165"/>
        <v>0</v>
      </c>
      <c r="HF132" s="12">
        <f t="shared" si="166"/>
        <v>0</v>
      </c>
      <c r="HG132" s="12">
        <f t="shared" si="167"/>
        <v>0</v>
      </c>
      <c r="HH132" s="12">
        <f t="shared" si="168"/>
        <v>0</v>
      </c>
      <c r="HI132" s="12">
        <f t="shared" si="169"/>
        <v>0</v>
      </c>
      <c r="HJ132" s="12">
        <f t="shared" si="170"/>
        <v>0</v>
      </c>
      <c r="HK132" s="12">
        <f t="shared" si="171"/>
        <v>0</v>
      </c>
      <c r="HL132" s="12">
        <f t="shared" si="172"/>
        <v>0</v>
      </c>
      <c r="HM132" s="12">
        <f t="shared" si="173"/>
        <v>0</v>
      </c>
      <c r="HN132" s="12">
        <f t="shared" si="174"/>
        <v>0</v>
      </c>
      <c r="HO132" s="12">
        <f t="shared" si="175"/>
        <v>0</v>
      </c>
      <c r="HP132" s="12">
        <f t="shared" si="176"/>
        <v>0</v>
      </c>
      <c r="HQ132" s="12">
        <f t="shared" si="177"/>
        <v>0</v>
      </c>
      <c r="HR132" s="12">
        <f t="shared" si="178"/>
        <v>0</v>
      </c>
      <c r="HS132" s="12">
        <f t="shared" si="179"/>
        <v>0</v>
      </c>
      <c r="HT132" s="12">
        <f t="shared" si="180"/>
        <v>0</v>
      </c>
      <c r="HU132" s="12">
        <f t="shared" si="181"/>
        <v>0</v>
      </c>
      <c r="HV132" s="12">
        <f t="shared" si="182"/>
        <v>0</v>
      </c>
      <c r="HW132" s="12">
        <f t="shared" si="183"/>
        <v>0</v>
      </c>
      <c r="HX132" s="12">
        <f t="shared" si="184"/>
        <v>0</v>
      </c>
      <c r="HY132" s="12">
        <f t="shared" si="185"/>
        <v>0</v>
      </c>
      <c r="HZ132" s="12">
        <f t="shared" si="186"/>
        <v>0</v>
      </c>
      <c r="IA132" s="12">
        <f t="shared" si="187"/>
        <v>0</v>
      </c>
      <c r="IB132" s="12">
        <f t="shared" si="188"/>
        <v>0</v>
      </c>
      <c r="IC132" s="12">
        <f t="shared" si="189"/>
        <v>0</v>
      </c>
      <c r="ID132" s="12">
        <f t="shared" si="190"/>
        <v>0</v>
      </c>
      <c r="IE132" s="12">
        <f t="shared" si="191"/>
        <v>0</v>
      </c>
      <c r="IF132" s="12">
        <f t="shared" si="192"/>
        <v>0</v>
      </c>
      <c r="IG132" s="12">
        <f t="shared" si="193"/>
        <v>0</v>
      </c>
      <c r="IH132" s="12">
        <f t="shared" si="194"/>
        <v>0</v>
      </c>
      <c r="II132" s="12">
        <f t="shared" si="195"/>
        <v>0</v>
      </c>
      <c r="IJ132" s="12">
        <f t="shared" si="196"/>
        <v>0</v>
      </c>
      <c r="IK132" s="12">
        <f t="shared" si="197"/>
        <v>0</v>
      </c>
      <c r="IL132" s="12">
        <f t="shared" si="198"/>
        <v>0</v>
      </c>
      <c r="IM132" s="12">
        <f t="shared" si="199"/>
        <v>0</v>
      </c>
      <c r="IN132" s="12">
        <f t="shared" si="200"/>
        <v>0</v>
      </c>
      <c r="IO132" s="12">
        <f t="shared" si="201"/>
        <v>0</v>
      </c>
      <c r="IP132" s="12">
        <f t="shared" si="202"/>
        <v>0</v>
      </c>
      <c r="IQ132" s="12">
        <f t="shared" si="203"/>
        <v>0</v>
      </c>
      <c r="IR132" s="12">
        <f t="shared" si="204"/>
        <v>0</v>
      </c>
      <c r="IS132" s="12">
        <f t="shared" si="205"/>
        <v>0</v>
      </c>
      <c r="IT132" s="12">
        <f t="shared" si="206"/>
        <v>0</v>
      </c>
      <c r="IU132" s="12">
        <f t="shared" si="207"/>
        <v>0</v>
      </c>
      <c r="IV132" s="12">
        <f t="shared" si="208"/>
        <v>0</v>
      </c>
      <c r="IW132" s="12">
        <f t="shared" si="209"/>
        <v>0</v>
      </c>
      <c r="IX132" s="12">
        <f t="shared" si="210"/>
        <v>0</v>
      </c>
      <c r="IY132" s="12">
        <f t="shared" si="211"/>
        <v>0</v>
      </c>
      <c r="IZ132" s="12">
        <f t="shared" si="212"/>
        <v>1</v>
      </c>
      <c r="JA132" s="13">
        <f t="shared" si="213"/>
        <v>0</v>
      </c>
      <c r="JB132" s="13">
        <f t="shared" si="214"/>
        <v>0</v>
      </c>
      <c r="JC132" s="13">
        <f t="shared" si="215"/>
        <v>0</v>
      </c>
      <c r="JD132" s="13">
        <f t="shared" si="216"/>
        <v>0</v>
      </c>
      <c r="JE132" s="13">
        <f t="shared" si="217"/>
        <v>0</v>
      </c>
      <c r="JF132" s="13">
        <f t="shared" si="218"/>
        <v>0</v>
      </c>
      <c r="JG132" s="13">
        <f t="shared" si="219"/>
        <v>0</v>
      </c>
      <c r="JH132" s="13">
        <f t="shared" si="220"/>
        <v>0</v>
      </c>
      <c r="JI132" s="13">
        <f t="shared" si="221"/>
        <v>0</v>
      </c>
      <c r="JJ132" s="13">
        <f t="shared" si="222"/>
        <v>0</v>
      </c>
      <c r="JK132" s="13">
        <f t="shared" si="223"/>
        <v>0</v>
      </c>
      <c r="JL132" s="13">
        <f t="shared" si="224"/>
        <v>0</v>
      </c>
      <c r="JM132" s="13">
        <f t="shared" si="225"/>
        <v>0</v>
      </c>
      <c r="JN132" s="13">
        <f t="shared" si="226"/>
        <v>0</v>
      </c>
      <c r="JO132" s="13">
        <f t="shared" si="227"/>
        <v>0</v>
      </c>
      <c r="JP132" s="13">
        <f t="shared" si="228"/>
        <v>0</v>
      </c>
      <c r="JQ132" s="13">
        <f t="shared" si="229"/>
        <v>0</v>
      </c>
      <c r="JR132" s="13">
        <f t="shared" si="230"/>
        <v>0</v>
      </c>
      <c r="JS132" s="13">
        <f t="shared" si="231"/>
        <v>0</v>
      </c>
      <c r="JT132" s="13">
        <f t="shared" si="232"/>
        <v>0</v>
      </c>
      <c r="JU132" s="13">
        <f t="shared" si="233"/>
        <v>0</v>
      </c>
      <c r="JV132" s="12">
        <f t="shared" si="234"/>
        <v>0</v>
      </c>
      <c r="JW132" s="12">
        <f t="shared" si="235"/>
        <v>0</v>
      </c>
      <c r="JX132" s="12">
        <f t="shared" si="236"/>
        <v>0</v>
      </c>
      <c r="JY132" s="12">
        <f t="shared" si="237"/>
        <v>0</v>
      </c>
      <c r="JZ132" s="12">
        <f t="shared" si="238"/>
        <v>0</v>
      </c>
      <c r="KA132" s="12">
        <f t="shared" si="239"/>
        <v>0</v>
      </c>
      <c r="KB132" s="12">
        <f t="shared" si="240"/>
        <v>0</v>
      </c>
      <c r="KC132" s="12">
        <f t="shared" si="241"/>
        <v>0</v>
      </c>
      <c r="KD132" s="12">
        <f t="shared" si="242"/>
        <v>0</v>
      </c>
      <c r="KE132" s="12">
        <f t="shared" si="243"/>
        <v>0</v>
      </c>
      <c r="KF132" s="12">
        <f t="shared" si="244"/>
        <v>0</v>
      </c>
      <c r="KG132" s="12">
        <f t="shared" si="245"/>
        <v>0</v>
      </c>
      <c r="KH132" s="12">
        <f t="shared" si="246"/>
        <v>0</v>
      </c>
      <c r="KI132" s="12">
        <f t="shared" si="247"/>
        <v>0</v>
      </c>
      <c r="KJ132" s="12">
        <f t="shared" si="248"/>
        <v>0</v>
      </c>
      <c r="KK132" s="12">
        <f t="shared" si="249"/>
        <v>0</v>
      </c>
      <c r="KL132" s="12">
        <f t="shared" si="250"/>
        <v>0</v>
      </c>
      <c r="KM132" s="12">
        <f t="shared" si="251"/>
        <v>0</v>
      </c>
      <c r="KN132" s="12">
        <f t="shared" si="252"/>
        <v>0</v>
      </c>
      <c r="KO132" s="12">
        <f t="shared" si="253"/>
        <v>0</v>
      </c>
      <c r="KP132" s="12">
        <f t="shared" si="254"/>
        <v>0</v>
      </c>
      <c r="KQ132" s="12">
        <f t="shared" si="255"/>
        <v>0</v>
      </c>
      <c r="KR132" s="12">
        <f t="shared" si="256"/>
        <v>0</v>
      </c>
      <c r="KS132" s="12">
        <f t="shared" si="257"/>
        <v>0</v>
      </c>
      <c r="KT132" s="12">
        <f t="shared" si="258"/>
        <v>0</v>
      </c>
      <c r="KU132" s="12">
        <f t="shared" si="259"/>
        <v>0</v>
      </c>
      <c r="KV132" s="12">
        <f t="shared" si="260"/>
        <v>0</v>
      </c>
      <c r="KW132" s="12">
        <f t="shared" si="261"/>
        <v>0</v>
      </c>
      <c r="KX132" s="12">
        <f t="shared" si="262"/>
        <v>0</v>
      </c>
      <c r="KY132" s="12">
        <f t="shared" si="263"/>
        <v>0</v>
      </c>
      <c r="KZ132" s="12">
        <f t="shared" si="264"/>
        <v>0</v>
      </c>
      <c r="LA132" s="12">
        <f t="shared" si="265"/>
        <v>0</v>
      </c>
      <c r="LB132" s="12">
        <f t="shared" si="266"/>
        <v>0</v>
      </c>
      <c r="LC132" s="12">
        <f t="shared" si="267"/>
        <v>0</v>
      </c>
      <c r="LD132" s="12">
        <f t="shared" si="268"/>
        <v>0</v>
      </c>
      <c r="LE132" s="12">
        <f t="shared" si="269"/>
        <v>0</v>
      </c>
      <c r="LF132" s="12">
        <f t="shared" si="270"/>
        <v>0</v>
      </c>
      <c r="LG132" s="12">
        <f t="shared" si="271"/>
        <v>0</v>
      </c>
      <c r="LH132" s="12">
        <f t="shared" si="272"/>
        <v>0</v>
      </c>
      <c r="LI132" s="12">
        <f t="shared" si="273"/>
        <v>0</v>
      </c>
      <c r="LJ132" s="12">
        <f t="shared" si="274"/>
        <v>0</v>
      </c>
      <c r="LK132" s="12">
        <f t="shared" si="275"/>
        <v>0</v>
      </c>
      <c r="LL132" s="12">
        <f t="shared" si="276"/>
        <v>0</v>
      </c>
      <c r="LM132" s="12">
        <f t="shared" si="277"/>
        <v>0</v>
      </c>
      <c r="LN132" s="12">
        <f t="shared" si="278"/>
        <v>0</v>
      </c>
      <c r="LO132" s="12">
        <f t="shared" si="279"/>
        <v>0</v>
      </c>
      <c r="LP132" s="12">
        <f t="shared" si="280"/>
        <v>0</v>
      </c>
      <c r="LQ132" s="12">
        <f t="shared" si="281"/>
        <v>0</v>
      </c>
      <c r="LR132" s="12">
        <f t="shared" si="282"/>
        <v>0</v>
      </c>
      <c r="LS132" s="12">
        <f t="shared" si="283"/>
        <v>0</v>
      </c>
      <c r="LT132" s="13">
        <f t="shared" si="284"/>
        <v>0</v>
      </c>
      <c r="LU132" s="13">
        <f t="shared" si="285"/>
        <v>0</v>
      </c>
      <c r="LV132" s="13">
        <f t="shared" si="286"/>
        <v>0</v>
      </c>
      <c r="LW132" s="13">
        <f t="shared" si="287"/>
        <v>0</v>
      </c>
      <c r="LX132" s="13">
        <f t="shared" si="288"/>
        <v>0</v>
      </c>
      <c r="LY132" s="13">
        <f t="shared" si="289"/>
        <v>0</v>
      </c>
      <c r="LZ132" s="13">
        <f t="shared" si="290"/>
        <v>0</v>
      </c>
      <c r="MA132" s="13">
        <f t="shared" si="291"/>
        <v>0</v>
      </c>
      <c r="MB132" s="13">
        <f t="shared" si="292"/>
        <v>0</v>
      </c>
      <c r="MC132" s="13">
        <f t="shared" si="293"/>
        <v>0</v>
      </c>
      <c r="MD132" s="13">
        <f t="shared" si="294"/>
        <v>0</v>
      </c>
      <c r="ME132" s="13">
        <f t="shared" si="295"/>
        <v>0</v>
      </c>
      <c r="MF132" s="13">
        <f t="shared" si="296"/>
        <v>0</v>
      </c>
      <c r="MG132" s="13">
        <f t="shared" si="297"/>
        <v>0</v>
      </c>
      <c r="MH132" s="13">
        <f t="shared" si="298"/>
        <v>0</v>
      </c>
      <c r="MI132" s="13">
        <f t="shared" si="299"/>
        <v>0</v>
      </c>
      <c r="MJ132" s="13">
        <f t="shared" si="300"/>
        <v>0</v>
      </c>
      <c r="MK132" s="13">
        <f t="shared" si="301"/>
        <v>0</v>
      </c>
      <c r="ML132" s="14">
        <f t="shared" si="302"/>
        <v>0</v>
      </c>
      <c r="MM132" s="14">
        <f t="shared" si="303"/>
        <v>0</v>
      </c>
      <c r="MN132" s="14">
        <f t="shared" si="304"/>
        <v>0</v>
      </c>
      <c r="MO132" s="14">
        <f t="shared" si="305"/>
        <v>0</v>
      </c>
      <c r="MP132" s="14">
        <f t="shared" si="306"/>
        <v>0</v>
      </c>
      <c r="MQ132" s="14">
        <f t="shared" si="307"/>
        <v>0</v>
      </c>
      <c r="MR132" s="14">
        <f t="shared" si="308"/>
        <v>0</v>
      </c>
      <c r="MS132" s="14">
        <f t="shared" si="309"/>
        <v>0</v>
      </c>
      <c r="MT132" s="14">
        <f t="shared" si="310"/>
        <v>0</v>
      </c>
      <c r="MU132" s="14">
        <f t="shared" si="311"/>
        <v>0</v>
      </c>
      <c r="MV132" s="14">
        <f t="shared" si="312"/>
        <v>0</v>
      </c>
      <c r="MW132" s="14">
        <f t="shared" si="313"/>
        <v>0</v>
      </c>
      <c r="MX132" s="14">
        <f t="shared" si="314"/>
        <v>0</v>
      </c>
      <c r="MY132" s="14">
        <f t="shared" si="315"/>
        <v>0</v>
      </c>
      <c r="MZ132" s="14">
        <f t="shared" si="316"/>
        <v>0</v>
      </c>
      <c r="NA132" s="14">
        <f t="shared" si="317"/>
        <v>0</v>
      </c>
      <c r="NB132" s="14">
        <f t="shared" si="318"/>
        <v>0</v>
      </c>
    </row>
    <row r="133" ht="15.75" customHeight="1">
      <c r="A133" s="2">
        <v>50.0</v>
      </c>
      <c r="B133" s="2" t="s">
        <v>2616</v>
      </c>
      <c r="C133" s="2" t="s">
        <v>2617</v>
      </c>
      <c r="D133" s="2" t="s">
        <v>2618</v>
      </c>
      <c r="E133" s="2">
        <v>2021.0</v>
      </c>
      <c r="F133" s="2" t="s">
        <v>689</v>
      </c>
      <c r="G133" s="2" t="s">
        <v>1365</v>
      </c>
      <c r="H133" s="2" t="s">
        <v>393</v>
      </c>
      <c r="I133" s="2" t="s">
        <v>2619</v>
      </c>
      <c r="M133" s="2">
        <v>5.0</v>
      </c>
      <c r="N133" s="2" t="s">
        <v>2620</v>
      </c>
      <c r="O133" s="2" t="s">
        <v>2621</v>
      </c>
      <c r="P133" s="2" t="s">
        <v>2622</v>
      </c>
      <c r="Q133" s="2" t="s">
        <v>2623</v>
      </c>
      <c r="R133" s="2" t="s">
        <v>2624</v>
      </c>
      <c r="S133" s="2" t="s">
        <v>2625</v>
      </c>
      <c r="T133" s="2" t="s">
        <v>2626</v>
      </c>
      <c r="Y133" s="2" t="s">
        <v>2627</v>
      </c>
      <c r="AB133" s="2" t="s">
        <v>1303</v>
      </c>
      <c r="AG133" s="2" t="s">
        <v>688</v>
      </c>
      <c r="AJ133" s="2">
        <v>3.4696078E7</v>
      </c>
      <c r="AK133" s="2" t="s">
        <v>689</v>
      </c>
      <c r="AL133" s="2" t="s">
        <v>384</v>
      </c>
      <c r="AM133" s="2" t="s">
        <v>484</v>
      </c>
      <c r="AN133" s="2" t="s">
        <v>386</v>
      </c>
      <c r="AO133" s="2" t="s">
        <v>2628</v>
      </c>
      <c r="AP133" s="2" t="s">
        <v>386</v>
      </c>
      <c r="AQ133" s="2">
        <v>141.0</v>
      </c>
      <c r="AR133" s="2" t="s">
        <v>2618</v>
      </c>
      <c r="AS133" s="2" t="b">
        <v>1</v>
      </c>
      <c r="AT133" s="3">
        <v>0.0</v>
      </c>
      <c r="AU133" s="4">
        <v>1.0</v>
      </c>
      <c r="AV133" s="4"/>
      <c r="AW133" s="5">
        <f t="shared" si="432"/>
        <v>0</v>
      </c>
      <c r="AX133" s="5">
        <f t="shared" si="4"/>
        <v>0</v>
      </c>
      <c r="AY133" s="5">
        <f t="shared" si="5"/>
        <v>0</v>
      </c>
      <c r="AZ133" s="5">
        <f t="shared" si="6"/>
        <v>0</v>
      </c>
      <c r="BA133" s="5">
        <f t="shared" si="7"/>
        <v>0</v>
      </c>
      <c r="BB133" s="5">
        <f t="shared" si="8"/>
        <v>0</v>
      </c>
      <c r="BC133" s="5">
        <f t="shared" si="9"/>
        <v>0</v>
      </c>
      <c r="BD133" s="5">
        <f t="shared" si="10"/>
        <v>0</v>
      </c>
      <c r="BE133" s="5">
        <f t="shared" si="11"/>
        <v>0</v>
      </c>
      <c r="BF133" s="5">
        <f t="shared" si="12"/>
        <v>0</v>
      </c>
      <c r="BG133" s="5">
        <f t="shared" si="13"/>
        <v>0</v>
      </c>
      <c r="BH133" s="5">
        <f t="shared" si="14"/>
        <v>0</v>
      </c>
      <c r="BI133" s="5">
        <f t="shared" si="15"/>
        <v>0</v>
      </c>
      <c r="BJ133" s="5">
        <f t="shared" si="16"/>
        <v>0</v>
      </c>
      <c r="BK133" s="5">
        <f t="shared" si="17"/>
        <v>0</v>
      </c>
      <c r="BL133" s="5">
        <f t="shared" si="18"/>
        <v>0</v>
      </c>
      <c r="BM133" s="5">
        <f t="shared" si="19"/>
        <v>0</v>
      </c>
      <c r="BN133" s="5">
        <f t="shared" si="20"/>
        <v>0</v>
      </c>
      <c r="BO133" s="5">
        <f t="shared" si="21"/>
        <v>0</v>
      </c>
      <c r="BP133" s="5">
        <f t="shared" si="22"/>
        <v>0</v>
      </c>
      <c r="BQ133" s="5">
        <f t="shared" si="23"/>
        <v>0</v>
      </c>
      <c r="BR133" s="5">
        <f t="shared" si="24"/>
        <v>0</v>
      </c>
      <c r="BS133" s="5">
        <f t="shared" si="25"/>
        <v>0</v>
      </c>
      <c r="BT133" s="5">
        <f t="shared" si="26"/>
        <v>0</v>
      </c>
      <c r="BU133" s="5">
        <f t="shared" si="27"/>
        <v>0</v>
      </c>
      <c r="BV133" s="5">
        <f t="shared" ref="BV133:BW133" si="614">IF(OR(ISNUMBER(SEARCH("grit",$D133)),ISNUMBER(SEARCH("grit",$T133)),ISNUMBER(SEARCH("grit",$R133)),ISNUMBER(SEARCH("grit",$S133)),
ISNUMBER(SEARCH("determination",$D133)),ISNUMBER(SEARCH("determination",$T133)),ISNUMBER(SEARCH("determination",$R133)),ISNUMBER(SEARCH("determination",$S133)),
ISNUMBER(SEARCH("tenacity",$D133)),ISNUMBER(SEARCH("tenacity",$T133)),ISNUMBER(SEARCH("tenacity",$R133)),ISNUMBER(SEARCH("tenacity",$S133)),
ISNUMBER(SEARCH("endurance",$D133)),ISNUMBER(SEARCH("endurance",$T133)),ISNUMBER(SEARCH("endurance",$R133)),ISNUMBER(SEARCH("endurance",$S133)),
ISNUMBER(SEARCH("fortitude",$D133)),ISNUMBER(SEARCH("fortitude",$T133)),ISNUMBER(SEARCH("fortitude",$R133)),ISNUMBER(SEARCH("fortitude",$S133)),
ISNUMBER(SEARCH("resolve",$D133)),ISNUMBER(SEARCH("resolve",$T133)),ISNUMBER(SEARCH("resolve",$R133)),ISNUMBER(SEARCH("resolve",$S133)),
ISNUMBER(SEARCH("stamina",$D133)),ISNUMBER(SEARCH("stamina",$T133)),ISNUMBER(SEARCH("stamina",$R133)),ISNUMBER(SEARCH("stamina",$S133)),
ISNUMBER(SEARCH("guts",$D133)),ISNUMBER(SEARCH("guts",$T133)),ISNUMBER(SEARCH("guts",$R133)),ISNUMBER(SEARCH("guts",$S133)),
ISNUMBER(SEARCH("spunk",$D133)),ISNUMBER(SEARCH("spunk",$T133)),ISNUMBER(SEARCH("spunk",$R133)),ISNUMBER(SEARCH("spunk",$S133))), 1, 0)</f>
        <v>0</v>
      </c>
      <c r="BW133" s="5">
        <f t="shared" si="614"/>
        <v>0</v>
      </c>
      <c r="BX133" s="5">
        <f t="shared" si="29"/>
        <v>0</v>
      </c>
      <c r="BY133" s="5">
        <f t="shared" si="30"/>
        <v>0</v>
      </c>
      <c r="BZ133" s="5">
        <f t="shared" si="31"/>
        <v>0</v>
      </c>
      <c r="CA133" s="5">
        <f t="shared" si="32"/>
        <v>0</v>
      </c>
      <c r="CB133" s="5">
        <f t="shared" si="33"/>
        <v>0</v>
      </c>
      <c r="CC133" s="5">
        <f t="shared" si="34"/>
        <v>0</v>
      </c>
      <c r="CD133" s="5">
        <f t="shared" si="35"/>
        <v>0</v>
      </c>
      <c r="CE133" s="5">
        <f t="shared" si="36"/>
        <v>0</v>
      </c>
      <c r="CF133" s="5">
        <f t="shared" si="37"/>
        <v>0</v>
      </c>
      <c r="CG133" s="5">
        <f t="shared" si="38"/>
        <v>0</v>
      </c>
      <c r="CH133" s="5">
        <f t="shared" si="39"/>
        <v>0</v>
      </c>
      <c r="CI133" s="5">
        <f t="shared" si="40"/>
        <v>0</v>
      </c>
      <c r="CJ133" s="5">
        <f t="shared" si="41"/>
        <v>0</v>
      </c>
      <c r="CK133" s="5">
        <f t="shared" si="42"/>
        <v>0</v>
      </c>
      <c r="CL133" s="5">
        <f t="shared" si="43"/>
        <v>0</v>
      </c>
      <c r="CM133" s="5">
        <f t="shared" si="44"/>
        <v>0</v>
      </c>
      <c r="CN133" s="5">
        <f t="shared" si="45"/>
        <v>0</v>
      </c>
      <c r="CO133" s="5">
        <f t="shared" si="46"/>
        <v>0</v>
      </c>
      <c r="CP133" s="6">
        <f t="shared" si="47"/>
        <v>0</v>
      </c>
      <c r="CQ133" s="6">
        <f t="shared" si="48"/>
        <v>0</v>
      </c>
      <c r="CR133" s="6">
        <f t="shared" si="49"/>
        <v>0</v>
      </c>
      <c r="CS133" s="6">
        <f t="shared" si="50"/>
        <v>0</v>
      </c>
      <c r="CT133" s="6">
        <f t="shared" si="584"/>
        <v>0</v>
      </c>
      <c r="CU133" s="6">
        <f t="shared" si="52"/>
        <v>0</v>
      </c>
      <c r="CV133" s="6">
        <f t="shared" si="53"/>
        <v>0</v>
      </c>
      <c r="CW133" s="6">
        <f t="shared" si="54"/>
        <v>0</v>
      </c>
      <c r="CX133" s="6">
        <f t="shared" si="55"/>
        <v>0</v>
      </c>
      <c r="CY133" s="6">
        <f t="shared" si="56"/>
        <v>0</v>
      </c>
      <c r="CZ133" s="6">
        <f t="shared" si="57"/>
        <v>0</v>
      </c>
      <c r="DA133" s="6">
        <f t="shared" si="58"/>
        <v>0</v>
      </c>
      <c r="DB133" s="6">
        <f t="shared" si="59"/>
        <v>0</v>
      </c>
      <c r="DC133" s="6">
        <f t="shared" si="60"/>
        <v>1</v>
      </c>
      <c r="DD133" s="6">
        <f t="shared" si="61"/>
        <v>0</v>
      </c>
      <c r="DE133" s="6">
        <f t="shared" si="62"/>
        <v>0</v>
      </c>
      <c r="DF133" s="6">
        <f t="shared" si="63"/>
        <v>0</v>
      </c>
      <c r="DG133" s="6">
        <f t="shared" si="64"/>
        <v>0</v>
      </c>
      <c r="DH133" s="6">
        <f t="shared" si="579"/>
        <v>0</v>
      </c>
      <c r="DI133" s="6">
        <f t="shared" si="66"/>
        <v>0</v>
      </c>
      <c r="DJ133" s="6">
        <f t="shared" si="574"/>
        <v>0</v>
      </c>
      <c r="DK133" s="7">
        <f t="shared" si="68"/>
        <v>0</v>
      </c>
      <c r="DL133" s="7">
        <f t="shared" si="498"/>
        <v>0</v>
      </c>
      <c r="DM133" s="7">
        <f t="shared" si="70"/>
        <v>0</v>
      </c>
      <c r="DN133" s="7">
        <f t="shared" si="71"/>
        <v>0</v>
      </c>
      <c r="DO133" s="7">
        <f t="shared" si="72"/>
        <v>1</v>
      </c>
      <c r="DP133" s="8">
        <f t="shared" si="73"/>
        <v>0</v>
      </c>
      <c r="DQ133" s="8">
        <f t="shared" si="74"/>
        <v>1</v>
      </c>
      <c r="DR133" s="7">
        <f t="shared" si="75"/>
        <v>0</v>
      </c>
      <c r="DS133" s="7">
        <f t="shared" si="76"/>
        <v>0</v>
      </c>
      <c r="DT133" s="7">
        <f t="shared" si="77"/>
        <v>0</v>
      </c>
      <c r="DU133" s="9">
        <f t="shared" si="78"/>
        <v>0</v>
      </c>
      <c r="DV133" s="9">
        <f t="shared" si="79"/>
        <v>0</v>
      </c>
      <c r="DW133" s="9">
        <f t="shared" si="80"/>
        <v>0</v>
      </c>
      <c r="DX133" s="9">
        <f t="shared" si="81"/>
        <v>0</v>
      </c>
      <c r="DY133" s="9">
        <f t="shared" si="82"/>
        <v>0</v>
      </c>
      <c r="DZ133" s="9">
        <f t="shared" si="83"/>
        <v>0</v>
      </c>
      <c r="EA133" s="9">
        <f t="shared" si="84"/>
        <v>0</v>
      </c>
      <c r="EB133" s="9">
        <f t="shared" si="85"/>
        <v>0</v>
      </c>
      <c r="EC133" s="9">
        <f t="shared" si="86"/>
        <v>0</v>
      </c>
      <c r="ED133" s="9">
        <f t="shared" si="87"/>
        <v>0</v>
      </c>
      <c r="EE133" s="9">
        <f t="shared" si="88"/>
        <v>0</v>
      </c>
      <c r="EF133" s="9">
        <f t="shared" si="89"/>
        <v>0</v>
      </c>
      <c r="EG133" s="9">
        <f t="shared" si="90"/>
        <v>0</v>
      </c>
      <c r="EH133" s="9">
        <f t="shared" si="91"/>
        <v>0</v>
      </c>
      <c r="EI133" s="9">
        <f t="shared" si="92"/>
        <v>0</v>
      </c>
      <c r="EJ133" s="10">
        <f t="shared" si="93"/>
        <v>0</v>
      </c>
      <c r="EK133" s="10">
        <f t="shared" si="94"/>
        <v>0</v>
      </c>
      <c r="EL133" s="10">
        <f t="shared" ref="EL133:EM133" si="615">IF(OR(ISNUMBER(SEARCH("ai software toolkit", $D133)), ISNUMBER(SEARCH("ai software toolkit", $T133)), ISNUMBER(SEARCH("ai software toolkit", $R133)), ISNUMBER(SEARCH("ai software toolkit", $S133))), 1, 0)</f>
        <v>0</v>
      </c>
      <c r="EM133" s="10">
        <f t="shared" si="615"/>
        <v>0</v>
      </c>
      <c r="EN133" s="10">
        <f t="shared" si="96"/>
        <v>0</v>
      </c>
      <c r="EO133" s="10">
        <f t="shared" si="97"/>
        <v>0</v>
      </c>
      <c r="EP133" s="10">
        <f t="shared" si="98"/>
        <v>0</v>
      </c>
      <c r="EQ133" s="10">
        <f t="shared" si="99"/>
        <v>0</v>
      </c>
      <c r="ER133" s="10">
        <f t="shared" si="100"/>
        <v>0</v>
      </c>
      <c r="ES133" s="10">
        <f t="shared" si="101"/>
        <v>0</v>
      </c>
      <c r="ET133" s="10">
        <f t="shared" si="102"/>
        <v>0</v>
      </c>
      <c r="EU133" s="10">
        <f t="shared" si="103"/>
        <v>0</v>
      </c>
      <c r="EV133" s="10">
        <f t="shared" si="104"/>
        <v>0</v>
      </c>
      <c r="EW133" s="10">
        <f t="shared" si="105"/>
        <v>0</v>
      </c>
      <c r="EX133" s="10">
        <f t="shared" si="106"/>
        <v>0</v>
      </c>
      <c r="EY133" s="10">
        <f t="shared" si="107"/>
        <v>0</v>
      </c>
      <c r="EZ133" s="10">
        <f t="shared" si="108"/>
        <v>0</v>
      </c>
      <c r="FA133" s="10">
        <f t="shared" si="109"/>
        <v>0</v>
      </c>
      <c r="FB133" s="10">
        <f t="shared" si="110"/>
        <v>0</v>
      </c>
      <c r="FC133" s="10">
        <f t="shared" si="111"/>
        <v>0</v>
      </c>
      <c r="FD133" s="10">
        <f t="shared" si="112"/>
        <v>0</v>
      </c>
      <c r="FE133" s="10">
        <f t="shared" si="113"/>
        <v>0</v>
      </c>
      <c r="FF133" s="10">
        <f t="shared" si="114"/>
        <v>0</v>
      </c>
      <c r="FG133" s="10">
        <f t="shared" si="115"/>
        <v>0</v>
      </c>
      <c r="FH133" s="10">
        <f t="shared" si="116"/>
        <v>0</v>
      </c>
      <c r="FI133" s="10">
        <f t="shared" si="117"/>
        <v>0</v>
      </c>
      <c r="FJ133" s="10">
        <f t="shared" si="118"/>
        <v>0</v>
      </c>
      <c r="FK133" s="10">
        <f t="shared" si="119"/>
        <v>0</v>
      </c>
      <c r="FL133" s="10">
        <f t="shared" si="120"/>
        <v>0</v>
      </c>
      <c r="FM133" s="10">
        <f t="shared" si="121"/>
        <v>0</v>
      </c>
      <c r="FN133" s="10">
        <f t="shared" si="122"/>
        <v>0</v>
      </c>
      <c r="FO133" s="10">
        <f t="shared" si="123"/>
        <v>0</v>
      </c>
      <c r="FP133" s="10">
        <f t="shared" si="124"/>
        <v>0</v>
      </c>
      <c r="FQ133" s="10">
        <f t="shared" si="125"/>
        <v>0</v>
      </c>
      <c r="FR133" s="11">
        <f t="shared" si="611"/>
        <v>0</v>
      </c>
      <c r="FS133" s="11">
        <f t="shared" si="127"/>
        <v>0</v>
      </c>
      <c r="FT133" s="11">
        <f t="shared" si="128"/>
        <v>0</v>
      </c>
      <c r="FU133" s="11">
        <f t="shared" si="129"/>
        <v>0</v>
      </c>
      <c r="FV133" s="11">
        <f t="shared" si="130"/>
        <v>0</v>
      </c>
      <c r="FW133" s="11">
        <f t="shared" si="131"/>
        <v>0</v>
      </c>
      <c r="FX133" s="11">
        <f t="shared" si="132"/>
        <v>0</v>
      </c>
      <c r="FY133" s="11">
        <f t="shared" si="133"/>
        <v>0</v>
      </c>
      <c r="FZ133" s="11">
        <f t="shared" si="134"/>
        <v>0</v>
      </c>
      <c r="GA133" s="11">
        <f t="shared" si="135"/>
        <v>0</v>
      </c>
      <c r="GB133" s="11">
        <f t="shared" si="136"/>
        <v>0</v>
      </c>
      <c r="GC133" s="11">
        <f t="shared" si="137"/>
        <v>0</v>
      </c>
      <c r="GD133" s="11">
        <f t="shared" si="138"/>
        <v>0</v>
      </c>
      <c r="GE133" s="11">
        <f t="shared" si="139"/>
        <v>0</v>
      </c>
      <c r="GF133" s="11">
        <f t="shared" si="140"/>
        <v>0</v>
      </c>
      <c r="GG133" s="11">
        <f t="shared" si="141"/>
        <v>0</v>
      </c>
      <c r="GH133" s="11">
        <f t="shared" si="142"/>
        <v>0</v>
      </c>
      <c r="GI133" s="11">
        <f t="shared" si="143"/>
        <v>0</v>
      </c>
      <c r="GJ133" s="11">
        <f t="shared" si="144"/>
        <v>0</v>
      </c>
      <c r="GK133" s="11">
        <f t="shared" si="145"/>
        <v>0</v>
      </c>
      <c r="GL133" s="11">
        <f t="shared" si="146"/>
        <v>0</v>
      </c>
      <c r="GM133" s="11">
        <f t="shared" si="147"/>
        <v>0</v>
      </c>
      <c r="GN133" s="11">
        <f t="shared" si="148"/>
        <v>0</v>
      </c>
      <c r="GO133" s="11">
        <f t="shared" si="149"/>
        <v>0</v>
      </c>
      <c r="GP133" s="11">
        <f t="shared" si="150"/>
        <v>0</v>
      </c>
      <c r="GQ133" s="11">
        <f t="shared" si="151"/>
        <v>0</v>
      </c>
      <c r="GR133" s="11">
        <f t="shared" si="152"/>
        <v>0</v>
      </c>
      <c r="GS133" s="11">
        <f t="shared" si="153"/>
        <v>0</v>
      </c>
      <c r="GT133" s="11">
        <f t="shared" si="154"/>
        <v>1</v>
      </c>
      <c r="GU133" s="12">
        <f t="shared" si="155"/>
        <v>0</v>
      </c>
      <c r="GV133" s="12">
        <f t="shared" si="156"/>
        <v>0</v>
      </c>
      <c r="GW133" s="12">
        <f t="shared" si="157"/>
        <v>0</v>
      </c>
      <c r="GX133" s="12">
        <f t="shared" si="158"/>
        <v>0</v>
      </c>
      <c r="GY133" s="12">
        <f t="shared" si="159"/>
        <v>0</v>
      </c>
      <c r="GZ133" s="12">
        <f t="shared" si="160"/>
        <v>0</v>
      </c>
      <c r="HA133" s="12">
        <f t="shared" si="161"/>
        <v>0</v>
      </c>
      <c r="HB133" s="12">
        <f t="shared" si="162"/>
        <v>0</v>
      </c>
      <c r="HC133" s="12">
        <f t="shared" si="163"/>
        <v>0</v>
      </c>
      <c r="HD133" s="12">
        <f t="shared" si="164"/>
        <v>0</v>
      </c>
      <c r="HE133" s="12">
        <f t="shared" si="165"/>
        <v>0</v>
      </c>
      <c r="HF133" s="12">
        <f t="shared" si="166"/>
        <v>0</v>
      </c>
      <c r="HG133" s="12">
        <f t="shared" si="167"/>
        <v>0</v>
      </c>
      <c r="HH133" s="12">
        <f t="shared" si="168"/>
        <v>0</v>
      </c>
      <c r="HI133" s="12">
        <f t="shared" si="169"/>
        <v>0</v>
      </c>
      <c r="HJ133" s="12">
        <f t="shared" si="170"/>
        <v>0</v>
      </c>
      <c r="HK133" s="12">
        <f t="shared" si="171"/>
        <v>0</v>
      </c>
      <c r="HL133" s="12">
        <f t="shared" si="172"/>
        <v>0</v>
      </c>
      <c r="HM133" s="12">
        <f t="shared" si="173"/>
        <v>0</v>
      </c>
      <c r="HN133" s="12">
        <f t="shared" si="174"/>
        <v>0</v>
      </c>
      <c r="HO133" s="12">
        <f t="shared" si="175"/>
        <v>0</v>
      </c>
      <c r="HP133" s="12">
        <f t="shared" si="176"/>
        <v>0</v>
      </c>
      <c r="HQ133" s="12">
        <f t="shared" si="177"/>
        <v>0</v>
      </c>
      <c r="HR133" s="12">
        <f t="shared" si="178"/>
        <v>0</v>
      </c>
      <c r="HS133" s="12">
        <f t="shared" si="179"/>
        <v>0</v>
      </c>
      <c r="HT133" s="12">
        <f t="shared" si="180"/>
        <v>0</v>
      </c>
      <c r="HU133" s="12">
        <f t="shared" si="181"/>
        <v>0</v>
      </c>
      <c r="HV133" s="12">
        <f t="shared" si="182"/>
        <v>0</v>
      </c>
      <c r="HW133" s="12">
        <f t="shared" si="183"/>
        <v>0</v>
      </c>
      <c r="HX133" s="12">
        <f t="shared" si="184"/>
        <v>0</v>
      </c>
      <c r="HY133" s="12">
        <f t="shared" si="185"/>
        <v>0</v>
      </c>
      <c r="HZ133" s="12">
        <f t="shared" si="186"/>
        <v>0</v>
      </c>
      <c r="IA133" s="12">
        <f t="shared" si="187"/>
        <v>0</v>
      </c>
      <c r="IB133" s="12">
        <f t="shared" si="188"/>
        <v>0</v>
      </c>
      <c r="IC133" s="12">
        <f t="shared" si="189"/>
        <v>0</v>
      </c>
      <c r="ID133" s="12">
        <f t="shared" si="190"/>
        <v>0</v>
      </c>
      <c r="IE133" s="12">
        <f t="shared" si="191"/>
        <v>0</v>
      </c>
      <c r="IF133" s="12">
        <f t="shared" si="192"/>
        <v>0</v>
      </c>
      <c r="IG133" s="12">
        <f t="shared" si="193"/>
        <v>0</v>
      </c>
      <c r="IH133" s="12">
        <f t="shared" si="194"/>
        <v>0</v>
      </c>
      <c r="II133" s="12">
        <f t="shared" si="195"/>
        <v>0</v>
      </c>
      <c r="IJ133" s="12">
        <f t="shared" si="196"/>
        <v>0</v>
      </c>
      <c r="IK133" s="12">
        <f t="shared" si="197"/>
        <v>0</v>
      </c>
      <c r="IL133" s="12">
        <f t="shared" si="198"/>
        <v>0</v>
      </c>
      <c r="IM133" s="12">
        <f t="shared" si="199"/>
        <v>0</v>
      </c>
      <c r="IN133" s="12">
        <f t="shared" si="200"/>
        <v>0</v>
      </c>
      <c r="IO133" s="12">
        <f t="shared" si="201"/>
        <v>0</v>
      </c>
      <c r="IP133" s="12">
        <f t="shared" si="202"/>
        <v>0</v>
      </c>
      <c r="IQ133" s="12">
        <f t="shared" si="203"/>
        <v>0</v>
      </c>
      <c r="IR133" s="12">
        <f t="shared" si="204"/>
        <v>0</v>
      </c>
      <c r="IS133" s="12">
        <f t="shared" si="205"/>
        <v>0</v>
      </c>
      <c r="IT133" s="12">
        <f t="shared" si="206"/>
        <v>0</v>
      </c>
      <c r="IU133" s="12">
        <f t="shared" si="207"/>
        <v>0</v>
      </c>
      <c r="IV133" s="12">
        <f t="shared" si="208"/>
        <v>0</v>
      </c>
      <c r="IW133" s="12">
        <f t="shared" si="209"/>
        <v>0</v>
      </c>
      <c r="IX133" s="12">
        <f t="shared" si="210"/>
        <v>0</v>
      </c>
      <c r="IY133" s="12">
        <f t="shared" si="211"/>
        <v>0</v>
      </c>
      <c r="IZ133" s="12">
        <f t="shared" si="212"/>
        <v>1</v>
      </c>
      <c r="JA133" s="13">
        <f t="shared" si="213"/>
        <v>0</v>
      </c>
      <c r="JB133" s="13">
        <f t="shared" si="214"/>
        <v>0</v>
      </c>
      <c r="JC133" s="13">
        <f t="shared" si="215"/>
        <v>0</v>
      </c>
      <c r="JD133" s="13">
        <f t="shared" si="216"/>
        <v>0</v>
      </c>
      <c r="JE133" s="13">
        <f t="shared" si="217"/>
        <v>0</v>
      </c>
      <c r="JF133" s="13">
        <f t="shared" si="218"/>
        <v>0</v>
      </c>
      <c r="JG133" s="13">
        <f t="shared" si="219"/>
        <v>0</v>
      </c>
      <c r="JH133" s="13">
        <f t="shared" si="220"/>
        <v>0</v>
      </c>
      <c r="JI133" s="13">
        <f t="shared" si="221"/>
        <v>0</v>
      </c>
      <c r="JJ133" s="13">
        <f t="shared" si="222"/>
        <v>0</v>
      </c>
      <c r="JK133" s="13">
        <f t="shared" si="223"/>
        <v>0</v>
      </c>
      <c r="JL133" s="13">
        <f t="shared" si="224"/>
        <v>0</v>
      </c>
      <c r="JM133" s="13">
        <f t="shared" si="225"/>
        <v>0</v>
      </c>
      <c r="JN133" s="13">
        <f t="shared" si="226"/>
        <v>0</v>
      </c>
      <c r="JO133" s="13">
        <f t="shared" si="227"/>
        <v>0</v>
      </c>
      <c r="JP133" s="13">
        <f t="shared" si="228"/>
        <v>0</v>
      </c>
      <c r="JQ133" s="13">
        <f t="shared" si="229"/>
        <v>0</v>
      </c>
      <c r="JR133" s="13">
        <f t="shared" si="230"/>
        <v>0</v>
      </c>
      <c r="JS133" s="13">
        <f t="shared" si="231"/>
        <v>0</v>
      </c>
      <c r="JT133" s="13">
        <f t="shared" si="232"/>
        <v>0</v>
      </c>
      <c r="JU133" s="13">
        <f t="shared" si="233"/>
        <v>0</v>
      </c>
      <c r="JV133" s="12">
        <f t="shared" si="234"/>
        <v>0</v>
      </c>
      <c r="JW133" s="12">
        <f t="shared" si="235"/>
        <v>0</v>
      </c>
      <c r="JX133" s="12">
        <f t="shared" si="236"/>
        <v>0</v>
      </c>
      <c r="JY133" s="12">
        <f t="shared" si="237"/>
        <v>0</v>
      </c>
      <c r="JZ133" s="12">
        <f t="shared" si="238"/>
        <v>0</v>
      </c>
      <c r="KA133" s="12">
        <f t="shared" si="239"/>
        <v>0</v>
      </c>
      <c r="KB133" s="12">
        <f t="shared" si="240"/>
        <v>0</v>
      </c>
      <c r="KC133" s="12">
        <f t="shared" si="241"/>
        <v>0</v>
      </c>
      <c r="KD133" s="12">
        <f t="shared" si="242"/>
        <v>0</v>
      </c>
      <c r="KE133" s="12">
        <f t="shared" si="243"/>
        <v>0</v>
      </c>
      <c r="KF133" s="12">
        <f t="shared" si="244"/>
        <v>0</v>
      </c>
      <c r="KG133" s="12">
        <f t="shared" si="245"/>
        <v>0</v>
      </c>
      <c r="KH133" s="12">
        <f t="shared" si="246"/>
        <v>0</v>
      </c>
      <c r="KI133" s="12">
        <f t="shared" si="247"/>
        <v>0</v>
      </c>
      <c r="KJ133" s="12">
        <f t="shared" si="248"/>
        <v>0</v>
      </c>
      <c r="KK133" s="12">
        <f t="shared" si="249"/>
        <v>0</v>
      </c>
      <c r="KL133" s="12">
        <f t="shared" si="250"/>
        <v>0</v>
      </c>
      <c r="KM133" s="12">
        <f t="shared" si="251"/>
        <v>0</v>
      </c>
      <c r="KN133" s="12">
        <f t="shared" si="252"/>
        <v>0</v>
      </c>
      <c r="KO133" s="12">
        <f t="shared" si="253"/>
        <v>0</v>
      </c>
      <c r="KP133" s="12">
        <f t="shared" si="254"/>
        <v>0</v>
      </c>
      <c r="KQ133" s="12">
        <f t="shared" si="255"/>
        <v>0</v>
      </c>
      <c r="KR133" s="12">
        <f t="shared" si="256"/>
        <v>0</v>
      </c>
      <c r="KS133" s="12">
        <f t="shared" si="257"/>
        <v>0</v>
      </c>
      <c r="KT133" s="12">
        <f t="shared" si="258"/>
        <v>0</v>
      </c>
      <c r="KU133" s="12">
        <f t="shared" si="259"/>
        <v>0</v>
      </c>
      <c r="KV133" s="12">
        <f t="shared" si="260"/>
        <v>0</v>
      </c>
      <c r="KW133" s="12">
        <f t="shared" si="261"/>
        <v>0</v>
      </c>
      <c r="KX133" s="12">
        <f t="shared" si="262"/>
        <v>0</v>
      </c>
      <c r="KY133" s="12">
        <f t="shared" si="263"/>
        <v>0</v>
      </c>
      <c r="KZ133" s="12">
        <f t="shared" si="264"/>
        <v>0</v>
      </c>
      <c r="LA133" s="12">
        <f t="shared" si="265"/>
        <v>0</v>
      </c>
      <c r="LB133" s="12">
        <f t="shared" si="266"/>
        <v>0</v>
      </c>
      <c r="LC133" s="12">
        <f t="shared" si="267"/>
        <v>0</v>
      </c>
      <c r="LD133" s="12">
        <f t="shared" si="268"/>
        <v>0</v>
      </c>
      <c r="LE133" s="12">
        <f t="shared" si="269"/>
        <v>0</v>
      </c>
      <c r="LF133" s="12">
        <f t="shared" si="270"/>
        <v>0</v>
      </c>
      <c r="LG133" s="12">
        <f t="shared" si="271"/>
        <v>0</v>
      </c>
      <c r="LH133" s="12">
        <f t="shared" si="272"/>
        <v>0</v>
      </c>
      <c r="LI133" s="12">
        <f t="shared" si="273"/>
        <v>0</v>
      </c>
      <c r="LJ133" s="12">
        <f t="shared" si="274"/>
        <v>0</v>
      </c>
      <c r="LK133" s="12">
        <f t="shared" si="275"/>
        <v>0</v>
      </c>
      <c r="LL133" s="12">
        <f t="shared" si="276"/>
        <v>0</v>
      </c>
      <c r="LM133" s="12">
        <f t="shared" si="277"/>
        <v>0</v>
      </c>
      <c r="LN133" s="12">
        <f t="shared" si="278"/>
        <v>0</v>
      </c>
      <c r="LO133" s="12">
        <f t="shared" si="279"/>
        <v>0</v>
      </c>
      <c r="LP133" s="12">
        <f t="shared" si="280"/>
        <v>0</v>
      </c>
      <c r="LQ133" s="12">
        <f t="shared" si="281"/>
        <v>0</v>
      </c>
      <c r="LR133" s="12">
        <f t="shared" si="282"/>
        <v>0</v>
      </c>
      <c r="LS133" s="12">
        <f t="shared" si="283"/>
        <v>0</v>
      </c>
      <c r="LT133" s="13">
        <f t="shared" si="284"/>
        <v>0</v>
      </c>
      <c r="LU133" s="13">
        <f t="shared" si="285"/>
        <v>0</v>
      </c>
      <c r="LV133" s="13">
        <f t="shared" si="286"/>
        <v>0</v>
      </c>
      <c r="LW133" s="13">
        <f t="shared" si="287"/>
        <v>0</v>
      </c>
      <c r="LX133" s="13">
        <f t="shared" si="288"/>
        <v>0</v>
      </c>
      <c r="LY133" s="13">
        <f t="shared" si="289"/>
        <v>0</v>
      </c>
      <c r="LZ133" s="13">
        <f t="shared" si="290"/>
        <v>0</v>
      </c>
      <c r="MA133" s="13">
        <f t="shared" si="291"/>
        <v>0</v>
      </c>
      <c r="MB133" s="13">
        <f t="shared" si="292"/>
        <v>0</v>
      </c>
      <c r="MC133" s="13">
        <f t="shared" si="293"/>
        <v>0</v>
      </c>
      <c r="MD133" s="13">
        <f t="shared" si="294"/>
        <v>0</v>
      </c>
      <c r="ME133" s="13">
        <f t="shared" si="295"/>
        <v>0</v>
      </c>
      <c r="MF133" s="13">
        <f t="shared" si="296"/>
        <v>0</v>
      </c>
      <c r="MG133" s="13">
        <f t="shared" si="297"/>
        <v>0</v>
      </c>
      <c r="MH133" s="13">
        <f t="shared" si="298"/>
        <v>0</v>
      </c>
      <c r="MI133" s="13">
        <f t="shared" si="299"/>
        <v>1</v>
      </c>
      <c r="MJ133" s="13">
        <f t="shared" si="300"/>
        <v>0</v>
      </c>
      <c r="MK133" s="13">
        <f t="shared" si="301"/>
        <v>0</v>
      </c>
      <c r="ML133" s="14">
        <f t="shared" si="302"/>
        <v>0</v>
      </c>
      <c r="MM133" s="14">
        <f t="shared" si="303"/>
        <v>0</v>
      </c>
      <c r="MN133" s="14">
        <f t="shared" si="304"/>
        <v>0</v>
      </c>
      <c r="MO133" s="14">
        <f t="shared" si="305"/>
        <v>0</v>
      </c>
      <c r="MP133" s="14">
        <f t="shared" si="306"/>
        <v>0</v>
      </c>
      <c r="MQ133" s="14">
        <f t="shared" si="307"/>
        <v>0</v>
      </c>
      <c r="MR133" s="14">
        <f t="shared" si="308"/>
        <v>0</v>
      </c>
      <c r="MS133" s="14">
        <f t="shared" si="309"/>
        <v>0</v>
      </c>
      <c r="MT133" s="14">
        <f t="shared" si="310"/>
        <v>0</v>
      </c>
      <c r="MU133" s="14">
        <f t="shared" si="311"/>
        <v>0</v>
      </c>
      <c r="MV133" s="14">
        <f t="shared" si="312"/>
        <v>0</v>
      </c>
      <c r="MW133" s="14">
        <f t="shared" si="313"/>
        <v>0</v>
      </c>
      <c r="MX133" s="14">
        <f t="shared" si="314"/>
        <v>0</v>
      </c>
      <c r="MY133" s="14">
        <f t="shared" si="315"/>
        <v>0</v>
      </c>
      <c r="MZ133" s="14">
        <f t="shared" si="316"/>
        <v>0</v>
      </c>
      <c r="NA133" s="14">
        <f t="shared" si="317"/>
        <v>0</v>
      </c>
      <c r="NB133" s="14">
        <f t="shared" si="318"/>
        <v>0</v>
      </c>
    </row>
    <row r="134" ht="15.75" customHeight="1">
      <c r="A134" s="2">
        <v>588.0</v>
      </c>
      <c r="B134" s="2" t="s">
        <v>2629</v>
      </c>
      <c r="C134" s="2" t="s">
        <v>2630</v>
      </c>
      <c r="D134" s="2" t="s">
        <v>2631</v>
      </c>
      <c r="E134" s="2">
        <v>2022.0</v>
      </c>
      <c r="F134" s="2" t="s">
        <v>2632</v>
      </c>
      <c r="G134" s="2">
        <v>29.0</v>
      </c>
      <c r="H134" s="2" t="s">
        <v>452</v>
      </c>
      <c r="J134" s="2" t="s">
        <v>2633</v>
      </c>
      <c r="K134" s="2" t="s">
        <v>2634</v>
      </c>
      <c r="M134" s="2">
        <v>5.0</v>
      </c>
      <c r="N134" s="2" t="s">
        <v>2635</v>
      </c>
      <c r="O134" s="2" t="s">
        <v>2636</v>
      </c>
      <c r="P134" s="2" t="s">
        <v>2637</v>
      </c>
      <c r="Q134" s="2" t="s">
        <v>2638</v>
      </c>
      <c r="R134" s="2" t="s">
        <v>2639</v>
      </c>
      <c r="S134" s="2" t="s">
        <v>2640</v>
      </c>
      <c r="T134" s="2" t="s">
        <v>2641</v>
      </c>
      <c r="Y134" s="2" t="s">
        <v>2642</v>
      </c>
      <c r="AB134" s="2" t="s">
        <v>1099</v>
      </c>
      <c r="AG134" s="2" t="s">
        <v>2643</v>
      </c>
      <c r="AI134" s="2" t="s">
        <v>2644</v>
      </c>
      <c r="AK134" s="2" t="s">
        <v>2645</v>
      </c>
      <c r="AL134" s="2" t="s">
        <v>384</v>
      </c>
      <c r="AN134" s="2" t="s">
        <v>386</v>
      </c>
      <c r="AO134" s="2" t="s">
        <v>2646</v>
      </c>
      <c r="AP134" s="2" t="s">
        <v>386</v>
      </c>
      <c r="AQ134" s="2">
        <v>2289.0</v>
      </c>
      <c r="AR134" s="2" t="s">
        <v>2647</v>
      </c>
      <c r="AS134" s="2" t="b">
        <v>0</v>
      </c>
      <c r="AT134" s="3">
        <v>0.0</v>
      </c>
      <c r="AU134" s="4"/>
      <c r="AV134" s="4"/>
      <c r="AW134" s="5">
        <f t="shared" si="432"/>
        <v>0</v>
      </c>
      <c r="AX134" s="5">
        <f t="shared" si="4"/>
        <v>0</v>
      </c>
      <c r="AY134" s="5">
        <f t="shared" si="5"/>
        <v>0</v>
      </c>
      <c r="AZ134" s="5">
        <f t="shared" si="6"/>
        <v>0</v>
      </c>
      <c r="BA134" s="5">
        <f t="shared" si="7"/>
        <v>0</v>
      </c>
      <c r="BB134" s="5">
        <f t="shared" si="8"/>
        <v>0</v>
      </c>
      <c r="BC134" s="5">
        <f t="shared" si="9"/>
        <v>0</v>
      </c>
      <c r="BD134" s="5">
        <f t="shared" si="10"/>
        <v>0</v>
      </c>
      <c r="BE134" s="5">
        <f t="shared" si="11"/>
        <v>0</v>
      </c>
      <c r="BF134" s="5">
        <f t="shared" si="12"/>
        <v>0</v>
      </c>
      <c r="BG134" s="5">
        <f t="shared" si="13"/>
        <v>0</v>
      </c>
      <c r="BH134" s="5">
        <f t="shared" si="14"/>
        <v>0</v>
      </c>
      <c r="BI134" s="5">
        <f t="shared" si="15"/>
        <v>0</v>
      </c>
      <c r="BJ134" s="5">
        <f t="shared" si="16"/>
        <v>0</v>
      </c>
      <c r="BK134" s="5">
        <f t="shared" si="17"/>
        <v>0</v>
      </c>
      <c r="BL134" s="5">
        <f t="shared" si="18"/>
        <v>0</v>
      </c>
      <c r="BM134" s="5">
        <f t="shared" si="19"/>
        <v>0</v>
      </c>
      <c r="BN134" s="5">
        <f t="shared" si="20"/>
        <v>0</v>
      </c>
      <c r="BO134" s="5">
        <f t="shared" si="21"/>
        <v>0</v>
      </c>
      <c r="BP134" s="5">
        <f t="shared" si="22"/>
        <v>0</v>
      </c>
      <c r="BQ134" s="5">
        <f t="shared" si="23"/>
        <v>0</v>
      </c>
      <c r="BR134" s="5">
        <f t="shared" si="24"/>
        <v>0</v>
      </c>
      <c r="BS134" s="5">
        <f t="shared" si="25"/>
        <v>0</v>
      </c>
      <c r="BT134" s="5">
        <f t="shared" si="26"/>
        <v>0</v>
      </c>
      <c r="BU134" s="5">
        <f t="shared" si="27"/>
        <v>0</v>
      </c>
      <c r="BV134" s="5">
        <f t="shared" ref="BV134:BW134" si="616">IF(OR(ISNUMBER(SEARCH("grit",$D134)),ISNUMBER(SEARCH("grit",$T134)),ISNUMBER(SEARCH("grit",$R134)),ISNUMBER(SEARCH("grit",$S134)),
ISNUMBER(SEARCH("determination",$D134)),ISNUMBER(SEARCH("determination",$T134)),ISNUMBER(SEARCH("determination",$R134)),ISNUMBER(SEARCH("determination",$S134)),
ISNUMBER(SEARCH("tenacity",$D134)),ISNUMBER(SEARCH("tenacity",$T134)),ISNUMBER(SEARCH("tenacity",$R134)),ISNUMBER(SEARCH("tenacity",$S134)),
ISNUMBER(SEARCH("endurance",$D134)),ISNUMBER(SEARCH("endurance",$T134)),ISNUMBER(SEARCH("endurance",$R134)),ISNUMBER(SEARCH("endurance",$S134)),
ISNUMBER(SEARCH("fortitude",$D134)),ISNUMBER(SEARCH("fortitude",$T134)),ISNUMBER(SEARCH("fortitude",$R134)),ISNUMBER(SEARCH("fortitude",$S134)),
ISNUMBER(SEARCH("resolve",$D134)),ISNUMBER(SEARCH("resolve",$T134)),ISNUMBER(SEARCH("resolve",$R134)),ISNUMBER(SEARCH("resolve",$S134)),
ISNUMBER(SEARCH("stamina",$D134)),ISNUMBER(SEARCH("stamina",$T134)),ISNUMBER(SEARCH("stamina",$R134)),ISNUMBER(SEARCH("stamina",$S134)),
ISNUMBER(SEARCH("guts",$D134)),ISNUMBER(SEARCH("guts",$T134)),ISNUMBER(SEARCH("guts",$R134)),ISNUMBER(SEARCH("guts",$S134)),
ISNUMBER(SEARCH("spunk",$D134)),ISNUMBER(SEARCH("spunk",$T134)),ISNUMBER(SEARCH("spunk",$R134)),ISNUMBER(SEARCH("spunk",$S134))), 1, 0)</f>
        <v>0</v>
      </c>
      <c r="BW134" s="5">
        <f t="shared" si="616"/>
        <v>0</v>
      </c>
      <c r="BX134" s="5">
        <f t="shared" si="29"/>
        <v>0</v>
      </c>
      <c r="BY134" s="5">
        <f t="shared" si="30"/>
        <v>0</v>
      </c>
      <c r="BZ134" s="5">
        <f t="shared" si="31"/>
        <v>0</v>
      </c>
      <c r="CA134" s="5">
        <f t="shared" si="32"/>
        <v>0</v>
      </c>
      <c r="CB134" s="5">
        <f t="shared" si="33"/>
        <v>0</v>
      </c>
      <c r="CC134" s="5">
        <f t="shared" si="34"/>
        <v>0</v>
      </c>
      <c r="CD134" s="5">
        <f t="shared" si="35"/>
        <v>0</v>
      </c>
      <c r="CE134" s="5">
        <f t="shared" si="36"/>
        <v>0</v>
      </c>
      <c r="CF134" s="5">
        <f t="shared" si="37"/>
        <v>0</v>
      </c>
      <c r="CG134" s="5">
        <f t="shared" si="38"/>
        <v>0</v>
      </c>
      <c r="CH134" s="5">
        <f t="shared" si="39"/>
        <v>0</v>
      </c>
      <c r="CI134" s="5">
        <f t="shared" si="40"/>
        <v>0</v>
      </c>
      <c r="CJ134" s="5">
        <f t="shared" si="41"/>
        <v>0</v>
      </c>
      <c r="CK134" s="5">
        <f t="shared" si="42"/>
        <v>0</v>
      </c>
      <c r="CL134" s="5">
        <f t="shared" si="43"/>
        <v>0</v>
      </c>
      <c r="CM134" s="5">
        <f t="shared" si="44"/>
        <v>0</v>
      </c>
      <c r="CN134" s="5">
        <f t="shared" si="45"/>
        <v>0</v>
      </c>
      <c r="CO134" s="5">
        <f t="shared" si="46"/>
        <v>0</v>
      </c>
      <c r="CP134" s="6">
        <f t="shared" si="47"/>
        <v>0</v>
      </c>
      <c r="CQ134" s="6">
        <f t="shared" si="48"/>
        <v>0</v>
      </c>
      <c r="CR134" s="6">
        <f t="shared" si="49"/>
        <v>0</v>
      </c>
      <c r="CS134" s="6">
        <f t="shared" si="50"/>
        <v>1</v>
      </c>
      <c r="CT134" s="6">
        <f t="shared" si="584"/>
        <v>0</v>
      </c>
      <c r="CU134" s="6">
        <f t="shared" si="52"/>
        <v>0</v>
      </c>
      <c r="CV134" s="6">
        <f t="shared" si="53"/>
        <v>0</v>
      </c>
      <c r="CW134" s="6">
        <f t="shared" si="54"/>
        <v>0</v>
      </c>
      <c r="CX134" s="6">
        <f t="shared" si="55"/>
        <v>0</v>
      </c>
      <c r="CY134" s="6">
        <f t="shared" si="56"/>
        <v>0</v>
      </c>
      <c r="CZ134" s="6">
        <f t="shared" si="57"/>
        <v>0</v>
      </c>
      <c r="DA134" s="6">
        <f t="shared" si="58"/>
        <v>0</v>
      </c>
      <c r="DB134" s="6">
        <f t="shared" si="59"/>
        <v>0</v>
      </c>
      <c r="DC134" s="6">
        <f t="shared" si="60"/>
        <v>0</v>
      </c>
      <c r="DD134" s="6">
        <f t="shared" si="61"/>
        <v>0</v>
      </c>
      <c r="DE134" s="6">
        <f t="shared" si="62"/>
        <v>0</v>
      </c>
      <c r="DF134" s="6">
        <f t="shared" si="63"/>
        <v>0</v>
      </c>
      <c r="DG134" s="6">
        <f t="shared" si="64"/>
        <v>0</v>
      </c>
      <c r="DH134" s="6">
        <f t="shared" si="579"/>
        <v>0</v>
      </c>
      <c r="DI134" s="6">
        <f t="shared" si="66"/>
        <v>0</v>
      </c>
      <c r="DJ134" s="6">
        <f t="shared" si="574"/>
        <v>0</v>
      </c>
      <c r="DK134" s="7">
        <f t="shared" si="68"/>
        <v>0</v>
      </c>
      <c r="DL134" s="7">
        <f t="shared" si="498"/>
        <v>0</v>
      </c>
      <c r="DM134" s="7">
        <f t="shared" si="70"/>
        <v>0</v>
      </c>
      <c r="DN134" s="7">
        <f t="shared" si="71"/>
        <v>0</v>
      </c>
      <c r="DO134" s="7">
        <f t="shared" si="72"/>
        <v>0</v>
      </c>
      <c r="DP134" s="8">
        <f t="shared" si="73"/>
        <v>0</v>
      </c>
      <c r="DQ134" s="8">
        <f t="shared" si="74"/>
        <v>0</v>
      </c>
      <c r="DR134" s="7">
        <f t="shared" si="75"/>
        <v>1</v>
      </c>
      <c r="DS134" s="7">
        <f t="shared" si="76"/>
        <v>0</v>
      </c>
      <c r="DT134" s="7">
        <f t="shared" si="77"/>
        <v>0</v>
      </c>
      <c r="DU134" s="9">
        <f t="shared" si="78"/>
        <v>0</v>
      </c>
      <c r="DV134" s="9">
        <f t="shared" si="79"/>
        <v>0</v>
      </c>
      <c r="DW134" s="9">
        <f t="shared" si="80"/>
        <v>0</v>
      </c>
      <c r="DX134" s="9">
        <f t="shared" si="81"/>
        <v>0</v>
      </c>
      <c r="DY134" s="9">
        <f t="shared" si="82"/>
        <v>0</v>
      </c>
      <c r="DZ134" s="9">
        <f t="shared" si="83"/>
        <v>0</v>
      </c>
      <c r="EA134" s="9">
        <f t="shared" si="84"/>
        <v>0</v>
      </c>
      <c r="EB134" s="9">
        <f t="shared" si="85"/>
        <v>0</v>
      </c>
      <c r="EC134" s="9">
        <f t="shared" si="86"/>
        <v>0</v>
      </c>
      <c r="ED134" s="9">
        <f t="shared" si="87"/>
        <v>0</v>
      </c>
      <c r="EE134" s="9">
        <f t="shared" si="88"/>
        <v>0</v>
      </c>
      <c r="EF134" s="9">
        <f t="shared" si="89"/>
        <v>0</v>
      </c>
      <c r="EG134" s="9">
        <f t="shared" si="90"/>
        <v>0</v>
      </c>
      <c r="EH134" s="9">
        <f t="shared" si="91"/>
        <v>0</v>
      </c>
      <c r="EI134" s="9">
        <f t="shared" si="92"/>
        <v>0</v>
      </c>
      <c r="EJ134" s="10">
        <f t="shared" si="93"/>
        <v>0</v>
      </c>
      <c r="EK134" s="10">
        <f t="shared" si="94"/>
        <v>0</v>
      </c>
      <c r="EL134" s="10">
        <f t="shared" ref="EL134:EM134" si="617">IF(OR(ISNUMBER(SEARCH("ai software toolkit", $D134)), ISNUMBER(SEARCH("ai software toolkit", $T134)), ISNUMBER(SEARCH("ai software toolkit", $R134)), ISNUMBER(SEARCH("ai software toolkit", $S134))), 1, 0)</f>
        <v>0</v>
      </c>
      <c r="EM134" s="10">
        <f t="shared" si="617"/>
        <v>0</v>
      </c>
      <c r="EN134" s="10">
        <f t="shared" si="96"/>
        <v>0</v>
      </c>
      <c r="EO134" s="10">
        <f t="shared" si="97"/>
        <v>0</v>
      </c>
      <c r="EP134" s="10">
        <f t="shared" si="98"/>
        <v>0</v>
      </c>
      <c r="EQ134" s="10">
        <f t="shared" si="99"/>
        <v>0</v>
      </c>
      <c r="ER134" s="10">
        <f t="shared" si="100"/>
        <v>0</v>
      </c>
      <c r="ES134" s="10">
        <f t="shared" si="101"/>
        <v>0</v>
      </c>
      <c r="ET134" s="10">
        <f t="shared" si="102"/>
        <v>0</v>
      </c>
      <c r="EU134" s="10">
        <f t="shared" si="103"/>
        <v>0</v>
      </c>
      <c r="EV134" s="10">
        <f t="shared" si="104"/>
        <v>0</v>
      </c>
      <c r="EW134" s="10">
        <f t="shared" si="105"/>
        <v>0</v>
      </c>
      <c r="EX134" s="10">
        <f t="shared" si="106"/>
        <v>0</v>
      </c>
      <c r="EY134" s="10">
        <f t="shared" si="107"/>
        <v>0</v>
      </c>
      <c r="EZ134" s="10">
        <f t="shared" si="108"/>
        <v>0</v>
      </c>
      <c r="FA134" s="10">
        <f t="shared" si="109"/>
        <v>0</v>
      </c>
      <c r="FB134" s="10">
        <f t="shared" si="110"/>
        <v>0</v>
      </c>
      <c r="FC134" s="10">
        <f t="shared" si="111"/>
        <v>0</v>
      </c>
      <c r="FD134" s="10">
        <f t="shared" si="112"/>
        <v>0</v>
      </c>
      <c r="FE134" s="10">
        <f t="shared" si="113"/>
        <v>0</v>
      </c>
      <c r="FF134" s="10">
        <f t="shared" si="114"/>
        <v>0</v>
      </c>
      <c r="FG134" s="10">
        <f t="shared" si="115"/>
        <v>0</v>
      </c>
      <c r="FH134" s="10">
        <f t="shared" si="116"/>
        <v>0</v>
      </c>
      <c r="FI134" s="10">
        <f t="shared" si="117"/>
        <v>0</v>
      </c>
      <c r="FJ134" s="10">
        <f t="shared" si="118"/>
        <v>0</v>
      </c>
      <c r="FK134" s="10">
        <f t="shared" si="119"/>
        <v>0</v>
      </c>
      <c r="FL134" s="10">
        <f t="shared" si="120"/>
        <v>0</v>
      </c>
      <c r="FM134" s="10">
        <f t="shared" si="121"/>
        <v>0</v>
      </c>
      <c r="FN134" s="10">
        <f t="shared" si="122"/>
        <v>0</v>
      </c>
      <c r="FO134" s="10">
        <f t="shared" si="123"/>
        <v>0</v>
      </c>
      <c r="FP134" s="10">
        <f t="shared" si="124"/>
        <v>0</v>
      </c>
      <c r="FQ134" s="10">
        <f t="shared" si="125"/>
        <v>0</v>
      </c>
      <c r="FR134" s="11">
        <f t="shared" si="611"/>
        <v>0</v>
      </c>
      <c r="FS134" s="11">
        <f t="shared" si="127"/>
        <v>0</v>
      </c>
      <c r="FT134" s="11">
        <f t="shared" si="128"/>
        <v>0</v>
      </c>
      <c r="FU134" s="11">
        <f t="shared" si="129"/>
        <v>0</v>
      </c>
      <c r="FV134" s="11">
        <f t="shared" si="130"/>
        <v>0</v>
      </c>
      <c r="FW134" s="11">
        <f t="shared" si="131"/>
        <v>0</v>
      </c>
      <c r="FX134" s="11">
        <f t="shared" si="132"/>
        <v>0</v>
      </c>
      <c r="FY134" s="11">
        <f t="shared" si="133"/>
        <v>0</v>
      </c>
      <c r="FZ134" s="11">
        <f t="shared" si="134"/>
        <v>0</v>
      </c>
      <c r="GA134" s="11">
        <f t="shared" si="135"/>
        <v>0</v>
      </c>
      <c r="GB134" s="11">
        <f t="shared" si="136"/>
        <v>0</v>
      </c>
      <c r="GC134" s="11">
        <f t="shared" si="137"/>
        <v>0</v>
      </c>
      <c r="GD134" s="11">
        <f t="shared" si="138"/>
        <v>0</v>
      </c>
      <c r="GE134" s="11">
        <f t="shared" si="139"/>
        <v>0</v>
      </c>
      <c r="GF134" s="11">
        <f t="shared" si="140"/>
        <v>0</v>
      </c>
      <c r="GG134" s="11">
        <f t="shared" si="141"/>
        <v>0</v>
      </c>
      <c r="GH134" s="11">
        <f t="shared" si="142"/>
        <v>0</v>
      </c>
      <c r="GI134" s="11">
        <f t="shared" si="143"/>
        <v>0</v>
      </c>
      <c r="GJ134" s="11">
        <f t="shared" si="144"/>
        <v>0</v>
      </c>
      <c r="GK134" s="11">
        <f t="shared" si="145"/>
        <v>0</v>
      </c>
      <c r="GL134" s="11">
        <f t="shared" si="146"/>
        <v>0</v>
      </c>
      <c r="GM134" s="11">
        <f t="shared" si="147"/>
        <v>0</v>
      </c>
      <c r="GN134" s="11">
        <f t="shared" si="148"/>
        <v>0</v>
      </c>
      <c r="GO134" s="11">
        <f t="shared" si="149"/>
        <v>0</v>
      </c>
      <c r="GP134" s="11">
        <f t="shared" si="150"/>
        <v>0</v>
      </c>
      <c r="GQ134" s="11">
        <f t="shared" si="151"/>
        <v>0</v>
      </c>
      <c r="GR134" s="11">
        <f t="shared" si="152"/>
        <v>0</v>
      </c>
      <c r="GS134" s="11">
        <f t="shared" si="153"/>
        <v>0</v>
      </c>
      <c r="GT134" s="11">
        <f t="shared" si="154"/>
        <v>0</v>
      </c>
      <c r="GU134" s="12">
        <f t="shared" si="155"/>
        <v>0</v>
      </c>
      <c r="GV134" s="12">
        <f t="shared" si="156"/>
        <v>0</v>
      </c>
      <c r="GW134" s="12">
        <f t="shared" si="157"/>
        <v>0</v>
      </c>
      <c r="GX134" s="12">
        <f t="shared" si="158"/>
        <v>0</v>
      </c>
      <c r="GY134" s="12">
        <f t="shared" si="159"/>
        <v>0</v>
      </c>
      <c r="GZ134" s="12">
        <f t="shared" si="160"/>
        <v>0</v>
      </c>
      <c r="HA134" s="12">
        <f t="shared" si="161"/>
        <v>0</v>
      </c>
      <c r="HB134" s="12">
        <f t="shared" si="162"/>
        <v>0</v>
      </c>
      <c r="HC134" s="12">
        <f t="shared" si="163"/>
        <v>0</v>
      </c>
      <c r="HD134" s="12">
        <f t="shared" si="164"/>
        <v>0</v>
      </c>
      <c r="HE134" s="12">
        <f t="shared" si="165"/>
        <v>0</v>
      </c>
      <c r="HF134" s="12">
        <f t="shared" si="166"/>
        <v>0</v>
      </c>
      <c r="HG134" s="12">
        <f t="shared" si="167"/>
        <v>0</v>
      </c>
      <c r="HH134" s="12">
        <f t="shared" si="168"/>
        <v>0</v>
      </c>
      <c r="HI134" s="12">
        <f t="shared" si="169"/>
        <v>0</v>
      </c>
      <c r="HJ134" s="12">
        <f t="shared" si="170"/>
        <v>0</v>
      </c>
      <c r="HK134" s="12">
        <f t="shared" si="171"/>
        <v>0</v>
      </c>
      <c r="HL134" s="12">
        <f t="shared" si="172"/>
        <v>0</v>
      </c>
      <c r="HM134" s="12">
        <f t="shared" si="173"/>
        <v>0</v>
      </c>
      <c r="HN134" s="12">
        <f t="shared" si="174"/>
        <v>0</v>
      </c>
      <c r="HO134" s="12">
        <f t="shared" si="175"/>
        <v>0</v>
      </c>
      <c r="HP134" s="12">
        <f t="shared" si="176"/>
        <v>0</v>
      </c>
      <c r="HQ134" s="12">
        <f t="shared" si="177"/>
        <v>0</v>
      </c>
      <c r="HR134" s="12">
        <f t="shared" si="178"/>
        <v>0</v>
      </c>
      <c r="HS134" s="12">
        <f t="shared" si="179"/>
        <v>0</v>
      </c>
      <c r="HT134" s="12">
        <f t="shared" si="180"/>
        <v>0</v>
      </c>
      <c r="HU134" s="12">
        <f t="shared" si="181"/>
        <v>0</v>
      </c>
      <c r="HV134" s="12">
        <f t="shared" si="182"/>
        <v>0</v>
      </c>
      <c r="HW134" s="12">
        <f t="shared" si="183"/>
        <v>0</v>
      </c>
      <c r="HX134" s="12">
        <f t="shared" si="184"/>
        <v>0</v>
      </c>
      <c r="HY134" s="12">
        <f t="shared" si="185"/>
        <v>0</v>
      </c>
      <c r="HZ134" s="12">
        <f t="shared" si="186"/>
        <v>0</v>
      </c>
      <c r="IA134" s="12">
        <f t="shared" si="187"/>
        <v>0</v>
      </c>
      <c r="IB134" s="12">
        <f t="shared" si="188"/>
        <v>0</v>
      </c>
      <c r="IC134" s="12">
        <f t="shared" si="189"/>
        <v>0</v>
      </c>
      <c r="ID134" s="12">
        <f t="shared" si="190"/>
        <v>0</v>
      </c>
      <c r="IE134" s="12">
        <f t="shared" si="191"/>
        <v>0</v>
      </c>
      <c r="IF134" s="12">
        <f t="shared" si="192"/>
        <v>0</v>
      </c>
      <c r="IG134" s="12">
        <f t="shared" si="193"/>
        <v>0</v>
      </c>
      <c r="IH134" s="12">
        <f t="shared" si="194"/>
        <v>0</v>
      </c>
      <c r="II134" s="12">
        <f t="shared" si="195"/>
        <v>0</v>
      </c>
      <c r="IJ134" s="12">
        <f t="shared" si="196"/>
        <v>0</v>
      </c>
      <c r="IK134" s="12">
        <f t="shared" si="197"/>
        <v>0</v>
      </c>
      <c r="IL134" s="12">
        <f t="shared" si="198"/>
        <v>0</v>
      </c>
      <c r="IM134" s="12">
        <f t="shared" si="199"/>
        <v>0</v>
      </c>
      <c r="IN134" s="12">
        <f t="shared" si="200"/>
        <v>0</v>
      </c>
      <c r="IO134" s="12">
        <f t="shared" si="201"/>
        <v>0</v>
      </c>
      <c r="IP134" s="12">
        <f t="shared" si="202"/>
        <v>0</v>
      </c>
      <c r="IQ134" s="12">
        <f t="shared" si="203"/>
        <v>0</v>
      </c>
      <c r="IR134" s="12">
        <f t="shared" si="204"/>
        <v>0</v>
      </c>
      <c r="IS134" s="12">
        <f t="shared" si="205"/>
        <v>0</v>
      </c>
      <c r="IT134" s="12">
        <f t="shared" si="206"/>
        <v>0</v>
      </c>
      <c r="IU134" s="12">
        <f t="shared" si="207"/>
        <v>0</v>
      </c>
      <c r="IV134" s="12">
        <f t="shared" si="208"/>
        <v>0</v>
      </c>
      <c r="IW134" s="12">
        <f t="shared" si="209"/>
        <v>0</v>
      </c>
      <c r="IX134" s="12">
        <f t="shared" si="210"/>
        <v>0</v>
      </c>
      <c r="IY134" s="12">
        <f t="shared" si="211"/>
        <v>0</v>
      </c>
      <c r="IZ134" s="12">
        <f t="shared" si="212"/>
        <v>0</v>
      </c>
      <c r="JA134" s="13">
        <f t="shared" si="213"/>
        <v>0</v>
      </c>
      <c r="JB134" s="13">
        <f t="shared" si="214"/>
        <v>0</v>
      </c>
      <c r="JC134" s="13">
        <f t="shared" si="215"/>
        <v>0</v>
      </c>
      <c r="JD134" s="13">
        <f t="shared" si="216"/>
        <v>0</v>
      </c>
      <c r="JE134" s="13">
        <f t="shared" si="217"/>
        <v>0</v>
      </c>
      <c r="JF134" s="13">
        <f t="shared" si="218"/>
        <v>0</v>
      </c>
      <c r="JG134" s="13">
        <f t="shared" si="219"/>
        <v>0</v>
      </c>
      <c r="JH134" s="13">
        <f t="shared" si="220"/>
        <v>0</v>
      </c>
      <c r="JI134" s="13">
        <f t="shared" si="221"/>
        <v>0</v>
      </c>
      <c r="JJ134" s="13">
        <f t="shared" si="222"/>
        <v>0</v>
      </c>
      <c r="JK134" s="13">
        <f t="shared" si="223"/>
        <v>0</v>
      </c>
      <c r="JL134" s="13">
        <f t="shared" si="224"/>
        <v>0</v>
      </c>
      <c r="JM134" s="13">
        <f t="shared" si="225"/>
        <v>0</v>
      </c>
      <c r="JN134" s="13">
        <f t="shared" si="226"/>
        <v>0</v>
      </c>
      <c r="JO134" s="13">
        <f t="shared" si="227"/>
        <v>0</v>
      </c>
      <c r="JP134" s="13">
        <f t="shared" si="228"/>
        <v>0</v>
      </c>
      <c r="JQ134" s="13">
        <f t="shared" si="229"/>
        <v>0</v>
      </c>
      <c r="JR134" s="13">
        <f t="shared" si="230"/>
        <v>0</v>
      </c>
      <c r="JS134" s="13">
        <f t="shared" si="231"/>
        <v>0</v>
      </c>
      <c r="JT134" s="13">
        <f t="shared" si="232"/>
        <v>0</v>
      </c>
      <c r="JU134" s="13">
        <f t="shared" si="233"/>
        <v>0</v>
      </c>
      <c r="JV134" s="12">
        <f t="shared" si="234"/>
        <v>0</v>
      </c>
      <c r="JW134" s="12">
        <f t="shared" si="235"/>
        <v>0</v>
      </c>
      <c r="JX134" s="12">
        <f t="shared" si="236"/>
        <v>0</v>
      </c>
      <c r="JY134" s="12">
        <f t="shared" si="237"/>
        <v>0</v>
      </c>
      <c r="JZ134" s="12">
        <f t="shared" si="238"/>
        <v>0</v>
      </c>
      <c r="KA134" s="12">
        <f t="shared" si="239"/>
        <v>0</v>
      </c>
      <c r="KB134" s="12">
        <f t="shared" si="240"/>
        <v>0</v>
      </c>
      <c r="KC134" s="12">
        <f t="shared" si="241"/>
        <v>0</v>
      </c>
      <c r="KD134" s="12">
        <f t="shared" si="242"/>
        <v>0</v>
      </c>
      <c r="KE134" s="12">
        <f t="shared" si="243"/>
        <v>0</v>
      </c>
      <c r="KF134" s="12">
        <f t="shared" si="244"/>
        <v>0</v>
      </c>
      <c r="KG134" s="12">
        <f t="shared" si="245"/>
        <v>0</v>
      </c>
      <c r="KH134" s="12">
        <f t="shared" si="246"/>
        <v>0</v>
      </c>
      <c r="KI134" s="12">
        <f t="shared" si="247"/>
        <v>0</v>
      </c>
      <c r="KJ134" s="12">
        <f t="shared" si="248"/>
        <v>0</v>
      </c>
      <c r="KK134" s="12">
        <f t="shared" si="249"/>
        <v>0</v>
      </c>
      <c r="KL134" s="12">
        <f t="shared" si="250"/>
        <v>0</v>
      </c>
      <c r="KM134" s="12">
        <f t="shared" si="251"/>
        <v>0</v>
      </c>
      <c r="KN134" s="12">
        <f t="shared" si="252"/>
        <v>0</v>
      </c>
      <c r="KO134" s="12">
        <f t="shared" si="253"/>
        <v>0</v>
      </c>
      <c r="KP134" s="12">
        <f t="shared" si="254"/>
        <v>0</v>
      </c>
      <c r="KQ134" s="12">
        <f t="shared" si="255"/>
        <v>0</v>
      </c>
      <c r="KR134" s="12">
        <f t="shared" si="256"/>
        <v>0</v>
      </c>
      <c r="KS134" s="12">
        <f t="shared" si="257"/>
        <v>0</v>
      </c>
      <c r="KT134" s="12">
        <f t="shared" si="258"/>
        <v>0</v>
      </c>
      <c r="KU134" s="12">
        <f t="shared" si="259"/>
        <v>0</v>
      </c>
      <c r="KV134" s="12">
        <f t="shared" si="260"/>
        <v>0</v>
      </c>
      <c r="KW134" s="12">
        <f t="shared" si="261"/>
        <v>0</v>
      </c>
      <c r="KX134" s="12">
        <f t="shared" si="262"/>
        <v>0</v>
      </c>
      <c r="KY134" s="12">
        <f t="shared" si="263"/>
        <v>0</v>
      </c>
      <c r="KZ134" s="12">
        <f t="shared" si="264"/>
        <v>0</v>
      </c>
      <c r="LA134" s="12">
        <f t="shared" si="265"/>
        <v>0</v>
      </c>
      <c r="LB134" s="12">
        <f t="shared" si="266"/>
        <v>0</v>
      </c>
      <c r="LC134" s="12">
        <f t="shared" si="267"/>
        <v>0</v>
      </c>
      <c r="LD134" s="12">
        <f t="shared" si="268"/>
        <v>0</v>
      </c>
      <c r="LE134" s="12">
        <f t="shared" si="269"/>
        <v>0</v>
      </c>
      <c r="LF134" s="12">
        <f t="shared" si="270"/>
        <v>0</v>
      </c>
      <c r="LG134" s="12">
        <f t="shared" si="271"/>
        <v>0</v>
      </c>
      <c r="LH134" s="12">
        <f t="shared" si="272"/>
        <v>0</v>
      </c>
      <c r="LI134" s="12">
        <f t="shared" si="273"/>
        <v>0</v>
      </c>
      <c r="LJ134" s="12">
        <f t="shared" si="274"/>
        <v>0</v>
      </c>
      <c r="LK134" s="12">
        <f t="shared" si="275"/>
        <v>0</v>
      </c>
      <c r="LL134" s="12">
        <f t="shared" si="276"/>
        <v>0</v>
      </c>
      <c r="LM134" s="12">
        <f t="shared" si="277"/>
        <v>0</v>
      </c>
      <c r="LN134" s="12">
        <f t="shared" si="278"/>
        <v>0</v>
      </c>
      <c r="LO134" s="12">
        <f t="shared" si="279"/>
        <v>0</v>
      </c>
      <c r="LP134" s="12">
        <f t="shared" si="280"/>
        <v>0</v>
      </c>
      <c r="LQ134" s="12">
        <f t="shared" si="281"/>
        <v>0</v>
      </c>
      <c r="LR134" s="12">
        <f t="shared" si="282"/>
        <v>0</v>
      </c>
      <c r="LS134" s="12">
        <f t="shared" si="283"/>
        <v>0</v>
      </c>
      <c r="LT134" s="13">
        <f t="shared" si="284"/>
        <v>0</v>
      </c>
      <c r="LU134" s="13">
        <f t="shared" si="285"/>
        <v>0</v>
      </c>
      <c r="LV134" s="13">
        <f t="shared" si="286"/>
        <v>1</v>
      </c>
      <c r="LW134" s="13">
        <f t="shared" si="287"/>
        <v>1</v>
      </c>
      <c r="LX134" s="13">
        <f t="shared" si="288"/>
        <v>0</v>
      </c>
      <c r="LY134" s="13">
        <f t="shared" si="289"/>
        <v>0</v>
      </c>
      <c r="LZ134" s="13">
        <f t="shared" si="290"/>
        <v>0</v>
      </c>
      <c r="MA134" s="13">
        <f t="shared" si="291"/>
        <v>0</v>
      </c>
      <c r="MB134" s="13">
        <f t="shared" si="292"/>
        <v>0</v>
      </c>
      <c r="MC134" s="13">
        <f t="shared" si="293"/>
        <v>0</v>
      </c>
      <c r="MD134" s="13">
        <f t="shared" si="294"/>
        <v>0</v>
      </c>
      <c r="ME134" s="13">
        <f t="shared" si="295"/>
        <v>0</v>
      </c>
      <c r="MF134" s="13">
        <f t="shared" si="296"/>
        <v>0</v>
      </c>
      <c r="MG134" s="13">
        <f t="shared" si="297"/>
        <v>0</v>
      </c>
      <c r="MH134" s="13">
        <f t="shared" si="298"/>
        <v>0</v>
      </c>
      <c r="MI134" s="13">
        <f t="shared" si="299"/>
        <v>0</v>
      </c>
      <c r="MJ134" s="13">
        <f t="shared" si="300"/>
        <v>0</v>
      </c>
      <c r="MK134" s="13">
        <f t="shared" si="301"/>
        <v>0</v>
      </c>
      <c r="ML134" s="14">
        <f t="shared" si="302"/>
        <v>0</v>
      </c>
      <c r="MM134" s="14">
        <f t="shared" si="303"/>
        <v>0</v>
      </c>
      <c r="MN134" s="14">
        <f t="shared" si="304"/>
        <v>0</v>
      </c>
      <c r="MO134" s="14">
        <f t="shared" si="305"/>
        <v>0</v>
      </c>
      <c r="MP134" s="14">
        <f t="shared" si="306"/>
        <v>1</v>
      </c>
      <c r="MQ134" s="14">
        <f t="shared" si="307"/>
        <v>0</v>
      </c>
      <c r="MR134" s="14">
        <f t="shared" si="308"/>
        <v>0</v>
      </c>
      <c r="MS134" s="14">
        <f t="shared" si="309"/>
        <v>0</v>
      </c>
      <c r="MT134" s="14">
        <f t="shared" si="310"/>
        <v>0</v>
      </c>
      <c r="MU134" s="14">
        <f t="shared" si="311"/>
        <v>0</v>
      </c>
      <c r="MV134" s="14">
        <f t="shared" si="312"/>
        <v>0</v>
      </c>
      <c r="MW134" s="14">
        <f t="shared" si="313"/>
        <v>0</v>
      </c>
      <c r="MX134" s="14">
        <f t="shared" si="314"/>
        <v>0</v>
      </c>
      <c r="MY134" s="14">
        <f t="shared" si="315"/>
        <v>0</v>
      </c>
      <c r="MZ134" s="14">
        <f t="shared" si="316"/>
        <v>0</v>
      </c>
      <c r="NA134" s="14">
        <f t="shared" si="317"/>
        <v>0</v>
      </c>
      <c r="NB134" s="14">
        <f t="shared" si="318"/>
        <v>0</v>
      </c>
    </row>
    <row r="135" ht="15.75" customHeight="1">
      <c r="A135" s="2">
        <v>110.0</v>
      </c>
      <c r="B135" s="2" t="s">
        <v>2648</v>
      </c>
      <c r="C135" s="2" t="s">
        <v>2649</v>
      </c>
      <c r="D135" s="2" t="s">
        <v>2650</v>
      </c>
      <c r="E135" s="2">
        <v>2021.0</v>
      </c>
      <c r="F135" s="2" t="s">
        <v>2651</v>
      </c>
      <c r="G135" s="2" t="s">
        <v>1160</v>
      </c>
      <c r="I135" s="2" t="s">
        <v>2652</v>
      </c>
      <c r="M135" s="2">
        <v>4.0</v>
      </c>
      <c r="N135" s="2" t="s">
        <v>2653</v>
      </c>
      <c r="O135" s="2" t="s">
        <v>2654</v>
      </c>
      <c r="P135" s="2" t="s">
        <v>2655</v>
      </c>
      <c r="Q135" s="2" t="s">
        <v>2656</v>
      </c>
      <c r="R135" s="2" t="s">
        <v>2657</v>
      </c>
      <c r="S135" s="2" t="s">
        <v>2658</v>
      </c>
      <c r="T135" s="2" t="s">
        <v>2659</v>
      </c>
      <c r="W135" s="2" t="s">
        <v>2660</v>
      </c>
      <c r="Y135" s="2" t="s">
        <v>2661</v>
      </c>
      <c r="AB135" s="2" t="s">
        <v>1039</v>
      </c>
      <c r="AG135" s="2" t="s">
        <v>2662</v>
      </c>
      <c r="AK135" s="2" t="s">
        <v>2663</v>
      </c>
      <c r="AL135" s="2" t="s">
        <v>384</v>
      </c>
      <c r="AM135" s="2" t="s">
        <v>484</v>
      </c>
      <c r="AN135" s="2" t="s">
        <v>386</v>
      </c>
      <c r="AO135" s="2" t="s">
        <v>2664</v>
      </c>
      <c r="AP135" s="2" t="s">
        <v>386</v>
      </c>
      <c r="AQ135" s="2">
        <v>365.0</v>
      </c>
      <c r="AR135" s="2" t="s">
        <v>2665</v>
      </c>
      <c r="AS135" s="2" t="b">
        <v>0</v>
      </c>
      <c r="AT135" s="3">
        <v>0.0</v>
      </c>
      <c r="AU135" s="4"/>
      <c r="AV135" s="4"/>
      <c r="AW135" s="5">
        <f t="shared" si="432"/>
        <v>0</v>
      </c>
      <c r="AX135" s="5">
        <f t="shared" si="4"/>
        <v>0</v>
      </c>
      <c r="AY135" s="5">
        <f t="shared" si="5"/>
        <v>0</v>
      </c>
      <c r="AZ135" s="5">
        <f t="shared" si="6"/>
        <v>0</v>
      </c>
      <c r="BA135" s="5">
        <f t="shared" si="7"/>
        <v>0</v>
      </c>
      <c r="BB135" s="5">
        <f t="shared" si="8"/>
        <v>0</v>
      </c>
      <c r="BC135" s="5">
        <f t="shared" si="9"/>
        <v>0</v>
      </c>
      <c r="BD135" s="5">
        <f t="shared" si="10"/>
        <v>0</v>
      </c>
      <c r="BE135" s="5">
        <f t="shared" si="11"/>
        <v>0</v>
      </c>
      <c r="BF135" s="5">
        <f t="shared" si="12"/>
        <v>0</v>
      </c>
      <c r="BG135" s="5">
        <f t="shared" si="13"/>
        <v>0</v>
      </c>
      <c r="BH135" s="5">
        <f t="shared" si="14"/>
        <v>0</v>
      </c>
      <c r="BI135" s="5">
        <f t="shared" si="15"/>
        <v>0</v>
      </c>
      <c r="BJ135" s="5">
        <f t="shared" si="16"/>
        <v>0</v>
      </c>
      <c r="BK135" s="5">
        <f t="shared" si="17"/>
        <v>0</v>
      </c>
      <c r="BL135" s="5">
        <f t="shared" si="18"/>
        <v>0</v>
      </c>
      <c r="BM135" s="5">
        <f t="shared" si="19"/>
        <v>0</v>
      </c>
      <c r="BN135" s="5">
        <f t="shared" si="20"/>
        <v>0</v>
      </c>
      <c r="BO135" s="5">
        <f t="shared" si="21"/>
        <v>0</v>
      </c>
      <c r="BP135" s="5">
        <f t="shared" si="22"/>
        <v>0</v>
      </c>
      <c r="BQ135" s="5">
        <f t="shared" si="23"/>
        <v>0</v>
      </c>
      <c r="BR135" s="5">
        <f t="shared" si="24"/>
        <v>0</v>
      </c>
      <c r="BS135" s="5">
        <f t="shared" si="25"/>
        <v>0</v>
      </c>
      <c r="BT135" s="5">
        <f t="shared" si="26"/>
        <v>0</v>
      </c>
      <c r="BU135" s="5">
        <f t="shared" si="27"/>
        <v>0</v>
      </c>
      <c r="BV135" s="5">
        <f t="shared" ref="BV135:BW135" si="618">IF(OR(ISNUMBER(SEARCH("grit",$D135)),ISNUMBER(SEARCH("grit",$T135)),ISNUMBER(SEARCH("grit",$R135)),ISNUMBER(SEARCH("grit",$S135)),
ISNUMBER(SEARCH("determination",$D135)),ISNUMBER(SEARCH("determination",$T135)),ISNUMBER(SEARCH("determination",$R135)),ISNUMBER(SEARCH("determination",$S135)),
ISNUMBER(SEARCH("tenacity",$D135)),ISNUMBER(SEARCH("tenacity",$T135)),ISNUMBER(SEARCH("tenacity",$R135)),ISNUMBER(SEARCH("tenacity",$S135)),
ISNUMBER(SEARCH("endurance",$D135)),ISNUMBER(SEARCH("endurance",$T135)),ISNUMBER(SEARCH("endurance",$R135)),ISNUMBER(SEARCH("endurance",$S135)),
ISNUMBER(SEARCH("fortitude",$D135)),ISNUMBER(SEARCH("fortitude",$T135)),ISNUMBER(SEARCH("fortitude",$R135)),ISNUMBER(SEARCH("fortitude",$S135)),
ISNUMBER(SEARCH("resolve",$D135)),ISNUMBER(SEARCH("resolve",$T135)),ISNUMBER(SEARCH("resolve",$R135)),ISNUMBER(SEARCH("resolve",$S135)),
ISNUMBER(SEARCH("stamina",$D135)),ISNUMBER(SEARCH("stamina",$T135)),ISNUMBER(SEARCH("stamina",$R135)),ISNUMBER(SEARCH("stamina",$S135)),
ISNUMBER(SEARCH("guts",$D135)),ISNUMBER(SEARCH("guts",$T135)),ISNUMBER(SEARCH("guts",$R135)),ISNUMBER(SEARCH("guts",$S135)),
ISNUMBER(SEARCH("spunk",$D135)),ISNUMBER(SEARCH("spunk",$T135)),ISNUMBER(SEARCH("spunk",$R135)),ISNUMBER(SEARCH("spunk",$S135))), 1, 0)</f>
        <v>0</v>
      </c>
      <c r="BW135" s="5">
        <f t="shared" si="618"/>
        <v>0</v>
      </c>
      <c r="BX135" s="5">
        <f t="shared" si="29"/>
        <v>0</v>
      </c>
      <c r="BY135" s="5">
        <f t="shared" si="30"/>
        <v>0</v>
      </c>
      <c r="BZ135" s="5">
        <f t="shared" si="31"/>
        <v>0</v>
      </c>
      <c r="CA135" s="5">
        <f t="shared" si="32"/>
        <v>0</v>
      </c>
      <c r="CB135" s="5">
        <f t="shared" si="33"/>
        <v>0</v>
      </c>
      <c r="CC135" s="5">
        <f t="shared" si="34"/>
        <v>0</v>
      </c>
      <c r="CD135" s="5">
        <f t="shared" si="35"/>
        <v>0</v>
      </c>
      <c r="CE135" s="5">
        <f t="shared" si="36"/>
        <v>0</v>
      </c>
      <c r="CF135" s="5">
        <f t="shared" si="37"/>
        <v>0</v>
      </c>
      <c r="CG135" s="5">
        <f t="shared" si="38"/>
        <v>0</v>
      </c>
      <c r="CH135" s="5">
        <f t="shared" si="39"/>
        <v>0</v>
      </c>
      <c r="CI135" s="5">
        <f t="shared" si="40"/>
        <v>0</v>
      </c>
      <c r="CJ135" s="5">
        <f t="shared" si="41"/>
        <v>0</v>
      </c>
      <c r="CK135" s="5">
        <f t="shared" si="42"/>
        <v>0</v>
      </c>
      <c r="CL135" s="5">
        <f t="shared" si="43"/>
        <v>0</v>
      </c>
      <c r="CM135" s="5">
        <f t="shared" si="44"/>
        <v>0</v>
      </c>
      <c r="CN135" s="5">
        <f t="shared" si="45"/>
        <v>0</v>
      </c>
      <c r="CO135" s="5">
        <f t="shared" si="46"/>
        <v>0</v>
      </c>
      <c r="CP135" s="6">
        <f t="shared" si="47"/>
        <v>0</v>
      </c>
      <c r="CQ135" s="6">
        <f t="shared" si="48"/>
        <v>0</v>
      </c>
      <c r="CR135" s="6">
        <f t="shared" si="49"/>
        <v>0</v>
      </c>
      <c r="CS135" s="6">
        <f t="shared" si="50"/>
        <v>0</v>
      </c>
      <c r="CT135" s="6">
        <f t="shared" si="584"/>
        <v>0</v>
      </c>
      <c r="CU135" s="6">
        <f t="shared" si="52"/>
        <v>0</v>
      </c>
      <c r="CV135" s="6">
        <f t="shared" si="53"/>
        <v>0</v>
      </c>
      <c r="CW135" s="6">
        <f t="shared" si="54"/>
        <v>0</v>
      </c>
      <c r="CX135" s="6">
        <f t="shared" si="55"/>
        <v>0</v>
      </c>
      <c r="CY135" s="6">
        <f t="shared" si="56"/>
        <v>0</v>
      </c>
      <c r="CZ135" s="6">
        <f t="shared" si="57"/>
        <v>0</v>
      </c>
      <c r="DA135" s="6">
        <f t="shared" si="58"/>
        <v>0</v>
      </c>
      <c r="DB135" s="6">
        <f t="shared" si="59"/>
        <v>0</v>
      </c>
      <c r="DC135" s="6">
        <f t="shared" si="60"/>
        <v>0</v>
      </c>
      <c r="DD135" s="6">
        <f t="shared" si="61"/>
        <v>0</v>
      </c>
      <c r="DE135" s="6">
        <f t="shared" si="62"/>
        <v>0</v>
      </c>
      <c r="DF135" s="6">
        <f t="shared" si="63"/>
        <v>0</v>
      </c>
      <c r="DG135" s="6">
        <f t="shared" si="64"/>
        <v>0</v>
      </c>
      <c r="DH135" s="6">
        <f t="shared" si="579"/>
        <v>0</v>
      </c>
      <c r="DI135" s="6">
        <f t="shared" si="66"/>
        <v>0</v>
      </c>
      <c r="DJ135" s="6">
        <f t="shared" si="574"/>
        <v>0</v>
      </c>
      <c r="DK135" s="7">
        <f t="shared" si="68"/>
        <v>0</v>
      </c>
      <c r="DL135" s="7">
        <f t="shared" si="498"/>
        <v>0</v>
      </c>
      <c r="DM135" s="7">
        <f t="shared" si="70"/>
        <v>0</v>
      </c>
      <c r="DN135" s="7">
        <f t="shared" si="71"/>
        <v>0</v>
      </c>
      <c r="DO135" s="7">
        <f t="shared" si="72"/>
        <v>0</v>
      </c>
      <c r="DP135" s="8">
        <f t="shared" si="73"/>
        <v>0</v>
      </c>
      <c r="DQ135" s="8">
        <f t="shared" si="74"/>
        <v>1</v>
      </c>
      <c r="DR135" s="7">
        <f t="shared" si="75"/>
        <v>0</v>
      </c>
      <c r="DS135" s="7">
        <f t="shared" si="76"/>
        <v>0</v>
      </c>
      <c r="DT135" s="7">
        <f t="shared" si="77"/>
        <v>0</v>
      </c>
      <c r="DU135" s="9">
        <f t="shared" si="78"/>
        <v>0</v>
      </c>
      <c r="DV135" s="9">
        <f t="shared" si="79"/>
        <v>0</v>
      </c>
      <c r="DW135" s="9">
        <f t="shared" si="80"/>
        <v>0</v>
      </c>
      <c r="DX135" s="9">
        <f t="shared" si="81"/>
        <v>0</v>
      </c>
      <c r="DY135" s="9">
        <f t="shared" si="82"/>
        <v>0</v>
      </c>
      <c r="DZ135" s="9">
        <f t="shared" si="83"/>
        <v>0</v>
      </c>
      <c r="EA135" s="9">
        <f t="shared" si="84"/>
        <v>0</v>
      </c>
      <c r="EB135" s="9">
        <f t="shared" si="85"/>
        <v>0</v>
      </c>
      <c r="EC135" s="9">
        <f t="shared" si="86"/>
        <v>0</v>
      </c>
      <c r="ED135" s="9">
        <f t="shared" si="87"/>
        <v>0</v>
      </c>
      <c r="EE135" s="9">
        <f t="shared" si="88"/>
        <v>0</v>
      </c>
      <c r="EF135" s="9">
        <f t="shared" si="89"/>
        <v>0</v>
      </c>
      <c r="EG135" s="9">
        <f t="shared" si="90"/>
        <v>0</v>
      </c>
      <c r="EH135" s="9">
        <f t="shared" si="91"/>
        <v>0</v>
      </c>
      <c r="EI135" s="9">
        <f t="shared" si="92"/>
        <v>0</v>
      </c>
      <c r="EJ135" s="10">
        <f t="shared" si="93"/>
        <v>0</v>
      </c>
      <c r="EK135" s="10">
        <f t="shared" si="94"/>
        <v>0</v>
      </c>
      <c r="EL135" s="10">
        <f t="shared" ref="EL135:EM135" si="619">IF(OR(ISNUMBER(SEARCH("ai software toolkit", $D135)), ISNUMBER(SEARCH("ai software toolkit", $T135)), ISNUMBER(SEARCH("ai software toolkit", $R135)), ISNUMBER(SEARCH("ai software toolkit", $S135))), 1, 0)</f>
        <v>0</v>
      </c>
      <c r="EM135" s="10">
        <f t="shared" si="619"/>
        <v>0</v>
      </c>
      <c r="EN135" s="10">
        <f t="shared" si="96"/>
        <v>0</v>
      </c>
      <c r="EO135" s="10">
        <f t="shared" si="97"/>
        <v>0</v>
      </c>
      <c r="EP135" s="10">
        <f t="shared" si="98"/>
        <v>0</v>
      </c>
      <c r="EQ135" s="10">
        <f t="shared" si="99"/>
        <v>0</v>
      </c>
      <c r="ER135" s="10">
        <f t="shared" si="100"/>
        <v>0</v>
      </c>
      <c r="ES135" s="10">
        <f t="shared" si="101"/>
        <v>0</v>
      </c>
      <c r="ET135" s="10">
        <f t="shared" si="102"/>
        <v>0</v>
      </c>
      <c r="EU135" s="10">
        <f t="shared" si="103"/>
        <v>0</v>
      </c>
      <c r="EV135" s="10">
        <f t="shared" si="104"/>
        <v>0</v>
      </c>
      <c r="EW135" s="10">
        <f t="shared" si="105"/>
        <v>0</v>
      </c>
      <c r="EX135" s="10">
        <f t="shared" si="106"/>
        <v>0</v>
      </c>
      <c r="EY135" s="10">
        <f t="shared" si="107"/>
        <v>0</v>
      </c>
      <c r="EZ135" s="10">
        <f t="shared" si="108"/>
        <v>0</v>
      </c>
      <c r="FA135" s="10">
        <f t="shared" si="109"/>
        <v>0</v>
      </c>
      <c r="FB135" s="10">
        <f t="shared" si="110"/>
        <v>0</v>
      </c>
      <c r="FC135" s="10">
        <f t="shared" si="111"/>
        <v>0</v>
      </c>
      <c r="FD135" s="10">
        <f t="shared" si="112"/>
        <v>0</v>
      </c>
      <c r="FE135" s="10">
        <f t="shared" si="113"/>
        <v>0</v>
      </c>
      <c r="FF135" s="10">
        <f t="shared" si="114"/>
        <v>0</v>
      </c>
      <c r="FG135" s="10">
        <f t="shared" si="115"/>
        <v>0</v>
      </c>
      <c r="FH135" s="10">
        <f t="shared" si="116"/>
        <v>0</v>
      </c>
      <c r="FI135" s="10">
        <f t="shared" si="117"/>
        <v>0</v>
      </c>
      <c r="FJ135" s="10">
        <f t="shared" si="118"/>
        <v>0</v>
      </c>
      <c r="FK135" s="10">
        <f t="shared" si="119"/>
        <v>0</v>
      </c>
      <c r="FL135" s="10">
        <f t="shared" si="120"/>
        <v>0</v>
      </c>
      <c r="FM135" s="10">
        <f t="shared" si="121"/>
        <v>0</v>
      </c>
      <c r="FN135" s="10">
        <f t="shared" si="122"/>
        <v>0</v>
      </c>
      <c r="FO135" s="10">
        <f t="shared" si="123"/>
        <v>0</v>
      </c>
      <c r="FP135" s="10">
        <f t="shared" si="124"/>
        <v>0</v>
      </c>
      <c r="FQ135" s="10">
        <f t="shared" si="125"/>
        <v>0</v>
      </c>
      <c r="FR135" s="11">
        <f t="shared" si="611"/>
        <v>0</v>
      </c>
      <c r="FS135" s="11">
        <f t="shared" si="127"/>
        <v>0</v>
      </c>
      <c r="FT135" s="11">
        <f t="shared" si="128"/>
        <v>0</v>
      </c>
      <c r="FU135" s="11">
        <f t="shared" si="129"/>
        <v>0</v>
      </c>
      <c r="FV135" s="11">
        <f t="shared" si="130"/>
        <v>0</v>
      </c>
      <c r="FW135" s="11">
        <f t="shared" si="131"/>
        <v>0</v>
      </c>
      <c r="FX135" s="11">
        <f t="shared" si="132"/>
        <v>0</v>
      </c>
      <c r="FY135" s="11">
        <f t="shared" si="133"/>
        <v>0</v>
      </c>
      <c r="FZ135" s="11">
        <f t="shared" si="134"/>
        <v>0</v>
      </c>
      <c r="GA135" s="11">
        <f t="shared" si="135"/>
        <v>0</v>
      </c>
      <c r="GB135" s="11">
        <f t="shared" si="136"/>
        <v>0</v>
      </c>
      <c r="GC135" s="11">
        <f t="shared" si="137"/>
        <v>0</v>
      </c>
      <c r="GD135" s="11">
        <f t="shared" si="138"/>
        <v>0</v>
      </c>
      <c r="GE135" s="11">
        <f t="shared" si="139"/>
        <v>0</v>
      </c>
      <c r="GF135" s="11">
        <f t="shared" si="140"/>
        <v>0</v>
      </c>
      <c r="GG135" s="11">
        <f t="shared" si="141"/>
        <v>0</v>
      </c>
      <c r="GH135" s="11">
        <f t="shared" si="142"/>
        <v>0</v>
      </c>
      <c r="GI135" s="11">
        <f t="shared" si="143"/>
        <v>0</v>
      </c>
      <c r="GJ135" s="11">
        <f t="shared" si="144"/>
        <v>0</v>
      </c>
      <c r="GK135" s="11">
        <f t="shared" si="145"/>
        <v>0</v>
      </c>
      <c r="GL135" s="11">
        <f t="shared" si="146"/>
        <v>0</v>
      </c>
      <c r="GM135" s="11">
        <f t="shared" si="147"/>
        <v>0</v>
      </c>
      <c r="GN135" s="11">
        <f t="shared" si="148"/>
        <v>0</v>
      </c>
      <c r="GO135" s="11">
        <f t="shared" si="149"/>
        <v>0</v>
      </c>
      <c r="GP135" s="11">
        <f t="shared" si="150"/>
        <v>0</v>
      </c>
      <c r="GQ135" s="11">
        <f t="shared" si="151"/>
        <v>0</v>
      </c>
      <c r="GR135" s="11">
        <f t="shared" si="152"/>
        <v>0</v>
      </c>
      <c r="GS135" s="11">
        <f t="shared" si="153"/>
        <v>0</v>
      </c>
      <c r="GT135" s="11">
        <f t="shared" si="154"/>
        <v>0</v>
      </c>
      <c r="GU135" s="12">
        <f t="shared" si="155"/>
        <v>0</v>
      </c>
      <c r="GV135" s="12">
        <f t="shared" si="156"/>
        <v>0</v>
      </c>
      <c r="GW135" s="12">
        <f t="shared" si="157"/>
        <v>0</v>
      </c>
      <c r="GX135" s="12">
        <f t="shared" si="158"/>
        <v>0</v>
      </c>
      <c r="GY135" s="12">
        <f t="shared" si="159"/>
        <v>0</v>
      </c>
      <c r="GZ135" s="12">
        <f t="shared" si="160"/>
        <v>0</v>
      </c>
      <c r="HA135" s="12">
        <f t="shared" si="161"/>
        <v>0</v>
      </c>
      <c r="HB135" s="12">
        <f t="shared" si="162"/>
        <v>0</v>
      </c>
      <c r="HC135" s="12">
        <f t="shared" si="163"/>
        <v>0</v>
      </c>
      <c r="HD135" s="12">
        <f t="shared" si="164"/>
        <v>0</v>
      </c>
      <c r="HE135" s="12">
        <f t="shared" si="165"/>
        <v>0</v>
      </c>
      <c r="HF135" s="12">
        <f t="shared" si="166"/>
        <v>0</v>
      </c>
      <c r="HG135" s="12">
        <f t="shared" si="167"/>
        <v>0</v>
      </c>
      <c r="HH135" s="12">
        <f t="shared" si="168"/>
        <v>0</v>
      </c>
      <c r="HI135" s="12">
        <f t="shared" si="169"/>
        <v>0</v>
      </c>
      <c r="HJ135" s="12">
        <f t="shared" si="170"/>
        <v>0</v>
      </c>
      <c r="HK135" s="12">
        <f t="shared" si="171"/>
        <v>0</v>
      </c>
      <c r="HL135" s="12">
        <f t="shared" si="172"/>
        <v>0</v>
      </c>
      <c r="HM135" s="12">
        <f t="shared" si="173"/>
        <v>0</v>
      </c>
      <c r="HN135" s="12">
        <f t="shared" si="174"/>
        <v>0</v>
      </c>
      <c r="HO135" s="12">
        <f t="shared" si="175"/>
        <v>0</v>
      </c>
      <c r="HP135" s="12">
        <f t="shared" si="176"/>
        <v>0</v>
      </c>
      <c r="HQ135" s="12">
        <f t="shared" si="177"/>
        <v>0</v>
      </c>
      <c r="HR135" s="12">
        <f t="shared" si="178"/>
        <v>0</v>
      </c>
      <c r="HS135" s="12">
        <f t="shared" si="179"/>
        <v>0</v>
      </c>
      <c r="HT135" s="12">
        <f t="shared" si="180"/>
        <v>0</v>
      </c>
      <c r="HU135" s="12">
        <f t="shared" si="181"/>
        <v>0</v>
      </c>
      <c r="HV135" s="12">
        <f t="shared" si="182"/>
        <v>0</v>
      </c>
      <c r="HW135" s="12">
        <f t="shared" si="183"/>
        <v>0</v>
      </c>
      <c r="HX135" s="12">
        <f t="shared" si="184"/>
        <v>0</v>
      </c>
      <c r="HY135" s="12">
        <f t="shared" si="185"/>
        <v>0</v>
      </c>
      <c r="HZ135" s="12">
        <f t="shared" si="186"/>
        <v>0</v>
      </c>
      <c r="IA135" s="12">
        <f t="shared" si="187"/>
        <v>0</v>
      </c>
      <c r="IB135" s="12">
        <f t="shared" si="188"/>
        <v>0</v>
      </c>
      <c r="IC135" s="12">
        <f t="shared" si="189"/>
        <v>0</v>
      </c>
      <c r="ID135" s="12">
        <f t="shared" si="190"/>
        <v>0</v>
      </c>
      <c r="IE135" s="12">
        <f t="shared" si="191"/>
        <v>0</v>
      </c>
      <c r="IF135" s="12">
        <f t="shared" si="192"/>
        <v>0</v>
      </c>
      <c r="IG135" s="12">
        <f t="shared" si="193"/>
        <v>0</v>
      </c>
      <c r="IH135" s="12">
        <f t="shared" si="194"/>
        <v>0</v>
      </c>
      <c r="II135" s="12">
        <f t="shared" si="195"/>
        <v>0</v>
      </c>
      <c r="IJ135" s="12">
        <f t="shared" si="196"/>
        <v>0</v>
      </c>
      <c r="IK135" s="12">
        <f t="shared" si="197"/>
        <v>0</v>
      </c>
      <c r="IL135" s="12">
        <f t="shared" si="198"/>
        <v>0</v>
      </c>
      <c r="IM135" s="12">
        <f t="shared" si="199"/>
        <v>0</v>
      </c>
      <c r="IN135" s="12">
        <f t="shared" si="200"/>
        <v>0</v>
      </c>
      <c r="IO135" s="12">
        <f t="shared" si="201"/>
        <v>0</v>
      </c>
      <c r="IP135" s="12">
        <f t="shared" si="202"/>
        <v>0</v>
      </c>
      <c r="IQ135" s="12">
        <f t="shared" si="203"/>
        <v>0</v>
      </c>
      <c r="IR135" s="12">
        <f t="shared" si="204"/>
        <v>0</v>
      </c>
      <c r="IS135" s="12">
        <f t="shared" si="205"/>
        <v>0</v>
      </c>
      <c r="IT135" s="12">
        <f t="shared" si="206"/>
        <v>0</v>
      </c>
      <c r="IU135" s="12">
        <f t="shared" si="207"/>
        <v>0</v>
      </c>
      <c r="IV135" s="12">
        <f t="shared" si="208"/>
        <v>0</v>
      </c>
      <c r="IW135" s="12">
        <f t="shared" si="209"/>
        <v>0</v>
      </c>
      <c r="IX135" s="12">
        <f t="shared" si="210"/>
        <v>0</v>
      </c>
      <c r="IY135" s="12">
        <f t="shared" si="211"/>
        <v>0</v>
      </c>
      <c r="IZ135" s="12">
        <f t="shared" si="212"/>
        <v>0</v>
      </c>
      <c r="JA135" s="13">
        <f t="shared" si="213"/>
        <v>0</v>
      </c>
      <c r="JB135" s="13">
        <f t="shared" si="214"/>
        <v>0</v>
      </c>
      <c r="JC135" s="13">
        <f t="shared" si="215"/>
        <v>0</v>
      </c>
      <c r="JD135" s="13">
        <f t="shared" si="216"/>
        <v>0</v>
      </c>
      <c r="JE135" s="13">
        <f t="shared" si="217"/>
        <v>0</v>
      </c>
      <c r="JF135" s="13">
        <f t="shared" si="218"/>
        <v>0</v>
      </c>
      <c r="JG135" s="13">
        <f t="shared" si="219"/>
        <v>0</v>
      </c>
      <c r="JH135" s="13">
        <f t="shared" si="220"/>
        <v>0</v>
      </c>
      <c r="JI135" s="13">
        <f t="shared" si="221"/>
        <v>0</v>
      </c>
      <c r="JJ135" s="13">
        <f t="shared" si="222"/>
        <v>0</v>
      </c>
      <c r="JK135" s="13">
        <f t="shared" si="223"/>
        <v>0</v>
      </c>
      <c r="JL135" s="13">
        <f t="shared" si="224"/>
        <v>0</v>
      </c>
      <c r="JM135" s="13">
        <f t="shared" si="225"/>
        <v>0</v>
      </c>
      <c r="JN135" s="13">
        <f t="shared" si="226"/>
        <v>0</v>
      </c>
      <c r="JO135" s="13">
        <f t="shared" si="227"/>
        <v>0</v>
      </c>
      <c r="JP135" s="13">
        <f t="shared" si="228"/>
        <v>0</v>
      </c>
      <c r="JQ135" s="13">
        <f t="shared" si="229"/>
        <v>0</v>
      </c>
      <c r="JR135" s="13">
        <f t="shared" si="230"/>
        <v>0</v>
      </c>
      <c r="JS135" s="13">
        <f t="shared" si="231"/>
        <v>0</v>
      </c>
      <c r="JT135" s="13">
        <f t="shared" si="232"/>
        <v>0</v>
      </c>
      <c r="JU135" s="13">
        <f t="shared" si="233"/>
        <v>0</v>
      </c>
      <c r="JV135" s="12">
        <f t="shared" si="234"/>
        <v>0</v>
      </c>
      <c r="JW135" s="12">
        <f t="shared" si="235"/>
        <v>0</v>
      </c>
      <c r="JX135" s="12">
        <f t="shared" si="236"/>
        <v>0</v>
      </c>
      <c r="JY135" s="12">
        <f t="shared" si="237"/>
        <v>0</v>
      </c>
      <c r="JZ135" s="12">
        <f t="shared" si="238"/>
        <v>0</v>
      </c>
      <c r="KA135" s="12">
        <f t="shared" si="239"/>
        <v>0</v>
      </c>
      <c r="KB135" s="12">
        <f t="shared" si="240"/>
        <v>0</v>
      </c>
      <c r="KC135" s="12">
        <f t="shared" si="241"/>
        <v>0</v>
      </c>
      <c r="KD135" s="12">
        <f t="shared" si="242"/>
        <v>0</v>
      </c>
      <c r="KE135" s="12">
        <f t="shared" si="243"/>
        <v>0</v>
      </c>
      <c r="KF135" s="12">
        <f t="shared" si="244"/>
        <v>0</v>
      </c>
      <c r="KG135" s="12">
        <f t="shared" si="245"/>
        <v>0</v>
      </c>
      <c r="KH135" s="12">
        <f t="shared" si="246"/>
        <v>0</v>
      </c>
      <c r="KI135" s="12">
        <f t="shared" si="247"/>
        <v>0</v>
      </c>
      <c r="KJ135" s="12">
        <f t="shared" si="248"/>
        <v>0</v>
      </c>
      <c r="KK135" s="12">
        <f t="shared" si="249"/>
        <v>0</v>
      </c>
      <c r="KL135" s="12">
        <f t="shared" si="250"/>
        <v>0</v>
      </c>
      <c r="KM135" s="12">
        <f t="shared" si="251"/>
        <v>0</v>
      </c>
      <c r="KN135" s="12">
        <f t="shared" si="252"/>
        <v>0</v>
      </c>
      <c r="KO135" s="12">
        <f t="shared" si="253"/>
        <v>0</v>
      </c>
      <c r="KP135" s="12">
        <f t="shared" si="254"/>
        <v>0</v>
      </c>
      <c r="KQ135" s="12">
        <f t="shared" si="255"/>
        <v>0</v>
      </c>
      <c r="KR135" s="12">
        <f t="shared" si="256"/>
        <v>0</v>
      </c>
      <c r="KS135" s="12">
        <f t="shared" si="257"/>
        <v>0</v>
      </c>
      <c r="KT135" s="12">
        <f t="shared" si="258"/>
        <v>0</v>
      </c>
      <c r="KU135" s="12">
        <f t="shared" si="259"/>
        <v>0</v>
      </c>
      <c r="KV135" s="12">
        <f t="shared" si="260"/>
        <v>0</v>
      </c>
      <c r="KW135" s="12">
        <f t="shared" si="261"/>
        <v>0</v>
      </c>
      <c r="KX135" s="12">
        <f t="shared" si="262"/>
        <v>0</v>
      </c>
      <c r="KY135" s="12">
        <f t="shared" si="263"/>
        <v>0</v>
      </c>
      <c r="KZ135" s="12">
        <f t="shared" si="264"/>
        <v>0</v>
      </c>
      <c r="LA135" s="12">
        <f t="shared" si="265"/>
        <v>0</v>
      </c>
      <c r="LB135" s="12">
        <f t="shared" si="266"/>
        <v>0</v>
      </c>
      <c r="LC135" s="12">
        <f t="shared" si="267"/>
        <v>0</v>
      </c>
      <c r="LD135" s="12">
        <f t="shared" si="268"/>
        <v>0</v>
      </c>
      <c r="LE135" s="12">
        <f t="shared" si="269"/>
        <v>0</v>
      </c>
      <c r="LF135" s="12">
        <f t="shared" si="270"/>
        <v>0</v>
      </c>
      <c r="LG135" s="12">
        <f t="shared" si="271"/>
        <v>0</v>
      </c>
      <c r="LH135" s="12">
        <f t="shared" si="272"/>
        <v>0</v>
      </c>
      <c r="LI135" s="12">
        <f t="shared" si="273"/>
        <v>0</v>
      </c>
      <c r="LJ135" s="12">
        <f t="shared" si="274"/>
        <v>0</v>
      </c>
      <c r="LK135" s="12">
        <f t="shared" si="275"/>
        <v>0</v>
      </c>
      <c r="LL135" s="12">
        <f t="shared" si="276"/>
        <v>0</v>
      </c>
      <c r="LM135" s="12">
        <f t="shared" si="277"/>
        <v>0</v>
      </c>
      <c r="LN135" s="12">
        <f t="shared" si="278"/>
        <v>0</v>
      </c>
      <c r="LO135" s="12">
        <f t="shared" si="279"/>
        <v>0</v>
      </c>
      <c r="LP135" s="12">
        <f t="shared" si="280"/>
        <v>0</v>
      </c>
      <c r="LQ135" s="12">
        <f t="shared" si="281"/>
        <v>0</v>
      </c>
      <c r="LR135" s="12">
        <f t="shared" si="282"/>
        <v>0</v>
      </c>
      <c r="LS135" s="12">
        <f t="shared" si="283"/>
        <v>0</v>
      </c>
      <c r="LT135" s="13">
        <f t="shared" si="284"/>
        <v>0</v>
      </c>
      <c r="LU135" s="13">
        <f t="shared" si="285"/>
        <v>0</v>
      </c>
      <c r="LV135" s="13">
        <f t="shared" si="286"/>
        <v>0</v>
      </c>
      <c r="LW135" s="13">
        <f t="shared" si="287"/>
        <v>0</v>
      </c>
      <c r="LX135" s="13">
        <f t="shared" si="288"/>
        <v>0</v>
      </c>
      <c r="LY135" s="13">
        <f t="shared" si="289"/>
        <v>0</v>
      </c>
      <c r="LZ135" s="13">
        <f t="shared" si="290"/>
        <v>0</v>
      </c>
      <c r="MA135" s="13">
        <f t="shared" si="291"/>
        <v>0</v>
      </c>
      <c r="MB135" s="13">
        <f t="shared" si="292"/>
        <v>0</v>
      </c>
      <c r="MC135" s="13">
        <f t="shared" si="293"/>
        <v>0</v>
      </c>
      <c r="MD135" s="13">
        <f t="shared" si="294"/>
        <v>0</v>
      </c>
      <c r="ME135" s="13">
        <f t="shared" si="295"/>
        <v>0</v>
      </c>
      <c r="MF135" s="13">
        <f t="shared" si="296"/>
        <v>0</v>
      </c>
      <c r="MG135" s="13">
        <f t="shared" si="297"/>
        <v>0</v>
      </c>
      <c r="MH135" s="13">
        <f t="shared" si="298"/>
        <v>0</v>
      </c>
      <c r="MI135" s="13">
        <f t="shared" si="299"/>
        <v>0</v>
      </c>
      <c r="MJ135" s="13">
        <f t="shared" si="300"/>
        <v>0</v>
      </c>
      <c r="MK135" s="13">
        <f t="shared" si="301"/>
        <v>0</v>
      </c>
      <c r="ML135" s="14">
        <f t="shared" si="302"/>
        <v>0</v>
      </c>
      <c r="MM135" s="14">
        <f t="shared" si="303"/>
        <v>0</v>
      </c>
      <c r="MN135" s="14">
        <f t="shared" si="304"/>
        <v>0</v>
      </c>
      <c r="MO135" s="14">
        <f t="shared" si="305"/>
        <v>0</v>
      </c>
      <c r="MP135" s="14">
        <f t="shared" si="306"/>
        <v>0</v>
      </c>
      <c r="MQ135" s="14">
        <f t="shared" si="307"/>
        <v>0</v>
      </c>
      <c r="MR135" s="14">
        <f t="shared" si="308"/>
        <v>0</v>
      </c>
      <c r="MS135" s="14">
        <f t="shared" si="309"/>
        <v>0</v>
      </c>
      <c r="MT135" s="14">
        <f t="shared" si="310"/>
        <v>0</v>
      </c>
      <c r="MU135" s="14">
        <f t="shared" si="311"/>
        <v>0</v>
      </c>
      <c r="MV135" s="14">
        <f t="shared" si="312"/>
        <v>0</v>
      </c>
      <c r="MW135" s="14">
        <f t="shared" si="313"/>
        <v>0</v>
      </c>
      <c r="MX135" s="14">
        <f t="shared" si="314"/>
        <v>0</v>
      </c>
      <c r="MY135" s="14">
        <f t="shared" si="315"/>
        <v>0</v>
      </c>
      <c r="MZ135" s="14">
        <f t="shared" si="316"/>
        <v>0</v>
      </c>
      <c r="NA135" s="14">
        <f t="shared" si="317"/>
        <v>0</v>
      </c>
      <c r="NB135" s="14">
        <f t="shared" si="318"/>
        <v>0</v>
      </c>
    </row>
    <row r="136" ht="15.75" customHeight="1">
      <c r="A136" s="2">
        <v>83.0</v>
      </c>
      <c r="B136" s="2" t="s">
        <v>2666</v>
      </c>
      <c r="C136" s="2" t="s">
        <v>2667</v>
      </c>
      <c r="D136" s="2" t="s">
        <v>2668</v>
      </c>
      <c r="E136" s="2">
        <v>2021.0</v>
      </c>
      <c r="F136" s="2" t="s">
        <v>2669</v>
      </c>
      <c r="G136" s="2" t="s">
        <v>2079</v>
      </c>
      <c r="I136" s="2" t="s">
        <v>2670</v>
      </c>
      <c r="M136" s="2">
        <v>4.0</v>
      </c>
      <c r="N136" s="2" t="s">
        <v>2671</v>
      </c>
      <c r="O136" s="2" t="s">
        <v>2672</v>
      </c>
      <c r="P136" s="2" t="s">
        <v>2673</v>
      </c>
      <c r="Q136" s="2" t="s">
        <v>2674</v>
      </c>
      <c r="R136" s="2" t="s">
        <v>2675</v>
      </c>
      <c r="S136" s="2" t="s">
        <v>2676</v>
      </c>
      <c r="T136" s="2" t="s">
        <v>2677</v>
      </c>
      <c r="V136" s="2" t="s">
        <v>2678</v>
      </c>
      <c r="W136" s="2" t="s">
        <v>2679</v>
      </c>
      <c r="X136" s="2" t="s">
        <v>2680</v>
      </c>
      <c r="Y136" s="2" t="s">
        <v>2681</v>
      </c>
      <c r="AB136" s="2" t="s">
        <v>646</v>
      </c>
      <c r="AG136" s="2" t="s">
        <v>2682</v>
      </c>
      <c r="AK136" s="2" t="s">
        <v>2683</v>
      </c>
      <c r="AL136" s="2" t="s">
        <v>384</v>
      </c>
      <c r="AM136" s="2" t="s">
        <v>385</v>
      </c>
      <c r="AN136" s="2" t="s">
        <v>386</v>
      </c>
      <c r="AO136" s="2" t="s">
        <v>2684</v>
      </c>
      <c r="AP136" s="2" t="s">
        <v>386</v>
      </c>
      <c r="AQ136" s="2">
        <v>271.0</v>
      </c>
      <c r="AR136" s="2" t="s">
        <v>2685</v>
      </c>
      <c r="AS136" s="2" t="b">
        <v>1</v>
      </c>
      <c r="AT136" s="3">
        <v>0.0</v>
      </c>
      <c r="AU136" s="4"/>
      <c r="AV136" s="4"/>
      <c r="AW136" s="5">
        <f t="shared" si="432"/>
        <v>0</v>
      </c>
      <c r="AX136" s="5">
        <f t="shared" si="4"/>
        <v>0</v>
      </c>
      <c r="AY136" s="5">
        <f t="shared" si="5"/>
        <v>0</v>
      </c>
      <c r="AZ136" s="5">
        <f t="shared" si="6"/>
        <v>0</v>
      </c>
      <c r="BA136" s="5">
        <f t="shared" si="7"/>
        <v>0</v>
      </c>
      <c r="BB136" s="5">
        <f t="shared" si="8"/>
        <v>0</v>
      </c>
      <c r="BC136" s="5">
        <f t="shared" si="9"/>
        <v>0</v>
      </c>
      <c r="BD136" s="5">
        <f t="shared" si="10"/>
        <v>0</v>
      </c>
      <c r="BE136" s="5">
        <f t="shared" si="11"/>
        <v>0</v>
      </c>
      <c r="BF136" s="5">
        <f t="shared" si="12"/>
        <v>0</v>
      </c>
      <c r="BG136" s="5">
        <f t="shared" si="13"/>
        <v>0</v>
      </c>
      <c r="BH136" s="5">
        <f t="shared" si="14"/>
        <v>0</v>
      </c>
      <c r="BI136" s="5">
        <f t="shared" si="15"/>
        <v>0</v>
      </c>
      <c r="BJ136" s="5">
        <f t="shared" si="16"/>
        <v>0</v>
      </c>
      <c r="BK136" s="5">
        <f t="shared" si="17"/>
        <v>0</v>
      </c>
      <c r="BL136" s="5">
        <f t="shared" si="18"/>
        <v>0</v>
      </c>
      <c r="BM136" s="5">
        <f t="shared" si="19"/>
        <v>0</v>
      </c>
      <c r="BN136" s="5">
        <f t="shared" si="20"/>
        <v>0</v>
      </c>
      <c r="BO136" s="5">
        <f t="shared" si="21"/>
        <v>0</v>
      </c>
      <c r="BP136" s="5">
        <f t="shared" si="22"/>
        <v>0</v>
      </c>
      <c r="BQ136" s="5">
        <f t="shared" si="23"/>
        <v>0</v>
      </c>
      <c r="BR136" s="5">
        <f t="shared" si="24"/>
        <v>0</v>
      </c>
      <c r="BS136" s="5">
        <f t="shared" si="25"/>
        <v>0</v>
      </c>
      <c r="BT136" s="5">
        <f t="shared" si="26"/>
        <v>0</v>
      </c>
      <c r="BU136" s="5">
        <f t="shared" si="27"/>
        <v>0</v>
      </c>
      <c r="BV136" s="5">
        <f t="shared" ref="BV136:BW136" si="620">IF(OR(ISNUMBER(SEARCH("grit",$D136)),ISNUMBER(SEARCH("grit",$T136)),ISNUMBER(SEARCH("grit",$R136)),ISNUMBER(SEARCH("grit",$S136)),
ISNUMBER(SEARCH("determination",$D136)),ISNUMBER(SEARCH("determination",$T136)),ISNUMBER(SEARCH("determination",$R136)),ISNUMBER(SEARCH("determination",$S136)),
ISNUMBER(SEARCH("tenacity",$D136)),ISNUMBER(SEARCH("tenacity",$T136)),ISNUMBER(SEARCH("tenacity",$R136)),ISNUMBER(SEARCH("tenacity",$S136)),
ISNUMBER(SEARCH("endurance",$D136)),ISNUMBER(SEARCH("endurance",$T136)),ISNUMBER(SEARCH("endurance",$R136)),ISNUMBER(SEARCH("endurance",$S136)),
ISNUMBER(SEARCH("fortitude",$D136)),ISNUMBER(SEARCH("fortitude",$T136)),ISNUMBER(SEARCH("fortitude",$R136)),ISNUMBER(SEARCH("fortitude",$S136)),
ISNUMBER(SEARCH("resolve",$D136)),ISNUMBER(SEARCH("resolve",$T136)),ISNUMBER(SEARCH("resolve",$R136)),ISNUMBER(SEARCH("resolve",$S136)),
ISNUMBER(SEARCH("stamina",$D136)),ISNUMBER(SEARCH("stamina",$T136)),ISNUMBER(SEARCH("stamina",$R136)),ISNUMBER(SEARCH("stamina",$S136)),
ISNUMBER(SEARCH("guts",$D136)),ISNUMBER(SEARCH("guts",$T136)),ISNUMBER(SEARCH("guts",$R136)),ISNUMBER(SEARCH("guts",$S136)),
ISNUMBER(SEARCH("spunk",$D136)),ISNUMBER(SEARCH("spunk",$T136)),ISNUMBER(SEARCH("spunk",$R136)),ISNUMBER(SEARCH("spunk",$S136))), 1, 0)</f>
        <v>1</v>
      </c>
      <c r="BW136" s="5">
        <f t="shared" si="620"/>
        <v>1</v>
      </c>
      <c r="BX136" s="5">
        <f t="shared" si="29"/>
        <v>0</v>
      </c>
      <c r="BY136" s="5">
        <f t="shared" si="30"/>
        <v>0</v>
      </c>
      <c r="BZ136" s="5">
        <f t="shared" si="31"/>
        <v>0</v>
      </c>
      <c r="CA136" s="5">
        <f t="shared" si="32"/>
        <v>0</v>
      </c>
      <c r="CB136" s="5">
        <f t="shared" si="33"/>
        <v>0</v>
      </c>
      <c r="CC136" s="5">
        <f t="shared" si="34"/>
        <v>0</v>
      </c>
      <c r="CD136" s="5">
        <f t="shared" si="35"/>
        <v>0</v>
      </c>
      <c r="CE136" s="5">
        <f t="shared" si="36"/>
        <v>0</v>
      </c>
      <c r="CF136" s="5">
        <f t="shared" si="37"/>
        <v>0</v>
      </c>
      <c r="CG136" s="5">
        <f t="shared" si="38"/>
        <v>0</v>
      </c>
      <c r="CH136" s="5">
        <f t="shared" si="39"/>
        <v>0</v>
      </c>
      <c r="CI136" s="5">
        <f t="shared" si="40"/>
        <v>0</v>
      </c>
      <c r="CJ136" s="5">
        <f t="shared" si="41"/>
        <v>0</v>
      </c>
      <c r="CK136" s="5">
        <f t="shared" si="42"/>
        <v>0</v>
      </c>
      <c r="CL136" s="5">
        <f t="shared" si="43"/>
        <v>0</v>
      </c>
      <c r="CM136" s="5">
        <f t="shared" si="44"/>
        <v>0</v>
      </c>
      <c r="CN136" s="5">
        <f t="shared" si="45"/>
        <v>0</v>
      </c>
      <c r="CO136" s="5">
        <f t="shared" si="46"/>
        <v>0</v>
      </c>
      <c r="CP136" s="6">
        <f t="shared" si="47"/>
        <v>0</v>
      </c>
      <c r="CQ136" s="6">
        <f t="shared" si="48"/>
        <v>0</v>
      </c>
      <c r="CR136" s="6">
        <f t="shared" si="49"/>
        <v>0</v>
      </c>
      <c r="CS136" s="6">
        <f t="shared" si="50"/>
        <v>0</v>
      </c>
      <c r="CT136" s="6">
        <f t="shared" si="584"/>
        <v>0</v>
      </c>
      <c r="CU136" s="6">
        <f t="shared" si="52"/>
        <v>0</v>
      </c>
      <c r="CV136" s="6">
        <f t="shared" si="53"/>
        <v>0</v>
      </c>
      <c r="CW136" s="6">
        <f t="shared" si="54"/>
        <v>0</v>
      </c>
      <c r="CX136" s="6">
        <f t="shared" si="55"/>
        <v>0</v>
      </c>
      <c r="CY136" s="6">
        <f t="shared" si="56"/>
        <v>0</v>
      </c>
      <c r="CZ136" s="6">
        <f t="shared" si="57"/>
        <v>0</v>
      </c>
      <c r="DA136" s="6">
        <f t="shared" si="58"/>
        <v>0</v>
      </c>
      <c r="DB136" s="6">
        <f t="shared" si="59"/>
        <v>0</v>
      </c>
      <c r="DC136" s="6">
        <f t="shared" si="60"/>
        <v>0</v>
      </c>
      <c r="DD136" s="6">
        <f t="shared" si="61"/>
        <v>0</v>
      </c>
      <c r="DE136" s="6">
        <f t="shared" si="62"/>
        <v>0</v>
      </c>
      <c r="DF136" s="6">
        <f t="shared" si="63"/>
        <v>0</v>
      </c>
      <c r="DG136" s="6">
        <f t="shared" si="64"/>
        <v>0</v>
      </c>
      <c r="DH136" s="6">
        <f t="shared" si="579"/>
        <v>0</v>
      </c>
      <c r="DI136" s="6">
        <f t="shared" si="66"/>
        <v>0</v>
      </c>
      <c r="DJ136" s="6">
        <f t="shared" si="574"/>
        <v>0</v>
      </c>
      <c r="DK136" s="7">
        <f t="shared" si="68"/>
        <v>0</v>
      </c>
      <c r="DL136" s="7">
        <f t="shared" si="498"/>
        <v>0</v>
      </c>
      <c r="DM136" s="7">
        <f t="shared" si="70"/>
        <v>0</v>
      </c>
      <c r="DN136" s="7">
        <f t="shared" si="71"/>
        <v>0</v>
      </c>
      <c r="DO136" s="7">
        <f t="shared" si="72"/>
        <v>1</v>
      </c>
      <c r="DP136" s="8">
        <f t="shared" si="73"/>
        <v>0</v>
      </c>
      <c r="DQ136" s="8">
        <f t="shared" si="74"/>
        <v>1</v>
      </c>
      <c r="DR136" s="7">
        <f t="shared" si="75"/>
        <v>0</v>
      </c>
      <c r="DS136" s="7">
        <f t="shared" si="76"/>
        <v>0</v>
      </c>
      <c r="DT136" s="7">
        <f t="shared" si="77"/>
        <v>0</v>
      </c>
      <c r="DU136" s="9">
        <f t="shared" si="78"/>
        <v>0</v>
      </c>
      <c r="DV136" s="9">
        <f t="shared" si="79"/>
        <v>0</v>
      </c>
      <c r="DW136" s="9">
        <f t="shared" si="80"/>
        <v>0</v>
      </c>
      <c r="DX136" s="9">
        <f t="shared" si="81"/>
        <v>0</v>
      </c>
      <c r="DY136" s="9">
        <f t="shared" si="82"/>
        <v>0</v>
      </c>
      <c r="DZ136" s="9">
        <f t="shared" si="83"/>
        <v>0</v>
      </c>
      <c r="EA136" s="9">
        <f t="shared" si="84"/>
        <v>0</v>
      </c>
      <c r="EB136" s="9">
        <f t="shared" si="85"/>
        <v>0</v>
      </c>
      <c r="EC136" s="9">
        <f t="shared" si="86"/>
        <v>0</v>
      </c>
      <c r="ED136" s="9">
        <f t="shared" si="87"/>
        <v>0</v>
      </c>
      <c r="EE136" s="9">
        <f t="shared" si="88"/>
        <v>0</v>
      </c>
      <c r="EF136" s="9">
        <f t="shared" si="89"/>
        <v>0</v>
      </c>
      <c r="EG136" s="9">
        <f t="shared" si="90"/>
        <v>0</v>
      </c>
      <c r="EH136" s="9">
        <f t="shared" si="91"/>
        <v>0</v>
      </c>
      <c r="EI136" s="9">
        <f t="shared" si="92"/>
        <v>0</v>
      </c>
      <c r="EJ136" s="10">
        <f t="shared" si="93"/>
        <v>0</v>
      </c>
      <c r="EK136" s="10">
        <f t="shared" si="94"/>
        <v>0</v>
      </c>
      <c r="EL136" s="10">
        <f t="shared" ref="EL136:EM136" si="621">IF(OR(ISNUMBER(SEARCH("ai software toolkit", $D136)), ISNUMBER(SEARCH("ai software toolkit", $T136)), ISNUMBER(SEARCH("ai software toolkit", $R136)), ISNUMBER(SEARCH("ai software toolkit", $S136))), 1, 0)</f>
        <v>0</v>
      </c>
      <c r="EM136" s="10">
        <f t="shared" si="621"/>
        <v>0</v>
      </c>
      <c r="EN136" s="10">
        <f t="shared" si="96"/>
        <v>0</v>
      </c>
      <c r="EO136" s="10">
        <f t="shared" si="97"/>
        <v>0</v>
      </c>
      <c r="EP136" s="10">
        <f t="shared" si="98"/>
        <v>0</v>
      </c>
      <c r="EQ136" s="10">
        <f t="shared" si="99"/>
        <v>0</v>
      </c>
      <c r="ER136" s="10">
        <f t="shared" si="100"/>
        <v>0</v>
      </c>
      <c r="ES136" s="10">
        <f t="shared" si="101"/>
        <v>0</v>
      </c>
      <c r="ET136" s="10">
        <f t="shared" si="102"/>
        <v>0</v>
      </c>
      <c r="EU136" s="10">
        <f t="shared" si="103"/>
        <v>0</v>
      </c>
      <c r="EV136" s="10">
        <f t="shared" si="104"/>
        <v>0</v>
      </c>
      <c r="EW136" s="10">
        <f t="shared" si="105"/>
        <v>0</v>
      </c>
      <c r="EX136" s="10">
        <f t="shared" si="106"/>
        <v>0</v>
      </c>
      <c r="EY136" s="10">
        <f t="shared" si="107"/>
        <v>0</v>
      </c>
      <c r="EZ136" s="10">
        <f t="shared" si="108"/>
        <v>0</v>
      </c>
      <c r="FA136" s="10">
        <f t="shared" si="109"/>
        <v>0</v>
      </c>
      <c r="FB136" s="10">
        <f t="shared" si="110"/>
        <v>0</v>
      </c>
      <c r="FC136" s="10">
        <f t="shared" si="111"/>
        <v>0</v>
      </c>
      <c r="FD136" s="10">
        <f t="shared" si="112"/>
        <v>0</v>
      </c>
      <c r="FE136" s="10">
        <f t="shared" si="113"/>
        <v>0</v>
      </c>
      <c r="FF136" s="10">
        <f t="shared" si="114"/>
        <v>0</v>
      </c>
      <c r="FG136" s="10">
        <f t="shared" si="115"/>
        <v>0</v>
      </c>
      <c r="FH136" s="10">
        <f t="shared" si="116"/>
        <v>0</v>
      </c>
      <c r="FI136" s="10">
        <f t="shared" si="117"/>
        <v>0</v>
      </c>
      <c r="FJ136" s="10">
        <f t="shared" si="118"/>
        <v>0</v>
      </c>
      <c r="FK136" s="10">
        <f t="shared" si="119"/>
        <v>0</v>
      </c>
      <c r="FL136" s="10">
        <f t="shared" si="120"/>
        <v>0</v>
      </c>
      <c r="FM136" s="10">
        <f t="shared" si="121"/>
        <v>0</v>
      </c>
      <c r="FN136" s="10">
        <f t="shared" si="122"/>
        <v>0</v>
      </c>
      <c r="FO136" s="10">
        <f t="shared" si="123"/>
        <v>0</v>
      </c>
      <c r="FP136" s="10">
        <f t="shared" si="124"/>
        <v>0</v>
      </c>
      <c r="FQ136" s="10">
        <f t="shared" si="125"/>
        <v>0</v>
      </c>
      <c r="FR136" s="11">
        <f t="shared" si="611"/>
        <v>0</v>
      </c>
      <c r="FS136" s="11">
        <f t="shared" si="127"/>
        <v>0</v>
      </c>
      <c r="FT136" s="11">
        <f t="shared" si="128"/>
        <v>0</v>
      </c>
      <c r="FU136" s="11">
        <f t="shared" si="129"/>
        <v>0</v>
      </c>
      <c r="FV136" s="11">
        <f t="shared" si="130"/>
        <v>0</v>
      </c>
      <c r="FW136" s="11">
        <f t="shared" si="131"/>
        <v>0</v>
      </c>
      <c r="FX136" s="11">
        <f t="shared" si="132"/>
        <v>0</v>
      </c>
      <c r="FY136" s="11">
        <f t="shared" si="133"/>
        <v>0</v>
      </c>
      <c r="FZ136" s="11">
        <f t="shared" si="134"/>
        <v>0</v>
      </c>
      <c r="GA136" s="11">
        <f t="shared" si="135"/>
        <v>0</v>
      </c>
      <c r="GB136" s="11">
        <f t="shared" si="136"/>
        <v>0</v>
      </c>
      <c r="GC136" s="11">
        <f t="shared" si="137"/>
        <v>0</v>
      </c>
      <c r="GD136" s="11">
        <f t="shared" si="138"/>
        <v>0</v>
      </c>
      <c r="GE136" s="11">
        <f t="shared" si="139"/>
        <v>0</v>
      </c>
      <c r="GF136" s="11">
        <f t="shared" si="140"/>
        <v>0</v>
      </c>
      <c r="GG136" s="11">
        <f t="shared" si="141"/>
        <v>0</v>
      </c>
      <c r="GH136" s="11">
        <f t="shared" si="142"/>
        <v>0</v>
      </c>
      <c r="GI136" s="11">
        <f t="shared" si="143"/>
        <v>0</v>
      </c>
      <c r="GJ136" s="11">
        <f t="shared" si="144"/>
        <v>0</v>
      </c>
      <c r="GK136" s="11">
        <f t="shared" si="145"/>
        <v>0</v>
      </c>
      <c r="GL136" s="11">
        <f t="shared" si="146"/>
        <v>0</v>
      </c>
      <c r="GM136" s="11">
        <f t="shared" si="147"/>
        <v>0</v>
      </c>
      <c r="GN136" s="11">
        <f t="shared" si="148"/>
        <v>0</v>
      </c>
      <c r="GO136" s="11">
        <f t="shared" si="149"/>
        <v>0</v>
      </c>
      <c r="GP136" s="11">
        <f t="shared" si="150"/>
        <v>0</v>
      </c>
      <c r="GQ136" s="11">
        <f t="shared" si="151"/>
        <v>0</v>
      </c>
      <c r="GR136" s="11">
        <f t="shared" si="152"/>
        <v>0</v>
      </c>
      <c r="GS136" s="11">
        <f t="shared" si="153"/>
        <v>0</v>
      </c>
      <c r="GT136" s="11">
        <f t="shared" si="154"/>
        <v>0</v>
      </c>
      <c r="GU136" s="12">
        <f t="shared" si="155"/>
        <v>0</v>
      </c>
      <c r="GV136" s="12">
        <f t="shared" si="156"/>
        <v>0</v>
      </c>
      <c r="GW136" s="12">
        <f t="shared" si="157"/>
        <v>0</v>
      </c>
      <c r="GX136" s="12">
        <f t="shared" si="158"/>
        <v>0</v>
      </c>
      <c r="GY136" s="12">
        <f t="shared" si="159"/>
        <v>0</v>
      </c>
      <c r="GZ136" s="12">
        <f t="shared" si="160"/>
        <v>0</v>
      </c>
      <c r="HA136" s="12">
        <f t="shared" si="161"/>
        <v>0</v>
      </c>
      <c r="HB136" s="12">
        <f t="shared" si="162"/>
        <v>0</v>
      </c>
      <c r="HC136" s="12">
        <f t="shared" si="163"/>
        <v>0</v>
      </c>
      <c r="HD136" s="12">
        <f t="shared" si="164"/>
        <v>0</v>
      </c>
      <c r="HE136" s="12">
        <f t="shared" si="165"/>
        <v>0</v>
      </c>
      <c r="HF136" s="12">
        <f t="shared" si="166"/>
        <v>0</v>
      </c>
      <c r="HG136" s="12">
        <f t="shared" si="167"/>
        <v>0</v>
      </c>
      <c r="HH136" s="12">
        <f t="shared" si="168"/>
        <v>0</v>
      </c>
      <c r="HI136" s="12">
        <f t="shared" si="169"/>
        <v>0</v>
      </c>
      <c r="HJ136" s="12">
        <f t="shared" si="170"/>
        <v>0</v>
      </c>
      <c r="HK136" s="12">
        <f t="shared" si="171"/>
        <v>0</v>
      </c>
      <c r="HL136" s="12">
        <f t="shared" si="172"/>
        <v>0</v>
      </c>
      <c r="HM136" s="12">
        <f t="shared" si="173"/>
        <v>0</v>
      </c>
      <c r="HN136" s="12">
        <f t="shared" si="174"/>
        <v>0</v>
      </c>
      <c r="HO136" s="12">
        <f t="shared" si="175"/>
        <v>0</v>
      </c>
      <c r="HP136" s="12">
        <f t="shared" si="176"/>
        <v>0</v>
      </c>
      <c r="HQ136" s="12">
        <f t="shared" si="177"/>
        <v>0</v>
      </c>
      <c r="HR136" s="12">
        <f t="shared" si="178"/>
        <v>0</v>
      </c>
      <c r="HS136" s="12">
        <f t="shared" si="179"/>
        <v>0</v>
      </c>
      <c r="HT136" s="12">
        <f t="shared" si="180"/>
        <v>0</v>
      </c>
      <c r="HU136" s="12">
        <f t="shared" si="181"/>
        <v>0</v>
      </c>
      <c r="HV136" s="12">
        <f t="shared" si="182"/>
        <v>0</v>
      </c>
      <c r="HW136" s="12">
        <f t="shared" si="183"/>
        <v>0</v>
      </c>
      <c r="HX136" s="12">
        <f t="shared" si="184"/>
        <v>0</v>
      </c>
      <c r="HY136" s="12">
        <f t="shared" si="185"/>
        <v>0</v>
      </c>
      <c r="HZ136" s="12">
        <f t="shared" si="186"/>
        <v>0</v>
      </c>
      <c r="IA136" s="12">
        <f t="shared" si="187"/>
        <v>0</v>
      </c>
      <c r="IB136" s="12">
        <f t="shared" si="188"/>
        <v>0</v>
      </c>
      <c r="IC136" s="12">
        <f t="shared" si="189"/>
        <v>0</v>
      </c>
      <c r="ID136" s="12">
        <f t="shared" si="190"/>
        <v>0</v>
      </c>
      <c r="IE136" s="12">
        <f t="shared" si="191"/>
        <v>0</v>
      </c>
      <c r="IF136" s="12">
        <f t="shared" si="192"/>
        <v>0</v>
      </c>
      <c r="IG136" s="12">
        <f t="shared" si="193"/>
        <v>0</v>
      </c>
      <c r="IH136" s="12">
        <f t="shared" si="194"/>
        <v>0</v>
      </c>
      <c r="II136" s="12">
        <f t="shared" si="195"/>
        <v>0</v>
      </c>
      <c r="IJ136" s="12">
        <f t="shared" si="196"/>
        <v>0</v>
      </c>
      <c r="IK136" s="12">
        <f t="shared" si="197"/>
        <v>0</v>
      </c>
      <c r="IL136" s="12">
        <f t="shared" si="198"/>
        <v>0</v>
      </c>
      <c r="IM136" s="12">
        <f t="shared" si="199"/>
        <v>0</v>
      </c>
      <c r="IN136" s="12">
        <f t="shared" si="200"/>
        <v>0</v>
      </c>
      <c r="IO136" s="12">
        <f t="shared" si="201"/>
        <v>0</v>
      </c>
      <c r="IP136" s="12">
        <f t="shared" si="202"/>
        <v>0</v>
      </c>
      <c r="IQ136" s="12">
        <f t="shared" si="203"/>
        <v>0</v>
      </c>
      <c r="IR136" s="12">
        <f t="shared" si="204"/>
        <v>0</v>
      </c>
      <c r="IS136" s="12">
        <f t="shared" si="205"/>
        <v>0</v>
      </c>
      <c r="IT136" s="12">
        <f t="shared" si="206"/>
        <v>0</v>
      </c>
      <c r="IU136" s="12">
        <f t="shared" si="207"/>
        <v>0</v>
      </c>
      <c r="IV136" s="12">
        <f t="shared" si="208"/>
        <v>0</v>
      </c>
      <c r="IW136" s="12">
        <f t="shared" si="209"/>
        <v>0</v>
      </c>
      <c r="IX136" s="12">
        <f t="shared" si="210"/>
        <v>0</v>
      </c>
      <c r="IY136" s="12">
        <f t="shared" si="211"/>
        <v>0</v>
      </c>
      <c r="IZ136" s="12">
        <f t="shared" si="212"/>
        <v>1</v>
      </c>
      <c r="JA136" s="13">
        <f t="shared" si="213"/>
        <v>0</v>
      </c>
      <c r="JB136" s="13">
        <f t="shared" si="214"/>
        <v>0</v>
      </c>
      <c r="JC136" s="13">
        <f t="shared" si="215"/>
        <v>0</v>
      </c>
      <c r="JD136" s="13">
        <f t="shared" si="216"/>
        <v>0</v>
      </c>
      <c r="JE136" s="13">
        <f t="shared" si="217"/>
        <v>0</v>
      </c>
      <c r="JF136" s="13">
        <f t="shared" si="218"/>
        <v>0</v>
      </c>
      <c r="JG136" s="13">
        <f t="shared" si="219"/>
        <v>0</v>
      </c>
      <c r="JH136" s="13">
        <f t="shared" si="220"/>
        <v>0</v>
      </c>
      <c r="JI136" s="13">
        <f t="shared" si="221"/>
        <v>0</v>
      </c>
      <c r="JJ136" s="13">
        <f t="shared" si="222"/>
        <v>0</v>
      </c>
      <c r="JK136" s="13">
        <f t="shared" si="223"/>
        <v>0</v>
      </c>
      <c r="JL136" s="13">
        <f t="shared" si="224"/>
        <v>0</v>
      </c>
      <c r="JM136" s="13">
        <f t="shared" si="225"/>
        <v>0</v>
      </c>
      <c r="JN136" s="13">
        <f t="shared" si="226"/>
        <v>0</v>
      </c>
      <c r="JO136" s="13">
        <f t="shared" si="227"/>
        <v>0</v>
      </c>
      <c r="JP136" s="13">
        <f t="shared" si="228"/>
        <v>0</v>
      </c>
      <c r="JQ136" s="13">
        <f t="shared" si="229"/>
        <v>0</v>
      </c>
      <c r="JR136" s="13">
        <f t="shared" si="230"/>
        <v>0</v>
      </c>
      <c r="JS136" s="13">
        <f t="shared" si="231"/>
        <v>0</v>
      </c>
      <c r="JT136" s="13">
        <f t="shared" si="232"/>
        <v>0</v>
      </c>
      <c r="JU136" s="13">
        <f t="shared" si="233"/>
        <v>0</v>
      </c>
      <c r="JV136" s="12">
        <f t="shared" si="234"/>
        <v>0</v>
      </c>
      <c r="JW136" s="12">
        <f t="shared" si="235"/>
        <v>0</v>
      </c>
      <c r="JX136" s="12">
        <f t="shared" si="236"/>
        <v>0</v>
      </c>
      <c r="JY136" s="12">
        <f t="shared" si="237"/>
        <v>0</v>
      </c>
      <c r="JZ136" s="12">
        <f t="shared" si="238"/>
        <v>0</v>
      </c>
      <c r="KA136" s="12">
        <f t="shared" si="239"/>
        <v>0</v>
      </c>
      <c r="KB136" s="12">
        <f t="shared" si="240"/>
        <v>0</v>
      </c>
      <c r="KC136" s="12">
        <f t="shared" si="241"/>
        <v>0</v>
      </c>
      <c r="KD136" s="12">
        <f t="shared" si="242"/>
        <v>0</v>
      </c>
      <c r="KE136" s="12">
        <f t="shared" si="243"/>
        <v>0</v>
      </c>
      <c r="KF136" s="12">
        <f t="shared" si="244"/>
        <v>0</v>
      </c>
      <c r="KG136" s="12">
        <f t="shared" si="245"/>
        <v>0</v>
      </c>
      <c r="KH136" s="12">
        <f t="shared" si="246"/>
        <v>0</v>
      </c>
      <c r="KI136" s="12">
        <f t="shared" si="247"/>
        <v>0</v>
      </c>
      <c r="KJ136" s="12">
        <f t="shared" si="248"/>
        <v>0</v>
      </c>
      <c r="KK136" s="12">
        <f t="shared" si="249"/>
        <v>0</v>
      </c>
      <c r="KL136" s="12">
        <f t="shared" si="250"/>
        <v>0</v>
      </c>
      <c r="KM136" s="12">
        <f t="shared" si="251"/>
        <v>0</v>
      </c>
      <c r="KN136" s="12">
        <f t="shared" si="252"/>
        <v>0</v>
      </c>
      <c r="KO136" s="12">
        <f t="shared" si="253"/>
        <v>0</v>
      </c>
      <c r="KP136" s="12">
        <f t="shared" si="254"/>
        <v>0</v>
      </c>
      <c r="KQ136" s="12">
        <f t="shared" si="255"/>
        <v>0</v>
      </c>
      <c r="KR136" s="12">
        <f t="shared" si="256"/>
        <v>0</v>
      </c>
      <c r="KS136" s="12">
        <f t="shared" si="257"/>
        <v>0</v>
      </c>
      <c r="KT136" s="12">
        <f t="shared" si="258"/>
        <v>0</v>
      </c>
      <c r="KU136" s="12">
        <f t="shared" si="259"/>
        <v>0</v>
      </c>
      <c r="KV136" s="12">
        <f t="shared" si="260"/>
        <v>0</v>
      </c>
      <c r="KW136" s="12">
        <f t="shared" si="261"/>
        <v>0</v>
      </c>
      <c r="KX136" s="12">
        <f t="shared" si="262"/>
        <v>0</v>
      </c>
      <c r="KY136" s="12">
        <f t="shared" si="263"/>
        <v>0</v>
      </c>
      <c r="KZ136" s="12">
        <f t="shared" si="264"/>
        <v>0</v>
      </c>
      <c r="LA136" s="12">
        <f t="shared" si="265"/>
        <v>0</v>
      </c>
      <c r="LB136" s="12">
        <f t="shared" si="266"/>
        <v>0</v>
      </c>
      <c r="LC136" s="12">
        <f t="shared" si="267"/>
        <v>0</v>
      </c>
      <c r="LD136" s="12">
        <f t="shared" si="268"/>
        <v>0</v>
      </c>
      <c r="LE136" s="12">
        <f t="shared" si="269"/>
        <v>0</v>
      </c>
      <c r="LF136" s="12">
        <f t="shared" si="270"/>
        <v>0</v>
      </c>
      <c r="LG136" s="12">
        <f t="shared" si="271"/>
        <v>0</v>
      </c>
      <c r="LH136" s="12">
        <f t="shared" si="272"/>
        <v>0</v>
      </c>
      <c r="LI136" s="12">
        <f t="shared" si="273"/>
        <v>0</v>
      </c>
      <c r="LJ136" s="12">
        <f t="shared" si="274"/>
        <v>0</v>
      </c>
      <c r="LK136" s="12">
        <f t="shared" si="275"/>
        <v>0</v>
      </c>
      <c r="LL136" s="12">
        <f t="shared" si="276"/>
        <v>0</v>
      </c>
      <c r="LM136" s="12">
        <f t="shared" si="277"/>
        <v>0</v>
      </c>
      <c r="LN136" s="12">
        <f t="shared" si="278"/>
        <v>0</v>
      </c>
      <c r="LO136" s="12">
        <f t="shared" si="279"/>
        <v>0</v>
      </c>
      <c r="LP136" s="12">
        <f t="shared" si="280"/>
        <v>0</v>
      </c>
      <c r="LQ136" s="12">
        <f t="shared" si="281"/>
        <v>0</v>
      </c>
      <c r="LR136" s="12">
        <f t="shared" si="282"/>
        <v>0</v>
      </c>
      <c r="LS136" s="12">
        <f t="shared" si="283"/>
        <v>0</v>
      </c>
      <c r="LT136" s="13">
        <f t="shared" si="284"/>
        <v>0</v>
      </c>
      <c r="LU136" s="13">
        <f t="shared" si="285"/>
        <v>0</v>
      </c>
      <c r="LV136" s="13">
        <f t="shared" si="286"/>
        <v>0</v>
      </c>
      <c r="LW136" s="13">
        <f t="shared" si="287"/>
        <v>0</v>
      </c>
      <c r="LX136" s="13">
        <f t="shared" si="288"/>
        <v>0</v>
      </c>
      <c r="LY136" s="13">
        <f t="shared" si="289"/>
        <v>0</v>
      </c>
      <c r="LZ136" s="13">
        <f t="shared" si="290"/>
        <v>0</v>
      </c>
      <c r="MA136" s="13">
        <f t="shared" si="291"/>
        <v>0</v>
      </c>
      <c r="MB136" s="13">
        <f t="shared" si="292"/>
        <v>0</v>
      </c>
      <c r="MC136" s="13">
        <f t="shared" si="293"/>
        <v>0</v>
      </c>
      <c r="MD136" s="13">
        <f t="shared" si="294"/>
        <v>0</v>
      </c>
      <c r="ME136" s="13">
        <f t="shared" si="295"/>
        <v>0</v>
      </c>
      <c r="MF136" s="13">
        <f t="shared" si="296"/>
        <v>0</v>
      </c>
      <c r="MG136" s="13">
        <f t="shared" si="297"/>
        <v>0</v>
      </c>
      <c r="MH136" s="13">
        <f t="shared" si="298"/>
        <v>0</v>
      </c>
      <c r="MI136" s="13">
        <f t="shared" si="299"/>
        <v>0</v>
      </c>
      <c r="MJ136" s="13">
        <f t="shared" si="300"/>
        <v>0</v>
      </c>
      <c r="MK136" s="13">
        <f t="shared" si="301"/>
        <v>0</v>
      </c>
      <c r="ML136" s="14">
        <f t="shared" si="302"/>
        <v>0</v>
      </c>
      <c r="MM136" s="14">
        <f t="shared" si="303"/>
        <v>0</v>
      </c>
      <c r="MN136" s="14">
        <f t="shared" si="304"/>
        <v>0</v>
      </c>
      <c r="MO136" s="14">
        <f t="shared" si="305"/>
        <v>0</v>
      </c>
      <c r="MP136" s="14">
        <f t="shared" si="306"/>
        <v>0</v>
      </c>
      <c r="MQ136" s="14">
        <f t="shared" si="307"/>
        <v>0</v>
      </c>
      <c r="MR136" s="14">
        <f t="shared" si="308"/>
        <v>0</v>
      </c>
      <c r="MS136" s="14">
        <f t="shared" si="309"/>
        <v>0</v>
      </c>
      <c r="MT136" s="14">
        <f t="shared" si="310"/>
        <v>0</v>
      </c>
      <c r="MU136" s="14">
        <f t="shared" si="311"/>
        <v>0</v>
      </c>
      <c r="MV136" s="14">
        <f t="shared" si="312"/>
        <v>0</v>
      </c>
      <c r="MW136" s="14">
        <f t="shared" si="313"/>
        <v>0</v>
      </c>
      <c r="MX136" s="14">
        <f t="shared" si="314"/>
        <v>0</v>
      </c>
      <c r="MY136" s="14">
        <f t="shared" si="315"/>
        <v>0</v>
      </c>
      <c r="MZ136" s="14">
        <f t="shared" si="316"/>
        <v>0</v>
      </c>
      <c r="NA136" s="14">
        <f t="shared" si="317"/>
        <v>0</v>
      </c>
      <c r="NB136" s="14">
        <f t="shared" si="318"/>
        <v>0</v>
      </c>
    </row>
    <row r="137" ht="15.75" customHeight="1">
      <c r="A137" s="2">
        <v>252.0</v>
      </c>
      <c r="B137" s="2" t="s">
        <v>2686</v>
      </c>
      <c r="C137" s="2" t="s">
        <v>2687</v>
      </c>
      <c r="D137" s="2" t="s">
        <v>2688</v>
      </c>
      <c r="E137" s="2">
        <v>2019.0</v>
      </c>
      <c r="F137" s="2" t="s">
        <v>709</v>
      </c>
      <c r="G137" s="2" t="s">
        <v>2689</v>
      </c>
      <c r="H137" s="2" t="s">
        <v>472</v>
      </c>
      <c r="J137" s="2" t="s">
        <v>2690</v>
      </c>
      <c r="K137" s="2" t="s">
        <v>2691</v>
      </c>
      <c r="M137" s="2">
        <v>4.0</v>
      </c>
      <c r="N137" s="2" t="s">
        <v>2692</v>
      </c>
      <c r="O137" s="2" t="s">
        <v>2693</v>
      </c>
      <c r="P137" s="2" t="s">
        <v>2694</v>
      </c>
      <c r="Q137" s="2" t="s">
        <v>2695</v>
      </c>
      <c r="R137" s="2" t="s">
        <v>2696</v>
      </c>
      <c r="S137" s="2" t="s">
        <v>2697</v>
      </c>
      <c r="T137" s="2" t="s">
        <v>2698</v>
      </c>
      <c r="Y137" s="2" t="s">
        <v>2699</v>
      </c>
      <c r="AB137" s="2" t="s">
        <v>971</v>
      </c>
      <c r="AG137" s="2" t="s">
        <v>721</v>
      </c>
      <c r="AJ137" s="2">
        <v>3.1916582E7</v>
      </c>
      <c r="AK137" s="2" t="s">
        <v>722</v>
      </c>
      <c r="AL137" s="2" t="s">
        <v>384</v>
      </c>
      <c r="AM137" s="2" t="s">
        <v>484</v>
      </c>
      <c r="AN137" s="2" t="s">
        <v>386</v>
      </c>
      <c r="AO137" s="2" t="s">
        <v>2700</v>
      </c>
      <c r="AP137" s="2" t="s">
        <v>386</v>
      </c>
      <c r="AQ137" s="2">
        <v>1036.0</v>
      </c>
      <c r="AR137" s="2" t="s">
        <v>2688</v>
      </c>
      <c r="AS137" s="2" t="b">
        <v>1</v>
      </c>
      <c r="AT137" s="3">
        <v>0.0</v>
      </c>
      <c r="AU137" s="4"/>
      <c r="AV137" s="4"/>
      <c r="AW137" s="5">
        <f t="shared" si="432"/>
        <v>0</v>
      </c>
      <c r="AX137" s="5">
        <f t="shared" si="4"/>
        <v>0</v>
      </c>
      <c r="AY137" s="5">
        <f t="shared" si="5"/>
        <v>0</v>
      </c>
      <c r="AZ137" s="5">
        <f t="shared" si="6"/>
        <v>0</v>
      </c>
      <c r="BA137" s="5">
        <f t="shared" si="7"/>
        <v>0</v>
      </c>
      <c r="BB137" s="5">
        <f t="shared" si="8"/>
        <v>0</v>
      </c>
      <c r="BC137" s="5">
        <f t="shared" si="9"/>
        <v>0</v>
      </c>
      <c r="BD137" s="5">
        <f t="shared" si="10"/>
        <v>0</v>
      </c>
      <c r="BE137" s="5">
        <f t="shared" si="11"/>
        <v>0</v>
      </c>
      <c r="BF137" s="5">
        <f t="shared" si="12"/>
        <v>0</v>
      </c>
      <c r="BG137" s="5">
        <f t="shared" si="13"/>
        <v>0</v>
      </c>
      <c r="BH137" s="5">
        <f t="shared" si="14"/>
        <v>0</v>
      </c>
      <c r="BI137" s="5">
        <f t="shared" si="15"/>
        <v>0</v>
      </c>
      <c r="BJ137" s="5">
        <f t="shared" si="16"/>
        <v>0</v>
      </c>
      <c r="BK137" s="5">
        <f t="shared" si="17"/>
        <v>0</v>
      </c>
      <c r="BL137" s="5">
        <f t="shared" si="18"/>
        <v>0</v>
      </c>
      <c r="BM137" s="5">
        <f t="shared" si="19"/>
        <v>0</v>
      </c>
      <c r="BN137" s="5">
        <f t="shared" si="20"/>
        <v>0</v>
      </c>
      <c r="BO137" s="5">
        <f t="shared" si="21"/>
        <v>0</v>
      </c>
      <c r="BP137" s="5">
        <f t="shared" si="22"/>
        <v>0</v>
      </c>
      <c r="BQ137" s="5">
        <f t="shared" si="23"/>
        <v>0</v>
      </c>
      <c r="BR137" s="5">
        <f t="shared" si="24"/>
        <v>0</v>
      </c>
      <c r="BS137" s="5">
        <f t="shared" si="25"/>
        <v>0</v>
      </c>
      <c r="BT137" s="5">
        <f t="shared" si="26"/>
        <v>0</v>
      </c>
      <c r="BU137" s="5">
        <f t="shared" si="27"/>
        <v>1</v>
      </c>
      <c r="BV137" s="5">
        <f t="shared" ref="BV137:BW137" si="622">IF(OR(ISNUMBER(SEARCH("grit",$D137)),ISNUMBER(SEARCH("grit",$T137)),ISNUMBER(SEARCH("grit",$R137)),ISNUMBER(SEARCH("grit",$S137)),
ISNUMBER(SEARCH("determination",$D137)),ISNUMBER(SEARCH("determination",$T137)),ISNUMBER(SEARCH("determination",$R137)),ISNUMBER(SEARCH("determination",$S137)),
ISNUMBER(SEARCH("tenacity",$D137)),ISNUMBER(SEARCH("tenacity",$T137)),ISNUMBER(SEARCH("tenacity",$R137)),ISNUMBER(SEARCH("tenacity",$S137)),
ISNUMBER(SEARCH("endurance",$D137)),ISNUMBER(SEARCH("endurance",$T137)),ISNUMBER(SEARCH("endurance",$R137)),ISNUMBER(SEARCH("endurance",$S137)),
ISNUMBER(SEARCH("fortitude",$D137)),ISNUMBER(SEARCH("fortitude",$T137)),ISNUMBER(SEARCH("fortitude",$R137)),ISNUMBER(SEARCH("fortitude",$S137)),
ISNUMBER(SEARCH("resolve",$D137)),ISNUMBER(SEARCH("resolve",$T137)),ISNUMBER(SEARCH("resolve",$R137)),ISNUMBER(SEARCH("resolve",$S137)),
ISNUMBER(SEARCH("stamina",$D137)),ISNUMBER(SEARCH("stamina",$T137)),ISNUMBER(SEARCH("stamina",$R137)),ISNUMBER(SEARCH("stamina",$S137)),
ISNUMBER(SEARCH("guts",$D137)),ISNUMBER(SEARCH("guts",$T137)),ISNUMBER(SEARCH("guts",$R137)),ISNUMBER(SEARCH("guts",$S137)),
ISNUMBER(SEARCH("spunk",$D137)),ISNUMBER(SEARCH("spunk",$T137)),ISNUMBER(SEARCH("spunk",$R137)),ISNUMBER(SEARCH("spunk",$S137))), 1, 0)</f>
        <v>0</v>
      </c>
      <c r="BW137" s="5">
        <f t="shared" si="622"/>
        <v>0</v>
      </c>
      <c r="BX137" s="5">
        <f t="shared" si="29"/>
        <v>1</v>
      </c>
      <c r="BY137" s="5">
        <f t="shared" si="30"/>
        <v>0</v>
      </c>
      <c r="BZ137" s="5">
        <f t="shared" si="31"/>
        <v>1</v>
      </c>
      <c r="CA137" s="5">
        <f t="shared" si="32"/>
        <v>1</v>
      </c>
      <c r="CB137" s="5">
        <f t="shared" si="33"/>
        <v>0</v>
      </c>
      <c r="CC137" s="5">
        <f t="shared" si="34"/>
        <v>0</v>
      </c>
      <c r="CD137" s="5">
        <f t="shared" si="35"/>
        <v>0</v>
      </c>
      <c r="CE137" s="5">
        <f t="shared" si="36"/>
        <v>0</v>
      </c>
      <c r="CF137" s="5">
        <f t="shared" si="37"/>
        <v>0</v>
      </c>
      <c r="CG137" s="5">
        <f t="shared" si="38"/>
        <v>0</v>
      </c>
      <c r="CH137" s="5">
        <f t="shared" si="39"/>
        <v>0</v>
      </c>
      <c r="CI137" s="5">
        <f t="shared" si="40"/>
        <v>0</v>
      </c>
      <c r="CJ137" s="5">
        <f t="shared" si="41"/>
        <v>0</v>
      </c>
      <c r="CK137" s="5">
        <f t="shared" si="42"/>
        <v>0</v>
      </c>
      <c r="CL137" s="5">
        <f t="shared" si="43"/>
        <v>0</v>
      </c>
      <c r="CM137" s="5">
        <f t="shared" si="44"/>
        <v>0</v>
      </c>
      <c r="CN137" s="5">
        <f t="shared" si="45"/>
        <v>0</v>
      </c>
      <c r="CO137" s="5">
        <f t="shared" si="46"/>
        <v>0</v>
      </c>
      <c r="CP137" s="6">
        <f t="shared" si="47"/>
        <v>0</v>
      </c>
      <c r="CQ137" s="6">
        <f t="shared" si="48"/>
        <v>0</v>
      </c>
      <c r="CR137" s="6">
        <f t="shared" si="49"/>
        <v>0</v>
      </c>
      <c r="CS137" s="6">
        <f t="shared" si="50"/>
        <v>0</v>
      </c>
      <c r="CT137" s="6">
        <f t="shared" si="584"/>
        <v>0</v>
      </c>
      <c r="CU137" s="6">
        <f t="shared" si="52"/>
        <v>0</v>
      </c>
      <c r="CV137" s="6">
        <f t="shared" si="53"/>
        <v>0</v>
      </c>
      <c r="CW137" s="6">
        <f t="shared" si="54"/>
        <v>0</v>
      </c>
      <c r="CX137" s="6">
        <f t="shared" si="55"/>
        <v>0</v>
      </c>
      <c r="CY137" s="6">
        <f t="shared" si="56"/>
        <v>0</v>
      </c>
      <c r="CZ137" s="6">
        <f t="shared" si="57"/>
        <v>0</v>
      </c>
      <c r="DA137" s="6">
        <f t="shared" si="58"/>
        <v>0</v>
      </c>
      <c r="DB137" s="6">
        <f t="shared" si="59"/>
        <v>0</v>
      </c>
      <c r="DC137" s="6">
        <f t="shared" si="60"/>
        <v>0</v>
      </c>
      <c r="DD137" s="6">
        <f t="shared" si="61"/>
        <v>0</v>
      </c>
      <c r="DE137" s="6">
        <f t="shared" si="62"/>
        <v>0</v>
      </c>
      <c r="DF137" s="6">
        <f t="shared" si="63"/>
        <v>0</v>
      </c>
      <c r="DG137" s="6">
        <f t="shared" si="64"/>
        <v>0</v>
      </c>
      <c r="DH137" s="6">
        <f t="shared" si="579"/>
        <v>0</v>
      </c>
      <c r="DI137" s="6">
        <f t="shared" si="66"/>
        <v>0</v>
      </c>
      <c r="DJ137" s="6">
        <f t="shared" si="574"/>
        <v>0</v>
      </c>
      <c r="DK137" s="7">
        <f t="shared" si="68"/>
        <v>0</v>
      </c>
      <c r="DL137" s="7">
        <f t="shared" si="498"/>
        <v>0</v>
      </c>
      <c r="DM137" s="7">
        <f t="shared" si="70"/>
        <v>0</v>
      </c>
      <c r="DN137" s="7">
        <f t="shared" si="71"/>
        <v>0</v>
      </c>
      <c r="DO137" s="7">
        <f t="shared" si="72"/>
        <v>1</v>
      </c>
      <c r="DP137" s="8">
        <f t="shared" si="73"/>
        <v>0</v>
      </c>
      <c r="DQ137" s="8">
        <f t="shared" si="74"/>
        <v>1</v>
      </c>
      <c r="DR137" s="7">
        <f t="shared" si="75"/>
        <v>0</v>
      </c>
      <c r="DS137" s="7">
        <f t="shared" si="76"/>
        <v>0</v>
      </c>
      <c r="DT137" s="7">
        <f t="shared" si="77"/>
        <v>0</v>
      </c>
      <c r="DU137" s="9">
        <f t="shared" si="78"/>
        <v>0</v>
      </c>
      <c r="DV137" s="9">
        <f t="shared" si="79"/>
        <v>0</v>
      </c>
      <c r="DW137" s="9">
        <f t="shared" si="80"/>
        <v>0</v>
      </c>
      <c r="DX137" s="9">
        <f t="shared" si="81"/>
        <v>0</v>
      </c>
      <c r="DY137" s="9">
        <f t="shared" si="82"/>
        <v>0</v>
      </c>
      <c r="DZ137" s="9">
        <f t="shared" si="83"/>
        <v>0</v>
      </c>
      <c r="EA137" s="9">
        <f t="shared" si="84"/>
        <v>0</v>
      </c>
      <c r="EB137" s="9">
        <f t="shared" si="85"/>
        <v>0</v>
      </c>
      <c r="EC137" s="9">
        <f t="shared" si="86"/>
        <v>0</v>
      </c>
      <c r="ED137" s="9">
        <f t="shared" si="87"/>
        <v>0</v>
      </c>
      <c r="EE137" s="9">
        <f t="shared" si="88"/>
        <v>0</v>
      </c>
      <c r="EF137" s="9">
        <f t="shared" si="89"/>
        <v>0</v>
      </c>
      <c r="EG137" s="9">
        <f t="shared" si="90"/>
        <v>0</v>
      </c>
      <c r="EH137" s="9">
        <f t="shared" si="91"/>
        <v>0</v>
      </c>
      <c r="EI137" s="9">
        <f t="shared" si="92"/>
        <v>0</v>
      </c>
      <c r="EJ137" s="10">
        <f t="shared" si="93"/>
        <v>0</v>
      </c>
      <c r="EK137" s="10">
        <f t="shared" si="94"/>
        <v>0</v>
      </c>
      <c r="EL137" s="10">
        <f t="shared" ref="EL137:EM137" si="623">IF(OR(ISNUMBER(SEARCH("ai software toolkit", $D137)), ISNUMBER(SEARCH("ai software toolkit", $T137)), ISNUMBER(SEARCH("ai software toolkit", $R137)), ISNUMBER(SEARCH("ai software toolkit", $S137))), 1, 0)</f>
        <v>0</v>
      </c>
      <c r="EM137" s="10">
        <f t="shared" si="623"/>
        <v>0</v>
      </c>
      <c r="EN137" s="10">
        <f t="shared" si="96"/>
        <v>0</v>
      </c>
      <c r="EO137" s="10">
        <f t="shared" si="97"/>
        <v>0</v>
      </c>
      <c r="EP137" s="10">
        <f t="shared" si="98"/>
        <v>0</v>
      </c>
      <c r="EQ137" s="10">
        <f t="shared" si="99"/>
        <v>0</v>
      </c>
      <c r="ER137" s="10">
        <f t="shared" si="100"/>
        <v>0</v>
      </c>
      <c r="ES137" s="10">
        <f t="shared" si="101"/>
        <v>0</v>
      </c>
      <c r="ET137" s="10">
        <f t="shared" si="102"/>
        <v>0</v>
      </c>
      <c r="EU137" s="10">
        <f t="shared" si="103"/>
        <v>0</v>
      </c>
      <c r="EV137" s="10">
        <f t="shared" si="104"/>
        <v>0</v>
      </c>
      <c r="EW137" s="10">
        <f t="shared" si="105"/>
        <v>0</v>
      </c>
      <c r="EX137" s="10">
        <f t="shared" si="106"/>
        <v>0</v>
      </c>
      <c r="EY137" s="10">
        <f t="shared" si="107"/>
        <v>0</v>
      </c>
      <c r="EZ137" s="10">
        <f t="shared" si="108"/>
        <v>0</v>
      </c>
      <c r="FA137" s="10">
        <f t="shared" si="109"/>
        <v>0</v>
      </c>
      <c r="FB137" s="10">
        <f t="shared" si="110"/>
        <v>0</v>
      </c>
      <c r="FC137" s="10">
        <f t="shared" si="111"/>
        <v>0</v>
      </c>
      <c r="FD137" s="10">
        <f t="shared" si="112"/>
        <v>0</v>
      </c>
      <c r="FE137" s="10">
        <f t="shared" si="113"/>
        <v>0</v>
      </c>
      <c r="FF137" s="10">
        <f t="shared" si="114"/>
        <v>0</v>
      </c>
      <c r="FG137" s="10">
        <f t="shared" si="115"/>
        <v>0</v>
      </c>
      <c r="FH137" s="10">
        <f t="shared" si="116"/>
        <v>0</v>
      </c>
      <c r="FI137" s="10">
        <f t="shared" si="117"/>
        <v>0</v>
      </c>
      <c r="FJ137" s="10">
        <f t="shared" si="118"/>
        <v>0</v>
      </c>
      <c r="FK137" s="10">
        <f t="shared" si="119"/>
        <v>0</v>
      </c>
      <c r="FL137" s="10">
        <f t="shared" si="120"/>
        <v>0</v>
      </c>
      <c r="FM137" s="10">
        <f t="shared" si="121"/>
        <v>0</v>
      </c>
      <c r="FN137" s="10">
        <f t="shared" si="122"/>
        <v>0</v>
      </c>
      <c r="FO137" s="10">
        <f t="shared" si="123"/>
        <v>0</v>
      </c>
      <c r="FP137" s="10">
        <f t="shared" si="124"/>
        <v>0</v>
      </c>
      <c r="FQ137" s="10">
        <f t="shared" si="125"/>
        <v>0</v>
      </c>
      <c r="FR137" s="11">
        <f>IF(
OR(
ISNUMBER(SEARCH("chatbot",$D137)),ISNUMBER(SEARCH("chatbot",$T137)),ISNUMBER(SEARCH("chatbot",$R136)),ISNUMBER(SEARCH("chatbot",$S137)),
ISNUMBER(SEARCH("virtual assistance",$D137)),ISNUMBER(SEARCH("virtual assistance",$T137)),ISNUMBER(SEARCH("virtual assistance",$R137)),ISNUMBER(SEARCH("virtual assistance",$S137))), 1, 0)</f>
        <v>0</v>
      </c>
      <c r="FS137" s="11">
        <f t="shared" si="127"/>
        <v>0</v>
      </c>
      <c r="FT137" s="11">
        <f t="shared" si="128"/>
        <v>0</v>
      </c>
      <c r="FU137" s="11">
        <f t="shared" si="129"/>
        <v>0</v>
      </c>
      <c r="FV137" s="11">
        <f t="shared" si="130"/>
        <v>0</v>
      </c>
      <c r="FW137" s="11">
        <f t="shared" si="131"/>
        <v>0</v>
      </c>
      <c r="FX137" s="11">
        <f t="shared" si="132"/>
        <v>0</v>
      </c>
      <c r="FY137" s="11">
        <f t="shared" si="133"/>
        <v>0</v>
      </c>
      <c r="FZ137" s="11">
        <f t="shared" si="134"/>
        <v>0</v>
      </c>
      <c r="GA137" s="11">
        <f t="shared" si="135"/>
        <v>0</v>
      </c>
      <c r="GB137" s="11">
        <f t="shared" si="136"/>
        <v>0</v>
      </c>
      <c r="GC137" s="11">
        <f t="shared" si="137"/>
        <v>0</v>
      </c>
      <c r="GD137" s="11">
        <f t="shared" si="138"/>
        <v>0</v>
      </c>
      <c r="GE137" s="11">
        <f t="shared" si="139"/>
        <v>0</v>
      </c>
      <c r="GF137" s="11">
        <f t="shared" si="140"/>
        <v>0</v>
      </c>
      <c r="GG137" s="11">
        <f t="shared" si="141"/>
        <v>0</v>
      </c>
      <c r="GH137" s="11">
        <f t="shared" si="142"/>
        <v>0</v>
      </c>
      <c r="GI137" s="11">
        <f t="shared" si="143"/>
        <v>0</v>
      </c>
      <c r="GJ137" s="11">
        <f t="shared" si="144"/>
        <v>0</v>
      </c>
      <c r="GK137" s="11">
        <f t="shared" si="145"/>
        <v>0</v>
      </c>
      <c r="GL137" s="11">
        <f t="shared" si="146"/>
        <v>0</v>
      </c>
      <c r="GM137" s="11">
        <f t="shared" si="147"/>
        <v>0</v>
      </c>
      <c r="GN137" s="11">
        <f t="shared" si="148"/>
        <v>0</v>
      </c>
      <c r="GO137" s="11">
        <f t="shared" si="149"/>
        <v>0</v>
      </c>
      <c r="GP137" s="11">
        <f t="shared" si="150"/>
        <v>0</v>
      </c>
      <c r="GQ137" s="11">
        <f t="shared" si="151"/>
        <v>0</v>
      </c>
      <c r="GR137" s="11">
        <f t="shared" si="152"/>
        <v>0</v>
      </c>
      <c r="GS137" s="11">
        <f t="shared" si="153"/>
        <v>0</v>
      </c>
      <c r="GT137" s="11">
        <f t="shared" si="154"/>
        <v>0</v>
      </c>
      <c r="GU137" s="12">
        <f t="shared" si="155"/>
        <v>0</v>
      </c>
      <c r="GV137" s="12">
        <f t="shared" si="156"/>
        <v>0</v>
      </c>
      <c r="GW137" s="12">
        <f t="shared" si="157"/>
        <v>0</v>
      </c>
      <c r="GX137" s="12">
        <f t="shared" si="158"/>
        <v>0</v>
      </c>
      <c r="GY137" s="12">
        <f t="shared" si="159"/>
        <v>0</v>
      </c>
      <c r="GZ137" s="12">
        <f t="shared" si="160"/>
        <v>0</v>
      </c>
      <c r="HA137" s="12">
        <f t="shared" si="161"/>
        <v>0</v>
      </c>
      <c r="HB137" s="12">
        <f t="shared" si="162"/>
        <v>0</v>
      </c>
      <c r="HC137" s="12">
        <f t="shared" si="163"/>
        <v>0</v>
      </c>
      <c r="HD137" s="12">
        <f t="shared" si="164"/>
        <v>0</v>
      </c>
      <c r="HE137" s="12">
        <f t="shared" si="165"/>
        <v>0</v>
      </c>
      <c r="HF137" s="12">
        <f t="shared" si="166"/>
        <v>0</v>
      </c>
      <c r="HG137" s="12">
        <f t="shared" si="167"/>
        <v>0</v>
      </c>
      <c r="HH137" s="12">
        <f t="shared" si="168"/>
        <v>0</v>
      </c>
      <c r="HI137" s="12">
        <f t="shared" si="169"/>
        <v>0</v>
      </c>
      <c r="HJ137" s="12">
        <f t="shared" si="170"/>
        <v>0</v>
      </c>
      <c r="HK137" s="12">
        <f t="shared" si="171"/>
        <v>0</v>
      </c>
      <c r="HL137" s="12">
        <f t="shared" si="172"/>
        <v>0</v>
      </c>
      <c r="HM137" s="12">
        <f t="shared" si="173"/>
        <v>0</v>
      </c>
      <c r="HN137" s="12">
        <f t="shared" si="174"/>
        <v>0</v>
      </c>
      <c r="HO137" s="12">
        <f t="shared" si="175"/>
        <v>0</v>
      </c>
      <c r="HP137" s="12">
        <f t="shared" si="176"/>
        <v>0</v>
      </c>
      <c r="HQ137" s="12">
        <f t="shared" si="177"/>
        <v>0</v>
      </c>
      <c r="HR137" s="12">
        <f t="shared" si="178"/>
        <v>0</v>
      </c>
      <c r="HS137" s="12">
        <f t="shared" si="179"/>
        <v>0</v>
      </c>
      <c r="HT137" s="12">
        <f t="shared" si="180"/>
        <v>0</v>
      </c>
      <c r="HU137" s="12">
        <f t="shared" si="181"/>
        <v>0</v>
      </c>
      <c r="HV137" s="12">
        <f t="shared" si="182"/>
        <v>0</v>
      </c>
      <c r="HW137" s="12">
        <f t="shared" si="183"/>
        <v>0</v>
      </c>
      <c r="HX137" s="12">
        <f t="shared" si="184"/>
        <v>0</v>
      </c>
      <c r="HY137" s="12">
        <f t="shared" si="185"/>
        <v>0</v>
      </c>
      <c r="HZ137" s="12">
        <f t="shared" si="186"/>
        <v>0</v>
      </c>
      <c r="IA137" s="12">
        <f t="shared" si="187"/>
        <v>0</v>
      </c>
      <c r="IB137" s="12">
        <f t="shared" si="188"/>
        <v>0</v>
      </c>
      <c r="IC137" s="12">
        <f t="shared" si="189"/>
        <v>0</v>
      </c>
      <c r="ID137" s="12">
        <f t="shared" si="190"/>
        <v>0</v>
      </c>
      <c r="IE137" s="12">
        <f t="shared" si="191"/>
        <v>0</v>
      </c>
      <c r="IF137" s="12">
        <f t="shared" si="192"/>
        <v>0</v>
      </c>
      <c r="IG137" s="12">
        <f t="shared" si="193"/>
        <v>0</v>
      </c>
      <c r="IH137" s="12">
        <f t="shared" si="194"/>
        <v>0</v>
      </c>
      <c r="II137" s="12">
        <f t="shared" si="195"/>
        <v>0</v>
      </c>
      <c r="IJ137" s="12">
        <f t="shared" si="196"/>
        <v>0</v>
      </c>
      <c r="IK137" s="12">
        <f t="shared" si="197"/>
        <v>0</v>
      </c>
      <c r="IL137" s="12">
        <f t="shared" si="198"/>
        <v>0</v>
      </c>
      <c r="IM137" s="12">
        <f t="shared" si="199"/>
        <v>0</v>
      </c>
      <c r="IN137" s="12">
        <f t="shared" si="200"/>
        <v>0</v>
      </c>
      <c r="IO137" s="12">
        <f t="shared" si="201"/>
        <v>0</v>
      </c>
      <c r="IP137" s="12">
        <f t="shared" si="202"/>
        <v>0</v>
      </c>
      <c r="IQ137" s="12">
        <f t="shared" si="203"/>
        <v>0</v>
      </c>
      <c r="IR137" s="12">
        <f t="shared" si="204"/>
        <v>0</v>
      </c>
      <c r="IS137" s="12">
        <f t="shared" si="205"/>
        <v>0</v>
      </c>
      <c r="IT137" s="12">
        <f t="shared" si="206"/>
        <v>0</v>
      </c>
      <c r="IU137" s="12">
        <f t="shared" si="207"/>
        <v>0</v>
      </c>
      <c r="IV137" s="12">
        <f t="shared" si="208"/>
        <v>0</v>
      </c>
      <c r="IW137" s="12">
        <f t="shared" si="209"/>
        <v>0</v>
      </c>
      <c r="IX137" s="12">
        <f t="shared" si="210"/>
        <v>0</v>
      </c>
      <c r="IY137" s="12">
        <f t="shared" si="211"/>
        <v>0</v>
      </c>
      <c r="IZ137" s="12">
        <f t="shared" si="212"/>
        <v>0</v>
      </c>
      <c r="JA137" s="13">
        <f t="shared" si="213"/>
        <v>0</v>
      </c>
      <c r="JB137" s="13">
        <f t="shared" si="214"/>
        <v>0</v>
      </c>
      <c r="JC137" s="13">
        <f t="shared" si="215"/>
        <v>0</v>
      </c>
      <c r="JD137" s="13">
        <f t="shared" si="216"/>
        <v>0</v>
      </c>
      <c r="JE137" s="13">
        <f t="shared" si="217"/>
        <v>0</v>
      </c>
      <c r="JF137" s="13">
        <f t="shared" si="218"/>
        <v>1</v>
      </c>
      <c r="JG137" s="13">
        <f t="shared" si="219"/>
        <v>0</v>
      </c>
      <c r="JH137" s="13">
        <f t="shared" si="220"/>
        <v>1</v>
      </c>
      <c r="JI137" s="13">
        <f t="shared" si="221"/>
        <v>0</v>
      </c>
      <c r="JJ137" s="13">
        <f t="shared" si="222"/>
        <v>0</v>
      </c>
      <c r="JK137" s="13">
        <f t="shared" si="223"/>
        <v>0</v>
      </c>
      <c r="JL137" s="13">
        <f t="shared" si="224"/>
        <v>0</v>
      </c>
      <c r="JM137" s="13">
        <f t="shared" si="225"/>
        <v>0</v>
      </c>
      <c r="JN137" s="13">
        <f t="shared" si="226"/>
        <v>0</v>
      </c>
      <c r="JO137" s="13">
        <f t="shared" si="227"/>
        <v>0</v>
      </c>
      <c r="JP137" s="13">
        <f t="shared" si="228"/>
        <v>0</v>
      </c>
      <c r="JQ137" s="13">
        <f t="shared" si="229"/>
        <v>0</v>
      </c>
      <c r="JR137" s="13">
        <f t="shared" si="230"/>
        <v>0</v>
      </c>
      <c r="JS137" s="13">
        <f t="shared" si="231"/>
        <v>0</v>
      </c>
      <c r="JT137" s="13">
        <f t="shared" si="232"/>
        <v>0</v>
      </c>
      <c r="JU137" s="13">
        <f t="shared" si="233"/>
        <v>0</v>
      </c>
      <c r="JV137" s="12">
        <f t="shared" si="234"/>
        <v>0</v>
      </c>
      <c r="JW137" s="12">
        <f t="shared" si="235"/>
        <v>0</v>
      </c>
      <c r="JX137" s="12">
        <f t="shared" si="236"/>
        <v>0</v>
      </c>
      <c r="JY137" s="12">
        <f t="shared" si="237"/>
        <v>0</v>
      </c>
      <c r="JZ137" s="12">
        <f t="shared" si="238"/>
        <v>0</v>
      </c>
      <c r="KA137" s="12">
        <f t="shared" si="239"/>
        <v>0</v>
      </c>
      <c r="KB137" s="12">
        <f t="shared" si="240"/>
        <v>0</v>
      </c>
      <c r="KC137" s="12">
        <f t="shared" si="241"/>
        <v>0</v>
      </c>
      <c r="KD137" s="12">
        <f t="shared" si="242"/>
        <v>0</v>
      </c>
      <c r="KE137" s="12">
        <f t="shared" si="243"/>
        <v>0</v>
      </c>
      <c r="KF137" s="12">
        <f t="shared" si="244"/>
        <v>0</v>
      </c>
      <c r="KG137" s="12">
        <f t="shared" si="245"/>
        <v>0</v>
      </c>
      <c r="KH137" s="12">
        <f t="shared" si="246"/>
        <v>0</v>
      </c>
      <c r="KI137" s="12">
        <f t="shared" si="247"/>
        <v>0</v>
      </c>
      <c r="KJ137" s="12">
        <f t="shared" si="248"/>
        <v>0</v>
      </c>
      <c r="KK137" s="12">
        <f t="shared" si="249"/>
        <v>0</v>
      </c>
      <c r="KL137" s="12">
        <f t="shared" si="250"/>
        <v>0</v>
      </c>
      <c r="KM137" s="12">
        <f t="shared" si="251"/>
        <v>0</v>
      </c>
      <c r="KN137" s="12">
        <f t="shared" si="252"/>
        <v>0</v>
      </c>
      <c r="KO137" s="12">
        <f t="shared" si="253"/>
        <v>0</v>
      </c>
      <c r="KP137" s="12">
        <f t="shared" si="254"/>
        <v>0</v>
      </c>
      <c r="KQ137" s="12">
        <f t="shared" si="255"/>
        <v>0</v>
      </c>
      <c r="KR137" s="12">
        <f t="shared" si="256"/>
        <v>0</v>
      </c>
      <c r="KS137" s="12">
        <f t="shared" si="257"/>
        <v>0</v>
      </c>
      <c r="KT137" s="12">
        <f t="shared" si="258"/>
        <v>0</v>
      </c>
      <c r="KU137" s="12">
        <f t="shared" si="259"/>
        <v>0</v>
      </c>
      <c r="KV137" s="12">
        <f t="shared" si="260"/>
        <v>0</v>
      </c>
      <c r="KW137" s="12">
        <f t="shared" si="261"/>
        <v>0</v>
      </c>
      <c r="KX137" s="12">
        <f t="shared" si="262"/>
        <v>0</v>
      </c>
      <c r="KY137" s="12">
        <f t="shared" si="263"/>
        <v>0</v>
      </c>
      <c r="KZ137" s="12">
        <f t="shared" si="264"/>
        <v>0</v>
      </c>
      <c r="LA137" s="12">
        <f t="shared" si="265"/>
        <v>0</v>
      </c>
      <c r="LB137" s="12">
        <f t="shared" si="266"/>
        <v>0</v>
      </c>
      <c r="LC137" s="12">
        <f t="shared" si="267"/>
        <v>0</v>
      </c>
      <c r="LD137" s="12">
        <f t="shared" si="268"/>
        <v>0</v>
      </c>
      <c r="LE137" s="12">
        <f t="shared" si="269"/>
        <v>0</v>
      </c>
      <c r="LF137" s="12">
        <f t="shared" si="270"/>
        <v>0</v>
      </c>
      <c r="LG137" s="12">
        <f t="shared" si="271"/>
        <v>0</v>
      </c>
      <c r="LH137" s="12">
        <f t="shared" si="272"/>
        <v>0</v>
      </c>
      <c r="LI137" s="12">
        <f t="shared" si="273"/>
        <v>0</v>
      </c>
      <c r="LJ137" s="12">
        <f t="shared" si="274"/>
        <v>0</v>
      </c>
      <c r="LK137" s="12">
        <f t="shared" si="275"/>
        <v>0</v>
      </c>
      <c r="LL137" s="12">
        <f t="shared" si="276"/>
        <v>0</v>
      </c>
      <c r="LM137" s="12">
        <f t="shared" si="277"/>
        <v>0</v>
      </c>
      <c r="LN137" s="12">
        <f t="shared" si="278"/>
        <v>0</v>
      </c>
      <c r="LO137" s="12">
        <f t="shared" si="279"/>
        <v>0</v>
      </c>
      <c r="LP137" s="12">
        <f t="shared" si="280"/>
        <v>0</v>
      </c>
      <c r="LQ137" s="12">
        <f t="shared" si="281"/>
        <v>0</v>
      </c>
      <c r="LR137" s="12">
        <f t="shared" si="282"/>
        <v>0</v>
      </c>
      <c r="LS137" s="12">
        <f t="shared" si="283"/>
        <v>0</v>
      </c>
      <c r="LT137" s="13">
        <f t="shared" si="284"/>
        <v>0</v>
      </c>
      <c r="LU137" s="13">
        <f t="shared" si="285"/>
        <v>0</v>
      </c>
      <c r="LV137" s="13">
        <f t="shared" si="286"/>
        <v>0</v>
      </c>
      <c r="LW137" s="13">
        <f t="shared" si="287"/>
        <v>0</v>
      </c>
      <c r="LX137" s="13">
        <f t="shared" si="288"/>
        <v>0</v>
      </c>
      <c r="LY137" s="13">
        <f t="shared" si="289"/>
        <v>0</v>
      </c>
      <c r="LZ137" s="13">
        <f t="shared" si="290"/>
        <v>0</v>
      </c>
      <c r="MA137" s="13">
        <f t="shared" si="291"/>
        <v>0</v>
      </c>
      <c r="MB137" s="13">
        <f t="shared" si="292"/>
        <v>0</v>
      </c>
      <c r="MC137" s="13">
        <f t="shared" si="293"/>
        <v>0</v>
      </c>
      <c r="MD137" s="13">
        <f t="shared" si="294"/>
        <v>0</v>
      </c>
      <c r="ME137" s="13">
        <f t="shared" si="295"/>
        <v>0</v>
      </c>
      <c r="MF137" s="13">
        <f t="shared" si="296"/>
        <v>0</v>
      </c>
      <c r="MG137" s="13">
        <f t="shared" si="297"/>
        <v>0</v>
      </c>
      <c r="MH137" s="13">
        <f t="shared" si="298"/>
        <v>0</v>
      </c>
      <c r="MI137" s="13">
        <f t="shared" si="299"/>
        <v>0</v>
      </c>
      <c r="MJ137" s="13">
        <f t="shared" si="300"/>
        <v>0</v>
      </c>
      <c r="MK137" s="13">
        <f t="shared" si="301"/>
        <v>0</v>
      </c>
      <c r="ML137" s="14">
        <f t="shared" si="302"/>
        <v>1</v>
      </c>
      <c r="MM137" s="14">
        <f t="shared" si="303"/>
        <v>0</v>
      </c>
      <c r="MN137" s="14">
        <f t="shared" si="304"/>
        <v>0</v>
      </c>
      <c r="MO137" s="14">
        <f t="shared" si="305"/>
        <v>0</v>
      </c>
      <c r="MP137" s="14">
        <f t="shared" si="306"/>
        <v>0</v>
      </c>
      <c r="MQ137" s="14">
        <f t="shared" si="307"/>
        <v>0</v>
      </c>
      <c r="MR137" s="14">
        <f t="shared" si="308"/>
        <v>0</v>
      </c>
      <c r="MS137" s="14">
        <f t="shared" si="309"/>
        <v>0</v>
      </c>
      <c r="MT137" s="14">
        <f t="shared" si="310"/>
        <v>0</v>
      </c>
      <c r="MU137" s="14">
        <f t="shared" si="311"/>
        <v>0</v>
      </c>
      <c r="MV137" s="14">
        <f t="shared" si="312"/>
        <v>0</v>
      </c>
      <c r="MW137" s="14">
        <f t="shared" si="313"/>
        <v>0</v>
      </c>
      <c r="MX137" s="14">
        <f t="shared" si="314"/>
        <v>0</v>
      </c>
      <c r="MY137" s="14">
        <f t="shared" si="315"/>
        <v>0</v>
      </c>
      <c r="MZ137" s="14">
        <f t="shared" si="316"/>
        <v>0</v>
      </c>
      <c r="NA137" s="14">
        <f t="shared" si="317"/>
        <v>0</v>
      </c>
      <c r="NB137" s="14">
        <f t="shared" si="318"/>
        <v>0</v>
      </c>
    </row>
    <row r="138" ht="15.75" customHeight="1">
      <c r="A138" s="2">
        <v>387.0</v>
      </c>
      <c r="B138" s="2" t="s">
        <v>2701</v>
      </c>
      <c r="C138" s="2" t="s">
        <v>2702</v>
      </c>
      <c r="D138" s="2" t="s">
        <v>2703</v>
      </c>
      <c r="E138" s="2">
        <v>2021.0</v>
      </c>
      <c r="F138" s="2" t="s">
        <v>1459</v>
      </c>
      <c r="G138" s="2" t="s">
        <v>1029</v>
      </c>
      <c r="H138" s="2" t="s">
        <v>1365</v>
      </c>
      <c r="I138" s="2" t="s">
        <v>2704</v>
      </c>
      <c r="M138" s="2">
        <v>4.0</v>
      </c>
      <c r="N138" s="2" t="s">
        <v>2705</v>
      </c>
      <c r="O138" s="2" t="s">
        <v>2706</v>
      </c>
      <c r="P138" s="2" t="s">
        <v>2707</v>
      </c>
      <c r="Q138" s="2" t="s">
        <v>2708</v>
      </c>
      <c r="R138" s="2" t="s">
        <v>2709</v>
      </c>
      <c r="S138" s="2" t="s">
        <v>2710</v>
      </c>
      <c r="T138" s="2" t="s">
        <v>2711</v>
      </c>
      <c r="Y138" s="2" t="s">
        <v>2712</v>
      </c>
      <c r="AB138" s="2" t="s">
        <v>1303</v>
      </c>
      <c r="AG138" s="2" t="s">
        <v>1469</v>
      </c>
      <c r="AK138" s="2" t="s">
        <v>1470</v>
      </c>
      <c r="AL138" s="2" t="s">
        <v>384</v>
      </c>
      <c r="AM138" s="2" t="s">
        <v>1306</v>
      </c>
      <c r="AN138" s="2" t="s">
        <v>386</v>
      </c>
      <c r="AO138" s="2" t="s">
        <v>2713</v>
      </c>
      <c r="AP138" s="2" t="s">
        <v>386</v>
      </c>
      <c r="AQ138" s="2">
        <v>104.0</v>
      </c>
      <c r="AR138" s="2" t="s">
        <v>2703</v>
      </c>
      <c r="AS138" s="2" t="b">
        <v>1</v>
      </c>
      <c r="AT138" s="3">
        <v>0.0</v>
      </c>
      <c r="AU138" s="4"/>
      <c r="AV138" s="4">
        <v>1.0</v>
      </c>
      <c r="AW138" s="5">
        <f t="shared" si="432"/>
        <v>0</v>
      </c>
      <c r="AX138" s="5">
        <f t="shared" si="4"/>
        <v>0</v>
      </c>
      <c r="AY138" s="5">
        <f t="shared" si="5"/>
        <v>0</v>
      </c>
      <c r="AZ138" s="5">
        <f t="shared" si="6"/>
        <v>0</v>
      </c>
      <c r="BA138" s="5">
        <f t="shared" si="7"/>
        <v>0</v>
      </c>
      <c r="BB138" s="5">
        <f t="shared" si="8"/>
        <v>0</v>
      </c>
      <c r="BC138" s="5">
        <f t="shared" si="9"/>
        <v>0</v>
      </c>
      <c r="BD138" s="5">
        <f t="shared" si="10"/>
        <v>0</v>
      </c>
      <c r="BE138" s="5">
        <f t="shared" si="11"/>
        <v>0</v>
      </c>
      <c r="BF138" s="5">
        <f t="shared" si="12"/>
        <v>0</v>
      </c>
      <c r="BG138" s="5">
        <f t="shared" si="13"/>
        <v>0</v>
      </c>
      <c r="BH138" s="5">
        <f t="shared" si="14"/>
        <v>0</v>
      </c>
      <c r="BI138" s="5">
        <f t="shared" si="15"/>
        <v>0</v>
      </c>
      <c r="BJ138" s="5">
        <f t="shared" si="16"/>
        <v>0</v>
      </c>
      <c r="BK138" s="5">
        <f t="shared" si="17"/>
        <v>1</v>
      </c>
      <c r="BL138" s="5">
        <f t="shared" si="18"/>
        <v>0</v>
      </c>
      <c r="BM138" s="5">
        <f t="shared" si="19"/>
        <v>0</v>
      </c>
      <c r="BN138" s="5">
        <f t="shared" si="20"/>
        <v>0</v>
      </c>
      <c r="BO138" s="5">
        <f t="shared" si="21"/>
        <v>0</v>
      </c>
      <c r="BP138" s="5">
        <f t="shared" si="22"/>
        <v>0</v>
      </c>
      <c r="BQ138" s="5">
        <f t="shared" si="23"/>
        <v>0</v>
      </c>
      <c r="BR138" s="5">
        <f t="shared" si="24"/>
        <v>0</v>
      </c>
      <c r="BS138" s="5">
        <f t="shared" si="25"/>
        <v>0</v>
      </c>
      <c r="BT138" s="5">
        <f t="shared" si="26"/>
        <v>0</v>
      </c>
      <c r="BU138" s="5">
        <f t="shared" si="27"/>
        <v>0</v>
      </c>
      <c r="BV138" s="5">
        <f t="shared" ref="BV138:BW138" si="624">IF(OR(ISNUMBER(SEARCH("grit",$D138)),ISNUMBER(SEARCH("grit",$T138)),ISNUMBER(SEARCH("grit",$R138)),ISNUMBER(SEARCH("grit",$S138)),
ISNUMBER(SEARCH("determination",$D138)),ISNUMBER(SEARCH("determination",$T138)),ISNUMBER(SEARCH("determination",$R138)),ISNUMBER(SEARCH("determination",$S138)),
ISNUMBER(SEARCH("tenacity",$D138)),ISNUMBER(SEARCH("tenacity",$T138)),ISNUMBER(SEARCH("tenacity",$R138)),ISNUMBER(SEARCH("tenacity",$S138)),
ISNUMBER(SEARCH("endurance",$D138)),ISNUMBER(SEARCH("endurance",$T138)),ISNUMBER(SEARCH("endurance",$R138)),ISNUMBER(SEARCH("endurance",$S138)),
ISNUMBER(SEARCH("fortitude",$D138)),ISNUMBER(SEARCH("fortitude",$T138)),ISNUMBER(SEARCH("fortitude",$R138)),ISNUMBER(SEARCH("fortitude",$S138)),
ISNUMBER(SEARCH("resolve",$D138)),ISNUMBER(SEARCH("resolve",$T138)),ISNUMBER(SEARCH("resolve",$R138)),ISNUMBER(SEARCH("resolve",$S138)),
ISNUMBER(SEARCH("stamina",$D138)),ISNUMBER(SEARCH("stamina",$T138)),ISNUMBER(SEARCH("stamina",$R138)),ISNUMBER(SEARCH("stamina",$S138)),
ISNUMBER(SEARCH("guts",$D138)),ISNUMBER(SEARCH("guts",$T138)),ISNUMBER(SEARCH("guts",$R138)),ISNUMBER(SEARCH("guts",$S138)),
ISNUMBER(SEARCH("spunk",$D138)),ISNUMBER(SEARCH("spunk",$T138)),ISNUMBER(SEARCH("spunk",$R138)),ISNUMBER(SEARCH("spunk",$S138))), 1, 0)</f>
        <v>0</v>
      </c>
      <c r="BW138" s="5">
        <f t="shared" si="624"/>
        <v>0</v>
      </c>
      <c r="BX138" s="5">
        <f t="shared" si="29"/>
        <v>0</v>
      </c>
      <c r="BY138" s="5">
        <f t="shared" si="30"/>
        <v>0</v>
      </c>
      <c r="BZ138" s="5">
        <f t="shared" si="31"/>
        <v>0</v>
      </c>
      <c r="CA138" s="5">
        <f t="shared" si="32"/>
        <v>0</v>
      </c>
      <c r="CB138" s="5">
        <f t="shared" si="33"/>
        <v>0</v>
      </c>
      <c r="CC138" s="5">
        <f t="shared" si="34"/>
        <v>0</v>
      </c>
      <c r="CD138" s="5">
        <f t="shared" si="35"/>
        <v>0</v>
      </c>
      <c r="CE138" s="5">
        <f t="shared" si="36"/>
        <v>0</v>
      </c>
      <c r="CF138" s="5">
        <f t="shared" si="37"/>
        <v>0</v>
      </c>
      <c r="CG138" s="5">
        <f t="shared" si="38"/>
        <v>0</v>
      </c>
      <c r="CH138" s="5">
        <f t="shared" si="39"/>
        <v>0</v>
      </c>
      <c r="CI138" s="5">
        <f t="shared" si="40"/>
        <v>0</v>
      </c>
      <c r="CJ138" s="5">
        <f t="shared" si="41"/>
        <v>0</v>
      </c>
      <c r="CK138" s="5">
        <f t="shared" si="42"/>
        <v>0</v>
      </c>
      <c r="CL138" s="5">
        <f t="shared" si="43"/>
        <v>0</v>
      </c>
      <c r="CM138" s="5">
        <f t="shared" si="44"/>
        <v>0</v>
      </c>
      <c r="CN138" s="5">
        <f t="shared" si="45"/>
        <v>0</v>
      </c>
      <c r="CO138" s="5">
        <f t="shared" si="46"/>
        <v>0</v>
      </c>
      <c r="CP138" s="6">
        <f t="shared" si="47"/>
        <v>0</v>
      </c>
      <c r="CQ138" s="6">
        <f t="shared" si="48"/>
        <v>0</v>
      </c>
      <c r="CR138" s="6">
        <f t="shared" si="49"/>
        <v>0</v>
      </c>
      <c r="CS138" s="6">
        <f t="shared" si="50"/>
        <v>0</v>
      </c>
      <c r="CT138" s="6">
        <f t="shared" si="584"/>
        <v>0</v>
      </c>
      <c r="CU138" s="6">
        <f t="shared" si="52"/>
        <v>0</v>
      </c>
      <c r="CV138" s="6">
        <f t="shared" si="53"/>
        <v>0</v>
      </c>
      <c r="CW138" s="6">
        <f t="shared" si="54"/>
        <v>0</v>
      </c>
      <c r="CX138" s="6">
        <f t="shared" si="55"/>
        <v>0</v>
      </c>
      <c r="CY138" s="6">
        <f t="shared" si="56"/>
        <v>0</v>
      </c>
      <c r="CZ138" s="6">
        <f t="shared" si="57"/>
        <v>0</v>
      </c>
      <c r="DA138" s="6">
        <f t="shared" si="58"/>
        <v>0</v>
      </c>
      <c r="DB138" s="6">
        <f t="shared" si="59"/>
        <v>0</v>
      </c>
      <c r="DC138" s="6">
        <f t="shared" si="60"/>
        <v>0</v>
      </c>
      <c r="DD138" s="6">
        <f t="shared" si="61"/>
        <v>0</v>
      </c>
      <c r="DE138" s="6">
        <f t="shared" si="62"/>
        <v>1</v>
      </c>
      <c r="DF138" s="6">
        <f t="shared" si="63"/>
        <v>0</v>
      </c>
      <c r="DG138" s="6">
        <f t="shared" si="64"/>
        <v>0</v>
      </c>
      <c r="DH138" s="6">
        <f>IF(
OR(
ISNUMBER(SEARCH("Spirituality",$D138)),ISNUMBER(SEARCH("Spirituality",$T138)),ISNUMBER(SEARCH("Spirituality",$R136)),ISNUMBER(SEARCH("Spirituality",$S138)),
ISNUMBER(SEARCH("religiosity",$D138)),ISNUMBER(SEARCH("religiosity",$T138)),ISNUMBER(SEARCH("religiosity",$R138)),ISNUMBER(SEARCH("religiosity",$S138))), 1, 0)</f>
        <v>0</v>
      </c>
      <c r="DI138" s="6">
        <f t="shared" si="66"/>
        <v>0</v>
      </c>
      <c r="DJ138" s="6">
        <f t="shared" si="574"/>
        <v>0</v>
      </c>
      <c r="DK138" s="7">
        <f t="shared" si="68"/>
        <v>0</v>
      </c>
      <c r="DL138" s="7">
        <f t="shared" si="498"/>
        <v>0</v>
      </c>
      <c r="DM138" s="7">
        <f t="shared" si="70"/>
        <v>0</v>
      </c>
      <c r="DN138" s="7">
        <f t="shared" si="71"/>
        <v>0</v>
      </c>
      <c r="DO138" s="7">
        <f t="shared" si="72"/>
        <v>1</v>
      </c>
      <c r="DP138" s="8">
        <f t="shared" si="73"/>
        <v>0</v>
      </c>
      <c r="DQ138" s="8">
        <f t="shared" si="74"/>
        <v>1</v>
      </c>
      <c r="DR138" s="7">
        <f t="shared" si="75"/>
        <v>0</v>
      </c>
      <c r="DS138" s="7">
        <f t="shared" si="76"/>
        <v>0</v>
      </c>
      <c r="DT138" s="7">
        <f t="shared" si="77"/>
        <v>0</v>
      </c>
      <c r="DU138" s="9">
        <f t="shared" si="78"/>
        <v>0</v>
      </c>
      <c r="DV138" s="9">
        <f t="shared" si="79"/>
        <v>0</v>
      </c>
      <c r="DW138" s="9">
        <f t="shared" si="80"/>
        <v>0</v>
      </c>
      <c r="DX138" s="9">
        <f t="shared" si="81"/>
        <v>0</v>
      </c>
      <c r="DY138" s="9">
        <f t="shared" si="82"/>
        <v>0</v>
      </c>
      <c r="DZ138" s="9">
        <f t="shared" si="83"/>
        <v>0</v>
      </c>
      <c r="EA138" s="9">
        <f t="shared" si="84"/>
        <v>0</v>
      </c>
      <c r="EB138" s="9">
        <f t="shared" si="85"/>
        <v>0</v>
      </c>
      <c r="EC138" s="9">
        <f t="shared" si="86"/>
        <v>0</v>
      </c>
      <c r="ED138" s="9">
        <f t="shared" si="87"/>
        <v>0</v>
      </c>
      <c r="EE138" s="9">
        <f t="shared" si="88"/>
        <v>0</v>
      </c>
      <c r="EF138" s="9">
        <f t="shared" si="89"/>
        <v>0</v>
      </c>
      <c r="EG138" s="9">
        <f t="shared" si="90"/>
        <v>0</v>
      </c>
      <c r="EH138" s="9">
        <f t="shared" si="91"/>
        <v>0</v>
      </c>
      <c r="EI138" s="9">
        <f t="shared" si="92"/>
        <v>0</v>
      </c>
      <c r="EJ138" s="10">
        <f t="shared" si="93"/>
        <v>0</v>
      </c>
      <c r="EK138" s="10">
        <f t="shared" si="94"/>
        <v>0</v>
      </c>
      <c r="EL138" s="10">
        <f t="shared" ref="EL138:EM138" si="625">IF(OR(ISNUMBER(SEARCH("ai software toolkit", $D138)), ISNUMBER(SEARCH("ai software toolkit", $T138)), ISNUMBER(SEARCH("ai software toolkit", $R138)), ISNUMBER(SEARCH("ai software toolkit", $S138))), 1, 0)</f>
        <v>0</v>
      </c>
      <c r="EM138" s="10">
        <f t="shared" si="625"/>
        <v>0</v>
      </c>
      <c r="EN138" s="10">
        <f t="shared" si="96"/>
        <v>0</v>
      </c>
      <c r="EO138" s="10">
        <f t="shared" si="97"/>
        <v>0</v>
      </c>
      <c r="EP138" s="10">
        <f t="shared" si="98"/>
        <v>0</v>
      </c>
      <c r="EQ138" s="10">
        <f t="shared" si="99"/>
        <v>0</v>
      </c>
      <c r="ER138" s="10">
        <f t="shared" si="100"/>
        <v>0</v>
      </c>
      <c r="ES138" s="10">
        <f t="shared" si="101"/>
        <v>0</v>
      </c>
      <c r="ET138" s="10">
        <f t="shared" si="102"/>
        <v>0</v>
      </c>
      <c r="EU138" s="10">
        <f t="shared" si="103"/>
        <v>0</v>
      </c>
      <c r="EV138" s="10">
        <f t="shared" si="104"/>
        <v>0</v>
      </c>
      <c r="EW138" s="10">
        <f t="shared" si="105"/>
        <v>0</v>
      </c>
      <c r="EX138" s="10">
        <f t="shared" si="106"/>
        <v>0</v>
      </c>
      <c r="EY138" s="10">
        <f t="shared" si="107"/>
        <v>0</v>
      </c>
      <c r="EZ138" s="10">
        <f t="shared" si="108"/>
        <v>0</v>
      </c>
      <c r="FA138" s="10">
        <f t="shared" si="109"/>
        <v>0</v>
      </c>
      <c r="FB138" s="10">
        <f t="shared" si="110"/>
        <v>0</v>
      </c>
      <c r="FC138" s="10">
        <f t="shared" si="111"/>
        <v>0</v>
      </c>
      <c r="FD138" s="10">
        <f t="shared" si="112"/>
        <v>0</v>
      </c>
      <c r="FE138" s="10">
        <f t="shared" si="113"/>
        <v>0</v>
      </c>
      <c r="FF138" s="10">
        <f t="shared" si="114"/>
        <v>0</v>
      </c>
      <c r="FG138" s="10">
        <f t="shared" si="115"/>
        <v>0</v>
      </c>
      <c r="FH138" s="10">
        <f t="shared" si="116"/>
        <v>0</v>
      </c>
      <c r="FI138" s="10">
        <f t="shared" si="117"/>
        <v>0</v>
      </c>
      <c r="FJ138" s="10">
        <f t="shared" si="118"/>
        <v>0</v>
      </c>
      <c r="FK138" s="10">
        <f t="shared" si="119"/>
        <v>0</v>
      </c>
      <c r="FL138" s="10">
        <f t="shared" si="120"/>
        <v>0</v>
      </c>
      <c r="FM138" s="10">
        <f t="shared" si="121"/>
        <v>0</v>
      </c>
      <c r="FN138" s="10">
        <f t="shared" si="122"/>
        <v>0</v>
      </c>
      <c r="FO138" s="10">
        <f t="shared" si="123"/>
        <v>0</v>
      </c>
      <c r="FP138" s="10">
        <f t="shared" si="124"/>
        <v>0</v>
      </c>
      <c r="FQ138" s="10">
        <f t="shared" si="125"/>
        <v>0</v>
      </c>
      <c r="FR138" s="11">
        <f t="shared" ref="FR138:FR139" si="628">IF(
OR(
ISNUMBER(SEARCH("chatbot",$D138)),ISNUMBER(SEARCH("chatbot",$T138)),ISNUMBER(SEARCH("chatbot",#REF!)),ISNUMBER(SEARCH("chatbot",$S138)),
ISNUMBER(SEARCH("virtual assistance",$D138)),ISNUMBER(SEARCH("virtual assistance",$T138)),ISNUMBER(SEARCH("virtual assistance",$R138)),ISNUMBER(SEARCH("virtual assistance",$S138))), 1, 0)</f>
        <v>0</v>
      </c>
      <c r="FS138" s="11">
        <f t="shared" si="127"/>
        <v>0</v>
      </c>
      <c r="FT138" s="11">
        <f t="shared" si="128"/>
        <v>0</v>
      </c>
      <c r="FU138" s="11">
        <f t="shared" si="129"/>
        <v>0</v>
      </c>
      <c r="FV138" s="11">
        <f t="shared" si="130"/>
        <v>0</v>
      </c>
      <c r="FW138" s="11">
        <f t="shared" si="131"/>
        <v>0</v>
      </c>
      <c r="FX138" s="11">
        <f t="shared" si="132"/>
        <v>0</v>
      </c>
      <c r="FY138" s="11">
        <f t="shared" si="133"/>
        <v>0</v>
      </c>
      <c r="FZ138" s="11">
        <f t="shared" si="134"/>
        <v>0</v>
      </c>
      <c r="GA138" s="11">
        <f t="shared" si="135"/>
        <v>0</v>
      </c>
      <c r="GB138" s="11">
        <f t="shared" si="136"/>
        <v>0</v>
      </c>
      <c r="GC138" s="11">
        <f t="shared" si="137"/>
        <v>0</v>
      </c>
      <c r="GD138" s="11">
        <f t="shared" si="138"/>
        <v>0</v>
      </c>
      <c r="GE138" s="11">
        <f t="shared" si="139"/>
        <v>0</v>
      </c>
      <c r="GF138" s="11">
        <f t="shared" si="140"/>
        <v>0</v>
      </c>
      <c r="GG138" s="11">
        <f t="shared" si="141"/>
        <v>0</v>
      </c>
      <c r="GH138" s="11">
        <f t="shared" si="142"/>
        <v>0</v>
      </c>
      <c r="GI138" s="11">
        <f t="shared" si="143"/>
        <v>0</v>
      </c>
      <c r="GJ138" s="11">
        <f t="shared" si="144"/>
        <v>0</v>
      </c>
      <c r="GK138" s="11">
        <f t="shared" si="145"/>
        <v>0</v>
      </c>
      <c r="GL138" s="11">
        <f t="shared" si="146"/>
        <v>0</v>
      </c>
      <c r="GM138" s="11">
        <f t="shared" si="147"/>
        <v>0</v>
      </c>
      <c r="GN138" s="11">
        <f t="shared" si="148"/>
        <v>0</v>
      </c>
      <c r="GO138" s="11">
        <f t="shared" si="149"/>
        <v>0</v>
      </c>
      <c r="GP138" s="11">
        <f t="shared" si="150"/>
        <v>0</v>
      </c>
      <c r="GQ138" s="11">
        <f t="shared" si="151"/>
        <v>0</v>
      </c>
      <c r="GR138" s="11">
        <f t="shared" si="152"/>
        <v>0</v>
      </c>
      <c r="GS138" s="11">
        <f t="shared" si="153"/>
        <v>0</v>
      </c>
      <c r="GT138" s="11">
        <f t="shared" si="154"/>
        <v>0</v>
      </c>
      <c r="GU138" s="12">
        <f t="shared" si="155"/>
        <v>0</v>
      </c>
      <c r="GV138" s="12">
        <f t="shared" si="156"/>
        <v>0</v>
      </c>
      <c r="GW138" s="12">
        <f t="shared" si="157"/>
        <v>0</v>
      </c>
      <c r="GX138" s="12">
        <f t="shared" si="158"/>
        <v>0</v>
      </c>
      <c r="GY138" s="12">
        <f t="shared" si="159"/>
        <v>0</v>
      </c>
      <c r="GZ138" s="12">
        <f t="shared" si="160"/>
        <v>0</v>
      </c>
      <c r="HA138" s="12">
        <f t="shared" si="161"/>
        <v>0</v>
      </c>
      <c r="HB138" s="12">
        <f t="shared" si="162"/>
        <v>0</v>
      </c>
      <c r="HC138" s="12">
        <f t="shared" si="163"/>
        <v>0</v>
      </c>
      <c r="HD138" s="12">
        <f t="shared" si="164"/>
        <v>0</v>
      </c>
      <c r="HE138" s="12">
        <f t="shared" si="165"/>
        <v>0</v>
      </c>
      <c r="HF138" s="12">
        <f t="shared" si="166"/>
        <v>0</v>
      </c>
      <c r="HG138" s="12">
        <f t="shared" si="167"/>
        <v>0</v>
      </c>
      <c r="HH138" s="12">
        <f t="shared" si="168"/>
        <v>0</v>
      </c>
      <c r="HI138" s="12">
        <f t="shared" si="169"/>
        <v>0</v>
      </c>
      <c r="HJ138" s="12">
        <f t="shared" si="170"/>
        <v>0</v>
      </c>
      <c r="HK138" s="12">
        <f t="shared" si="171"/>
        <v>0</v>
      </c>
      <c r="HL138" s="12">
        <f t="shared" si="172"/>
        <v>0</v>
      </c>
      <c r="HM138" s="12">
        <f t="shared" si="173"/>
        <v>0</v>
      </c>
      <c r="HN138" s="12">
        <f t="shared" si="174"/>
        <v>0</v>
      </c>
      <c r="HO138" s="12">
        <f t="shared" si="175"/>
        <v>0</v>
      </c>
      <c r="HP138" s="12">
        <f t="shared" si="176"/>
        <v>0</v>
      </c>
      <c r="HQ138" s="12">
        <f t="shared" si="177"/>
        <v>0</v>
      </c>
      <c r="HR138" s="12">
        <f t="shared" si="178"/>
        <v>0</v>
      </c>
      <c r="HS138" s="12">
        <f t="shared" si="179"/>
        <v>0</v>
      </c>
      <c r="HT138" s="12">
        <f t="shared" si="180"/>
        <v>0</v>
      </c>
      <c r="HU138" s="12">
        <f t="shared" si="181"/>
        <v>0</v>
      </c>
      <c r="HV138" s="12">
        <f t="shared" si="182"/>
        <v>0</v>
      </c>
      <c r="HW138" s="12">
        <f t="shared" si="183"/>
        <v>0</v>
      </c>
      <c r="HX138" s="12">
        <f t="shared" si="184"/>
        <v>0</v>
      </c>
      <c r="HY138" s="12">
        <f t="shared" si="185"/>
        <v>0</v>
      </c>
      <c r="HZ138" s="12">
        <f t="shared" si="186"/>
        <v>0</v>
      </c>
      <c r="IA138" s="12">
        <f t="shared" si="187"/>
        <v>0</v>
      </c>
      <c r="IB138" s="12">
        <f t="shared" si="188"/>
        <v>0</v>
      </c>
      <c r="IC138" s="12">
        <f t="shared" si="189"/>
        <v>0</v>
      </c>
      <c r="ID138" s="12">
        <f t="shared" si="190"/>
        <v>0</v>
      </c>
      <c r="IE138" s="12">
        <f t="shared" si="191"/>
        <v>0</v>
      </c>
      <c r="IF138" s="12">
        <f t="shared" si="192"/>
        <v>0</v>
      </c>
      <c r="IG138" s="12">
        <f t="shared" si="193"/>
        <v>0</v>
      </c>
      <c r="IH138" s="12">
        <f t="shared" si="194"/>
        <v>0</v>
      </c>
      <c r="II138" s="12">
        <f t="shared" si="195"/>
        <v>0</v>
      </c>
      <c r="IJ138" s="12">
        <f t="shared" si="196"/>
        <v>0</v>
      </c>
      <c r="IK138" s="12">
        <f t="shared" si="197"/>
        <v>0</v>
      </c>
      <c r="IL138" s="12">
        <f t="shared" si="198"/>
        <v>0</v>
      </c>
      <c r="IM138" s="12">
        <f t="shared" si="199"/>
        <v>0</v>
      </c>
      <c r="IN138" s="12">
        <f t="shared" si="200"/>
        <v>0</v>
      </c>
      <c r="IO138" s="12">
        <f t="shared" si="201"/>
        <v>0</v>
      </c>
      <c r="IP138" s="12">
        <f t="shared" si="202"/>
        <v>0</v>
      </c>
      <c r="IQ138" s="12">
        <f t="shared" si="203"/>
        <v>0</v>
      </c>
      <c r="IR138" s="12">
        <f t="shared" si="204"/>
        <v>0</v>
      </c>
      <c r="IS138" s="12">
        <f t="shared" si="205"/>
        <v>0</v>
      </c>
      <c r="IT138" s="12">
        <f t="shared" si="206"/>
        <v>0</v>
      </c>
      <c r="IU138" s="12">
        <f t="shared" si="207"/>
        <v>0</v>
      </c>
      <c r="IV138" s="12">
        <f t="shared" si="208"/>
        <v>0</v>
      </c>
      <c r="IW138" s="12">
        <f t="shared" si="209"/>
        <v>0</v>
      </c>
      <c r="IX138" s="12">
        <f t="shared" si="210"/>
        <v>0</v>
      </c>
      <c r="IY138" s="12">
        <f t="shared" si="211"/>
        <v>0</v>
      </c>
      <c r="IZ138" s="12">
        <f t="shared" si="212"/>
        <v>0</v>
      </c>
      <c r="JA138" s="13">
        <f t="shared" si="213"/>
        <v>0</v>
      </c>
      <c r="JB138" s="13">
        <f t="shared" si="214"/>
        <v>0</v>
      </c>
      <c r="JC138" s="13">
        <f t="shared" si="215"/>
        <v>0</v>
      </c>
      <c r="JD138" s="13">
        <f t="shared" si="216"/>
        <v>0</v>
      </c>
      <c r="JE138" s="13">
        <f t="shared" si="217"/>
        <v>0</v>
      </c>
      <c r="JF138" s="13">
        <f t="shared" si="218"/>
        <v>0</v>
      </c>
      <c r="JG138" s="13">
        <f t="shared" si="219"/>
        <v>0</v>
      </c>
      <c r="JH138" s="13">
        <f t="shared" si="220"/>
        <v>0</v>
      </c>
      <c r="JI138" s="13">
        <f t="shared" si="221"/>
        <v>0</v>
      </c>
      <c r="JJ138" s="13">
        <f t="shared" si="222"/>
        <v>0</v>
      </c>
      <c r="JK138" s="13">
        <f t="shared" si="223"/>
        <v>0</v>
      </c>
      <c r="JL138" s="13">
        <f t="shared" si="224"/>
        <v>0</v>
      </c>
      <c r="JM138" s="13">
        <f t="shared" si="225"/>
        <v>0</v>
      </c>
      <c r="JN138" s="13">
        <f t="shared" si="226"/>
        <v>0</v>
      </c>
      <c r="JO138" s="13">
        <f t="shared" si="227"/>
        <v>0</v>
      </c>
      <c r="JP138" s="13">
        <f t="shared" si="228"/>
        <v>0</v>
      </c>
      <c r="JQ138" s="13">
        <f t="shared" si="229"/>
        <v>0</v>
      </c>
      <c r="JR138" s="13">
        <f t="shared" si="230"/>
        <v>0</v>
      </c>
      <c r="JS138" s="13">
        <f t="shared" si="231"/>
        <v>0</v>
      </c>
      <c r="JT138" s="13">
        <f t="shared" si="232"/>
        <v>0</v>
      </c>
      <c r="JU138" s="13">
        <f t="shared" si="233"/>
        <v>0</v>
      </c>
      <c r="JV138" s="12">
        <f t="shared" si="234"/>
        <v>0</v>
      </c>
      <c r="JW138" s="12">
        <f t="shared" si="235"/>
        <v>0</v>
      </c>
      <c r="JX138" s="12">
        <f t="shared" si="236"/>
        <v>0</v>
      </c>
      <c r="JY138" s="12">
        <f t="shared" si="237"/>
        <v>0</v>
      </c>
      <c r="JZ138" s="12">
        <f t="shared" si="238"/>
        <v>0</v>
      </c>
      <c r="KA138" s="12">
        <f t="shared" si="239"/>
        <v>0</v>
      </c>
      <c r="KB138" s="12">
        <f t="shared" si="240"/>
        <v>0</v>
      </c>
      <c r="KC138" s="12">
        <f t="shared" si="241"/>
        <v>0</v>
      </c>
      <c r="KD138" s="12">
        <f t="shared" si="242"/>
        <v>0</v>
      </c>
      <c r="KE138" s="12">
        <f t="shared" si="243"/>
        <v>0</v>
      </c>
      <c r="KF138" s="12">
        <f t="shared" si="244"/>
        <v>0</v>
      </c>
      <c r="KG138" s="12">
        <f t="shared" si="245"/>
        <v>0</v>
      </c>
      <c r="KH138" s="12">
        <f t="shared" si="246"/>
        <v>0</v>
      </c>
      <c r="KI138" s="12">
        <f t="shared" si="247"/>
        <v>0</v>
      </c>
      <c r="KJ138" s="12">
        <f t="shared" si="248"/>
        <v>0</v>
      </c>
      <c r="KK138" s="12">
        <f t="shared" si="249"/>
        <v>0</v>
      </c>
      <c r="KL138" s="12">
        <f t="shared" si="250"/>
        <v>0</v>
      </c>
      <c r="KM138" s="12">
        <f t="shared" si="251"/>
        <v>0</v>
      </c>
      <c r="KN138" s="12">
        <f t="shared" si="252"/>
        <v>0</v>
      </c>
      <c r="KO138" s="12">
        <f t="shared" si="253"/>
        <v>0</v>
      </c>
      <c r="KP138" s="12">
        <f t="shared" si="254"/>
        <v>0</v>
      </c>
      <c r="KQ138" s="12">
        <f t="shared" si="255"/>
        <v>0</v>
      </c>
      <c r="KR138" s="12">
        <f t="shared" si="256"/>
        <v>0</v>
      </c>
      <c r="KS138" s="12">
        <f t="shared" si="257"/>
        <v>0</v>
      </c>
      <c r="KT138" s="12">
        <f t="shared" si="258"/>
        <v>0</v>
      </c>
      <c r="KU138" s="12">
        <f t="shared" si="259"/>
        <v>0</v>
      </c>
      <c r="KV138" s="12">
        <f t="shared" si="260"/>
        <v>0</v>
      </c>
      <c r="KW138" s="12">
        <f t="shared" si="261"/>
        <v>0</v>
      </c>
      <c r="KX138" s="12">
        <f t="shared" si="262"/>
        <v>0</v>
      </c>
      <c r="KY138" s="12">
        <f t="shared" si="263"/>
        <v>0</v>
      </c>
      <c r="KZ138" s="12">
        <f t="shared" si="264"/>
        <v>0</v>
      </c>
      <c r="LA138" s="12">
        <f t="shared" si="265"/>
        <v>0</v>
      </c>
      <c r="LB138" s="12">
        <f t="shared" si="266"/>
        <v>0</v>
      </c>
      <c r="LC138" s="12">
        <f t="shared" si="267"/>
        <v>0</v>
      </c>
      <c r="LD138" s="12">
        <f t="shared" si="268"/>
        <v>0</v>
      </c>
      <c r="LE138" s="12">
        <f t="shared" si="269"/>
        <v>0</v>
      </c>
      <c r="LF138" s="12">
        <f t="shared" si="270"/>
        <v>0</v>
      </c>
      <c r="LG138" s="12">
        <f t="shared" si="271"/>
        <v>0</v>
      </c>
      <c r="LH138" s="12">
        <f t="shared" si="272"/>
        <v>0</v>
      </c>
      <c r="LI138" s="12">
        <f t="shared" si="273"/>
        <v>0</v>
      </c>
      <c r="LJ138" s="12">
        <f t="shared" si="274"/>
        <v>0</v>
      </c>
      <c r="LK138" s="12">
        <f t="shared" si="275"/>
        <v>0</v>
      </c>
      <c r="LL138" s="12">
        <f t="shared" si="276"/>
        <v>0</v>
      </c>
      <c r="LM138" s="12">
        <f t="shared" si="277"/>
        <v>0</v>
      </c>
      <c r="LN138" s="12">
        <f t="shared" si="278"/>
        <v>0</v>
      </c>
      <c r="LO138" s="12">
        <f t="shared" si="279"/>
        <v>0</v>
      </c>
      <c r="LP138" s="12">
        <f t="shared" si="280"/>
        <v>0</v>
      </c>
      <c r="LQ138" s="12">
        <f t="shared" si="281"/>
        <v>0</v>
      </c>
      <c r="LR138" s="12">
        <f t="shared" si="282"/>
        <v>0</v>
      </c>
      <c r="LS138" s="12">
        <f t="shared" si="283"/>
        <v>0</v>
      </c>
      <c r="LT138" s="13">
        <f t="shared" si="284"/>
        <v>0</v>
      </c>
      <c r="LU138" s="13">
        <f t="shared" si="285"/>
        <v>0</v>
      </c>
      <c r="LV138" s="13">
        <f t="shared" si="286"/>
        <v>0</v>
      </c>
      <c r="LW138" s="13">
        <f t="shared" si="287"/>
        <v>0</v>
      </c>
      <c r="LX138" s="13">
        <f t="shared" si="288"/>
        <v>0</v>
      </c>
      <c r="LY138" s="13">
        <f t="shared" si="289"/>
        <v>0</v>
      </c>
      <c r="LZ138" s="13">
        <f t="shared" si="290"/>
        <v>0</v>
      </c>
      <c r="MA138" s="13">
        <f t="shared" si="291"/>
        <v>0</v>
      </c>
      <c r="MB138" s="13">
        <f t="shared" si="292"/>
        <v>0</v>
      </c>
      <c r="MC138" s="13">
        <f t="shared" si="293"/>
        <v>0</v>
      </c>
      <c r="MD138" s="13">
        <f t="shared" si="294"/>
        <v>0</v>
      </c>
      <c r="ME138" s="13">
        <f t="shared" si="295"/>
        <v>0</v>
      </c>
      <c r="MF138" s="13">
        <f t="shared" si="296"/>
        <v>0</v>
      </c>
      <c r="MG138" s="13">
        <f t="shared" si="297"/>
        <v>0</v>
      </c>
      <c r="MH138" s="13">
        <f t="shared" si="298"/>
        <v>0</v>
      </c>
      <c r="MI138" s="13">
        <f t="shared" si="299"/>
        <v>0</v>
      </c>
      <c r="MJ138" s="13">
        <f t="shared" si="300"/>
        <v>0</v>
      </c>
      <c r="MK138" s="13">
        <f t="shared" si="301"/>
        <v>0</v>
      </c>
      <c r="ML138" s="14">
        <f t="shared" si="302"/>
        <v>0</v>
      </c>
      <c r="MM138" s="14">
        <f t="shared" si="303"/>
        <v>0</v>
      </c>
      <c r="MN138" s="14">
        <f t="shared" si="304"/>
        <v>0</v>
      </c>
      <c r="MO138" s="14">
        <f t="shared" si="305"/>
        <v>0</v>
      </c>
      <c r="MP138" s="14">
        <f t="shared" si="306"/>
        <v>0</v>
      </c>
      <c r="MQ138" s="14">
        <f t="shared" si="307"/>
        <v>0</v>
      </c>
      <c r="MR138" s="14">
        <f t="shared" si="308"/>
        <v>0</v>
      </c>
      <c r="MS138" s="14">
        <f t="shared" si="309"/>
        <v>0</v>
      </c>
      <c r="MT138" s="14">
        <f t="shared" si="310"/>
        <v>0</v>
      </c>
      <c r="MU138" s="14">
        <f t="shared" si="311"/>
        <v>0</v>
      </c>
      <c r="MV138" s="14">
        <f t="shared" si="312"/>
        <v>0</v>
      </c>
      <c r="MW138" s="14">
        <f t="shared" si="313"/>
        <v>0</v>
      </c>
      <c r="MX138" s="14">
        <f t="shared" si="314"/>
        <v>0</v>
      </c>
      <c r="MY138" s="14">
        <f t="shared" si="315"/>
        <v>0</v>
      </c>
      <c r="MZ138" s="14">
        <f t="shared" si="316"/>
        <v>0</v>
      </c>
      <c r="NA138" s="14">
        <f t="shared" si="317"/>
        <v>0</v>
      </c>
      <c r="NB138" s="14">
        <f t="shared" si="318"/>
        <v>0</v>
      </c>
    </row>
    <row r="139" ht="15.75" customHeight="1">
      <c r="A139" s="2">
        <v>93.0</v>
      </c>
      <c r="B139" s="2" t="s">
        <v>2714</v>
      </c>
      <c r="C139" s="2" t="s">
        <v>2715</v>
      </c>
      <c r="D139" s="2" t="s">
        <v>2716</v>
      </c>
      <c r="E139" s="2">
        <v>2021.0</v>
      </c>
      <c r="F139" s="2" t="s">
        <v>2717</v>
      </c>
      <c r="G139" s="2" t="s">
        <v>1633</v>
      </c>
      <c r="J139" s="2" t="s">
        <v>2718</v>
      </c>
      <c r="K139" s="2" t="s">
        <v>2719</v>
      </c>
      <c r="M139" s="2">
        <v>4.0</v>
      </c>
      <c r="N139" s="2" t="s">
        <v>2720</v>
      </c>
      <c r="O139" s="2" t="s">
        <v>2721</v>
      </c>
      <c r="P139" s="2" t="s">
        <v>2722</v>
      </c>
      <c r="Q139" s="2" t="s">
        <v>2723</v>
      </c>
      <c r="R139" s="2" t="s">
        <v>2724</v>
      </c>
      <c r="S139" s="2" t="s">
        <v>2725</v>
      </c>
      <c r="T139" s="2" t="s">
        <v>2726</v>
      </c>
      <c r="Y139" s="2" t="s">
        <v>2727</v>
      </c>
      <c r="AB139" s="2" t="s">
        <v>646</v>
      </c>
      <c r="AG139" s="2" t="s">
        <v>2728</v>
      </c>
      <c r="AI139" s="2" t="s">
        <v>2729</v>
      </c>
      <c r="AJ139" s="2">
        <v>3.3901837E7</v>
      </c>
      <c r="AK139" s="2" t="s">
        <v>2730</v>
      </c>
      <c r="AL139" s="2" t="s">
        <v>384</v>
      </c>
      <c r="AM139" s="2" t="s">
        <v>579</v>
      </c>
      <c r="AN139" s="2" t="s">
        <v>386</v>
      </c>
      <c r="AO139" s="2" t="s">
        <v>2731</v>
      </c>
      <c r="AP139" s="2" t="s">
        <v>386</v>
      </c>
      <c r="AQ139" s="2">
        <v>302.0</v>
      </c>
      <c r="AR139" s="2" t="s">
        <v>2732</v>
      </c>
      <c r="AS139" s="2" t="b">
        <v>1</v>
      </c>
      <c r="AT139" s="3">
        <v>0.0</v>
      </c>
      <c r="AU139" s="4"/>
      <c r="AV139" s="4">
        <v>1.0</v>
      </c>
      <c r="AW139" s="5">
        <f t="shared" si="432"/>
        <v>0</v>
      </c>
      <c r="AX139" s="5">
        <f t="shared" si="4"/>
        <v>0</v>
      </c>
      <c r="AY139" s="5">
        <f t="shared" si="5"/>
        <v>0</v>
      </c>
      <c r="AZ139" s="5">
        <f t="shared" si="6"/>
        <v>0</v>
      </c>
      <c r="BA139" s="5">
        <f t="shared" si="7"/>
        <v>0</v>
      </c>
      <c r="BB139" s="5">
        <f t="shared" si="8"/>
        <v>0</v>
      </c>
      <c r="BC139" s="5">
        <f t="shared" si="9"/>
        <v>0</v>
      </c>
      <c r="BD139" s="5">
        <f t="shared" si="10"/>
        <v>0</v>
      </c>
      <c r="BE139" s="5">
        <f t="shared" si="11"/>
        <v>0</v>
      </c>
      <c r="BF139" s="5">
        <f t="shared" si="12"/>
        <v>0</v>
      </c>
      <c r="BG139" s="5">
        <f t="shared" si="13"/>
        <v>0</v>
      </c>
      <c r="BH139" s="5">
        <f t="shared" si="14"/>
        <v>0</v>
      </c>
      <c r="BI139" s="5">
        <f t="shared" si="15"/>
        <v>0</v>
      </c>
      <c r="BJ139" s="5">
        <f t="shared" si="16"/>
        <v>0</v>
      </c>
      <c r="BK139" s="5">
        <f t="shared" si="17"/>
        <v>0</v>
      </c>
      <c r="BL139" s="5">
        <f t="shared" si="18"/>
        <v>0</v>
      </c>
      <c r="BM139" s="5">
        <f t="shared" si="19"/>
        <v>0</v>
      </c>
      <c r="BN139" s="5">
        <f t="shared" si="20"/>
        <v>0</v>
      </c>
      <c r="BO139" s="5">
        <f t="shared" si="21"/>
        <v>0</v>
      </c>
      <c r="BP139" s="5">
        <f t="shared" si="22"/>
        <v>0</v>
      </c>
      <c r="BQ139" s="5">
        <f t="shared" si="23"/>
        <v>0</v>
      </c>
      <c r="BR139" s="5">
        <f t="shared" si="24"/>
        <v>0</v>
      </c>
      <c r="BS139" s="5">
        <f t="shared" si="25"/>
        <v>0</v>
      </c>
      <c r="BT139" s="5">
        <f t="shared" si="26"/>
        <v>0</v>
      </c>
      <c r="BU139" s="5">
        <f t="shared" si="27"/>
        <v>0</v>
      </c>
      <c r="BV139" s="5">
        <f t="shared" ref="BV139:BW139" si="626">IF(OR(ISNUMBER(SEARCH("grit",$D139)),ISNUMBER(SEARCH("grit",$T139)),ISNUMBER(SEARCH("grit",$R139)),ISNUMBER(SEARCH("grit",$S139)),
ISNUMBER(SEARCH("determination",$D139)),ISNUMBER(SEARCH("determination",$T139)),ISNUMBER(SEARCH("determination",$R139)),ISNUMBER(SEARCH("determination",$S139)),
ISNUMBER(SEARCH("tenacity",$D139)),ISNUMBER(SEARCH("tenacity",$T139)),ISNUMBER(SEARCH("tenacity",$R139)),ISNUMBER(SEARCH("tenacity",$S139)),
ISNUMBER(SEARCH("endurance",$D139)),ISNUMBER(SEARCH("endurance",$T139)),ISNUMBER(SEARCH("endurance",$R139)),ISNUMBER(SEARCH("endurance",$S139)),
ISNUMBER(SEARCH("fortitude",$D139)),ISNUMBER(SEARCH("fortitude",$T139)),ISNUMBER(SEARCH("fortitude",$R139)),ISNUMBER(SEARCH("fortitude",$S139)),
ISNUMBER(SEARCH("resolve",$D139)),ISNUMBER(SEARCH("resolve",$T139)),ISNUMBER(SEARCH("resolve",$R139)),ISNUMBER(SEARCH("resolve",$S139)),
ISNUMBER(SEARCH("stamina",$D139)),ISNUMBER(SEARCH("stamina",$T139)),ISNUMBER(SEARCH("stamina",$R139)),ISNUMBER(SEARCH("stamina",$S139)),
ISNUMBER(SEARCH("guts",$D139)),ISNUMBER(SEARCH("guts",$T139)),ISNUMBER(SEARCH("guts",$R139)),ISNUMBER(SEARCH("guts",$S139)),
ISNUMBER(SEARCH("spunk",$D139)),ISNUMBER(SEARCH("spunk",$T139)),ISNUMBER(SEARCH("spunk",$R139)),ISNUMBER(SEARCH("spunk",$S139))), 1, 0)</f>
        <v>0</v>
      </c>
      <c r="BW139" s="5">
        <f t="shared" si="626"/>
        <v>0</v>
      </c>
      <c r="BX139" s="5">
        <f t="shared" si="29"/>
        <v>0</v>
      </c>
      <c r="BY139" s="5">
        <f t="shared" si="30"/>
        <v>0</v>
      </c>
      <c r="BZ139" s="5">
        <f t="shared" si="31"/>
        <v>0</v>
      </c>
      <c r="CA139" s="5">
        <f t="shared" si="32"/>
        <v>0</v>
      </c>
      <c r="CB139" s="5">
        <f t="shared" si="33"/>
        <v>0</v>
      </c>
      <c r="CC139" s="5">
        <f t="shared" si="34"/>
        <v>0</v>
      </c>
      <c r="CD139" s="5">
        <f t="shared" si="35"/>
        <v>0</v>
      </c>
      <c r="CE139" s="5">
        <f t="shared" si="36"/>
        <v>0</v>
      </c>
      <c r="CF139" s="5">
        <f t="shared" si="37"/>
        <v>0</v>
      </c>
      <c r="CG139" s="5">
        <f t="shared" si="38"/>
        <v>0</v>
      </c>
      <c r="CH139" s="5">
        <f t="shared" si="39"/>
        <v>0</v>
      </c>
      <c r="CI139" s="5">
        <f t="shared" si="40"/>
        <v>0</v>
      </c>
      <c r="CJ139" s="5">
        <f t="shared" si="41"/>
        <v>0</v>
      </c>
      <c r="CK139" s="5">
        <f t="shared" si="42"/>
        <v>1</v>
      </c>
      <c r="CL139" s="5">
        <f t="shared" si="43"/>
        <v>0</v>
      </c>
      <c r="CM139" s="5">
        <f t="shared" si="44"/>
        <v>0</v>
      </c>
      <c r="CN139" s="5">
        <f t="shared" si="45"/>
        <v>0</v>
      </c>
      <c r="CO139" s="5">
        <f t="shared" si="46"/>
        <v>0</v>
      </c>
      <c r="CP139" s="6">
        <f t="shared" si="47"/>
        <v>0</v>
      </c>
      <c r="CQ139" s="6">
        <f t="shared" si="48"/>
        <v>0</v>
      </c>
      <c r="CR139" s="6">
        <f t="shared" si="49"/>
        <v>0</v>
      </c>
      <c r="CS139" s="6">
        <f t="shared" si="50"/>
        <v>0</v>
      </c>
      <c r="CT139" s="6">
        <f t="shared" si="584"/>
        <v>0</v>
      </c>
      <c r="CU139" s="6">
        <f t="shared" si="52"/>
        <v>0</v>
      </c>
      <c r="CV139" s="6">
        <f t="shared" si="53"/>
        <v>0</v>
      </c>
      <c r="CW139" s="6">
        <f t="shared" si="54"/>
        <v>0</v>
      </c>
      <c r="CX139" s="6">
        <f t="shared" si="55"/>
        <v>0</v>
      </c>
      <c r="CY139" s="6">
        <f t="shared" si="56"/>
        <v>0</v>
      </c>
      <c r="CZ139" s="6">
        <f t="shared" si="57"/>
        <v>0</v>
      </c>
      <c r="DA139" s="6">
        <f t="shared" si="58"/>
        <v>0</v>
      </c>
      <c r="DB139" s="6">
        <f t="shared" si="59"/>
        <v>0</v>
      </c>
      <c r="DC139" s="6">
        <f t="shared" si="60"/>
        <v>0</v>
      </c>
      <c r="DD139" s="6">
        <f t="shared" si="61"/>
        <v>0</v>
      </c>
      <c r="DE139" s="6">
        <f t="shared" si="62"/>
        <v>0</v>
      </c>
      <c r="DF139" s="6">
        <f t="shared" si="63"/>
        <v>0</v>
      </c>
      <c r="DG139" s="6">
        <f t="shared" si="64"/>
        <v>0</v>
      </c>
      <c r="DH139" s="6">
        <f t="shared" ref="DH139:DH147" si="630">IF(
OR(
ISNUMBER(SEARCH("Spirituality",$D139)),ISNUMBER(SEARCH("Spirituality",$T139)),ISNUMBER(SEARCH("Spirituality",$R137)),ISNUMBER(SEARCH("Spirituality",$S139)),
ISNUMBER(SEARCH("religio",$D139)),ISNUMBER(SEARCH("religio",$T139)),ISNUMBER(SEARCH("religio",$R139)),ISNUMBER(SEARCH("religio",$S139))), 1, 0)</f>
        <v>0</v>
      </c>
      <c r="DI139" s="6">
        <f t="shared" si="66"/>
        <v>0</v>
      </c>
      <c r="DJ139" s="6">
        <f t="shared" si="574"/>
        <v>0</v>
      </c>
      <c r="DK139" s="7">
        <f t="shared" si="68"/>
        <v>0</v>
      </c>
      <c r="DL139" s="7">
        <f t="shared" si="498"/>
        <v>0</v>
      </c>
      <c r="DM139" s="7">
        <f t="shared" si="70"/>
        <v>0</v>
      </c>
      <c r="DN139" s="7">
        <f t="shared" si="71"/>
        <v>0</v>
      </c>
      <c r="DO139" s="7">
        <f t="shared" si="72"/>
        <v>1</v>
      </c>
      <c r="DP139" s="8">
        <f t="shared" si="73"/>
        <v>0</v>
      </c>
      <c r="DQ139" s="8">
        <f t="shared" si="74"/>
        <v>1</v>
      </c>
      <c r="DR139" s="7">
        <f t="shared" si="75"/>
        <v>0</v>
      </c>
      <c r="DS139" s="7">
        <f t="shared" si="76"/>
        <v>0</v>
      </c>
      <c r="DT139" s="7">
        <f t="shared" si="77"/>
        <v>0</v>
      </c>
      <c r="DU139" s="9">
        <f t="shared" si="78"/>
        <v>0</v>
      </c>
      <c r="DV139" s="9">
        <f t="shared" si="79"/>
        <v>0</v>
      </c>
      <c r="DW139" s="9">
        <f t="shared" si="80"/>
        <v>0</v>
      </c>
      <c r="DX139" s="9">
        <f t="shared" si="81"/>
        <v>0</v>
      </c>
      <c r="DY139" s="9">
        <f t="shared" si="82"/>
        <v>0</v>
      </c>
      <c r="DZ139" s="9">
        <f t="shared" si="83"/>
        <v>0</v>
      </c>
      <c r="EA139" s="9">
        <f t="shared" si="84"/>
        <v>0</v>
      </c>
      <c r="EB139" s="9">
        <f t="shared" si="85"/>
        <v>0</v>
      </c>
      <c r="EC139" s="9">
        <f t="shared" si="86"/>
        <v>0</v>
      </c>
      <c r="ED139" s="9">
        <f t="shared" si="87"/>
        <v>0</v>
      </c>
      <c r="EE139" s="9">
        <f t="shared" si="88"/>
        <v>0</v>
      </c>
      <c r="EF139" s="9">
        <f t="shared" si="89"/>
        <v>0</v>
      </c>
      <c r="EG139" s="9">
        <f t="shared" si="90"/>
        <v>0</v>
      </c>
      <c r="EH139" s="9">
        <f t="shared" si="91"/>
        <v>0</v>
      </c>
      <c r="EI139" s="9">
        <f t="shared" si="92"/>
        <v>0</v>
      </c>
      <c r="EJ139" s="10">
        <f t="shared" si="93"/>
        <v>0</v>
      </c>
      <c r="EK139" s="10">
        <f t="shared" si="94"/>
        <v>0</v>
      </c>
      <c r="EL139" s="10">
        <f t="shared" ref="EL139:EM139" si="627">IF(OR(ISNUMBER(SEARCH("ai software toolkit", $D139)), ISNUMBER(SEARCH("ai software toolkit", $T139)), ISNUMBER(SEARCH("ai software toolkit", $R139)), ISNUMBER(SEARCH("ai software toolkit", $S139))), 1, 0)</f>
        <v>0</v>
      </c>
      <c r="EM139" s="10">
        <f t="shared" si="627"/>
        <v>0</v>
      </c>
      <c r="EN139" s="10">
        <f t="shared" si="96"/>
        <v>0</v>
      </c>
      <c r="EO139" s="10">
        <f t="shared" si="97"/>
        <v>0</v>
      </c>
      <c r="EP139" s="10">
        <f t="shared" si="98"/>
        <v>0</v>
      </c>
      <c r="EQ139" s="10">
        <f t="shared" si="99"/>
        <v>0</v>
      </c>
      <c r="ER139" s="10">
        <f t="shared" si="100"/>
        <v>0</v>
      </c>
      <c r="ES139" s="10">
        <f t="shared" si="101"/>
        <v>0</v>
      </c>
      <c r="ET139" s="10">
        <f t="shared" si="102"/>
        <v>0</v>
      </c>
      <c r="EU139" s="10">
        <f t="shared" si="103"/>
        <v>0</v>
      </c>
      <c r="EV139" s="10">
        <f t="shared" si="104"/>
        <v>0</v>
      </c>
      <c r="EW139" s="10">
        <f t="shared" si="105"/>
        <v>0</v>
      </c>
      <c r="EX139" s="10">
        <f t="shared" si="106"/>
        <v>0</v>
      </c>
      <c r="EY139" s="10">
        <f t="shared" si="107"/>
        <v>0</v>
      </c>
      <c r="EZ139" s="10">
        <f t="shared" si="108"/>
        <v>0</v>
      </c>
      <c r="FA139" s="10">
        <f t="shared" si="109"/>
        <v>0</v>
      </c>
      <c r="FB139" s="10">
        <f t="shared" si="110"/>
        <v>0</v>
      </c>
      <c r="FC139" s="10">
        <f t="shared" si="111"/>
        <v>0</v>
      </c>
      <c r="FD139" s="10">
        <f t="shared" si="112"/>
        <v>0</v>
      </c>
      <c r="FE139" s="10">
        <f t="shared" si="113"/>
        <v>0</v>
      </c>
      <c r="FF139" s="10">
        <f t="shared" si="114"/>
        <v>0</v>
      </c>
      <c r="FG139" s="10">
        <f t="shared" si="115"/>
        <v>0</v>
      </c>
      <c r="FH139" s="10">
        <f t="shared" si="116"/>
        <v>0</v>
      </c>
      <c r="FI139" s="10">
        <f t="shared" si="117"/>
        <v>0</v>
      </c>
      <c r="FJ139" s="10">
        <f t="shared" si="118"/>
        <v>0</v>
      </c>
      <c r="FK139" s="10">
        <f t="shared" si="119"/>
        <v>0</v>
      </c>
      <c r="FL139" s="10">
        <f t="shared" si="120"/>
        <v>0</v>
      </c>
      <c r="FM139" s="10">
        <f t="shared" si="121"/>
        <v>0</v>
      </c>
      <c r="FN139" s="10">
        <f t="shared" si="122"/>
        <v>0</v>
      </c>
      <c r="FO139" s="10">
        <f t="shared" si="123"/>
        <v>0</v>
      </c>
      <c r="FP139" s="10">
        <f t="shared" si="124"/>
        <v>0</v>
      </c>
      <c r="FQ139" s="10">
        <f t="shared" si="125"/>
        <v>0</v>
      </c>
      <c r="FR139" s="11">
        <f t="shared" si="628"/>
        <v>0</v>
      </c>
      <c r="FS139" s="11">
        <f t="shared" si="127"/>
        <v>0</v>
      </c>
      <c r="FT139" s="11">
        <f t="shared" si="128"/>
        <v>0</v>
      </c>
      <c r="FU139" s="11">
        <f t="shared" si="129"/>
        <v>0</v>
      </c>
      <c r="FV139" s="11">
        <f t="shared" si="130"/>
        <v>0</v>
      </c>
      <c r="FW139" s="11">
        <f t="shared" si="131"/>
        <v>0</v>
      </c>
      <c r="FX139" s="11">
        <f t="shared" si="132"/>
        <v>0</v>
      </c>
      <c r="FY139" s="11">
        <f t="shared" si="133"/>
        <v>0</v>
      </c>
      <c r="FZ139" s="11">
        <f t="shared" si="134"/>
        <v>0</v>
      </c>
      <c r="GA139" s="11">
        <f t="shared" si="135"/>
        <v>0</v>
      </c>
      <c r="GB139" s="11">
        <f t="shared" si="136"/>
        <v>0</v>
      </c>
      <c r="GC139" s="11">
        <f t="shared" si="137"/>
        <v>0</v>
      </c>
      <c r="GD139" s="11">
        <f t="shared" si="138"/>
        <v>0</v>
      </c>
      <c r="GE139" s="11">
        <f t="shared" si="139"/>
        <v>0</v>
      </c>
      <c r="GF139" s="11">
        <f t="shared" si="140"/>
        <v>0</v>
      </c>
      <c r="GG139" s="11">
        <f t="shared" si="141"/>
        <v>0</v>
      </c>
      <c r="GH139" s="11">
        <f t="shared" si="142"/>
        <v>0</v>
      </c>
      <c r="GI139" s="11">
        <f t="shared" si="143"/>
        <v>0</v>
      </c>
      <c r="GJ139" s="11">
        <f t="shared" si="144"/>
        <v>0</v>
      </c>
      <c r="GK139" s="11">
        <f t="shared" si="145"/>
        <v>0</v>
      </c>
      <c r="GL139" s="11">
        <f t="shared" si="146"/>
        <v>0</v>
      </c>
      <c r="GM139" s="11">
        <f t="shared" si="147"/>
        <v>0</v>
      </c>
      <c r="GN139" s="11">
        <f t="shared" si="148"/>
        <v>0</v>
      </c>
      <c r="GO139" s="11">
        <f t="shared" si="149"/>
        <v>0</v>
      </c>
      <c r="GP139" s="11">
        <f t="shared" si="150"/>
        <v>0</v>
      </c>
      <c r="GQ139" s="11">
        <f t="shared" si="151"/>
        <v>0</v>
      </c>
      <c r="GR139" s="11">
        <f t="shared" si="152"/>
        <v>0</v>
      </c>
      <c r="GS139" s="11">
        <f t="shared" si="153"/>
        <v>0</v>
      </c>
      <c r="GT139" s="11">
        <f t="shared" si="154"/>
        <v>0</v>
      </c>
      <c r="GU139" s="12">
        <f t="shared" si="155"/>
        <v>0</v>
      </c>
      <c r="GV139" s="12">
        <f t="shared" si="156"/>
        <v>0</v>
      </c>
      <c r="GW139" s="12">
        <f t="shared" si="157"/>
        <v>0</v>
      </c>
      <c r="GX139" s="12">
        <f t="shared" si="158"/>
        <v>0</v>
      </c>
      <c r="GY139" s="12">
        <f t="shared" si="159"/>
        <v>0</v>
      </c>
      <c r="GZ139" s="12">
        <f t="shared" si="160"/>
        <v>0</v>
      </c>
      <c r="HA139" s="12">
        <f t="shared" si="161"/>
        <v>0</v>
      </c>
      <c r="HB139" s="12">
        <f t="shared" si="162"/>
        <v>0</v>
      </c>
      <c r="HC139" s="12">
        <f t="shared" si="163"/>
        <v>0</v>
      </c>
      <c r="HD139" s="12">
        <f t="shared" si="164"/>
        <v>0</v>
      </c>
      <c r="HE139" s="12">
        <f t="shared" si="165"/>
        <v>0</v>
      </c>
      <c r="HF139" s="12">
        <f t="shared" si="166"/>
        <v>0</v>
      </c>
      <c r="HG139" s="12">
        <f t="shared" si="167"/>
        <v>0</v>
      </c>
      <c r="HH139" s="12">
        <f t="shared" si="168"/>
        <v>0</v>
      </c>
      <c r="HI139" s="12">
        <f t="shared" si="169"/>
        <v>0</v>
      </c>
      <c r="HJ139" s="12">
        <f t="shared" si="170"/>
        <v>0</v>
      </c>
      <c r="HK139" s="12">
        <f t="shared" si="171"/>
        <v>0</v>
      </c>
      <c r="HL139" s="12">
        <f t="shared" si="172"/>
        <v>0</v>
      </c>
      <c r="HM139" s="12">
        <f t="shared" si="173"/>
        <v>0</v>
      </c>
      <c r="HN139" s="12">
        <f t="shared" si="174"/>
        <v>0</v>
      </c>
      <c r="HO139" s="12">
        <f t="shared" si="175"/>
        <v>0</v>
      </c>
      <c r="HP139" s="12">
        <f t="shared" si="176"/>
        <v>0</v>
      </c>
      <c r="HQ139" s="12">
        <f t="shared" si="177"/>
        <v>0</v>
      </c>
      <c r="HR139" s="12">
        <f t="shared" si="178"/>
        <v>0</v>
      </c>
      <c r="HS139" s="12">
        <f t="shared" si="179"/>
        <v>0</v>
      </c>
      <c r="HT139" s="12">
        <f t="shared" si="180"/>
        <v>0</v>
      </c>
      <c r="HU139" s="12">
        <f t="shared" si="181"/>
        <v>0</v>
      </c>
      <c r="HV139" s="12">
        <f t="shared" si="182"/>
        <v>0</v>
      </c>
      <c r="HW139" s="12">
        <f t="shared" si="183"/>
        <v>0</v>
      </c>
      <c r="HX139" s="12">
        <f t="shared" si="184"/>
        <v>0</v>
      </c>
      <c r="HY139" s="12">
        <f t="shared" si="185"/>
        <v>0</v>
      </c>
      <c r="HZ139" s="12">
        <f t="shared" si="186"/>
        <v>0</v>
      </c>
      <c r="IA139" s="12">
        <f t="shared" si="187"/>
        <v>0</v>
      </c>
      <c r="IB139" s="12">
        <f t="shared" si="188"/>
        <v>0</v>
      </c>
      <c r="IC139" s="12">
        <f t="shared" si="189"/>
        <v>0</v>
      </c>
      <c r="ID139" s="12">
        <f t="shared" si="190"/>
        <v>0</v>
      </c>
      <c r="IE139" s="12">
        <f t="shared" si="191"/>
        <v>0</v>
      </c>
      <c r="IF139" s="12">
        <f t="shared" si="192"/>
        <v>0</v>
      </c>
      <c r="IG139" s="12">
        <f t="shared" si="193"/>
        <v>0</v>
      </c>
      <c r="IH139" s="12">
        <f t="shared" si="194"/>
        <v>0</v>
      </c>
      <c r="II139" s="12">
        <f t="shared" si="195"/>
        <v>0</v>
      </c>
      <c r="IJ139" s="12">
        <f t="shared" si="196"/>
        <v>0</v>
      </c>
      <c r="IK139" s="12">
        <f t="shared" si="197"/>
        <v>0</v>
      </c>
      <c r="IL139" s="12">
        <f t="shared" si="198"/>
        <v>0</v>
      </c>
      <c r="IM139" s="12">
        <f t="shared" si="199"/>
        <v>0</v>
      </c>
      <c r="IN139" s="12">
        <f t="shared" si="200"/>
        <v>0</v>
      </c>
      <c r="IO139" s="12">
        <f t="shared" si="201"/>
        <v>0</v>
      </c>
      <c r="IP139" s="12">
        <f t="shared" si="202"/>
        <v>0</v>
      </c>
      <c r="IQ139" s="12">
        <f t="shared" si="203"/>
        <v>0</v>
      </c>
      <c r="IR139" s="12">
        <f t="shared" si="204"/>
        <v>0</v>
      </c>
      <c r="IS139" s="12">
        <f t="shared" si="205"/>
        <v>0</v>
      </c>
      <c r="IT139" s="12">
        <f t="shared" si="206"/>
        <v>0</v>
      </c>
      <c r="IU139" s="12">
        <f t="shared" si="207"/>
        <v>0</v>
      </c>
      <c r="IV139" s="12">
        <f t="shared" si="208"/>
        <v>0</v>
      </c>
      <c r="IW139" s="12">
        <f t="shared" si="209"/>
        <v>0</v>
      </c>
      <c r="IX139" s="12">
        <f t="shared" si="210"/>
        <v>0</v>
      </c>
      <c r="IY139" s="12">
        <f t="shared" si="211"/>
        <v>0</v>
      </c>
      <c r="IZ139" s="12">
        <f t="shared" si="212"/>
        <v>0</v>
      </c>
      <c r="JA139" s="13">
        <f t="shared" si="213"/>
        <v>0</v>
      </c>
      <c r="JB139" s="13">
        <f t="shared" si="214"/>
        <v>0</v>
      </c>
      <c r="JC139" s="13">
        <f t="shared" si="215"/>
        <v>0</v>
      </c>
      <c r="JD139" s="13">
        <f t="shared" si="216"/>
        <v>0</v>
      </c>
      <c r="JE139" s="13">
        <f t="shared" si="217"/>
        <v>0</v>
      </c>
      <c r="JF139" s="13">
        <f t="shared" si="218"/>
        <v>0</v>
      </c>
      <c r="JG139" s="13">
        <f t="shared" si="219"/>
        <v>0</v>
      </c>
      <c r="JH139" s="13">
        <f t="shared" si="220"/>
        <v>0</v>
      </c>
      <c r="JI139" s="13">
        <f t="shared" si="221"/>
        <v>0</v>
      </c>
      <c r="JJ139" s="13">
        <f t="shared" si="222"/>
        <v>0</v>
      </c>
      <c r="JK139" s="13">
        <f t="shared" si="223"/>
        <v>0</v>
      </c>
      <c r="JL139" s="13">
        <f t="shared" si="224"/>
        <v>0</v>
      </c>
      <c r="JM139" s="13">
        <f t="shared" si="225"/>
        <v>0</v>
      </c>
      <c r="JN139" s="13">
        <f t="shared" si="226"/>
        <v>0</v>
      </c>
      <c r="JO139" s="13">
        <f t="shared" si="227"/>
        <v>0</v>
      </c>
      <c r="JP139" s="13">
        <f t="shared" si="228"/>
        <v>0</v>
      </c>
      <c r="JQ139" s="13">
        <f t="shared" si="229"/>
        <v>0</v>
      </c>
      <c r="JR139" s="13">
        <f t="shared" si="230"/>
        <v>0</v>
      </c>
      <c r="JS139" s="13">
        <f t="shared" si="231"/>
        <v>0</v>
      </c>
      <c r="JT139" s="13">
        <f t="shared" si="232"/>
        <v>0</v>
      </c>
      <c r="JU139" s="13">
        <f t="shared" si="233"/>
        <v>0</v>
      </c>
      <c r="JV139" s="12">
        <f t="shared" si="234"/>
        <v>0</v>
      </c>
      <c r="JW139" s="12">
        <f t="shared" si="235"/>
        <v>0</v>
      </c>
      <c r="JX139" s="12">
        <f t="shared" si="236"/>
        <v>0</v>
      </c>
      <c r="JY139" s="12">
        <f t="shared" si="237"/>
        <v>0</v>
      </c>
      <c r="JZ139" s="12">
        <f t="shared" si="238"/>
        <v>0</v>
      </c>
      <c r="KA139" s="12">
        <f t="shared" si="239"/>
        <v>0</v>
      </c>
      <c r="KB139" s="12">
        <f t="shared" si="240"/>
        <v>0</v>
      </c>
      <c r="KC139" s="12">
        <f t="shared" si="241"/>
        <v>0</v>
      </c>
      <c r="KD139" s="12">
        <f t="shared" si="242"/>
        <v>0</v>
      </c>
      <c r="KE139" s="12">
        <f t="shared" si="243"/>
        <v>0</v>
      </c>
      <c r="KF139" s="12">
        <f t="shared" si="244"/>
        <v>0</v>
      </c>
      <c r="KG139" s="12">
        <f t="shared" si="245"/>
        <v>0</v>
      </c>
      <c r="KH139" s="12">
        <f t="shared" si="246"/>
        <v>0</v>
      </c>
      <c r="KI139" s="12">
        <f t="shared" si="247"/>
        <v>0</v>
      </c>
      <c r="KJ139" s="12">
        <f t="shared" si="248"/>
        <v>0</v>
      </c>
      <c r="KK139" s="12">
        <f t="shared" si="249"/>
        <v>0</v>
      </c>
      <c r="KL139" s="12">
        <f t="shared" si="250"/>
        <v>0</v>
      </c>
      <c r="KM139" s="12">
        <f t="shared" si="251"/>
        <v>0</v>
      </c>
      <c r="KN139" s="12">
        <f t="shared" si="252"/>
        <v>0</v>
      </c>
      <c r="KO139" s="12">
        <f t="shared" si="253"/>
        <v>0</v>
      </c>
      <c r="KP139" s="12">
        <f t="shared" si="254"/>
        <v>0</v>
      </c>
      <c r="KQ139" s="12">
        <f t="shared" si="255"/>
        <v>0</v>
      </c>
      <c r="KR139" s="12">
        <f t="shared" si="256"/>
        <v>0</v>
      </c>
      <c r="KS139" s="12">
        <f t="shared" si="257"/>
        <v>0</v>
      </c>
      <c r="KT139" s="12">
        <f t="shared" si="258"/>
        <v>0</v>
      </c>
      <c r="KU139" s="12">
        <f t="shared" si="259"/>
        <v>0</v>
      </c>
      <c r="KV139" s="12">
        <f t="shared" si="260"/>
        <v>0</v>
      </c>
      <c r="KW139" s="12">
        <f t="shared" si="261"/>
        <v>0</v>
      </c>
      <c r="KX139" s="12">
        <f t="shared" si="262"/>
        <v>0</v>
      </c>
      <c r="KY139" s="12">
        <f t="shared" si="263"/>
        <v>0</v>
      </c>
      <c r="KZ139" s="12">
        <f t="shared" si="264"/>
        <v>0</v>
      </c>
      <c r="LA139" s="12">
        <f t="shared" si="265"/>
        <v>0</v>
      </c>
      <c r="LB139" s="12">
        <f t="shared" si="266"/>
        <v>0</v>
      </c>
      <c r="LC139" s="12">
        <f t="shared" si="267"/>
        <v>0</v>
      </c>
      <c r="LD139" s="12">
        <f t="shared" si="268"/>
        <v>0</v>
      </c>
      <c r="LE139" s="12">
        <f t="shared" si="269"/>
        <v>0</v>
      </c>
      <c r="LF139" s="12">
        <f t="shared" si="270"/>
        <v>0</v>
      </c>
      <c r="LG139" s="12">
        <f t="shared" si="271"/>
        <v>0</v>
      </c>
      <c r="LH139" s="12">
        <f t="shared" si="272"/>
        <v>0</v>
      </c>
      <c r="LI139" s="12">
        <f t="shared" si="273"/>
        <v>0</v>
      </c>
      <c r="LJ139" s="12">
        <f t="shared" si="274"/>
        <v>0</v>
      </c>
      <c r="LK139" s="12">
        <f t="shared" si="275"/>
        <v>0</v>
      </c>
      <c r="LL139" s="12">
        <f t="shared" si="276"/>
        <v>0</v>
      </c>
      <c r="LM139" s="12">
        <f t="shared" si="277"/>
        <v>0</v>
      </c>
      <c r="LN139" s="12">
        <f t="shared" si="278"/>
        <v>0</v>
      </c>
      <c r="LO139" s="12">
        <f t="shared" si="279"/>
        <v>0</v>
      </c>
      <c r="LP139" s="12">
        <f t="shared" si="280"/>
        <v>0</v>
      </c>
      <c r="LQ139" s="12">
        <f t="shared" si="281"/>
        <v>0</v>
      </c>
      <c r="LR139" s="12">
        <f t="shared" si="282"/>
        <v>0</v>
      </c>
      <c r="LS139" s="12">
        <f t="shared" si="283"/>
        <v>0</v>
      </c>
      <c r="LT139" s="13">
        <f t="shared" si="284"/>
        <v>0</v>
      </c>
      <c r="LU139" s="13">
        <f t="shared" si="285"/>
        <v>0</v>
      </c>
      <c r="LV139" s="13">
        <f t="shared" si="286"/>
        <v>0</v>
      </c>
      <c r="LW139" s="13">
        <f t="shared" si="287"/>
        <v>0</v>
      </c>
      <c r="LX139" s="13">
        <f t="shared" si="288"/>
        <v>0</v>
      </c>
      <c r="LY139" s="13">
        <f t="shared" si="289"/>
        <v>0</v>
      </c>
      <c r="LZ139" s="13">
        <f t="shared" si="290"/>
        <v>0</v>
      </c>
      <c r="MA139" s="13">
        <f t="shared" si="291"/>
        <v>0</v>
      </c>
      <c r="MB139" s="13">
        <f t="shared" si="292"/>
        <v>0</v>
      </c>
      <c r="MC139" s="13">
        <f t="shared" si="293"/>
        <v>0</v>
      </c>
      <c r="MD139" s="13">
        <f t="shared" si="294"/>
        <v>0</v>
      </c>
      <c r="ME139" s="13">
        <f t="shared" si="295"/>
        <v>0</v>
      </c>
      <c r="MF139" s="13">
        <f t="shared" si="296"/>
        <v>0</v>
      </c>
      <c r="MG139" s="13">
        <f t="shared" si="297"/>
        <v>0</v>
      </c>
      <c r="MH139" s="13">
        <f t="shared" si="298"/>
        <v>0</v>
      </c>
      <c r="MI139" s="13">
        <f t="shared" si="299"/>
        <v>0</v>
      </c>
      <c r="MJ139" s="13">
        <f t="shared" si="300"/>
        <v>0</v>
      </c>
      <c r="MK139" s="13">
        <f t="shared" si="301"/>
        <v>0</v>
      </c>
      <c r="ML139" s="14">
        <f t="shared" si="302"/>
        <v>0</v>
      </c>
      <c r="MM139" s="14">
        <f t="shared" si="303"/>
        <v>0</v>
      </c>
      <c r="MN139" s="14">
        <f t="shared" si="304"/>
        <v>0</v>
      </c>
      <c r="MO139" s="14">
        <f t="shared" si="305"/>
        <v>0</v>
      </c>
      <c r="MP139" s="14">
        <f t="shared" si="306"/>
        <v>0</v>
      </c>
      <c r="MQ139" s="14">
        <f t="shared" si="307"/>
        <v>0</v>
      </c>
      <c r="MR139" s="14">
        <f t="shared" si="308"/>
        <v>0</v>
      </c>
      <c r="MS139" s="14">
        <f t="shared" si="309"/>
        <v>0</v>
      </c>
      <c r="MT139" s="14">
        <f t="shared" si="310"/>
        <v>0</v>
      </c>
      <c r="MU139" s="14">
        <f t="shared" si="311"/>
        <v>0</v>
      </c>
      <c r="MV139" s="14">
        <f t="shared" si="312"/>
        <v>0</v>
      </c>
      <c r="MW139" s="14">
        <f t="shared" si="313"/>
        <v>0</v>
      </c>
      <c r="MX139" s="14">
        <f t="shared" si="314"/>
        <v>0</v>
      </c>
      <c r="MY139" s="14">
        <f t="shared" si="315"/>
        <v>1</v>
      </c>
      <c r="MZ139" s="14">
        <f t="shared" si="316"/>
        <v>0</v>
      </c>
      <c r="NA139" s="14">
        <f t="shared" si="317"/>
        <v>0</v>
      </c>
      <c r="NB139" s="14">
        <f t="shared" si="318"/>
        <v>0</v>
      </c>
    </row>
    <row r="140" ht="15.75" customHeight="1">
      <c r="A140" s="2">
        <v>70.0</v>
      </c>
      <c r="B140" s="2" t="s">
        <v>2733</v>
      </c>
      <c r="C140" s="2" t="s">
        <v>2734</v>
      </c>
      <c r="D140" s="2" t="s">
        <v>2735</v>
      </c>
      <c r="E140" s="2">
        <v>2021.0</v>
      </c>
      <c r="F140" s="2" t="s">
        <v>1125</v>
      </c>
      <c r="G140" s="2" t="s">
        <v>371</v>
      </c>
      <c r="I140" s="2" t="s">
        <v>2736</v>
      </c>
      <c r="M140" s="2">
        <v>4.0</v>
      </c>
      <c r="N140" s="2" t="s">
        <v>2737</v>
      </c>
      <c r="O140" s="2" t="s">
        <v>2738</v>
      </c>
      <c r="P140" s="2" t="s">
        <v>2739</v>
      </c>
      <c r="Q140" s="2" t="s">
        <v>2740</v>
      </c>
      <c r="R140" s="2" t="s">
        <v>2741</v>
      </c>
      <c r="S140" s="2" t="s">
        <v>2742</v>
      </c>
      <c r="Y140" s="2" t="s">
        <v>2743</v>
      </c>
      <c r="AB140" s="2" t="s">
        <v>1039</v>
      </c>
      <c r="AG140" s="2" t="s">
        <v>1134</v>
      </c>
      <c r="AK140" s="2" t="s">
        <v>1135</v>
      </c>
      <c r="AL140" s="2" t="s">
        <v>384</v>
      </c>
      <c r="AM140" s="2" t="s">
        <v>484</v>
      </c>
      <c r="AN140" s="2" t="s">
        <v>386</v>
      </c>
      <c r="AO140" s="2" t="s">
        <v>2744</v>
      </c>
      <c r="AP140" s="2" t="s">
        <v>386</v>
      </c>
      <c r="AQ140" s="2">
        <v>211.0</v>
      </c>
      <c r="AR140" s="2" t="s">
        <v>2745</v>
      </c>
      <c r="AS140" s="2" t="b">
        <v>1</v>
      </c>
      <c r="AT140" s="3">
        <v>0.0</v>
      </c>
      <c r="AU140" s="4"/>
      <c r="AV140" s="4">
        <v>1.0</v>
      </c>
      <c r="AW140" s="5">
        <f t="shared" si="432"/>
        <v>0</v>
      </c>
      <c r="AX140" s="5">
        <f t="shared" si="4"/>
        <v>0</v>
      </c>
      <c r="AY140" s="5">
        <f t="shared" si="5"/>
        <v>0</v>
      </c>
      <c r="AZ140" s="5">
        <f t="shared" si="6"/>
        <v>0</v>
      </c>
      <c r="BA140" s="5">
        <f t="shared" si="7"/>
        <v>0</v>
      </c>
      <c r="BB140" s="5">
        <f t="shared" si="8"/>
        <v>0</v>
      </c>
      <c r="BC140" s="5">
        <f t="shared" si="9"/>
        <v>0</v>
      </c>
      <c r="BD140" s="5">
        <f t="shared" si="10"/>
        <v>0</v>
      </c>
      <c r="BE140" s="5">
        <f t="shared" si="11"/>
        <v>0</v>
      </c>
      <c r="BF140" s="5">
        <f t="shared" si="12"/>
        <v>0</v>
      </c>
      <c r="BG140" s="5">
        <f t="shared" si="13"/>
        <v>0</v>
      </c>
      <c r="BH140" s="5">
        <f t="shared" si="14"/>
        <v>0</v>
      </c>
      <c r="BI140" s="5">
        <f t="shared" si="15"/>
        <v>0</v>
      </c>
      <c r="BJ140" s="5">
        <f t="shared" si="16"/>
        <v>0</v>
      </c>
      <c r="BK140" s="5">
        <f t="shared" si="17"/>
        <v>0</v>
      </c>
      <c r="BL140" s="5">
        <f t="shared" si="18"/>
        <v>0</v>
      </c>
      <c r="BM140" s="5">
        <f t="shared" si="19"/>
        <v>0</v>
      </c>
      <c r="BN140" s="5">
        <f t="shared" si="20"/>
        <v>0</v>
      </c>
      <c r="BO140" s="5">
        <f t="shared" si="21"/>
        <v>0</v>
      </c>
      <c r="BP140" s="5">
        <f t="shared" si="22"/>
        <v>0</v>
      </c>
      <c r="BQ140" s="5">
        <f t="shared" si="23"/>
        <v>0</v>
      </c>
      <c r="BR140" s="5">
        <f t="shared" si="24"/>
        <v>0</v>
      </c>
      <c r="BS140" s="5">
        <f t="shared" si="25"/>
        <v>0</v>
      </c>
      <c r="BT140" s="5">
        <f t="shared" si="26"/>
        <v>0</v>
      </c>
      <c r="BU140" s="5">
        <f t="shared" si="27"/>
        <v>0</v>
      </c>
      <c r="BV140" s="5">
        <f t="shared" ref="BV140:BW140" si="629">IF(OR(ISNUMBER(SEARCH("grit",$D140)),ISNUMBER(SEARCH("grit",$T140)),ISNUMBER(SEARCH("grit",$R140)),ISNUMBER(SEARCH("grit",$S140)),
ISNUMBER(SEARCH("determination",$D140)),ISNUMBER(SEARCH("determination",$T140)),ISNUMBER(SEARCH("determination",$R140)),ISNUMBER(SEARCH("determination",$S140)),
ISNUMBER(SEARCH("tenacity",$D140)),ISNUMBER(SEARCH("tenacity",$T140)),ISNUMBER(SEARCH("tenacity",$R140)),ISNUMBER(SEARCH("tenacity",$S140)),
ISNUMBER(SEARCH("endurance",$D140)),ISNUMBER(SEARCH("endurance",$T140)),ISNUMBER(SEARCH("endurance",$R140)),ISNUMBER(SEARCH("endurance",$S140)),
ISNUMBER(SEARCH("fortitude",$D140)),ISNUMBER(SEARCH("fortitude",$T140)),ISNUMBER(SEARCH("fortitude",$R140)),ISNUMBER(SEARCH("fortitude",$S140)),
ISNUMBER(SEARCH("resolve",$D140)),ISNUMBER(SEARCH("resolve",$T140)),ISNUMBER(SEARCH("resolve",$R140)),ISNUMBER(SEARCH("resolve",$S140)),
ISNUMBER(SEARCH("stamina",$D140)),ISNUMBER(SEARCH("stamina",$T140)),ISNUMBER(SEARCH("stamina",$R140)),ISNUMBER(SEARCH("stamina",$S140)),
ISNUMBER(SEARCH("guts",$D140)),ISNUMBER(SEARCH("guts",$T140)),ISNUMBER(SEARCH("guts",$R140)),ISNUMBER(SEARCH("guts",$S140)),
ISNUMBER(SEARCH("spunk",$D140)),ISNUMBER(SEARCH("spunk",$T140)),ISNUMBER(SEARCH("spunk",$R140)),ISNUMBER(SEARCH("spunk",$S140))), 1, 0)</f>
        <v>0</v>
      </c>
      <c r="BW140" s="5">
        <f t="shared" si="629"/>
        <v>0</v>
      </c>
      <c r="BX140" s="5">
        <f t="shared" si="29"/>
        <v>0</v>
      </c>
      <c r="BY140" s="5">
        <f t="shared" si="30"/>
        <v>0</v>
      </c>
      <c r="BZ140" s="5">
        <f t="shared" si="31"/>
        <v>0</v>
      </c>
      <c r="CA140" s="5">
        <f t="shared" si="32"/>
        <v>0</v>
      </c>
      <c r="CB140" s="5">
        <f t="shared" si="33"/>
        <v>0</v>
      </c>
      <c r="CC140" s="5">
        <f t="shared" si="34"/>
        <v>0</v>
      </c>
      <c r="CD140" s="5">
        <f t="shared" si="35"/>
        <v>0</v>
      </c>
      <c r="CE140" s="5">
        <f t="shared" si="36"/>
        <v>0</v>
      </c>
      <c r="CF140" s="5">
        <f t="shared" si="37"/>
        <v>0</v>
      </c>
      <c r="CG140" s="5">
        <f t="shared" si="38"/>
        <v>0</v>
      </c>
      <c r="CH140" s="5">
        <f t="shared" si="39"/>
        <v>0</v>
      </c>
      <c r="CI140" s="5">
        <f t="shared" si="40"/>
        <v>0</v>
      </c>
      <c r="CJ140" s="5">
        <f t="shared" si="41"/>
        <v>0</v>
      </c>
      <c r="CK140" s="5">
        <f t="shared" si="42"/>
        <v>1</v>
      </c>
      <c r="CL140" s="5">
        <f t="shared" si="43"/>
        <v>0</v>
      </c>
      <c r="CM140" s="5">
        <f t="shared" si="44"/>
        <v>0</v>
      </c>
      <c r="CN140" s="5">
        <f t="shared" si="45"/>
        <v>0</v>
      </c>
      <c r="CO140" s="5">
        <f t="shared" si="46"/>
        <v>0</v>
      </c>
      <c r="CP140" s="6">
        <f t="shared" si="47"/>
        <v>0</v>
      </c>
      <c r="CQ140" s="6">
        <f t="shared" si="48"/>
        <v>0</v>
      </c>
      <c r="CR140" s="6">
        <f t="shared" si="49"/>
        <v>0</v>
      </c>
      <c r="CS140" s="6">
        <f t="shared" si="50"/>
        <v>0</v>
      </c>
      <c r="CT140" s="6">
        <f t="shared" si="584"/>
        <v>0</v>
      </c>
      <c r="CU140" s="6">
        <f t="shared" si="52"/>
        <v>0</v>
      </c>
      <c r="CV140" s="6">
        <f t="shared" si="53"/>
        <v>0</v>
      </c>
      <c r="CW140" s="6">
        <f t="shared" si="54"/>
        <v>1</v>
      </c>
      <c r="CX140" s="6">
        <f t="shared" si="55"/>
        <v>0</v>
      </c>
      <c r="CY140" s="6">
        <f t="shared" si="56"/>
        <v>0</v>
      </c>
      <c r="CZ140" s="6">
        <f t="shared" si="57"/>
        <v>0</v>
      </c>
      <c r="DA140" s="6">
        <f t="shared" si="58"/>
        <v>0</v>
      </c>
      <c r="DB140" s="6">
        <f t="shared" si="59"/>
        <v>0</v>
      </c>
      <c r="DC140" s="6">
        <f t="shared" si="60"/>
        <v>0</v>
      </c>
      <c r="DD140" s="6">
        <f t="shared" si="61"/>
        <v>0</v>
      </c>
      <c r="DE140" s="6">
        <f t="shared" si="62"/>
        <v>0</v>
      </c>
      <c r="DF140" s="6">
        <f t="shared" si="63"/>
        <v>0</v>
      </c>
      <c r="DG140" s="6">
        <f t="shared" si="64"/>
        <v>0</v>
      </c>
      <c r="DH140" s="6">
        <f t="shared" si="630"/>
        <v>0</v>
      </c>
      <c r="DI140" s="6">
        <f t="shared" si="66"/>
        <v>0</v>
      </c>
      <c r="DJ140" s="6">
        <f t="shared" si="574"/>
        <v>0</v>
      </c>
      <c r="DK140" s="7">
        <f t="shared" si="68"/>
        <v>0</v>
      </c>
      <c r="DL140" s="7">
        <f t="shared" si="498"/>
        <v>0</v>
      </c>
      <c r="DM140" s="7">
        <f t="shared" si="70"/>
        <v>0</v>
      </c>
      <c r="DN140" s="7">
        <f t="shared" si="71"/>
        <v>0</v>
      </c>
      <c r="DO140" s="7">
        <f t="shared" si="72"/>
        <v>1</v>
      </c>
      <c r="DP140" s="8">
        <f t="shared" si="73"/>
        <v>0</v>
      </c>
      <c r="DQ140" s="8">
        <f t="shared" si="74"/>
        <v>1</v>
      </c>
      <c r="DR140" s="7">
        <f t="shared" si="75"/>
        <v>0</v>
      </c>
      <c r="DS140" s="7">
        <f t="shared" si="76"/>
        <v>0</v>
      </c>
      <c r="DT140" s="7">
        <f t="shared" si="77"/>
        <v>0</v>
      </c>
      <c r="DU140" s="9">
        <f t="shared" si="78"/>
        <v>0</v>
      </c>
      <c r="DV140" s="9">
        <f t="shared" si="79"/>
        <v>0</v>
      </c>
      <c r="DW140" s="9">
        <f t="shared" si="80"/>
        <v>0</v>
      </c>
      <c r="DX140" s="9">
        <f t="shared" si="81"/>
        <v>0</v>
      </c>
      <c r="DY140" s="9">
        <f t="shared" si="82"/>
        <v>0</v>
      </c>
      <c r="DZ140" s="9">
        <f t="shared" si="83"/>
        <v>0</v>
      </c>
      <c r="EA140" s="9">
        <f t="shared" si="84"/>
        <v>0</v>
      </c>
      <c r="EB140" s="9">
        <f t="shared" si="85"/>
        <v>0</v>
      </c>
      <c r="EC140" s="9">
        <f t="shared" si="86"/>
        <v>0</v>
      </c>
      <c r="ED140" s="9">
        <f t="shared" si="87"/>
        <v>0</v>
      </c>
      <c r="EE140" s="9">
        <f t="shared" si="88"/>
        <v>0</v>
      </c>
      <c r="EF140" s="9">
        <f t="shared" si="89"/>
        <v>0</v>
      </c>
      <c r="EG140" s="9">
        <f t="shared" si="90"/>
        <v>0</v>
      </c>
      <c r="EH140" s="9">
        <f t="shared" si="91"/>
        <v>0</v>
      </c>
      <c r="EI140" s="9">
        <f t="shared" si="92"/>
        <v>0</v>
      </c>
      <c r="EJ140" s="10">
        <f t="shared" si="93"/>
        <v>0</v>
      </c>
      <c r="EK140" s="10">
        <f t="shared" si="94"/>
        <v>0</v>
      </c>
      <c r="EL140" s="10">
        <f t="shared" ref="EL140:EM140" si="631">IF(OR(ISNUMBER(SEARCH("ai software toolkit", $D140)), ISNUMBER(SEARCH("ai software toolkit", $T140)), ISNUMBER(SEARCH("ai software toolkit", $R140)), ISNUMBER(SEARCH("ai software toolkit", $S140))), 1, 0)</f>
        <v>0</v>
      </c>
      <c r="EM140" s="10">
        <f t="shared" si="631"/>
        <v>0</v>
      </c>
      <c r="EN140" s="10">
        <f t="shared" si="96"/>
        <v>0</v>
      </c>
      <c r="EO140" s="10">
        <f t="shared" si="97"/>
        <v>0</v>
      </c>
      <c r="EP140" s="10">
        <f t="shared" si="98"/>
        <v>0</v>
      </c>
      <c r="EQ140" s="10">
        <f t="shared" si="99"/>
        <v>0</v>
      </c>
      <c r="ER140" s="10">
        <f t="shared" si="100"/>
        <v>0</v>
      </c>
      <c r="ES140" s="10">
        <f t="shared" si="101"/>
        <v>0</v>
      </c>
      <c r="ET140" s="10">
        <f t="shared" si="102"/>
        <v>0</v>
      </c>
      <c r="EU140" s="10">
        <f t="shared" si="103"/>
        <v>0</v>
      </c>
      <c r="EV140" s="10">
        <f t="shared" si="104"/>
        <v>0</v>
      </c>
      <c r="EW140" s="10">
        <f t="shared" si="105"/>
        <v>0</v>
      </c>
      <c r="EX140" s="10">
        <f t="shared" si="106"/>
        <v>0</v>
      </c>
      <c r="EY140" s="10">
        <f t="shared" si="107"/>
        <v>0</v>
      </c>
      <c r="EZ140" s="10">
        <f t="shared" si="108"/>
        <v>0</v>
      </c>
      <c r="FA140" s="10">
        <f t="shared" si="109"/>
        <v>0</v>
      </c>
      <c r="FB140" s="10">
        <f t="shared" si="110"/>
        <v>0</v>
      </c>
      <c r="FC140" s="10">
        <f t="shared" si="111"/>
        <v>0</v>
      </c>
      <c r="FD140" s="10">
        <f t="shared" si="112"/>
        <v>0</v>
      </c>
      <c r="FE140" s="10">
        <f t="shared" si="113"/>
        <v>0</v>
      </c>
      <c r="FF140" s="10">
        <f t="shared" si="114"/>
        <v>0</v>
      </c>
      <c r="FG140" s="10">
        <f t="shared" si="115"/>
        <v>0</v>
      </c>
      <c r="FH140" s="10">
        <f t="shared" si="116"/>
        <v>0</v>
      </c>
      <c r="FI140" s="10">
        <f t="shared" si="117"/>
        <v>0</v>
      </c>
      <c r="FJ140" s="10">
        <f t="shared" si="118"/>
        <v>0</v>
      </c>
      <c r="FK140" s="10">
        <f t="shared" si="119"/>
        <v>0</v>
      </c>
      <c r="FL140" s="10">
        <f t="shared" si="120"/>
        <v>0</v>
      </c>
      <c r="FM140" s="10">
        <f t="shared" si="121"/>
        <v>0</v>
      </c>
      <c r="FN140" s="10">
        <f t="shared" si="122"/>
        <v>0</v>
      </c>
      <c r="FO140" s="10">
        <f t="shared" si="123"/>
        <v>0</v>
      </c>
      <c r="FP140" s="10">
        <f t="shared" si="124"/>
        <v>0</v>
      </c>
      <c r="FQ140" s="10">
        <f t="shared" si="125"/>
        <v>0</v>
      </c>
      <c r="FR140" s="11">
        <f>IF(
OR(
ISNUMBER(SEARCH("chatbot",$D140)),ISNUMBER(SEARCH("chatbot",$T140)),ISNUMBER(SEARCH("chatbot",$R139)),ISNUMBER(SEARCH("chatbot",$S140)),
ISNUMBER(SEARCH("virtual assistance",$D140)),ISNUMBER(SEARCH("virtual assistance",$T140)),ISNUMBER(SEARCH("virtual assistance",$R140)),ISNUMBER(SEARCH("virtual assistance",$S140))), 1, 0)</f>
        <v>0</v>
      </c>
      <c r="FS140" s="11">
        <f t="shared" si="127"/>
        <v>0</v>
      </c>
      <c r="FT140" s="11">
        <f t="shared" si="128"/>
        <v>0</v>
      </c>
      <c r="FU140" s="11">
        <f t="shared" si="129"/>
        <v>0</v>
      </c>
      <c r="FV140" s="11">
        <f t="shared" si="130"/>
        <v>0</v>
      </c>
      <c r="FW140" s="11">
        <f t="shared" si="131"/>
        <v>0</v>
      </c>
      <c r="FX140" s="11">
        <f t="shared" si="132"/>
        <v>0</v>
      </c>
      <c r="FY140" s="11">
        <f t="shared" si="133"/>
        <v>0</v>
      </c>
      <c r="FZ140" s="11">
        <f t="shared" si="134"/>
        <v>0</v>
      </c>
      <c r="GA140" s="11">
        <f t="shared" si="135"/>
        <v>0</v>
      </c>
      <c r="GB140" s="11">
        <f t="shared" si="136"/>
        <v>0</v>
      </c>
      <c r="GC140" s="11">
        <f t="shared" si="137"/>
        <v>0</v>
      </c>
      <c r="GD140" s="11">
        <f t="shared" si="138"/>
        <v>0</v>
      </c>
      <c r="GE140" s="11">
        <f t="shared" si="139"/>
        <v>0</v>
      </c>
      <c r="GF140" s="11">
        <f t="shared" si="140"/>
        <v>0</v>
      </c>
      <c r="GG140" s="11">
        <f t="shared" si="141"/>
        <v>0</v>
      </c>
      <c r="GH140" s="11">
        <f t="shared" si="142"/>
        <v>0</v>
      </c>
      <c r="GI140" s="11">
        <f t="shared" si="143"/>
        <v>0</v>
      </c>
      <c r="GJ140" s="11">
        <f t="shared" si="144"/>
        <v>0</v>
      </c>
      <c r="GK140" s="11">
        <f t="shared" si="145"/>
        <v>0</v>
      </c>
      <c r="GL140" s="11">
        <f t="shared" si="146"/>
        <v>0</v>
      </c>
      <c r="GM140" s="11">
        <f t="shared" si="147"/>
        <v>0</v>
      </c>
      <c r="GN140" s="11">
        <f t="shared" si="148"/>
        <v>0</v>
      </c>
      <c r="GO140" s="11">
        <f t="shared" si="149"/>
        <v>0</v>
      </c>
      <c r="GP140" s="11">
        <f t="shared" si="150"/>
        <v>0</v>
      </c>
      <c r="GQ140" s="11">
        <f t="shared" si="151"/>
        <v>0</v>
      </c>
      <c r="GR140" s="11">
        <f t="shared" si="152"/>
        <v>0</v>
      </c>
      <c r="GS140" s="11">
        <f t="shared" si="153"/>
        <v>0</v>
      </c>
      <c r="GT140" s="11">
        <f t="shared" si="154"/>
        <v>0</v>
      </c>
      <c r="GU140" s="12">
        <f t="shared" si="155"/>
        <v>0</v>
      </c>
      <c r="GV140" s="12">
        <f t="shared" si="156"/>
        <v>0</v>
      </c>
      <c r="GW140" s="12">
        <f t="shared" si="157"/>
        <v>0</v>
      </c>
      <c r="GX140" s="12">
        <f t="shared" si="158"/>
        <v>0</v>
      </c>
      <c r="GY140" s="12">
        <f t="shared" si="159"/>
        <v>0</v>
      </c>
      <c r="GZ140" s="12">
        <f t="shared" si="160"/>
        <v>0</v>
      </c>
      <c r="HA140" s="12">
        <f t="shared" si="161"/>
        <v>0</v>
      </c>
      <c r="HB140" s="12">
        <f t="shared" si="162"/>
        <v>0</v>
      </c>
      <c r="HC140" s="12">
        <f t="shared" si="163"/>
        <v>0</v>
      </c>
      <c r="HD140" s="12">
        <f t="shared" si="164"/>
        <v>0</v>
      </c>
      <c r="HE140" s="12">
        <f t="shared" si="165"/>
        <v>0</v>
      </c>
      <c r="HF140" s="12">
        <f t="shared" si="166"/>
        <v>0</v>
      </c>
      <c r="HG140" s="12">
        <f t="shared" si="167"/>
        <v>0</v>
      </c>
      <c r="HH140" s="12">
        <f t="shared" si="168"/>
        <v>0</v>
      </c>
      <c r="HI140" s="12">
        <f t="shared" si="169"/>
        <v>0</v>
      </c>
      <c r="HJ140" s="12">
        <f t="shared" si="170"/>
        <v>0</v>
      </c>
      <c r="HK140" s="12">
        <f t="shared" si="171"/>
        <v>0</v>
      </c>
      <c r="HL140" s="12">
        <f t="shared" si="172"/>
        <v>0</v>
      </c>
      <c r="HM140" s="12">
        <f t="shared" si="173"/>
        <v>0</v>
      </c>
      <c r="HN140" s="12">
        <f t="shared" si="174"/>
        <v>0</v>
      </c>
      <c r="HO140" s="12">
        <f t="shared" si="175"/>
        <v>0</v>
      </c>
      <c r="HP140" s="12">
        <f t="shared" si="176"/>
        <v>0</v>
      </c>
      <c r="HQ140" s="12">
        <f t="shared" si="177"/>
        <v>0</v>
      </c>
      <c r="HR140" s="12">
        <f t="shared" si="178"/>
        <v>0</v>
      </c>
      <c r="HS140" s="12">
        <f t="shared" si="179"/>
        <v>0</v>
      </c>
      <c r="HT140" s="12">
        <f t="shared" si="180"/>
        <v>0</v>
      </c>
      <c r="HU140" s="12">
        <f t="shared" si="181"/>
        <v>0</v>
      </c>
      <c r="HV140" s="12">
        <f t="shared" si="182"/>
        <v>0</v>
      </c>
      <c r="HW140" s="12">
        <f t="shared" si="183"/>
        <v>0</v>
      </c>
      <c r="HX140" s="12">
        <f t="shared" si="184"/>
        <v>0</v>
      </c>
      <c r="HY140" s="12">
        <f t="shared" si="185"/>
        <v>0</v>
      </c>
      <c r="HZ140" s="12">
        <f t="shared" si="186"/>
        <v>0</v>
      </c>
      <c r="IA140" s="12">
        <f t="shared" si="187"/>
        <v>0</v>
      </c>
      <c r="IB140" s="12">
        <f t="shared" si="188"/>
        <v>0</v>
      </c>
      <c r="IC140" s="12">
        <f t="shared" si="189"/>
        <v>0</v>
      </c>
      <c r="ID140" s="12">
        <f t="shared" si="190"/>
        <v>0</v>
      </c>
      <c r="IE140" s="12">
        <f t="shared" si="191"/>
        <v>0</v>
      </c>
      <c r="IF140" s="12">
        <f t="shared" si="192"/>
        <v>0</v>
      </c>
      <c r="IG140" s="12">
        <f t="shared" si="193"/>
        <v>0</v>
      </c>
      <c r="IH140" s="12">
        <f t="shared" si="194"/>
        <v>0</v>
      </c>
      <c r="II140" s="12">
        <f t="shared" si="195"/>
        <v>0</v>
      </c>
      <c r="IJ140" s="12">
        <f t="shared" si="196"/>
        <v>0</v>
      </c>
      <c r="IK140" s="12">
        <f t="shared" si="197"/>
        <v>0</v>
      </c>
      <c r="IL140" s="12">
        <f t="shared" si="198"/>
        <v>0</v>
      </c>
      <c r="IM140" s="12">
        <f t="shared" si="199"/>
        <v>0</v>
      </c>
      <c r="IN140" s="12">
        <f t="shared" si="200"/>
        <v>0</v>
      </c>
      <c r="IO140" s="12">
        <f t="shared" si="201"/>
        <v>0</v>
      </c>
      <c r="IP140" s="12">
        <f t="shared" si="202"/>
        <v>0</v>
      </c>
      <c r="IQ140" s="12">
        <f t="shared" si="203"/>
        <v>0</v>
      </c>
      <c r="IR140" s="12">
        <f t="shared" si="204"/>
        <v>0</v>
      </c>
      <c r="IS140" s="12">
        <f t="shared" si="205"/>
        <v>0</v>
      </c>
      <c r="IT140" s="12">
        <f t="shared" si="206"/>
        <v>0</v>
      </c>
      <c r="IU140" s="12">
        <f t="shared" si="207"/>
        <v>0</v>
      </c>
      <c r="IV140" s="12">
        <f t="shared" si="208"/>
        <v>0</v>
      </c>
      <c r="IW140" s="12">
        <f t="shared" si="209"/>
        <v>0</v>
      </c>
      <c r="IX140" s="12">
        <f t="shared" si="210"/>
        <v>0</v>
      </c>
      <c r="IY140" s="12">
        <f t="shared" si="211"/>
        <v>0</v>
      </c>
      <c r="IZ140" s="12">
        <f t="shared" si="212"/>
        <v>0</v>
      </c>
      <c r="JA140" s="13">
        <f t="shared" si="213"/>
        <v>0</v>
      </c>
      <c r="JB140" s="13">
        <f t="shared" si="214"/>
        <v>0</v>
      </c>
      <c r="JC140" s="13">
        <f t="shared" si="215"/>
        <v>0</v>
      </c>
      <c r="JD140" s="13">
        <f t="shared" si="216"/>
        <v>0</v>
      </c>
      <c r="JE140" s="13">
        <f t="shared" si="217"/>
        <v>0</v>
      </c>
      <c r="JF140" s="13">
        <f t="shared" si="218"/>
        <v>0</v>
      </c>
      <c r="JG140" s="13">
        <f t="shared" si="219"/>
        <v>0</v>
      </c>
      <c r="JH140" s="13">
        <f t="shared" si="220"/>
        <v>0</v>
      </c>
      <c r="JI140" s="13">
        <f t="shared" si="221"/>
        <v>0</v>
      </c>
      <c r="JJ140" s="13">
        <f t="shared" si="222"/>
        <v>0</v>
      </c>
      <c r="JK140" s="13">
        <f t="shared" si="223"/>
        <v>0</v>
      </c>
      <c r="JL140" s="13">
        <f t="shared" si="224"/>
        <v>0</v>
      </c>
      <c r="JM140" s="13">
        <f t="shared" si="225"/>
        <v>0</v>
      </c>
      <c r="JN140" s="13">
        <f t="shared" si="226"/>
        <v>0</v>
      </c>
      <c r="JO140" s="13">
        <f t="shared" si="227"/>
        <v>0</v>
      </c>
      <c r="JP140" s="13">
        <f t="shared" si="228"/>
        <v>0</v>
      </c>
      <c r="JQ140" s="13">
        <f t="shared" si="229"/>
        <v>0</v>
      </c>
      <c r="JR140" s="13">
        <f t="shared" si="230"/>
        <v>0</v>
      </c>
      <c r="JS140" s="13">
        <f t="shared" si="231"/>
        <v>0</v>
      </c>
      <c r="JT140" s="13">
        <f t="shared" si="232"/>
        <v>0</v>
      </c>
      <c r="JU140" s="13">
        <f t="shared" si="233"/>
        <v>0</v>
      </c>
      <c r="JV140" s="12">
        <f t="shared" si="234"/>
        <v>0</v>
      </c>
      <c r="JW140" s="12">
        <f t="shared" si="235"/>
        <v>0</v>
      </c>
      <c r="JX140" s="12">
        <f t="shared" si="236"/>
        <v>0</v>
      </c>
      <c r="JY140" s="12">
        <f t="shared" si="237"/>
        <v>0</v>
      </c>
      <c r="JZ140" s="12">
        <f t="shared" si="238"/>
        <v>0</v>
      </c>
      <c r="KA140" s="12">
        <f t="shared" si="239"/>
        <v>0</v>
      </c>
      <c r="KB140" s="12">
        <f t="shared" si="240"/>
        <v>0</v>
      </c>
      <c r="KC140" s="12">
        <f t="shared" si="241"/>
        <v>0</v>
      </c>
      <c r="KD140" s="12">
        <f t="shared" si="242"/>
        <v>0</v>
      </c>
      <c r="KE140" s="12">
        <f t="shared" si="243"/>
        <v>0</v>
      </c>
      <c r="KF140" s="12">
        <f t="shared" si="244"/>
        <v>0</v>
      </c>
      <c r="KG140" s="12">
        <f t="shared" si="245"/>
        <v>0</v>
      </c>
      <c r="KH140" s="12">
        <f t="shared" si="246"/>
        <v>0</v>
      </c>
      <c r="KI140" s="12">
        <f t="shared" si="247"/>
        <v>0</v>
      </c>
      <c r="KJ140" s="12">
        <f t="shared" si="248"/>
        <v>0</v>
      </c>
      <c r="KK140" s="12">
        <f t="shared" si="249"/>
        <v>0</v>
      </c>
      <c r="KL140" s="12">
        <f t="shared" si="250"/>
        <v>0</v>
      </c>
      <c r="KM140" s="12">
        <f t="shared" si="251"/>
        <v>0</v>
      </c>
      <c r="KN140" s="12">
        <f t="shared" si="252"/>
        <v>0</v>
      </c>
      <c r="KO140" s="12">
        <f t="shared" si="253"/>
        <v>0</v>
      </c>
      <c r="KP140" s="12">
        <f t="shared" si="254"/>
        <v>0</v>
      </c>
      <c r="KQ140" s="12">
        <f t="shared" si="255"/>
        <v>0</v>
      </c>
      <c r="KR140" s="12">
        <f t="shared" si="256"/>
        <v>0</v>
      </c>
      <c r="KS140" s="12">
        <f t="shared" si="257"/>
        <v>0</v>
      </c>
      <c r="KT140" s="12">
        <f t="shared" si="258"/>
        <v>0</v>
      </c>
      <c r="KU140" s="12">
        <f t="shared" si="259"/>
        <v>0</v>
      </c>
      <c r="KV140" s="12">
        <f t="shared" si="260"/>
        <v>0</v>
      </c>
      <c r="KW140" s="12">
        <f t="shared" si="261"/>
        <v>0</v>
      </c>
      <c r="KX140" s="12">
        <f t="shared" si="262"/>
        <v>0</v>
      </c>
      <c r="KY140" s="12">
        <f t="shared" si="263"/>
        <v>0</v>
      </c>
      <c r="KZ140" s="12">
        <f t="shared" si="264"/>
        <v>0</v>
      </c>
      <c r="LA140" s="12">
        <f t="shared" si="265"/>
        <v>0</v>
      </c>
      <c r="LB140" s="12">
        <f t="shared" si="266"/>
        <v>0</v>
      </c>
      <c r="LC140" s="12">
        <f t="shared" si="267"/>
        <v>0</v>
      </c>
      <c r="LD140" s="12">
        <f t="shared" si="268"/>
        <v>0</v>
      </c>
      <c r="LE140" s="12">
        <f t="shared" si="269"/>
        <v>0</v>
      </c>
      <c r="LF140" s="12">
        <f t="shared" si="270"/>
        <v>0</v>
      </c>
      <c r="LG140" s="12">
        <f t="shared" si="271"/>
        <v>0</v>
      </c>
      <c r="LH140" s="12">
        <f t="shared" si="272"/>
        <v>0</v>
      </c>
      <c r="LI140" s="12">
        <f t="shared" si="273"/>
        <v>0</v>
      </c>
      <c r="LJ140" s="12">
        <f t="shared" si="274"/>
        <v>0</v>
      </c>
      <c r="LK140" s="12">
        <f t="shared" si="275"/>
        <v>0</v>
      </c>
      <c r="LL140" s="12">
        <f t="shared" si="276"/>
        <v>0</v>
      </c>
      <c r="LM140" s="12">
        <f t="shared" si="277"/>
        <v>0</v>
      </c>
      <c r="LN140" s="12">
        <f t="shared" si="278"/>
        <v>0</v>
      </c>
      <c r="LO140" s="12">
        <f t="shared" si="279"/>
        <v>0</v>
      </c>
      <c r="LP140" s="12">
        <f t="shared" si="280"/>
        <v>0</v>
      </c>
      <c r="LQ140" s="12">
        <f t="shared" si="281"/>
        <v>0</v>
      </c>
      <c r="LR140" s="12">
        <f t="shared" si="282"/>
        <v>0</v>
      </c>
      <c r="LS140" s="12">
        <f t="shared" si="283"/>
        <v>0</v>
      </c>
      <c r="LT140" s="13">
        <f t="shared" si="284"/>
        <v>0</v>
      </c>
      <c r="LU140" s="13">
        <f t="shared" si="285"/>
        <v>0</v>
      </c>
      <c r="LV140" s="13">
        <f t="shared" si="286"/>
        <v>0</v>
      </c>
      <c r="LW140" s="13">
        <f t="shared" si="287"/>
        <v>0</v>
      </c>
      <c r="LX140" s="13">
        <f t="shared" si="288"/>
        <v>0</v>
      </c>
      <c r="LY140" s="13">
        <f t="shared" si="289"/>
        <v>0</v>
      </c>
      <c r="LZ140" s="13">
        <f t="shared" si="290"/>
        <v>0</v>
      </c>
      <c r="MA140" s="13">
        <f t="shared" si="291"/>
        <v>0</v>
      </c>
      <c r="MB140" s="13">
        <f t="shared" si="292"/>
        <v>0</v>
      </c>
      <c r="MC140" s="13">
        <f t="shared" si="293"/>
        <v>0</v>
      </c>
      <c r="MD140" s="13">
        <f t="shared" si="294"/>
        <v>0</v>
      </c>
      <c r="ME140" s="13">
        <f t="shared" si="295"/>
        <v>0</v>
      </c>
      <c r="MF140" s="13">
        <f t="shared" si="296"/>
        <v>0</v>
      </c>
      <c r="MG140" s="13">
        <f t="shared" si="297"/>
        <v>0</v>
      </c>
      <c r="MH140" s="13">
        <f t="shared" si="298"/>
        <v>0</v>
      </c>
      <c r="MI140" s="13">
        <f t="shared" si="299"/>
        <v>0</v>
      </c>
      <c r="MJ140" s="13">
        <f t="shared" si="300"/>
        <v>0</v>
      </c>
      <c r="MK140" s="13">
        <f t="shared" si="301"/>
        <v>0</v>
      </c>
      <c r="ML140" s="14">
        <f t="shared" si="302"/>
        <v>0</v>
      </c>
      <c r="MM140" s="14">
        <f t="shared" si="303"/>
        <v>0</v>
      </c>
      <c r="MN140" s="14">
        <f t="shared" si="304"/>
        <v>0</v>
      </c>
      <c r="MO140" s="14">
        <f t="shared" si="305"/>
        <v>0</v>
      </c>
      <c r="MP140" s="14">
        <f t="shared" si="306"/>
        <v>0</v>
      </c>
      <c r="MQ140" s="14">
        <f t="shared" si="307"/>
        <v>0</v>
      </c>
      <c r="MR140" s="14">
        <f t="shared" si="308"/>
        <v>0</v>
      </c>
      <c r="MS140" s="14">
        <f t="shared" si="309"/>
        <v>0</v>
      </c>
      <c r="MT140" s="14">
        <f t="shared" si="310"/>
        <v>0</v>
      </c>
      <c r="MU140" s="14">
        <f t="shared" si="311"/>
        <v>0</v>
      </c>
      <c r="MV140" s="14">
        <f t="shared" si="312"/>
        <v>0</v>
      </c>
      <c r="MW140" s="14">
        <f t="shared" si="313"/>
        <v>0</v>
      </c>
      <c r="MX140" s="14">
        <f t="shared" si="314"/>
        <v>0</v>
      </c>
      <c r="MY140" s="14">
        <f t="shared" si="315"/>
        <v>0</v>
      </c>
      <c r="MZ140" s="14">
        <f t="shared" si="316"/>
        <v>0</v>
      </c>
      <c r="NA140" s="14">
        <f t="shared" si="317"/>
        <v>0</v>
      </c>
      <c r="NB140" s="14">
        <f t="shared" si="318"/>
        <v>0</v>
      </c>
    </row>
    <row r="141" ht="15.75" customHeight="1">
      <c r="A141" s="2">
        <v>757.0</v>
      </c>
      <c r="B141" s="2" t="s">
        <v>2746</v>
      </c>
      <c r="C141" s="2" t="s">
        <v>2747</v>
      </c>
      <c r="D141" s="2" t="s">
        <v>2748</v>
      </c>
      <c r="E141" s="2">
        <v>2022.0</v>
      </c>
      <c r="F141" s="2" t="s">
        <v>2749</v>
      </c>
      <c r="G141" s="2">
        <v>2022.0</v>
      </c>
      <c r="I141" s="2" t="s">
        <v>2750</v>
      </c>
      <c r="M141" s="2">
        <v>4.0</v>
      </c>
      <c r="N141" s="2" t="s">
        <v>2751</v>
      </c>
      <c r="O141" s="2" t="s">
        <v>2752</v>
      </c>
      <c r="P141" s="2" t="s">
        <v>2753</v>
      </c>
      <c r="Q141" s="2" t="s">
        <v>2754</v>
      </c>
      <c r="R141" s="2" t="s">
        <v>2755</v>
      </c>
      <c r="Y141" s="2" t="s">
        <v>2756</v>
      </c>
      <c r="AB141" s="2" t="s">
        <v>1237</v>
      </c>
      <c r="AG141" s="2" t="s">
        <v>2757</v>
      </c>
      <c r="AK141" s="2" t="s">
        <v>2758</v>
      </c>
      <c r="AL141" s="2" t="s">
        <v>384</v>
      </c>
      <c r="AM141" s="2" t="s">
        <v>1306</v>
      </c>
      <c r="AN141" s="2" t="s">
        <v>386</v>
      </c>
      <c r="AO141" s="2" t="s">
        <v>2759</v>
      </c>
      <c r="AP141" s="2" t="s">
        <v>386</v>
      </c>
      <c r="AQ141" s="2">
        <v>2953.0</v>
      </c>
      <c r="AR141" s="2" t="s">
        <v>2760</v>
      </c>
      <c r="AS141" s="2" t="b">
        <v>1</v>
      </c>
      <c r="AT141" s="3">
        <v>0.0</v>
      </c>
      <c r="AU141" s="4"/>
      <c r="AV141" s="4"/>
      <c r="AW141" s="5">
        <f t="shared" si="432"/>
        <v>0</v>
      </c>
      <c r="AX141" s="5">
        <f t="shared" si="4"/>
        <v>0</v>
      </c>
      <c r="AY141" s="5">
        <f t="shared" si="5"/>
        <v>0</v>
      </c>
      <c r="AZ141" s="5">
        <f t="shared" si="6"/>
        <v>0</v>
      </c>
      <c r="BA141" s="5">
        <f t="shared" si="7"/>
        <v>0</v>
      </c>
      <c r="BB141" s="5">
        <f t="shared" si="8"/>
        <v>0</v>
      </c>
      <c r="BC141" s="5">
        <f t="shared" si="9"/>
        <v>0</v>
      </c>
      <c r="BD141" s="5">
        <f t="shared" si="10"/>
        <v>0</v>
      </c>
      <c r="BE141" s="5">
        <f t="shared" si="11"/>
        <v>0</v>
      </c>
      <c r="BF141" s="5">
        <f t="shared" si="12"/>
        <v>0</v>
      </c>
      <c r="BG141" s="5">
        <f t="shared" si="13"/>
        <v>0</v>
      </c>
      <c r="BH141" s="5">
        <f t="shared" si="14"/>
        <v>0</v>
      </c>
      <c r="BI141" s="5">
        <f t="shared" si="15"/>
        <v>0</v>
      </c>
      <c r="BJ141" s="5">
        <f t="shared" si="16"/>
        <v>0</v>
      </c>
      <c r="BK141" s="5">
        <f t="shared" si="17"/>
        <v>0</v>
      </c>
      <c r="BL141" s="5">
        <f t="shared" si="18"/>
        <v>0</v>
      </c>
      <c r="BM141" s="5">
        <f t="shared" si="19"/>
        <v>0</v>
      </c>
      <c r="BN141" s="5">
        <f t="shared" si="20"/>
        <v>0</v>
      </c>
      <c r="BO141" s="5">
        <f t="shared" si="21"/>
        <v>0</v>
      </c>
      <c r="BP141" s="5">
        <f t="shared" si="22"/>
        <v>0</v>
      </c>
      <c r="BQ141" s="5">
        <f t="shared" si="23"/>
        <v>0</v>
      </c>
      <c r="BR141" s="5">
        <f t="shared" si="24"/>
        <v>0</v>
      </c>
      <c r="BS141" s="5">
        <f t="shared" si="25"/>
        <v>0</v>
      </c>
      <c r="BT141" s="5">
        <f t="shared" si="26"/>
        <v>0</v>
      </c>
      <c r="BU141" s="5">
        <f t="shared" si="27"/>
        <v>0</v>
      </c>
      <c r="BV141" s="5">
        <f t="shared" ref="BV141:BW141" si="632">IF(OR(ISNUMBER(SEARCH("grit",$D141)),ISNUMBER(SEARCH("grit",$T141)),ISNUMBER(SEARCH("grit",$R141)),ISNUMBER(SEARCH("grit",$S141)),
ISNUMBER(SEARCH("determination",$D141)),ISNUMBER(SEARCH("determination",$T141)),ISNUMBER(SEARCH("determination",$R141)),ISNUMBER(SEARCH("determination",$S141)),
ISNUMBER(SEARCH("tenacity",$D141)),ISNUMBER(SEARCH("tenacity",$T141)),ISNUMBER(SEARCH("tenacity",$R141)),ISNUMBER(SEARCH("tenacity",$S141)),
ISNUMBER(SEARCH("endurance",$D141)),ISNUMBER(SEARCH("endurance",$T141)),ISNUMBER(SEARCH("endurance",$R141)),ISNUMBER(SEARCH("endurance",$S141)),
ISNUMBER(SEARCH("fortitude",$D141)),ISNUMBER(SEARCH("fortitude",$T141)),ISNUMBER(SEARCH("fortitude",$R141)),ISNUMBER(SEARCH("fortitude",$S141)),
ISNUMBER(SEARCH("resolve",$D141)),ISNUMBER(SEARCH("resolve",$T141)),ISNUMBER(SEARCH("resolve",$R141)),ISNUMBER(SEARCH("resolve",$S141)),
ISNUMBER(SEARCH("stamina",$D141)),ISNUMBER(SEARCH("stamina",$T141)),ISNUMBER(SEARCH("stamina",$R141)),ISNUMBER(SEARCH("stamina",$S141)),
ISNUMBER(SEARCH("guts",$D141)),ISNUMBER(SEARCH("guts",$T141)),ISNUMBER(SEARCH("guts",$R141)),ISNUMBER(SEARCH("guts",$S141)),
ISNUMBER(SEARCH("spunk",$D141)),ISNUMBER(SEARCH("spunk",$T141)),ISNUMBER(SEARCH("spunk",$R141)),ISNUMBER(SEARCH("spunk",$S141))), 1, 0)</f>
        <v>0</v>
      </c>
      <c r="BW141" s="5">
        <f t="shared" si="632"/>
        <v>0</v>
      </c>
      <c r="BX141" s="5">
        <f t="shared" si="29"/>
        <v>0</v>
      </c>
      <c r="BY141" s="5">
        <f t="shared" si="30"/>
        <v>0</v>
      </c>
      <c r="BZ141" s="5">
        <f t="shared" si="31"/>
        <v>0</v>
      </c>
      <c r="CA141" s="5">
        <f t="shared" si="32"/>
        <v>0</v>
      </c>
      <c r="CB141" s="5">
        <f t="shared" si="33"/>
        <v>0</v>
      </c>
      <c r="CC141" s="5">
        <f t="shared" si="34"/>
        <v>0</v>
      </c>
      <c r="CD141" s="5">
        <f t="shared" si="35"/>
        <v>0</v>
      </c>
      <c r="CE141" s="5">
        <f t="shared" si="36"/>
        <v>0</v>
      </c>
      <c r="CF141" s="5">
        <f t="shared" si="37"/>
        <v>0</v>
      </c>
      <c r="CG141" s="5">
        <f t="shared" si="38"/>
        <v>0</v>
      </c>
      <c r="CH141" s="5">
        <f t="shared" si="39"/>
        <v>0</v>
      </c>
      <c r="CI141" s="5">
        <f t="shared" si="40"/>
        <v>0</v>
      </c>
      <c r="CJ141" s="5">
        <f t="shared" si="41"/>
        <v>0</v>
      </c>
      <c r="CK141" s="5">
        <f t="shared" si="42"/>
        <v>0</v>
      </c>
      <c r="CL141" s="5">
        <f t="shared" si="43"/>
        <v>0</v>
      </c>
      <c r="CM141" s="5">
        <f t="shared" si="44"/>
        <v>0</v>
      </c>
      <c r="CN141" s="5">
        <f t="shared" si="45"/>
        <v>0</v>
      </c>
      <c r="CO141" s="5">
        <f t="shared" si="46"/>
        <v>0</v>
      </c>
      <c r="CP141" s="6">
        <f t="shared" si="47"/>
        <v>0</v>
      </c>
      <c r="CQ141" s="6">
        <f t="shared" si="48"/>
        <v>0</v>
      </c>
      <c r="CR141" s="6">
        <f t="shared" si="49"/>
        <v>0</v>
      </c>
      <c r="CS141" s="6">
        <f t="shared" si="50"/>
        <v>0</v>
      </c>
      <c r="CT141" s="6">
        <f t="shared" si="584"/>
        <v>0</v>
      </c>
      <c r="CU141" s="6">
        <f t="shared" si="52"/>
        <v>0</v>
      </c>
      <c r="CV141" s="6">
        <f t="shared" si="53"/>
        <v>0</v>
      </c>
      <c r="CW141" s="6">
        <f t="shared" si="54"/>
        <v>0</v>
      </c>
      <c r="CX141" s="6">
        <f t="shared" si="55"/>
        <v>0</v>
      </c>
      <c r="CY141" s="6">
        <f t="shared" si="56"/>
        <v>0</v>
      </c>
      <c r="CZ141" s="6">
        <f t="shared" si="57"/>
        <v>0</v>
      </c>
      <c r="DA141" s="6">
        <f t="shared" si="58"/>
        <v>0</v>
      </c>
      <c r="DB141" s="6">
        <f t="shared" si="59"/>
        <v>0</v>
      </c>
      <c r="DC141" s="6">
        <f t="shared" si="60"/>
        <v>0</v>
      </c>
      <c r="DD141" s="6">
        <f t="shared" si="61"/>
        <v>0</v>
      </c>
      <c r="DE141" s="6">
        <f t="shared" si="62"/>
        <v>0</v>
      </c>
      <c r="DF141" s="6">
        <f t="shared" si="63"/>
        <v>0</v>
      </c>
      <c r="DG141" s="6">
        <f t="shared" si="64"/>
        <v>0</v>
      </c>
      <c r="DH141" s="6">
        <f t="shared" si="630"/>
        <v>0</v>
      </c>
      <c r="DI141" s="6">
        <f t="shared" si="66"/>
        <v>0</v>
      </c>
      <c r="DJ141" s="6">
        <f t="shared" si="574"/>
        <v>0</v>
      </c>
      <c r="DK141" s="7">
        <f t="shared" si="68"/>
        <v>0</v>
      </c>
      <c r="DL141" s="7">
        <f t="shared" si="498"/>
        <v>0</v>
      </c>
      <c r="DM141" s="7">
        <f t="shared" si="70"/>
        <v>0</v>
      </c>
      <c r="DN141" s="7">
        <f t="shared" si="71"/>
        <v>0</v>
      </c>
      <c r="DO141" s="7">
        <f t="shared" si="72"/>
        <v>0</v>
      </c>
      <c r="DP141" s="8">
        <f t="shared" si="73"/>
        <v>0</v>
      </c>
      <c r="DQ141" s="8">
        <f t="shared" si="74"/>
        <v>1</v>
      </c>
      <c r="DR141" s="7">
        <f t="shared" si="75"/>
        <v>0</v>
      </c>
      <c r="DS141" s="7">
        <f t="shared" si="76"/>
        <v>0</v>
      </c>
      <c r="DT141" s="7">
        <f t="shared" si="77"/>
        <v>0</v>
      </c>
      <c r="DU141" s="9">
        <f t="shared" si="78"/>
        <v>0</v>
      </c>
      <c r="DV141" s="9">
        <f t="shared" si="79"/>
        <v>0</v>
      </c>
      <c r="DW141" s="9">
        <f t="shared" si="80"/>
        <v>0</v>
      </c>
      <c r="DX141" s="9">
        <f t="shared" si="81"/>
        <v>0</v>
      </c>
      <c r="DY141" s="9">
        <f t="shared" si="82"/>
        <v>0</v>
      </c>
      <c r="DZ141" s="9">
        <f t="shared" si="83"/>
        <v>0</v>
      </c>
      <c r="EA141" s="9">
        <f t="shared" si="84"/>
        <v>0</v>
      </c>
      <c r="EB141" s="9">
        <f t="shared" si="85"/>
        <v>0</v>
      </c>
      <c r="EC141" s="9">
        <f t="shared" si="86"/>
        <v>0</v>
      </c>
      <c r="ED141" s="9">
        <f t="shared" si="87"/>
        <v>0</v>
      </c>
      <c r="EE141" s="9">
        <f t="shared" si="88"/>
        <v>0</v>
      </c>
      <c r="EF141" s="9">
        <f t="shared" si="89"/>
        <v>0</v>
      </c>
      <c r="EG141" s="9">
        <f t="shared" si="90"/>
        <v>0</v>
      </c>
      <c r="EH141" s="9">
        <f t="shared" si="91"/>
        <v>0</v>
      </c>
      <c r="EI141" s="9">
        <f t="shared" si="92"/>
        <v>0</v>
      </c>
      <c r="EJ141" s="10">
        <f t="shared" si="93"/>
        <v>0</v>
      </c>
      <c r="EK141" s="10">
        <f t="shared" si="94"/>
        <v>0</v>
      </c>
      <c r="EL141" s="10">
        <f t="shared" ref="EL141:EM141" si="633">IF(OR(ISNUMBER(SEARCH("ai software toolkit", $D141)), ISNUMBER(SEARCH("ai software toolkit", $T141)), ISNUMBER(SEARCH("ai software toolkit", $R141)), ISNUMBER(SEARCH("ai software toolkit", $S141))), 1, 0)</f>
        <v>0</v>
      </c>
      <c r="EM141" s="10">
        <f t="shared" si="633"/>
        <v>0</v>
      </c>
      <c r="EN141" s="10">
        <f t="shared" si="96"/>
        <v>0</v>
      </c>
      <c r="EO141" s="10">
        <f t="shared" si="97"/>
        <v>0</v>
      </c>
      <c r="EP141" s="10">
        <f t="shared" si="98"/>
        <v>0</v>
      </c>
      <c r="EQ141" s="10">
        <f t="shared" si="99"/>
        <v>0</v>
      </c>
      <c r="ER141" s="10">
        <f t="shared" si="100"/>
        <v>0</v>
      </c>
      <c r="ES141" s="10">
        <f t="shared" si="101"/>
        <v>0</v>
      </c>
      <c r="ET141" s="10">
        <f t="shared" si="102"/>
        <v>0</v>
      </c>
      <c r="EU141" s="10">
        <f t="shared" si="103"/>
        <v>0</v>
      </c>
      <c r="EV141" s="10">
        <f t="shared" si="104"/>
        <v>0</v>
      </c>
      <c r="EW141" s="10">
        <f t="shared" si="105"/>
        <v>0</v>
      </c>
      <c r="EX141" s="10">
        <f t="shared" si="106"/>
        <v>0</v>
      </c>
      <c r="EY141" s="10">
        <f t="shared" si="107"/>
        <v>0</v>
      </c>
      <c r="EZ141" s="10">
        <f t="shared" si="108"/>
        <v>0</v>
      </c>
      <c r="FA141" s="10">
        <f t="shared" si="109"/>
        <v>0</v>
      </c>
      <c r="FB141" s="10">
        <f t="shared" si="110"/>
        <v>0</v>
      </c>
      <c r="FC141" s="10">
        <f t="shared" si="111"/>
        <v>0</v>
      </c>
      <c r="FD141" s="10">
        <f t="shared" si="112"/>
        <v>0</v>
      </c>
      <c r="FE141" s="10">
        <f t="shared" si="113"/>
        <v>0</v>
      </c>
      <c r="FF141" s="10">
        <f t="shared" si="114"/>
        <v>0</v>
      </c>
      <c r="FG141" s="10">
        <f t="shared" si="115"/>
        <v>0</v>
      </c>
      <c r="FH141" s="10">
        <f t="shared" si="116"/>
        <v>0</v>
      </c>
      <c r="FI141" s="10">
        <f t="shared" si="117"/>
        <v>0</v>
      </c>
      <c r="FJ141" s="10">
        <f t="shared" si="118"/>
        <v>0</v>
      </c>
      <c r="FK141" s="10">
        <f t="shared" si="119"/>
        <v>0</v>
      </c>
      <c r="FL141" s="10">
        <f t="shared" si="120"/>
        <v>0</v>
      </c>
      <c r="FM141" s="10">
        <f t="shared" si="121"/>
        <v>0</v>
      </c>
      <c r="FN141" s="10">
        <f t="shared" si="122"/>
        <v>0</v>
      </c>
      <c r="FO141" s="10">
        <f t="shared" si="123"/>
        <v>0</v>
      </c>
      <c r="FP141" s="10">
        <f t="shared" si="124"/>
        <v>0</v>
      </c>
      <c r="FQ141" s="10">
        <f t="shared" si="125"/>
        <v>0</v>
      </c>
      <c r="FR141" s="11">
        <f t="shared" ref="FR141:FR161" si="636">IF(
OR(
ISNUMBER(SEARCH("chatbot",$D141)),ISNUMBER(SEARCH("chatbot",$T141)),ISNUMBER(SEARCH("chatbot",#REF!)),ISNUMBER(SEARCH("chatbot",$S141)),
ISNUMBER(SEARCH("virtual assistance",$D141)),ISNUMBER(SEARCH("virtual assistance",$T141)),ISNUMBER(SEARCH("virtual assistance",$R141)),ISNUMBER(SEARCH("virtual assistance",$S141))), 1, 0)</f>
        <v>0</v>
      </c>
      <c r="FS141" s="11">
        <f t="shared" si="127"/>
        <v>0</v>
      </c>
      <c r="FT141" s="11">
        <f t="shared" si="128"/>
        <v>0</v>
      </c>
      <c r="FU141" s="11">
        <f t="shared" si="129"/>
        <v>0</v>
      </c>
      <c r="FV141" s="11">
        <f t="shared" si="130"/>
        <v>0</v>
      </c>
      <c r="FW141" s="11">
        <f t="shared" si="131"/>
        <v>0</v>
      </c>
      <c r="FX141" s="11">
        <f t="shared" si="132"/>
        <v>0</v>
      </c>
      <c r="FY141" s="11">
        <f t="shared" si="133"/>
        <v>0</v>
      </c>
      <c r="FZ141" s="11">
        <f t="shared" si="134"/>
        <v>0</v>
      </c>
      <c r="GA141" s="11">
        <f t="shared" si="135"/>
        <v>0</v>
      </c>
      <c r="GB141" s="11">
        <f t="shared" si="136"/>
        <v>0</v>
      </c>
      <c r="GC141" s="11">
        <f t="shared" si="137"/>
        <v>0</v>
      </c>
      <c r="GD141" s="11">
        <f t="shared" si="138"/>
        <v>0</v>
      </c>
      <c r="GE141" s="11">
        <f t="shared" si="139"/>
        <v>0</v>
      </c>
      <c r="GF141" s="11">
        <f t="shared" si="140"/>
        <v>0</v>
      </c>
      <c r="GG141" s="11">
        <f t="shared" si="141"/>
        <v>0</v>
      </c>
      <c r="GH141" s="11">
        <f t="shared" si="142"/>
        <v>0</v>
      </c>
      <c r="GI141" s="11">
        <f t="shared" si="143"/>
        <v>0</v>
      </c>
      <c r="GJ141" s="11">
        <f t="shared" si="144"/>
        <v>0</v>
      </c>
      <c r="GK141" s="11">
        <f t="shared" si="145"/>
        <v>0</v>
      </c>
      <c r="GL141" s="11">
        <f t="shared" si="146"/>
        <v>0</v>
      </c>
      <c r="GM141" s="11">
        <f t="shared" si="147"/>
        <v>0</v>
      </c>
      <c r="GN141" s="11">
        <f t="shared" si="148"/>
        <v>0</v>
      </c>
      <c r="GO141" s="11">
        <f t="shared" si="149"/>
        <v>0</v>
      </c>
      <c r="GP141" s="11">
        <f t="shared" si="150"/>
        <v>0</v>
      </c>
      <c r="GQ141" s="11">
        <f t="shared" si="151"/>
        <v>0</v>
      </c>
      <c r="GR141" s="11">
        <f t="shared" si="152"/>
        <v>0</v>
      </c>
      <c r="GS141" s="11">
        <f t="shared" si="153"/>
        <v>0</v>
      </c>
      <c r="GT141" s="11">
        <f t="shared" si="154"/>
        <v>0</v>
      </c>
      <c r="GU141" s="12">
        <f t="shared" si="155"/>
        <v>0</v>
      </c>
      <c r="GV141" s="12">
        <f t="shared" si="156"/>
        <v>0</v>
      </c>
      <c r="GW141" s="12">
        <f t="shared" si="157"/>
        <v>0</v>
      </c>
      <c r="GX141" s="12">
        <f t="shared" si="158"/>
        <v>0</v>
      </c>
      <c r="GY141" s="12">
        <f t="shared" si="159"/>
        <v>0</v>
      </c>
      <c r="GZ141" s="12">
        <f t="shared" si="160"/>
        <v>0</v>
      </c>
      <c r="HA141" s="12">
        <f t="shared" si="161"/>
        <v>0</v>
      </c>
      <c r="HB141" s="12">
        <f t="shared" si="162"/>
        <v>0</v>
      </c>
      <c r="HC141" s="12">
        <f t="shared" si="163"/>
        <v>0</v>
      </c>
      <c r="HD141" s="12">
        <f t="shared" si="164"/>
        <v>0</v>
      </c>
      <c r="HE141" s="12">
        <f t="shared" si="165"/>
        <v>0</v>
      </c>
      <c r="HF141" s="12">
        <f t="shared" si="166"/>
        <v>0</v>
      </c>
      <c r="HG141" s="12">
        <f t="shared" si="167"/>
        <v>0</v>
      </c>
      <c r="HH141" s="12">
        <f t="shared" si="168"/>
        <v>0</v>
      </c>
      <c r="HI141" s="12">
        <f t="shared" si="169"/>
        <v>0</v>
      </c>
      <c r="HJ141" s="12">
        <f t="shared" si="170"/>
        <v>0</v>
      </c>
      <c r="HK141" s="12">
        <f t="shared" si="171"/>
        <v>0</v>
      </c>
      <c r="HL141" s="12">
        <f t="shared" si="172"/>
        <v>0</v>
      </c>
      <c r="HM141" s="12">
        <f t="shared" si="173"/>
        <v>0</v>
      </c>
      <c r="HN141" s="12">
        <f t="shared" si="174"/>
        <v>0</v>
      </c>
      <c r="HO141" s="12">
        <f t="shared" si="175"/>
        <v>0</v>
      </c>
      <c r="HP141" s="12">
        <f t="shared" si="176"/>
        <v>0</v>
      </c>
      <c r="HQ141" s="12">
        <f t="shared" si="177"/>
        <v>0</v>
      </c>
      <c r="HR141" s="12">
        <f t="shared" si="178"/>
        <v>0</v>
      </c>
      <c r="HS141" s="12">
        <f t="shared" si="179"/>
        <v>0</v>
      </c>
      <c r="HT141" s="12">
        <f t="shared" si="180"/>
        <v>0</v>
      </c>
      <c r="HU141" s="12">
        <f t="shared" si="181"/>
        <v>0</v>
      </c>
      <c r="HV141" s="12">
        <f t="shared" si="182"/>
        <v>0</v>
      </c>
      <c r="HW141" s="12">
        <f t="shared" si="183"/>
        <v>0</v>
      </c>
      <c r="HX141" s="12">
        <f t="shared" si="184"/>
        <v>0</v>
      </c>
      <c r="HY141" s="12">
        <f t="shared" si="185"/>
        <v>0</v>
      </c>
      <c r="HZ141" s="12">
        <f t="shared" si="186"/>
        <v>0</v>
      </c>
      <c r="IA141" s="12">
        <f t="shared" si="187"/>
        <v>0</v>
      </c>
      <c r="IB141" s="12">
        <f t="shared" si="188"/>
        <v>0</v>
      </c>
      <c r="IC141" s="12">
        <f t="shared" si="189"/>
        <v>0</v>
      </c>
      <c r="ID141" s="12">
        <f t="shared" si="190"/>
        <v>0</v>
      </c>
      <c r="IE141" s="12">
        <f t="shared" si="191"/>
        <v>0</v>
      </c>
      <c r="IF141" s="12">
        <f t="shared" si="192"/>
        <v>0</v>
      </c>
      <c r="IG141" s="12">
        <f t="shared" si="193"/>
        <v>0</v>
      </c>
      <c r="IH141" s="12">
        <f t="shared" si="194"/>
        <v>0</v>
      </c>
      <c r="II141" s="12">
        <f t="shared" si="195"/>
        <v>0</v>
      </c>
      <c r="IJ141" s="12">
        <f t="shared" si="196"/>
        <v>0</v>
      </c>
      <c r="IK141" s="12">
        <f t="shared" si="197"/>
        <v>0</v>
      </c>
      <c r="IL141" s="12">
        <f t="shared" si="198"/>
        <v>0</v>
      </c>
      <c r="IM141" s="12">
        <f t="shared" si="199"/>
        <v>0</v>
      </c>
      <c r="IN141" s="12">
        <f t="shared" si="200"/>
        <v>0</v>
      </c>
      <c r="IO141" s="12">
        <f t="shared" si="201"/>
        <v>0</v>
      </c>
      <c r="IP141" s="12">
        <f t="shared" si="202"/>
        <v>0</v>
      </c>
      <c r="IQ141" s="12">
        <f t="shared" si="203"/>
        <v>0</v>
      </c>
      <c r="IR141" s="12">
        <f t="shared" si="204"/>
        <v>0</v>
      </c>
      <c r="IS141" s="12">
        <f t="shared" si="205"/>
        <v>0</v>
      </c>
      <c r="IT141" s="12">
        <f t="shared" si="206"/>
        <v>0</v>
      </c>
      <c r="IU141" s="12">
        <f t="shared" si="207"/>
        <v>0</v>
      </c>
      <c r="IV141" s="12">
        <f t="shared" si="208"/>
        <v>0</v>
      </c>
      <c r="IW141" s="12">
        <f t="shared" si="209"/>
        <v>0</v>
      </c>
      <c r="IX141" s="12">
        <f t="shared" si="210"/>
        <v>0</v>
      </c>
      <c r="IY141" s="12">
        <f t="shared" si="211"/>
        <v>0</v>
      </c>
      <c r="IZ141" s="12">
        <f t="shared" si="212"/>
        <v>0</v>
      </c>
      <c r="JA141" s="13">
        <f t="shared" si="213"/>
        <v>0</v>
      </c>
      <c r="JB141" s="13">
        <f t="shared" si="214"/>
        <v>0</v>
      </c>
      <c r="JC141" s="13">
        <f t="shared" si="215"/>
        <v>0</v>
      </c>
      <c r="JD141" s="13">
        <f t="shared" si="216"/>
        <v>0</v>
      </c>
      <c r="JE141" s="13">
        <f t="shared" si="217"/>
        <v>0</v>
      </c>
      <c r="JF141" s="13">
        <f t="shared" si="218"/>
        <v>0</v>
      </c>
      <c r="JG141" s="13">
        <f t="shared" si="219"/>
        <v>0</v>
      </c>
      <c r="JH141" s="13">
        <f t="shared" si="220"/>
        <v>0</v>
      </c>
      <c r="JI141" s="13">
        <f t="shared" si="221"/>
        <v>0</v>
      </c>
      <c r="JJ141" s="13">
        <f t="shared" si="222"/>
        <v>0</v>
      </c>
      <c r="JK141" s="13">
        <f t="shared" si="223"/>
        <v>0</v>
      </c>
      <c r="JL141" s="13">
        <f t="shared" si="224"/>
        <v>0</v>
      </c>
      <c r="JM141" s="13">
        <f t="shared" si="225"/>
        <v>0</v>
      </c>
      <c r="JN141" s="13">
        <f t="shared" si="226"/>
        <v>0</v>
      </c>
      <c r="JO141" s="13">
        <f t="shared" si="227"/>
        <v>0</v>
      </c>
      <c r="JP141" s="13">
        <f t="shared" si="228"/>
        <v>0</v>
      </c>
      <c r="JQ141" s="13">
        <f t="shared" si="229"/>
        <v>0</v>
      </c>
      <c r="JR141" s="13">
        <f t="shared" si="230"/>
        <v>0</v>
      </c>
      <c r="JS141" s="13">
        <f t="shared" si="231"/>
        <v>0</v>
      </c>
      <c r="JT141" s="13">
        <f t="shared" si="232"/>
        <v>0</v>
      </c>
      <c r="JU141" s="13">
        <f t="shared" si="233"/>
        <v>0</v>
      </c>
      <c r="JV141" s="12">
        <f t="shared" si="234"/>
        <v>0</v>
      </c>
      <c r="JW141" s="12">
        <f t="shared" si="235"/>
        <v>0</v>
      </c>
      <c r="JX141" s="12">
        <f t="shared" si="236"/>
        <v>0</v>
      </c>
      <c r="JY141" s="12">
        <f t="shared" si="237"/>
        <v>0</v>
      </c>
      <c r="JZ141" s="12">
        <f t="shared" si="238"/>
        <v>0</v>
      </c>
      <c r="KA141" s="12">
        <f t="shared" si="239"/>
        <v>0</v>
      </c>
      <c r="KB141" s="12">
        <f t="shared" si="240"/>
        <v>0</v>
      </c>
      <c r="KC141" s="12">
        <f t="shared" si="241"/>
        <v>0</v>
      </c>
      <c r="KD141" s="12">
        <f t="shared" si="242"/>
        <v>0</v>
      </c>
      <c r="KE141" s="12">
        <f t="shared" si="243"/>
        <v>0</v>
      </c>
      <c r="KF141" s="12">
        <f t="shared" si="244"/>
        <v>0</v>
      </c>
      <c r="KG141" s="12">
        <f t="shared" si="245"/>
        <v>0</v>
      </c>
      <c r="KH141" s="12">
        <f t="shared" si="246"/>
        <v>0</v>
      </c>
      <c r="KI141" s="12">
        <f t="shared" si="247"/>
        <v>0</v>
      </c>
      <c r="KJ141" s="12">
        <f t="shared" si="248"/>
        <v>0</v>
      </c>
      <c r="KK141" s="12">
        <f t="shared" si="249"/>
        <v>0</v>
      </c>
      <c r="KL141" s="12">
        <f t="shared" si="250"/>
        <v>0</v>
      </c>
      <c r="KM141" s="12">
        <f t="shared" si="251"/>
        <v>0</v>
      </c>
      <c r="KN141" s="12">
        <f t="shared" si="252"/>
        <v>0</v>
      </c>
      <c r="KO141" s="12">
        <f t="shared" si="253"/>
        <v>0</v>
      </c>
      <c r="KP141" s="12">
        <f t="shared" si="254"/>
        <v>0</v>
      </c>
      <c r="KQ141" s="12">
        <f t="shared" si="255"/>
        <v>0</v>
      </c>
      <c r="KR141" s="12">
        <f t="shared" si="256"/>
        <v>0</v>
      </c>
      <c r="KS141" s="12">
        <f t="shared" si="257"/>
        <v>0</v>
      </c>
      <c r="KT141" s="12">
        <f t="shared" si="258"/>
        <v>0</v>
      </c>
      <c r="KU141" s="12">
        <f t="shared" si="259"/>
        <v>0</v>
      </c>
      <c r="KV141" s="12">
        <f t="shared" si="260"/>
        <v>0</v>
      </c>
      <c r="KW141" s="12">
        <f t="shared" si="261"/>
        <v>0</v>
      </c>
      <c r="KX141" s="12">
        <f t="shared" si="262"/>
        <v>0</v>
      </c>
      <c r="KY141" s="12">
        <f t="shared" si="263"/>
        <v>0</v>
      </c>
      <c r="KZ141" s="12">
        <f t="shared" si="264"/>
        <v>0</v>
      </c>
      <c r="LA141" s="12">
        <f t="shared" si="265"/>
        <v>0</v>
      </c>
      <c r="LB141" s="12">
        <f t="shared" si="266"/>
        <v>0</v>
      </c>
      <c r="LC141" s="12">
        <f t="shared" si="267"/>
        <v>0</v>
      </c>
      <c r="LD141" s="12">
        <f t="shared" si="268"/>
        <v>0</v>
      </c>
      <c r="LE141" s="12">
        <f t="shared" si="269"/>
        <v>0</v>
      </c>
      <c r="LF141" s="12">
        <f t="shared" si="270"/>
        <v>0</v>
      </c>
      <c r="LG141" s="12">
        <f t="shared" si="271"/>
        <v>0</v>
      </c>
      <c r="LH141" s="12">
        <f t="shared" si="272"/>
        <v>0</v>
      </c>
      <c r="LI141" s="12">
        <f t="shared" si="273"/>
        <v>0</v>
      </c>
      <c r="LJ141" s="12">
        <f t="shared" si="274"/>
        <v>0</v>
      </c>
      <c r="LK141" s="12">
        <f t="shared" si="275"/>
        <v>0</v>
      </c>
      <c r="LL141" s="12">
        <f t="shared" si="276"/>
        <v>0</v>
      </c>
      <c r="LM141" s="12">
        <f t="shared" si="277"/>
        <v>0</v>
      </c>
      <c r="LN141" s="12">
        <f t="shared" si="278"/>
        <v>0</v>
      </c>
      <c r="LO141" s="12">
        <f t="shared" si="279"/>
        <v>0</v>
      </c>
      <c r="LP141" s="12">
        <f t="shared" si="280"/>
        <v>0</v>
      </c>
      <c r="LQ141" s="12">
        <f t="shared" si="281"/>
        <v>0</v>
      </c>
      <c r="LR141" s="12">
        <f t="shared" si="282"/>
        <v>0</v>
      </c>
      <c r="LS141" s="12">
        <f t="shared" si="283"/>
        <v>0</v>
      </c>
      <c r="LT141" s="13">
        <f t="shared" si="284"/>
        <v>0</v>
      </c>
      <c r="LU141" s="13">
        <f t="shared" si="285"/>
        <v>0</v>
      </c>
      <c r="LV141" s="13">
        <f t="shared" si="286"/>
        <v>0</v>
      </c>
      <c r="LW141" s="13">
        <f t="shared" si="287"/>
        <v>0</v>
      </c>
      <c r="LX141" s="13">
        <f t="shared" si="288"/>
        <v>0</v>
      </c>
      <c r="LY141" s="13">
        <f t="shared" si="289"/>
        <v>0</v>
      </c>
      <c r="LZ141" s="13">
        <f t="shared" si="290"/>
        <v>0</v>
      </c>
      <c r="MA141" s="13">
        <f t="shared" si="291"/>
        <v>0</v>
      </c>
      <c r="MB141" s="13">
        <f t="shared" si="292"/>
        <v>0</v>
      </c>
      <c r="MC141" s="13">
        <f t="shared" si="293"/>
        <v>0</v>
      </c>
      <c r="MD141" s="13">
        <f t="shared" si="294"/>
        <v>0</v>
      </c>
      <c r="ME141" s="13">
        <f t="shared" si="295"/>
        <v>0</v>
      </c>
      <c r="MF141" s="13">
        <f t="shared" si="296"/>
        <v>0</v>
      </c>
      <c r="MG141" s="13">
        <f t="shared" si="297"/>
        <v>1</v>
      </c>
      <c r="MH141" s="13">
        <f t="shared" si="298"/>
        <v>0</v>
      </c>
      <c r="MI141" s="13">
        <f t="shared" si="299"/>
        <v>0</v>
      </c>
      <c r="MJ141" s="13">
        <f t="shared" si="300"/>
        <v>0</v>
      </c>
      <c r="MK141" s="13">
        <f t="shared" si="301"/>
        <v>0</v>
      </c>
      <c r="ML141" s="14">
        <f t="shared" si="302"/>
        <v>0</v>
      </c>
      <c r="MM141" s="14">
        <f t="shared" si="303"/>
        <v>0</v>
      </c>
      <c r="MN141" s="14">
        <f t="shared" si="304"/>
        <v>0</v>
      </c>
      <c r="MO141" s="14">
        <f t="shared" si="305"/>
        <v>0</v>
      </c>
      <c r="MP141" s="14">
        <f t="shared" si="306"/>
        <v>0</v>
      </c>
      <c r="MQ141" s="14">
        <f t="shared" si="307"/>
        <v>0</v>
      </c>
      <c r="MR141" s="14">
        <f t="shared" si="308"/>
        <v>0</v>
      </c>
      <c r="MS141" s="14">
        <f t="shared" si="309"/>
        <v>0</v>
      </c>
      <c r="MT141" s="14">
        <f t="shared" si="310"/>
        <v>0</v>
      </c>
      <c r="MU141" s="14">
        <f t="shared" si="311"/>
        <v>0</v>
      </c>
      <c r="MV141" s="14">
        <f t="shared" si="312"/>
        <v>0</v>
      </c>
      <c r="MW141" s="14">
        <f t="shared" si="313"/>
        <v>0</v>
      </c>
      <c r="MX141" s="14">
        <f t="shared" si="314"/>
        <v>0</v>
      </c>
      <c r="MY141" s="14">
        <f t="shared" si="315"/>
        <v>1</v>
      </c>
      <c r="MZ141" s="14">
        <f t="shared" si="316"/>
        <v>0</v>
      </c>
      <c r="NA141" s="14">
        <f t="shared" si="317"/>
        <v>0</v>
      </c>
      <c r="NB141" s="14">
        <f t="shared" si="318"/>
        <v>0</v>
      </c>
    </row>
    <row r="142" ht="15.75" customHeight="1">
      <c r="A142" s="2">
        <v>48.0</v>
      </c>
      <c r="B142" s="2" t="s">
        <v>2761</v>
      </c>
      <c r="C142" s="2" t="s">
        <v>2762</v>
      </c>
      <c r="D142" s="2" t="s">
        <v>2763</v>
      </c>
      <c r="E142" s="2">
        <v>2021.0</v>
      </c>
      <c r="F142" s="2" t="s">
        <v>850</v>
      </c>
      <c r="G142" s="2" t="s">
        <v>2764</v>
      </c>
      <c r="J142" s="2" t="s">
        <v>2765</v>
      </c>
      <c r="K142" s="2" t="s">
        <v>1535</v>
      </c>
      <c r="M142" s="2">
        <v>4.0</v>
      </c>
      <c r="N142" s="2" t="s">
        <v>2766</v>
      </c>
      <c r="O142" s="2" t="s">
        <v>2767</v>
      </c>
      <c r="P142" s="2" t="s">
        <v>2768</v>
      </c>
      <c r="Q142" s="2" t="s">
        <v>2769</v>
      </c>
      <c r="R142" s="2" t="s">
        <v>2770</v>
      </c>
      <c r="S142" s="2" t="s">
        <v>2771</v>
      </c>
      <c r="T142" s="2" t="s">
        <v>2772</v>
      </c>
      <c r="Y142" s="2" t="s">
        <v>2773</v>
      </c>
      <c r="AB142" s="2" t="s">
        <v>862</v>
      </c>
      <c r="AG142" s="2" t="s">
        <v>863</v>
      </c>
      <c r="AI142" s="2" t="s">
        <v>864</v>
      </c>
      <c r="AK142" s="2" t="s">
        <v>850</v>
      </c>
      <c r="AL142" s="2" t="s">
        <v>384</v>
      </c>
      <c r="AN142" s="2" t="s">
        <v>386</v>
      </c>
      <c r="AO142" s="2" t="s">
        <v>2774</v>
      </c>
      <c r="AP142" s="2" t="s">
        <v>386</v>
      </c>
      <c r="AQ142" s="2">
        <v>136.0</v>
      </c>
      <c r="AR142" s="2" t="s">
        <v>2775</v>
      </c>
      <c r="AS142" s="2" t="b">
        <v>1</v>
      </c>
      <c r="AT142" s="3">
        <v>0.0</v>
      </c>
      <c r="AU142" s="4"/>
      <c r="AV142" s="4">
        <v>1.0</v>
      </c>
      <c r="AW142" s="5">
        <f t="shared" si="432"/>
        <v>0</v>
      </c>
      <c r="AX142" s="5">
        <f t="shared" si="4"/>
        <v>0</v>
      </c>
      <c r="AY142" s="5">
        <f t="shared" si="5"/>
        <v>0</v>
      </c>
      <c r="AZ142" s="5">
        <f t="shared" si="6"/>
        <v>0</v>
      </c>
      <c r="BA142" s="5">
        <f t="shared" si="7"/>
        <v>0</v>
      </c>
      <c r="BB142" s="5">
        <f t="shared" si="8"/>
        <v>0</v>
      </c>
      <c r="BC142" s="5">
        <f t="shared" si="9"/>
        <v>0</v>
      </c>
      <c r="BD142" s="5">
        <f t="shared" si="10"/>
        <v>0</v>
      </c>
      <c r="BE142" s="5">
        <f t="shared" si="11"/>
        <v>0</v>
      </c>
      <c r="BF142" s="5">
        <f t="shared" si="12"/>
        <v>0</v>
      </c>
      <c r="BG142" s="5">
        <f t="shared" si="13"/>
        <v>0</v>
      </c>
      <c r="BH142" s="5">
        <f t="shared" si="14"/>
        <v>0</v>
      </c>
      <c r="BI142" s="5">
        <f t="shared" si="15"/>
        <v>0</v>
      </c>
      <c r="BJ142" s="5">
        <f t="shared" si="16"/>
        <v>0</v>
      </c>
      <c r="BK142" s="5">
        <f t="shared" si="17"/>
        <v>0</v>
      </c>
      <c r="BL142" s="5">
        <f t="shared" si="18"/>
        <v>0</v>
      </c>
      <c r="BM142" s="5">
        <f t="shared" si="19"/>
        <v>0</v>
      </c>
      <c r="BN142" s="5">
        <f t="shared" si="20"/>
        <v>0</v>
      </c>
      <c r="BO142" s="5">
        <f t="shared" si="21"/>
        <v>0</v>
      </c>
      <c r="BP142" s="5">
        <f t="shared" si="22"/>
        <v>0</v>
      </c>
      <c r="BQ142" s="5">
        <f t="shared" si="23"/>
        <v>0</v>
      </c>
      <c r="BR142" s="5">
        <f t="shared" si="24"/>
        <v>0</v>
      </c>
      <c r="BS142" s="5">
        <f t="shared" si="25"/>
        <v>1</v>
      </c>
      <c r="BT142" s="5">
        <f t="shared" si="26"/>
        <v>0</v>
      </c>
      <c r="BU142" s="5">
        <f t="shared" si="27"/>
        <v>0</v>
      </c>
      <c r="BV142" s="5">
        <f t="shared" ref="BV142:BW142" si="634">IF(OR(ISNUMBER(SEARCH("grit",$D142)),ISNUMBER(SEARCH("grit",$T142)),ISNUMBER(SEARCH("grit",$R142)),ISNUMBER(SEARCH("grit",$S142)),
ISNUMBER(SEARCH("determination",$D142)),ISNUMBER(SEARCH("determination",$T142)),ISNUMBER(SEARCH("determination",$R142)),ISNUMBER(SEARCH("determination",$S142)),
ISNUMBER(SEARCH("tenacity",$D142)),ISNUMBER(SEARCH("tenacity",$T142)),ISNUMBER(SEARCH("tenacity",$R142)),ISNUMBER(SEARCH("tenacity",$S142)),
ISNUMBER(SEARCH("endurance",$D142)),ISNUMBER(SEARCH("endurance",$T142)),ISNUMBER(SEARCH("endurance",$R142)),ISNUMBER(SEARCH("endurance",$S142)),
ISNUMBER(SEARCH("fortitude",$D142)),ISNUMBER(SEARCH("fortitude",$T142)),ISNUMBER(SEARCH("fortitude",$R142)),ISNUMBER(SEARCH("fortitude",$S142)),
ISNUMBER(SEARCH("resolve",$D142)),ISNUMBER(SEARCH("resolve",$T142)),ISNUMBER(SEARCH("resolve",$R142)),ISNUMBER(SEARCH("resolve",$S142)),
ISNUMBER(SEARCH("stamina",$D142)),ISNUMBER(SEARCH("stamina",$T142)),ISNUMBER(SEARCH("stamina",$R142)),ISNUMBER(SEARCH("stamina",$S142)),
ISNUMBER(SEARCH("guts",$D142)),ISNUMBER(SEARCH("guts",$T142)),ISNUMBER(SEARCH("guts",$R142)),ISNUMBER(SEARCH("guts",$S142)),
ISNUMBER(SEARCH("spunk",$D142)),ISNUMBER(SEARCH("spunk",$T142)),ISNUMBER(SEARCH("spunk",$R142)),ISNUMBER(SEARCH("spunk",$S142))), 1, 0)</f>
        <v>0</v>
      </c>
      <c r="BW142" s="5">
        <f t="shared" si="634"/>
        <v>0</v>
      </c>
      <c r="BX142" s="5">
        <f t="shared" si="29"/>
        <v>0</v>
      </c>
      <c r="BY142" s="5">
        <f t="shared" si="30"/>
        <v>0</v>
      </c>
      <c r="BZ142" s="5">
        <f t="shared" si="31"/>
        <v>0</v>
      </c>
      <c r="CA142" s="5">
        <f t="shared" si="32"/>
        <v>0</v>
      </c>
      <c r="CB142" s="5">
        <f t="shared" si="33"/>
        <v>0</v>
      </c>
      <c r="CC142" s="5">
        <f t="shared" si="34"/>
        <v>0</v>
      </c>
      <c r="CD142" s="5">
        <f t="shared" si="35"/>
        <v>0</v>
      </c>
      <c r="CE142" s="5">
        <f t="shared" si="36"/>
        <v>0</v>
      </c>
      <c r="CF142" s="5">
        <f t="shared" si="37"/>
        <v>0</v>
      </c>
      <c r="CG142" s="5">
        <f t="shared" si="38"/>
        <v>0</v>
      </c>
      <c r="CH142" s="5">
        <f t="shared" si="39"/>
        <v>0</v>
      </c>
      <c r="CI142" s="5">
        <f t="shared" si="40"/>
        <v>0</v>
      </c>
      <c r="CJ142" s="5">
        <f t="shared" si="41"/>
        <v>0</v>
      </c>
      <c r="CK142" s="5">
        <f t="shared" si="42"/>
        <v>1</v>
      </c>
      <c r="CL142" s="5">
        <f t="shared" si="43"/>
        <v>0</v>
      </c>
      <c r="CM142" s="5">
        <f t="shared" si="44"/>
        <v>0</v>
      </c>
      <c r="CN142" s="5">
        <f t="shared" si="45"/>
        <v>0</v>
      </c>
      <c r="CO142" s="5">
        <f t="shared" si="46"/>
        <v>0</v>
      </c>
      <c r="CP142" s="6">
        <f t="shared" si="47"/>
        <v>0</v>
      </c>
      <c r="CQ142" s="6">
        <f t="shared" si="48"/>
        <v>0</v>
      </c>
      <c r="CR142" s="6">
        <f t="shared" si="49"/>
        <v>0</v>
      </c>
      <c r="CS142" s="6">
        <f t="shared" si="50"/>
        <v>0</v>
      </c>
      <c r="CT142" s="6">
        <f t="shared" si="584"/>
        <v>0</v>
      </c>
      <c r="CU142" s="6">
        <f t="shared" si="52"/>
        <v>0</v>
      </c>
      <c r="CV142" s="6">
        <f t="shared" si="53"/>
        <v>0</v>
      </c>
      <c r="CW142" s="6">
        <f t="shared" si="54"/>
        <v>0</v>
      </c>
      <c r="CX142" s="6">
        <f t="shared" si="55"/>
        <v>0</v>
      </c>
      <c r="CY142" s="6">
        <f t="shared" si="56"/>
        <v>0</v>
      </c>
      <c r="CZ142" s="6">
        <f t="shared" si="57"/>
        <v>0</v>
      </c>
      <c r="DA142" s="6">
        <f t="shared" si="58"/>
        <v>0</v>
      </c>
      <c r="DB142" s="6">
        <f t="shared" si="59"/>
        <v>0</v>
      </c>
      <c r="DC142" s="6">
        <f t="shared" si="60"/>
        <v>0</v>
      </c>
      <c r="DD142" s="6">
        <f t="shared" si="61"/>
        <v>0</v>
      </c>
      <c r="DE142" s="6">
        <f t="shared" si="62"/>
        <v>0</v>
      </c>
      <c r="DF142" s="6">
        <f t="shared" si="63"/>
        <v>0</v>
      </c>
      <c r="DG142" s="6">
        <f t="shared" si="64"/>
        <v>0</v>
      </c>
      <c r="DH142" s="6">
        <f t="shared" si="630"/>
        <v>0</v>
      </c>
      <c r="DI142" s="6">
        <f t="shared" si="66"/>
        <v>0</v>
      </c>
      <c r="DJ142" s="6">
        <f t="shared" si="574"/>
        <v>0</v>
      </c>
      <c r="DK142" s="7">
        <f t="shared" si="68"/>
        <v>0</v>
      </c>
      <c r="DL142" s="7">
        <f t="shared" si="498"/>
        <v>0</v>
      </c>
      <c r="DM142" s="7">
        <f t="shared" si="70"/>
        <v>0</v>
      </c>
      <c r="DN142" s="7">
        <f t="shared" si="71"/>
        <v>0</v>
      </c>
      <c r="DO142" s="7">
        <f t="shared" si="72"/>
        <v>0</v>
      </c>
      <c r="DP142" s="8">
        <f t="shared" si="73"/>
        <v>0</v>
      </c>
      <c r="DQ142" s="8">
        <f t="shared" si="74"/>
        <v>1</v>
      </c>
      <c r="DR142" s="7">
        <f t="shared" si="75"/>
        <v>0</v>
      </c>
      <c r="DS142" s="7">
        <f t="shared" si="76"/>
        <v>0</v>
      </c>
      <c r="DT142" s="7">
        <f t="shared" si="77"/>
        <v>1</v>
      </c>
      <c r="DU142" s="9">
        <f t="shared" si="78"/>
        <v>0</v>
      </c>
      <c r="DV142" s="9">
        <f t="shared" si="79"/>
        <v>0</v>
      </c>
      <c r="DW142" s="9">
        <f t="shared" si="80"/>
        <v>0</v>
      </c>
      <c r="DX142" s="9">
        <f t="shared" si="81"/>
        <v>0</v>
      </c>
      <c r="DY142" s="9">
        <f t="shared" si="82"/>
        <v>0</v>
      </c>
      <c r="DZ142" s="9">
        <f t="shared" si="83"/>
        <v>0</v>
      </c>
      <c r="EA142" s="9">
        <f t="shared" si="84"/>
        <v>0</v>
      </c>
      <c r="EB142" s="9">
        <f t="shared" si="85"/>
        <v>1</v>
      </c>
      <c r="EC142" s="9">
        <f t="shared" si="86"/>
        <v>0</v>
      </c>
      <c r="ED142" s="9">
        <f t="shared" si="87"/>
        <v>0</v>
      </c>
      <c r="EE142" s="9">
        <f t="shared" si="88"/>
        <v>0</v>
      </c>
      <c r="EF142" s="9">
        <f t="shared" si="89"/>
        <v>0</v>
      </c>
      <c r="EG142" s="9">
        <f t="shared" si="90"/>
        <v>0</v>
      </c>
      <c r="EH142" s="9">
        <f t="shared" si="91"/>
        <v>0</v>
      </c>
      <c r="EI142" s="9">
        <f t="shared" si="92"/>
        <v>0</v>
      </c>
      <c r="EJ142" s="10">
        <f t="shared" si="93"/>
        <v>0</v>
      </c>
      <c r="EK142" s="10">
        <f t="shared" si="94"/>
        <v>0</v>
      </c>
      <c r="EL142" s="10">
        <f t="shared" ref="EL142:EM142" si="635">IF(OR(ISNUMBER(SEARCH("ai software toolkit", $D142)), ISNUMBER(SEARCH("ai software toolkit", $T142)), ISNUMBER(SEARCH("ai software toolkit", $R142)), ISNUMBER(SEARCH("ai software toolkit", $S142))), 1, 0)</f>
        <v>0</v>
      </c>
      <c r="EM142" s="10">
        <f t="shared" si="635"/>
        <v>0</v>
      </c>
      <c r="EN142" s="10">
        <f t="shared" si="96"/>
        <v>0</v>
      </c>
      <c r="EO142" s="10">
        <f t="shared" si="97"/>
        <v>0</v>
      </c>
      <c r="EP142" s="10">
        <f t="shared" si="98"/>
        <v>0</v>
      </c>
      <c r="EQ142" s="10">
        <f t="shared" si="99"/>
        <v>0</v>
      </c>
      <c r="ER142" s="10">
        <f t="shared" si="100"/>
        <v>0</v>
      </c>
      <c r="ES142" s="10">
        <f t="shared" si="101"/>
        <v>0</v>
      </c>
      <c r="ET142" s="10">
        <f t="shared" si="102"/>
        <v>0</v>
      </c>
      <c r="EU142" s="10">
        <f t="shared" si="103"/>
        <v>0</v>
      </c>
      <c r="EV142" s="10">
        <f t="shared" si="104"/>
        <v>0</v>
      </c>
      <c r="EW142" s="10">
        <f t="shared" si="105"/>
        <v>0</v>
      </c>
      <c r="EX142" s="10">
        <f t="shared" si="106"/>
        <v>0</v>
      </c>
      <c r="EY142" s="10">
        <f t="shared" si="107"/>
        <v>0</v>
      </c>
      <c r="EZ142" s="10">
        <f t="shared" si="108"/>
        <v>0</v>
      </c>
      <c r="FA142" s="10">
        <f t="shared" si="109"/>
        <v>0</v>
      </c>
      <c r="FB142" s="10">
        <f t="shared" si="110"/>
        <v>0</v>
      </c>
      <c r="FC142" s="10">
        <f t="shared" si="111"/>
        <v>0</v>
      </c>
      <c r="FD142" s="10">
        <f t="shared" si="112"/>
        <v>0</v>
      </c>
      <c r="FE142" s="10">
        <f t="shared" si="113"/>
        <v>0</v>
      </c>
      <c r="FF142" s="10">
        <f t="shared" si="114"/>
        <v>0</v>
      </c>
      <c r="FG142" s="10">
        <f t="shared" si="115"/>
        <v>0</v>
      </c>
      <c r="FH142" s="10">
        <f t="shared" si="116"/>
        <v>0</v>
      </c>
      <c r="FI142" s="10">
        <f t="shared" si="117"/>
        <v>0</v>
      </c>
      <c r="FJ142" s="10">
        <f t="shared" si="118"/>
        <v>0</v>
      </c>
      <c r="FK142" s="10">
        <f t="shared" si="119"/>
        <v>0</v>
      </c>
      <c r="FL142" s="10">
        <f t="shared" si="120"/>
        <v>0</v>
      </c>
      <c r="FM142" s="10">
        <f t="shared" si="121"/>
        <v>0</v>
      </c>
      <c r="FN142" s="10">
        <f t="shared" si="122"/>
        <v>0</v>
      </c>
      <c r="FO142" s="10">
        <f t="shared" si="123"/>
        <v>0</v>
      </c>
      <c r="FP142" s="10">
        <f t="shared" si="124"/>
        <v>0</v>
      </c>
      <c r="FQ142" s="10">
        <f t="shared" si="125"/>
        <v>0</v>
      </c>
      <c r="FR142" s="11">
        <f t="shared" si="636"/>
        <v>0</v>
      </c>
      <c r="FS142" s="11">
        <f t="shared" si="127"/>
        <v>0</v>
      </c>
      <c r="FT142" s="11">
        <f t="shared" si="128"/>
        <v>0</v>
      </c>
      <c r="FU142" s="11">
        <f t="shared" si="129"/>
        <v>0</v>
      </c>
      <c r="FV142" s="11">
        <f t="shared" si="130"/>
        <v>0</v>
      </c>
      <c r="FW142" s="11">
        <f t="shared" si="131"/>
        <v>0</v>
      </c>
      <c r="FX142" s="11">
        <f t="shared" si="132"/>
        <v>0</v>
      </c>
      <c r="FY142" s="11">
        <f t="shared" si="133"/>
        <v>0</v>
      </c>
      <c r="FZ142" s="11">
        <f t="shared" si="134"/>
        <v>0</v>
      </c>
      <c r="GA142" s="11">
        <f t="shared" si="135"/>
        <v>0</v>
      </c>
      <c r="GB142" s="11">
        <f t="shared" si="136"/>
        <v>0</v>
      </c>
      <c r="GC142" s="11">
        <f t="shared" si="137"/>
        <v>0</v>
      </c>
      <c r="GD142" s="11">
        <f t="shared" si="138"/>
        <v>0</v>
      </c>
      <c r="GE142" s="11">
        <f t="shared" si="139"/>
        <v>0</v>
      </c>
      <c r="GF142" s="11">
        <f t="shared" si="140"/>
        <v>0</v>
      </c>
      <c r="GG142" s="11">
        <f t="shared" si="141"/>
        <v>0</v>
      </c>
      <c r="GH142" s="11">
        <f t="shared" si="142"/>
        <v>0</v>
      </c>
      <c r="GI142" s="11">
        <f t="shared" si="143"/>
        <v>0</v>
      </c>
      <c r="GJ142" s="11">
        <f t="shared" si="144"/>
        <v>0</v>
      </c>
      <c r="GK142" s="11">
        <f t="shared" si="145"/>
        <v>0</v>
      </c>
      <c r="GL142" s="11">
        <f t="shared" si="146"/>
        <v>0</v>
      </c>
      <c r="GM142" s="11">
        <f t="shared" si="147"/>
        <v>0</v>
      </c>
      <c r="GN142" s="11">
        <f t="shared" si="148"/>
        <v>0</v>
      </c>
      <c r="GO142" s="11">
        <f t="shared" si="149"/>
        <v>0</v>
      </c>
      <c r="GP142" s="11">
        <f t="shared" si="150"/>
        <v>0</v>
      </c>
      <c r="GQ142" s="11">
        <f t="shared" si="151"/>
        <v>0</v>
      </c>
      <c r="GR142" s="11">
        <f t="shared" si="152"/>
        <v>0</v>
      </c>
      <c r="GS142" s="11">
        <f t="shared" si="153"/>
        <v>0</v>
      </c>
      <c r="GT142" s="11">
        <f t="shared" si="154"/>
        <v>0</v>
      </c>
      <c r="GU142" s="12">
        <f t="shared" si="155"/>
        <v>0</v>
      </c>
      <c r="GV142" s="12">
        <f t="shared" si="156"/>
        <v>0</v>
      </c>
      <c r="GW142" s="12">
        <f t="shared" si="157"/>
        <v>0</v>
      </c>
      <c r="GX142" s="12">
        <f t="shared" si="158"/>
        <v>0</v>
      </c>
      <c r="GY142" s="12">
        <f t="shared" si="159"/>
        <v>0</v>
      </c>
      <c r="GZ142" s="12">
        <f t="shared" si="160"/>
        <v>0</v>
      </c>
      <c r="HA142" s="12">
        <f t="shared" si="161"/>
        <v>0</v>
      </c>
      <c r="HB142" s="12">
        <f t="shared" si="162"/>
        <v>0</v>
      </c>
      <c r="HC142" s="12">
        <f t="shared" si="163"/>
        <v>0</v>
      </c>
      <c r="HD142" s="12">
        <f t="shared" si="164"/>
        <v>0</v>
      </c>
      <c r="HE142" s="12">
        <f t="shared" si="165"/>
        <v>0</v>
      </c>
      <c r="HF142" s="12">
        <f t="shared" si="166"/>
        <v>0</v>
      </c>
      <c r="HG142" s="12">
        <f t="shared" si="167"/>
        <v>0</v>
      </c>
      <c r="HH142" s="12">
        <f t="shared" si="168"/>
        <v>0</v>
      </c>
      <c r="HI142" s="12">
        <f t="shared" si="169"/>
        <v>0</v>
      </c>
      <c r="HJ142" s="12">
        <f t="shared" si="170"/>
        <v>0</v>
      </c>
      <c r="HK142" s="12">
        <f t="shared" si="171"/>
        <v>0</v>
      </c>
      <c r="HL142" s="12">
        <f t="shared" si="172"/>
        <v>0</v>
      </c>
      <c r="HM142" s="12">
        <f t="shared" si="173"/>
        <v>0</v>
      </c>
      <c r="HN142" s="12">
        <f t="shared" si="174"/>
        <v>0</v>
      </c>
      <c r="HO142" s="12">
        <f t="shared" si="175"/>
        <v>0</v>
      </c>
      <c r="HP142" s="12">
        <f t="shared" si="176"/>
        <v>0</v>
      </c>
      <c r="HQ142" s="12">
        <f t="shared" si="177"/>
        <v>0</v>
      </c>
      <c r="HR142" s="12">
        <f t="shared" si="178"/>
        <v>0</v>
      </c>
      <c r="HS142" s="12">
        <f t="shared" si="179"/>
        <v>0</v>
      </c>
      <c r="HT142" s="12">
        <f t="shared" si="180"/>
        <v>0</v>
      </c>
      <c r="HU142" s="12">
        <f t="shared" si="181"/>
        <v>0</v>
      </c>
      <c r="HV142" s="12">
        <f t="shared" si="182"/>
        <v>1</v>
      </c>
      <c r="HW142" s="12">
        <f t="shared" si="183"/>
        <v>0</v>
      </c>
      <c r="HX142" s="12">
        <f t="shared" si="184"/>
        <v>0</v>
      </c>
      <c r="HY142" s="12">
        <f t="shared" si="185"/>
        <v>0</v>
      </c>
      <c r="HZ142" s="12">
        <f t="shared" si="186"/>
        <v>0</v>
      </c>
      <c r="IA142" s="12">
        <f t="shared" si="187"/>
        <v>0</v>
      </c>
      <c r="IB142" s="12">
        <f t="shared" si="188"/>
        <v>0</v>
      </c>
      <c r="IC142" s="12">
        <f t="shared" si="189"/>
        <v>0</v>
      </c>
      <c r="ID142" s="12">
        <f t="shared" si="190"/>
        <v>0</v>
      </c>
      <c r="IE142" s="12">
        <f t="shared" si="191"/>
        <v>0</v>
      </c>
      <c r="IF142" s="12">
        <f t="shared" si="192"/>
        <v>0</v>
      </c>
      <c r="IG142" s="12">
        <f t="shared" si="193"/>
        <v>0</v>
      </c>
      <c r="IH142" s="12">
        <f t="shared" si="194"/>
        <v>0</v>
      </c>
      <c r="II142" s="12">
        <f t="shared" si="195"/>
        <v>0</v>
      </c>
      <c r="IJ142" s="12">
        <f t="shared" si="196"/>
        <v>0</v>
      </c>
      <c r="IK142" s="12">
        <f t="shared" si="197"/>
        <v>0</v>
      </c>
      <c r="IL142" s="12">
        <f t="shared" si="198"/>
        <v>0</v>
      </c>
      <c r="IM142" s="12">
        <f t="shared" si="199"/>
        <v>0</v>
      </c>
      <c r="IN142" s="12">
        <f t="shared" si="200"/>
        <v>0</v>
      </c>
      <c r="IO142" s="12">
        <f t="shared" si="201"/>
        <v>0</v>
      </c>
      <c r="IP142" s="12">
        <f t="shared" si="202"/>
        <v>0</v>
      </c>
      <c r="IQ142" s="12">
        <f t="shared" si="203"/>
        <v>0</v>
      </c>
      <c r="IR142" s="12">
        <f t="shared" si="204"/>
        <v>0</v>
      </c>
      <c r="IS142" s="12">
        <f t="shared" si="205"/>
        <v>0</v>
      </c>
      <c r="IT142" s="12">
        <f t="shared" si="206"/>
        <v>0</v>
      </c>
      <c r="IU142" s="12">
        <f t="shared" si="207"/>
        <v>0</v>
      </c>
      <c r="IV142" s="12">
        <f t="shared" si="208"/>
        <v>0</v>
      </c>
      <c r="IW142" s="12">
        <f t="shared" si="209"/>
        <v>0</v>
      </c>
      <c r="IX142" s="12">
        <f t="shared" si="210"/>
        <v>0</v>
      </c>
      <c r="IY142" s="12">
        <f t="shared" si="211"/>
        <v>0</v>
      </c>
      <c r="IZ142" s="12">
        <f t="shared" si="212"/>
        <v>0</v>
      </c>
      <c r="JA142" s="13">
        <f t="shared" si="213"/>
        <v>0</v>
      </c>
      <c r="JB142" s="13">
        <f t="shared" si="214"/>
        <v>0</v>
      </c>
      <c r="JC142" s="13">
        <f t="shared" si="215"/>
        <v>0</v>
      </c>
      <c r="JD142" s="13">
        <f t="shared" si="216"/>
        <v>0</v>
      </c>
      <c r="JE142" s="13">
        <f t="shared" si="217"/>
        <v>0</v>
      </c>
      <c r="JF142" s="13">
        <f t="shared" si="218"/>
        <v>0</v>
      </c>
      <c r="JG142" s="13">
        <f t="shared" si="219"/>
        <v>0</v>
      </c>
      <c r="JH142" s="13">
        <f t="shared" si="220"/>
        <v>0</v>
      </c>
      <c r="JI142" s="13">
        <f t="shared" si="221"/>
        <v>0</v>
      </c>
      <c r="JJ142" s="13">
        <f t="shared" si="222"/>
        <v>0</v>
      </c>
      <c r="JK142" s="13">
        <f t="shared" si="223"/>
        <v>0</v>
      </c>
      <c r="JL142" s="13">
        <f t="shared" si="224"/>
        <v>0</v>
      </c>
      <c r="JM142" s="13">
        <f t="shared" si="225"/>
        <v>0</v>
      </c>
      <c r="JN142" s="13">
        <f t="shared" si="226"/>
        <v>0</v>
      </c>
      <c r="JO142" s="13">
        <f t="shared" si="227"/>
        <v>0</v>
      </c>
      <c r="JP142" s="13">
        <f t="shared" si="228"/>
        <v>0</v>
      </c>
      <c r="JQ142" s="13">
        <f t="shared" si="229"/>
        <v>0</v>
      </c>
      <c r="JR142" s="13">
        <f t="shared" si="230"/>
        <v>0</v>
      </c>
      <c r="JS142" s="13">
        <f t="shared" si="231"/>
        <v>0</v>
      </c>
      <c r="JT142" s="13">
        <f t="shared" si="232"/>
        <v>0</v>
      </c>
      <c r="JU142" s="13">
        <f t="shared" si="233"/>
        <v>0</v>
      </c>
      <c r="JV142" s="12">
        <f t="shared" si="234"/>
        <v>0</v>
      </c>
      <c r="JW142" s="12">
        <f t="shared" si="235"/>
        <v>0</v>
      </c>
      <c r="JX142" s="12">
        <f t="shared" si="236"/>
        <v>0</v>
      </c>
      <c r="JY142" s="12">
        <f t="shared" si="237"/>
        <v>0</v>
      </c>
      <c r="JZ142" s="12">
        <f t="shared" si="238"/>
        <v>0</v>
      </c>
      <c r="KA142" s="12">
        <f t="shared" si="239"/>
        <v>0</v>
      </c>
      <c r="KB142" s="12">
        <f t="shared" si="240"/>
        <v>0</v>
      </c>
      <c r="KC142" s="12">
        <f t="shared" si="241"/>
        <v>0</v>
      </c>
      <c r="KD142" s="12">
        <f t="shared" si="242"/>
        <v>0</v>
      </c>
      <c r="KE142" s="12">
        <f t="shared" si="243"/>
        <v>0</v>
      </c>
      <c r="KF142" s="12">
        <f t="shared" si="244"/>
        <v>0</v>
      </c>
      <c r="KG142" s="12">
        <f t="shared" si="245"/>
        <v>0</v>
      </c>
      <c r="KH142" s="12">
        <f t="shared" si="246"/>
        <v>0</v>
      </c>
      <c r="KI142" s="12">
        <f t="shared" si="247"/>
        <v>0</v>
      </c>
      <c r="KJ142" s="12">
        <f t="shared" si="248"/>
        <v>0</v>
      </c>
      <c r="KK142" s="12">
        <f t="shared" si="249"/>
        <v>0</v>
      </c>
      <c r="KL142" s="12">
        <f t="shared" si="250"/>
        <v>0</v>
      </c>
      <c r="KM142" s="12">
        <f t="shared" si="251"/>
        <v>0</v>
      </c>
      <c r="KN142" s="12">
        <f t="shared" si="252"/>
        <v>0</v>
      </c>
      <c r="KO142" s="12">
        <f t="shared" si="253"/>
        <v>0</v>
      </c>
      <c r="KP142" s="12">
        <f t="shared" si="254"/>
        <v>0</v>
      </c>
      <c r="KQ142" s="12">
        <f t="shared" si="255"/>
        <v>0</v>
      </c>
      <c r="KR142" s="12">
        <f t="shared" si="256"/>
        <v>0</v>
      </c>
      <c r="KS142" s="12">
        <f t="shared" si="257"/>
        <v>0</v>
      </c>
      <c r="KT142" s="12">
        <f t="shared" si="258"/>
        <v>0</v>
      </c>
      <c r="KU142" s="12">
        <f t="shared" si="259"/>
        <v>0</v>
      </c>
      <c r="KV142" s="12">
        <f t="shared" si="260"/>
        <v>0</v>
      </c>
      <c r="KW142" s="12">
        <f t="shared" si="261"/>
        <v>0</v>
      </c>
      <c r="KX142" s="12">
        <f t="shared" si="262"/>
        <v>0</v>
      </c>
      <c r="KY142" s="12">
        <f t="shared" si="263"/>
        <v>0</v>
      </c>
      <c r="KZ142" s="12">
        <f t="shared" si="264"/>
        <v>0</v>
      </c>
      <c r="LA142" s="12">
        <f t="shared" si="265"/>
        <v>0</v>
      </c>
      <c r="LB142" s="12">
        <f t="shared" si="266"/>
        <v>0</v>
      </c>
      <c r="LC142" s="12">
        <f t="shared" si="267"/>
        <v>0</v>
      </c>
      <c r="LD142" s="12">
        <f t="shared" si="268"/>
        <v>0</v>
      </c>
      <c r="LE142" s="12">
        <f t="shared" si="269"/>
        <v>0</v>
      </c>
      <c r="LF142" s="12">
        <f t="shared" si="270"/>
        <v>0</v>
      </c>
      <c r="LG142" s="12">
        <f t="shared" si="271"/>
        <v>0</v>
      </c>
      <c r="LH142" s="12">
        <f t="shared" si="272"/>
        <v>0</v>
      </c>
      <c r="LI142" s="12">
        <f t="shared" si="273"/>
        <v>0</v>
      </c>
      <c r="LJ142" s="12">
        <f t="shared" si="274"/>
        <v>0</v>
      </c>
      <c r="LK142" s="12">
        <f t="shared" si="275"/>
        <v>0</v>
      </c>
      <c r="LL142" s="12">
        <f t="shared" si="276"/>
        <v>0</v>
      </c>
      <c r="LM142" s="12">
        <f t="shared" si="277"/>
        <v>0</v>
      </c>
      <c r="LN142" s="12">
        <f t="shared" si="278"/>
        <v>0</v>
      </c>
      <c r="LO142" s="12">
        <f t="shared" si="279"/>
        <v>0</v>
      </c>
      <c r="LP142" s="12">
        <f t="shared" si="280"/>
        <v>0</v>
      </c>
      <c r="LQ142" s="12">
        <f t="shared" si="281"/>
        <v>0</v>
      </c>
      <c r="LR142" s="12">
        <f t="shared" si="282"/>
        <v>0</v>
      </c>
      <c r="LS142" s="12">
        <f t="shared" si="283"/>
        <v>0</v>
      </c>
      <c r="LT142" s="13">
        <f t="shared" si="284"/>
        <v>0</v>
      </c>
      <c r="LU142" s="13">
        <f t="shared" si="285"/>
        <v>0</v>
      </c>
      <c r="LV142" s="13">
        <f t="shared" si="286"/>
        <v>0</v>
      </c>
      <c r="LW142" s="13">
        <f t="shared" si="287"/>
        <v>0</v>
      </c>
      <c r="LX142" s="13">
        <f t="shared" si="288"/>
        <v>0</v>
      </c>
      <c r="LY142" s="13">
        <f t="shared" si="289"/>
        <v>0</v>
      </c>
      <c r="LZ142" s="13">
        <f t="shared" si="290"/>
        <v>0</v>
      </c>
      <c r="MA142" s="13">
        <f t="shared" si="291"/>
        <v>0</v>
      </c>
      <c r="MB142" s="13">
        <f t="shared" si="292"/>
        <v>0</v>
      </c>
      <c r="MC142" s="13">
        <f t="shared" si="293"/>
        <v>0</v>
      </c>
      <c r="MD142" s="13">
        <f t="shared" si="294"/>
        <v>0</v>
      </c>
      <c r="ME142" s="13">
        <f t="shared" si="295"/>
        <v>0</v>
      </c>
      <c r="MF142" s="13">
        <f t="shared" si="296"/>
        <v>0</v>
      </c>
      <c r="MG142" s="13">
        <f t="shared" si="297"/>
        <v>0</v>
      </c>
      <c r="MH142" s="13">
        <f t="shared" si="298"/>
        <v>0</v>
      </c>
      <c r="MI142" s="13">
        <f t="shared" si="299"/>
        <v>0</v>
      </c>
      <c r="MJ142" s="13">
        <f t="shared" si="300"/>
        <v>0</v>
      </c>
      <c r="MK142" s="13">
        <f t="shared" si="301"/>
        <v>0</v>
      </c>
      <c r="ML142" s="14">
        <f t="shared" si="302"/>
        <v>0</v>
      </c>
      <c r="MM142" s="14">
        <f t="shared" si="303"/>
        <v>0</v>
      </c>
      <c r="MN142" s="14">
        <f t="shared" si="304"/>
        <v>0</v>
      </c>
      <c r="MO142" s="14">
        <f t="shared" si="305"/>
        <v>0</v>
      </c>
      <c r="MP142" s="14">
        <f t="shared" si="306"/>
        <v>0</v>
      </c>
      <c r="MQ142" s="14">
        <f t="shared" si="307"/>
        <v>0</v>
      </c>
      <c r="MR142" s="14">
        <f t="shared" si="308"/>
        <v>0</v>
      </c>
      <c r="MS142" s="14">
        <f t="shared" si="309"/>
        <v>0</v>
      </c>
      <c r="MT142" s="14">
        <f t="shared" si="310"/>
        <v>0</v>
      </c>
      <c r="MU142" s="14">
        <f t="shared" si="311"/>
        <v>0</v>
      </c>
      <c r="MV142" s="14">
        <f t="shared" si="312"/>
        <v>0</v>
      </c>
      <c r="MW142" s="14">
        <f t="shared" si="313"/>
        <v>0</v>
      </c>
      <c r="MX142" s="14">
        <f t="shared" si="314"/>
        <v>0</v>
      </c>
      <c r="MY142" s="14">
        <f t="shared" si="315"/>
        <v>0</v>
      </c>
      <c r="MZ142" s="14">
        <f t="shared" si="316"/>
        <v>0</v>
      </c>
      <c r="NA142" s="14">
        <f t="shared" si="317"/>
        <v>0</v>
      </c>
      <c r="NB142" s="14">
        <f t="shared" si="318"/>
        <v>0</v>
      </c>
    </row>
    <row r="143" ht="15.75" customHeight="1">
      <c r="A143" s="2">
        <v>178.0</v>
      </c>
      <c r="B143" s="2" t="s">
        <v>2776</v>
      </c>
      <c r="C143" s="2" t="s">
        <v>2777</v>
      </c>
      <c r="D143" s="2" t="s">
        <v>2778</v>
      </c>
      <c r="E143" s="2">
        <v>2020.0</v>
      </c>
      <c r="F143" s="2" t="s">
        <v>2779</v>
      </c>
      <c r="G143" s="2" t="s">
        <v>452</v>
      </c>
      <c r="H143" s="2" t="s">
        <v>2780</v>
      </c>
      <c r="I143" s="2" t="s">
        <v>2781</v>
      </c>
      <c r="M143" s="2">
        <v>4.0</v>
      </c>
      <c r="N143" s="2" t="s">
        <v>2782</v>
      </c>
      <c r="O143" s="2" t="s">
        <v>2783</v>
      </c>
      <c r="P143" s="2" t="s">
        <v>2784</v>
      </c>
      <c r="Q143" s="2" t="s">
        <v>2785</v>
      </c>
      <c r="R143" s="2" t="s">
        <v>2786</v>
      </c>
      <c r="S143" s="2" t="s">
        <v>2787</v>
      </c>
      <c r="T143" s="2" t="s">
        <v>2788</v>
      </c>
      <c r="Y143" s="2" t="s">
        <v>2789</v>
      </c>
      <c r="AB143" s="2" t="s">
        <v>1321</v>
      </c>
      <c r="AG143" s="2" t="s">
        <v>2790</v>
      </c>
      <c r="AK143" s="2" t="s">
        <v>2791</v>
      </c>
      <c r="AL143" s="2" t="s">
        <v>384</v>
      </c>
      <c r="AN143" s="2" t="s">
        <v>386</v>
      </c>
      <c r="AO143" s="2" t="s">
        <v>2792</v>
      </c>
      <c r="AP143" s="2" t="s">
        <v>386</v>
      </c>
      <c r="AQ143" s="2">
        <v>701.0</v>
      </c>
      <c r="AR143" s="2" t="s">
        <v>2793</v>
      </c>
      <c r="AS143" s="2" t="b">
        <v>0</v>
      </c>
      <c r="AT143" s="3">
        <v>0.0</v>
      </c>
      <c r="AU143" s="4"/>
      <c r="AV143" s="4"/>
      <c r="AW143" s="5">
        <f t="shared" si="432"/>
        <v>0</v>
      </c>
      <c r="AX143" s="5">
        <f t="shared" si="4"/>
        <v>0</v>
      </c>
      <c r="AY143" s="5">
        <f t="shared" si="5"/>
        <v>0</v>
      </c>
      <c r="AZ143" s="5">
        <f t="shared" si="6"/>
        <v>0</v>
      </c>
      <c r="BA143" s="5">
        <f t="shared" si="7"/>
        <v>0</v>
      </c>
      <c r="BB143" s="5">
        <f t="shared" si="8"/>
        <v>0</v>
      </c>
      <c r="BC143" s="5">
        <f t="shared" si="9"/>
        <v>0</v>
      </c>
      <c r="BD143" s="5">
        <f t="shared" si="10"/>
        <v>0</v>
      </c>
      <c r="BE143" s="5">
        <f t="shared" si="11"/>
        <v>0</v>
      </c>
      <c r="BF143" s="5">
        <f t="shared" si="12"/>
        <v>0</v>
      </c>
      <c r="BG143" s="5">
        <f t="shared" si="13"/>
        <v>0</v>
      </c>
      <c r="BH143" s="5">
        <f t="shared" si="14"/>
        <v>0</v>
      </c>
      <c r="BI143" s="5">
        <f t="shared" si="15"/>
        <v>0</v>
      </c>
      <c r="BJ143" s="5">
        <f t="shared" si="16"/>
        <v>0</v>
      </c>
      <c r="BK143" s="5">
        <f t="shared" si="17"/>
        <v>0</v>
      </c>
      <c r="BL143" s="5">
        <f t="shared" si="18"/>
        <v>0</v>
      </c>
      <c r="BM143" s="5">
        <f t="shared" si="19"/>
        <v>0</v>
      </c>
      <c r="BN143" s="5">
        <f t="shared" si="20"/>
        <v>0</v>
      </c>
      <c r="BO143" s="5">
        <f t="shared" si="21"/>
        <v>0</v>
      </c>
      <c r="BP143" s="5">
        <f t="shared" si="22"/>
        <v>0</v>
      </c>
      <c r="BQ143" s="5">
        <f t="shared" si="23"/>
        <v>0</v>
      </c>
      <c r="BR143" s="5">
        <f t="shared" si="24"/>
        <v>0</v>
      </c>
      <c r="BS143" s="5">
        <f t="shared" si="25"/>
        <v>0</v>
      </c>
      <c r="BT143" s="5">
        <f t="shared" si="26"/>
        <v>0</v>
      </c>
      <c r="BU143" s="5">
        <f t="shared" si="27"/>
        <v>0</v>
      </c>
      <c r="BV143" s="5">
        <f t="shared" ref="BV143:BW143" si="637">IF(OR(ISNUMBER(SEARCH("grit",$D143)),ISNUMBER(SEARCH("grit",$T143)),ISNUMBER(SEARCH("grit",$R143)),ISNUMBER(SEARCH("grit",$S143)),
ISNUMBER(SEARCH("determination",$D143)),ISNUMBER(SEARCH("determination",$T143)),ISNUMBER(SEARCH("determination",$R143)),ISNUMBER(SEARCH("determination",$S143)),
ISNUMBER(SEARCH("tenacity",$D143)),ISNUMBER(SEARCH("tenacity",$T143)),ISNUMBER(SEARCH("tenacity",$R143)),ISNUMBER(SEARCH("tenacity",$S143)),
ISNUMBER(SEARCH("endurance",$D143)),ISNUMBER(SEARCH("endurance",$T143)),ISNUMBER(SEARCH("endurance",$R143)),ISNUMBER(SEARCH("endurance",$S143)),
ISNUMBER(SEARCH("fortitude",$D143)),ISNUMBER(SEARCH("fortitude",$T143)),ISNUMBER(SEARCH("fortitude",$R143)),ISNUMBER(SEARCH("fortitude",$S143)),
ISNUMBER(SEARCH("resolve",$D143)),ISNUMBER(SEARCH("resolve",$T143)),ISNUMBER(SEARCH("resolve",$R143)),ISNUMBER(SEARCH("resolve",$S143)),
ISNUMBER(SEARCH("stamina",$D143)),ISNUMBER(SEARCH("stamina",$T143)),ISNUMBER(SEARCH("stamina",$R143)),ISNUMBER(SEARCH("stamina",$S143)),
ISNUMBER(SEARCH("guts",$D143)),ISNUMBER(SEARCH("guts",$T143)),ISNUMBER(SEARCH("guts",$R143)),ISNUMBER(SEARCH("guts",$S143)),
ISNUMBER(SEARCH("spunk",$D143)),ISNUMBER(SEARCH("spunk",$T143)),ISNUMBER(SEARCH("spunk",$R143)),ISNUMBER(SEARCH("spunk",$S143))), 1, 0)</f>
        <v>0</v>
      </c>
      <c r="BW143" s="5">
        <f t="shared" si="637"/>
        <v>0</v>
      </c>
      <c r="BX143" s="5">
        <f t="shared" si="29"/>
        <v>0</v>
      </c>
      <c r="BY143" s="5">
        <f t="shared" si="30"/>
        <v>0</v>
      </c>
      <c r="BZ143" s="5">
        <f t="shared" si="31"/>
        <v>0</v>
      </c>
      <c r="CA143" s="5">
        <f t="shared" si="32"/>
        <v>0</v>
      </c>
      <c r="CB143" s="5">
        <f t="shared" si="33"/>
        <v>0</v>
      </c>
      <c r="CC143" s="5">
        <f t="shared" si="34"/>
        <v>0</v>
      </c>
      <c r="CD143" s="5">
        <f t="shared" si="35"/>
        <v>0</v>
      </c>
      <c r="CE143" s="5">
        <f t="shared" si="36"/>
        <v>0</v>
      </c>
      <c r="CF143" s="5">
        <f t="shared" si="37"/>
        <v>0</v>
      </c>
      <c r="CG143" s="5">
        <f t="shared" si="38"/>
        <v>0</v>
      </c>
      <c r="CH143" s="5">
        <f t="shared" si="39"/>
        <v>0</v>
      </c>
      <c r="CI143" s="5">
        <f t="shared" si="40"/>
        <v>0</v>
      </c>
      <c r="CJ143" s="5">
        <f t="shared" si="41"/>
        <v>0</v>
      </c>
      <c r="CK143" s="5">
        <f t="shared" si="42"/>
        <v>0</v>
      </c>
      <c r="CL143" s="5">
        <f t="shared" si="43"/>
        <v>0</v>
      </c>
      <c r="CM143" s="5">
        <f t="shared" si="44"/>
        <v>0</v>
      </c>
      <c r="CN143" s="5">
        <f t="shared" si="45"/>
        <v>0</v>
      </c>
      <c r="CO143" s="5">
        <f t="shared" si="46"/>
        <v>0</v>
      </c>
      <c r="CP143" s="6">
        <f t="shared" si="47"/>
        <v>0</v>
      </c>
      <c r="CQ143" s="6">
        <f t="shared" si="48"/>
        <v>0</v>
      </c>
      <c r="CR143" s="6">
        <f t="shared" si="49"/>
        <v>0</v>
      </c>
      <c r="CS143" s="6">
        <f t="shared" si="50"/>
        <v>0</v>
      </c>
      <c r="CT143" s="6">
        <f t="shared" si="584"/>
        <v>0</v>
      </c>
      <c r="CU143" s="6">
        <f t="shared" si="52"/>
        <v>0</v>
      </c>
      <c r="CV143" s="6">
        <f t="shared" si="53"/>
        <v>0</v>
      </c>
      <c r="CW143" s="6">
        <f t="shared" si="54"/>
        <v>0</v>
      </c>
      <c r="CX143" s="6">
        <f t="shared" si="55"/>
        <v>0</v>
      </c>
      <c r="CY143" s="6">
        <f t="shared" si="56"/>
        <v>0</v>
      </c>
      <c r="CZ143" s="6">
        <f t="shared" si="57"/>
        <v>0</v>
      </c>
      <c r="DA143" s="6">
        <f t="shared" si="58"/>
        <v>0</v>
      </c>
      <c r="DB143" s="6">
        <f t="shared" si="59"/>
        <v>0</v>
      </c>
      <c r="DC143" s="6">
        <f t="shared" si="60"/>
        <v>0</v>
      </c>
      <c r="DD143" s="6">
        <f t="shared" si="61"/>
        <v>0</v>
      </c>
      <c r="DE143" s="6">
        <f t="shared" si="62"/>
        <v>0</v>
      </c>
      <c r="DF143" s="6">
        <f t="shared" si="63"/>
        <v>0</v>
      </c>
      <c r="DG143" s="6">
        <f t="shared" si="64"/>
        <v>0</v>
      </c>
      <c r="DH143" s="6">
        <f t="shared" si="630"/>
        <v>0</v>
      </c>
      <c r="DI143" s="6">
        <f t="shared" si="66"/>
        <v>0</v>
      </c>
      <c r="DJ143" s="6">
        <f t="shared" si="574"/>
        <v>0</v>
      </c>
      <c r="DK143" s="7">
        <f t="shared" si="68"/>
        <v>0</v>
      </c>
      <c r="DL143" s="7">
        <f t="shared" si="498"/>
        <v>0</v>
      </c>
      <c r="DM143" s="7">
        <f t="shared" si="70"/>
        <v>0</v>
      </c>
      <c r="DN143" s="7">
        <f t="shared" si="71"/>
        <v>0</v>
      </c>
      <c r="DO143" s="7">
        <f t="shared" si="72"/>
        <v>0</v>
      </c>
      <c r="DP143" s="8">
        <f t="shared" si="73"/>
        <v>0</v>
      </c>
      <c r="DQ143" s="8">
        <f t="shared" si="74"/>
        <v>1</v>
      </c>
      <c r="DR143" s="7">
        <f t="shared" si="75"/>
        <v>1</v>
      </c>
      <c r="DS143" s="7">
        <f t="shared" si="76"/>
        <v>0</v>
      </c>
      <c r="DT143" s="7">
        <f t="shared" si="77"/>
        <v>0</v>
      </c>
      <c r="DU143" s="9">
        <f t="shared" si="78"/>
        <v>0</v>
      </c>
      <c r="DV143" s="9">
        <f t="shared" si="79"/>
        <v>0</v>
      </c>
      <c r="DW143" s="9">
        <f t="shared" si="80"/>
        <v>0</v>
      </c>
      <c r="DX143" s="9">
        <f t="shared" si="81"/>
        <v>0</v>
      </c>
      <c r="DY143" s="9">
        <f t="shared" si="82"/>
        <v>0</v>
      </c>
      <c r="DZ143" s="9">
        <f t="shared" si="83"/>
        <v>0</v>
      </c>
      <c r="EA143" s="9">
        <f t="shared" si="84"/>
        <v>0</v>
      </c>
      <c r="EB143" s="9">
        <f t="shared" si="85"/>
        <v>0</v>
      </c>
      <c r="EC143" s="9">
        <f t="shared" si="86"/>
        <v>0</v>
      </c>
      <c r="ED143" s="9">
        <f t="shared" si="87"/>
        <v>0</v>
      </c>
      <c r="EE143" s="9">
        <f t="shared" si="88"/>
        <v>0</v>
      </c>
      <c r="EF143" s="9">
        <f t="shared" si="89"/>
        <v>0</v>
      </c>
      <c r="EG143" s="9">
        <f t="shared" si="90"/>
        <v>0</v>
      </c>
      <c r="EH143" s="9">
        <f t="shared" si="91"/>
        <v>0</v>
      </c>
      <c r="EI143" s="9">
        <f t="shared" si="92"/>
        <v>0</v>
      </c>
      <c r="EJ143" s="10">
        <f t="shared" si="93"/>
        <v>0</v>
      </c>
      <c r="EK143" s="10">
        <f t="shared" si="94"/>
        <v>0</v>
      </c>
      <c r="EL143" s="10">
        <f t="shared" ref="EL143:EM143" si="638">IF(OR(ISNUMBER(SEARCH("ai software toolkit", $D143)), ISNUMBER(SEARCH("ai software toolkit", $T143)), ISNUMBER(SEARCH("ai software toolkit", $R143)), ISNUMBER(SEARCH("ai software toolkit", $S143))), 1, 0)</f>
        <v>0</v>
      </c>
      <c r="EM143" s="10">
        <f t="shared" si="638"/>
        <v>0</v>
      </c>
      <c r="EN143" s="10">
        <f t="shared" si="96"/>
        <v>0</v>
      </c>
      <c r="EO143" s="10">
        <f t="shared" si="97"/>
        <v>0</v>
      </c>
      <c r="EP143" s="10">
        <f t="shared" si="98"/>
        <v>0</v>
      </c>
      <c r="EQ143" s="10">
        <f t="shared" si="99"/>
        <v>0</v>
      </c>
      <c r="ER143" s="10">
        <f t="shared" si="100"/>
        <v>0</v>
      </c>
      <c r="ES143" s="10">
        <f t="shared" si="101"/>
        <v>0</v>
      </c>
      <c r="ET143" s="10">
        <f t="shared" si="102"/>
        <v>0</v>
      </c>
      <c r="EU143" s="10">
        <f t="shared" si="103"/>
        <v>0</v>
      </c>
      <c r="EV143" s="10">
        <f t="shared" si="104"/>
        <v>0</v>
      </c>
      <c r="EW143" s="10">
        <f t="shared" si="105"/>
        <v>0</v>
      </c>
      <c r="EX143" s="10">
        <f t="shared" si="106"/>
        <v>0</v>
      </c>
      <c r="EY143" s="10">
        <f t="shared" si="107"/>
        <v>0</v>
      </c>
      <c r="EZ143" s="10">
        <f t="shared" si="108"/>
        <v>0</v>
      </c>
      <c r="FA143" s="10">
        <f t="shared" si="109"/>
        <v>0</v>
      </c>
      <c r="FB143" s="10">
        <f t="shared" si="110"/>
        <v>0</v>
      </c>
      <c r="FC143" s="10">
        <f t="shared" si="111"/>
        <v>0</v>
      </c>
      <c r="FD143" s="10">
        <f t="shared" si="112"/>
        <v>0</v>
      </c>
      <c r="FE143" s="10">
        <f t="shared" si="113"/>
        <v>0</v>
      </c>
      <c r="FF143" s="10">
        <f t="shared" si="114"/>
        <v>0</v>
      </c>
      <c r="FG143" s="10">
        <f t="shared" si="115"/>
        <v>0</v>
      </c>
      <c r="FH143" s="10">
        <f t="shared" si="116"/>
        <v>0</v>
      </c>
      <c r="FI143" s="10">
        <f t="shared" si="117"/>
        <v>0</v>
      </c>
      <c r="FJ143" s="10">
        <f t="shared" si="118"/>
        <v>0</v>
      </c>
      <c r="FK143" s="10">
        <f t="shared" si="119"/>
        <v>0</v>
      </c>
      <c r="FL143" s="10">
        <f t="shared" si="120"/>
        <v>0</v>
      </c>
      <c r="FM143" s="10">
        <f t="shared" si="121"/>
        <v>0</v>
      </c>
      <c r="FN143" s="10">
        <f t="shared" si="122"/>
        <v>0</v>
      </c>
      <c r="FO143" s="10">
        <f t="shared" si="123"/>
        <v>0</v>
      </c>
      <c r="FP143" s="10">
        <f t="shared" si="124"/>
        <v>0</v>
      </c>
      <c r="FQ143" s="10">
        <f t="shared" si="125"/>
        <v>0</v>
      </c>
      <c r="FR143" s="11">
        <f t="shared" si="636"/>
        <v>0</v>
      </c>
      <c r="FS143" s="11">
        <f t="shared" si="127"/>
        <v>0</v>
      </c>
      <c r="FT143" s="11">
        <f t="shared" si="128"/>
        <v>0</v>
      </c>
      <c r="FU143" s="11">
        <f t="shared" si="129"/>
        <v>0</v>
      </c>
      <c r="FV143" s="11">
        <f t="shared" si="130"/>
        <v>0</v>
      </c>
      <c r="FW143" s="11">
        <f t="shared" si="131"/>
        <v>0</v>
      </c>
      <c r="FX143" s="11">
        <f t="shared" si="132"/>
        <v>0</v>
      </c>
      <c r="FY143" s="11">
        <f t="shared" si="133"/>
        <v>0</v>
      </c>
      <c r="FZ143" s="11">
        <f t="shared" si="134"/>
        <v>0</v>
      </c>
      <c r="GA143" s="11">
        <f t="shared" si="135"/>
        <v>0</v>
      </c>
      <c r="GB143" s="11">
        <f t="shared" si="136"/>
        <v>0</v>
      </c>
      <c r="GC143" s="11">
        <f t="shared" si="137"/>
        <v>0</v>
      </c>
      <c r="GD143" s="11">
        <f t="shared" si="138"/>
        <v>0</v>
      </c>
      <c r="GE143" s="11">
        <f t="shared" si="139"/>
        <v>0</v>
      </c>
      <c r="GF143" s="11">
        <f t="shared" si="140"/>
        <v>0</v>
      </c>
      <c r="GG143" s="11">
        <f t="shared" si="141"/>
        <v>0</v>
      </c>
      <c r="GH143" s="11">
        <f t="shared" si="142"/>
        <v>0</v>
      </c>
      <c r="GI143" s="11">
        <f t="shared" si="143"/>
        <v>0</v>
      </c>
      <c r="GJ143" s="11">
        <f t="shared" si="144"/>
        <v>0</v>
      </c>
      <c r="GK143" s="11">
        <f t="shared" si="145"/>
        <v>0</v>
      </c>
      <c r="GL143" s="11">
        <f t="shared" si="146"/>
        <v>0</v>
      </c>
      <c r="GM143" s="11">
        <f t="shared" si="147"/>
        <v>0</v>
      </c>
      <c r="GN143" s="11">
        <f t="shared" si="148"/>
        <v>0</v>
      </c>
      <c r="GO143" s="11">
        <f t="shared" si="149"/>
        <v>0</v>
      </c>
      <c r="GP143" s="11">
        <f t="shared" si="150"/>
        <v>0</v>
      </c>
      <c r="GQ143" s="11">
        <f t="shared" si="151"/>
        <v>0</v>
      </c>
      <c r="GR143" s="11">
        <f t="shared" si="152"/>
        <v>0</v>
      </c>
      <c r="GS143" s="11">
        <f t="shared" si="153"/>
        <v>0</v>
      </c>
      <c r="GT143" s="11">
        <f t="shared" si="154"/>
        <v>0</v>
      </c>
      <c r="GU143" s="12">
        <f t="shared" si="155"/>
        <v>0</v>
      </c>
      <c r="GV143" s="12">
        <f t="shared" si="156"/>
        <v>0</v>
      </c>
      <c r="GW143" s="12">
        <f t="shared" si="157"/>
        <v>0</v>
      </c>
      <c r="GX143" s="12">
        <f t="shared" si="158"/>
        <v>0</v>
      </c>
      <c r="GY143" s="12">
        <f t="shared" si="159"/>
        <v>0</v>
      </c>
      <c r="GZ143" s="12">
        <f t="shared" si="160"/>
        <v>0</v>
      </c>
      <c r="HA143" s="12">
        <f t="shared" si="161"/>
        <v>0</v>
      </c>
      <c r="HB143" s="12">
        <f t="shared" si="162"/>
        <v>0</v>
      </c>
      <c r="HC143" s="12">
        <f t="shared" si="163"/>
        <v>0</v>
      </c>
      <c r="HD143" s="12">
        <f t="shared" si="164"/>
        <v>0</v>
      </c>
      <c r="HE143" s="12">
        <f t="shared" si="165"/>
        <v>0</v>
      </c>
      <c r="HF143" s="12">
        <f t="shared" si="166"/>
        <v>0</v>
      </c>
      <c r="HG143" s="12">
        <f t="shared" si="167"/>
        <v>0</v>
      </c>
      <c r="HH143" s="12">
        <f t="shared" si="168"/>
        <v>0</v>
      </c>
      <c r="HI143" s="12">
        <f t="shared" si="169"/>
        <v>0</v>
      </c>
      <c r="HJ143" s="12">
        <f t="shared" si="170"/>
        <v>0</v>
      </c>
      <c r="HK143" s="12">
        <f t="shared" si="171"/>
        <v>0</v>
      </c>
      <c r="HL143" s="12">
        <f t="shared" si="172"/>
        <v>0</v>
      </c>
      <c r="HM143" s="12">
        <f t="shared" si="173"/>
        <v>0</v>
      </c>
      <c r="HN143" s="12">
        <f t="shared" si="174"/>
        <v>0</v>
      </c>
      <c r="HO143" s="12">
        <f t="shared" si="175"/>
        <v>0</v>
      </c>
      <c r="HP143" s="12">
        <f t="shared" si="176"/>
        <v>0</v>
      </c>
      <c r="HQ143" s="12">
        <f t="shared" si="177"/>
        <v>0</v>
      </c>
      <c r="HR143" s="12">
        <f t="shared" si="178"/>
        <v>0</v>
      </c>
      <c r="HS143" s="12">
        <f t="shared" si="179"/>
        <v>0</v>
      </c>
      <c r="HT143" s="12">
        <f t="shared" si="180"/>
        <v>0</v>
      </c>
      <c r="HU143" s="12">
        <f t="shared" si="181"/>
        <v>0</v>
      </c>
      <c r="HV143" s="12">
        <f t="shared" si="182"/>
        <v>0</v>
      </c>
      <c r="HW143" s="12">
        <f t="shared" si="183"/>
        <v>0</v>
      </c>
      <c r="HX143" s="12">
        <f t="shared" si="184"/>
        <v>0</v>
      </c>
      <c r="HY143" s="12">
        <f t="shared" si="185"/>
        <v>0</v>
      </c>
      <c r="HZ143" s="12">
        <f t="shared" si="186"/>
        <v>0</v>
      </c>
      <c r="IA143" s="12">
        <f t="shared" si="187"/>
        <v>0</v>
      </c>
      <c r="IB143" s="12">
        <f t="shared" si="188"/>
        <v>0</v>
      </c>
      <c r="IC143" s="12">
        <f t="shared" si="189"/>
        <v>0</v>
      </c>
      <c r="ID143" s="12">
        <f t="shared" si="190"/>
        <v>0</v>
      </c>
      <c r="IE143" s="12">
        <f t="shared" si="191"/>
        <v>0</v>
      </c>
      <c r="IF143" s="12">
        <f t="shared" si="192"/>
        <v>0</v>
      </c>
      <c r="IG143" s="12">
        <f t="shared" si="193"/>
        <v>0</v>
      </c>
      <c r="IH143" s="12">
        <f t="shared" si="194"/>
        <v>0</v>
      </c>
      <c r="II143" s="12">
        <f t="shared" si="195"/>
        <v>0</v>
      </c>
      <c r="IJ143" s="12">
        <f t="shared" si="196"/>
        <v>0</v>
      </c>
      <c r="IK143" s="12">
        <f t="shared" si="197"/>
        <v>0</v>
      </c>
      <c r="IL143" s="12">
        <f t="shared" si="198"/>
        <v>0</v>
      </c>
      <c r="IM143" s="12">
        <f t="shared" si="199"/>
        <v>0</v>
      </c>
      <c r="IN143" s="12">
        <f t="shared" si="200"/>
        <v>0</v>
      </c>
      <c r="IO143" s="12">
        <f t="shared" si="201"/>
        <v>0</v>
      </c>
      <c r="IP143" s="12">
        <f t="shared" si="202"/>
        <v>0</v>
      </c>
      <c r="IQ143" s="12">
        <f t="shared" si="203"/>
        <v>0</v>
      </c>
      <c r="IR143" s="12">
        <f t="shared" si="204"/>
        <v>0</v>
      </c>
      <c r="IS143" s="12">
        <f t="shared" si="205"/>
        <v>0</v>
      </c>
      <c r="IT143" s="12">
        <f t="shared" si="206"/>
        <v>0</v>
      </c>
      <c r="IU143" s="12">
        <f t="shared" si="207"/>
        <v>0</v>
      </c>
      <c r="IV143" s="12">
        <f t="shared" si="208"/>
        <v>0</v>
      </c>
      <c r="IW143" s="12">
        <f t="shared" si="209"/>
        <v>0</v>
      </c>
      <c r="IX143" s="12">
        <f t="shared" si="210"/>
        <v>0</v>
      </c>
      <c r="IY143" s="12">
        <f t="shared" si="211"/>
        <v>0</v>
      </c>
      <c r="IZ143" s="12">
        <f t="shared" si="212"/>
        <v>0</v>
      </c>
      <c r="JA143" s="13">
        <f t="shared" si="213"/>
        <v>0</v>
      </c>
      <c r="JB143" s="13">
        <f t="shared" si="214"/>
        <v>0</v>
      </c>
      <c r="JC143" s="13">
        <f t="shared" si="215"/>
        <v>0</v>
      </c>
      <c r="JD143" s="13">
        <f t="shared" si="216"/>
        <v>0</v>
      </c>
      <c r="JE143" s="13">
        <f t="shared" si="217"/>
        <v>0</v>
      </c>
      <c r="JF143" s="13">
        <f t="shared" si="218"/>
        <v>0</v>
      </c>
      <c r="JG143" s="13">
        <f t="shared" si="219"/>
        <v>0</v>
      </c>
      <c r="JH143" s="13">
        <f t="shared" si="220"/>
        <v>0</v>
      </c>
      <c r="JI143" s="13">
        <f t="shared" si="221"/>
        <v>0</v>
      </c>
      <c r="JJ143" s="13">
        <f t="shared" si="222"/>
        <v>0</v>
      </c>
      <c r="JK143" s="13">
        <f t="shared" si="223"/>
        <v>0</v>
      </c>
      <c r="JL143" s="13">
        <f t="shared" si="224"/>
        <v>0</v>
      </c>
      <c r="JM143" s="13">
        <f t="shared" si="225"/>
        <v>0</v>
      </c>
      <c r="JN143" s="13">
        <f t="shared" si="226"/>
        <v>0</v>
      </c>
      <c r="JO143" s="13">
        <f t="shared" si="227"/>
        <v>0</v>
      </c>
      <c r="JP143" s="13">
        <f t="shared" si="228"/>
        <v>0</v>
      </c>
      <c r="JQ143" s="13">
        <f t="shared" si="229"/>
        <v>0</v>
      </c>
      <c r="JR143" s="13">
        <f t="shared" si="230"/>
        <v>0</v>
      </c>
      <c r="JS143" s="13">
        <f t="shared" si="231"/>
        <v>0</v>
      </c>
      <c r="JT143" s="13">
        <f t="shared" si="232"/>
        <v>0</v>
      </c>
      <c r="JU143" s="13">
        <f t="shared" si="233"/>
        <v>0</v>
      </c>
      <c r="JV143" s="12">
        <f t="shared" si="234"/>
        <v>0</v>
      </c>
      <c r="JW143" s="12">
        <f t="shared" si="235"/>
        <v>0</v>
      </c>
      <c r="JX143" s="12">
        <f t="shared" si="236"/>
        <v>0</v>
      </c>
      <c r="JY143" s="12">
        <f t="shared" si="237"/>
        <v>0</v>
      </c>
      <c r="JZ143" s="12">
        <f t="shared" si="238"/>
        <v>0</v>
      </c>
      <c r="KA143" s="12">
        <f t="shared" si="239"/>
        <v>0</v>
      </c>
      <c r="KB143" s="12">
        <f t="shared" si="240"/>
        <v>0</v>
      </c>
      <c r="KC143" s="12">
        <f t="shared" si="241"/>
        <v>0</v>
      </c>
      <c r="KD143" s="12">
        <f t="shared" si="242"/>
        <v>0</v>
      </c>
      <c r="KE143" s="12">
        <f t="shared" si="243"/>
        <v>0</v>
      </c>
      <c r="KF143" s="12">
        <f t="shared" si="244"/>
        <v>0</v>
      </c>
      <c r="KG143" s="12">
        <f t="shared" si="245"/>
        <v>0</v>
      </c>
      <c r="KH143" s="12">
        <f t="shared" si="246"/>
        <v>0</v>
      </c>
      <c r="KI143" s="12">
        <f t="shared" si="247"/>
        <v>0</v>
      </c>
      <c r="KJ143" s="12">
        <f t="shared" si="248"/>
        <v>0</v>
      </c>
      <c r="KK143" s="12">
        <f t="shared" si="249"/>
        <v>0</v>
      </c>
      <c r="KL143" s="12">
        <f t="shared" si="250"/>
        <v>0</v>
      </c>
      <c r="KM143" s="12">
        <f t="shared" si="251"/>
        <v>0</v>
      </c>
      <c r="KN143" s="12">
        <f t="shared" si="252"/>
        <v>0</v>
      </c>
      <c r="KO143" s="12">
        <f t="shared" si="253"/>
        <v>0</v>
      </c>
      <c r="KP143" s="12">
        <f t="shared" si="254"/>
        <v>0</v>
      </c>
      <c r="KQ143" s="12">
        <f t="shared" si="255"/>
        <v>0</v>
      </c>
      <c r="KR143" s="12">
        <f t="shared" si="256"/>
        <v>0</v>
      </c>
      <c r="KS143" s="12">
        <f t="shared" si="257"/>
        <v>0</v>
      </c>
      <c r="KT143" s="12">
        <f t="shared" si="258"/>
        <v>0</v>
      </c>
      <c r="KU143" s="12">
        <f t="shared" si="259"/>
        <v>0</v>
      </c>
      <c r="KV143" s="12">
        <f t="shared" si="260"/>
        <v>0</v>
      </c>
      <c r="KW143" s="12">
        <f t="shared" si="261"/>
        <v>0</v>
      </c>
      <c r="KX143" s="12">
        <f t="shared" si="262"/>
        <v>0</v>
      </c>
      <c r="KY143" s="12">
        <f t="shared" si="263"/>
        <v>0</v>
      </c>
      <c r="KZ143" s="12">
        <f t="shared" si="264"/>
        <v>0</v>
      </c>
      <c r="LA143" s="12">
        <f t="shared" si="265"/>
        <v>0</v>
      </c>
      <c r="LB143" s="12">
        <f t="shared" si="266"/>
        <v>0</v>
      </c>
      <c r="LC143" s="12">
        <f t="shared" si="267"/>
        <v>0</v>
      </c>
      <c r="LD143" s="12">
        <f t="shared" si="268"/>
        <v>0</v>
      </c>
      <c r="LE143" s="12">
        <f t="shared" si="269"/>
        <v>0</v>
      </c>
      <c r="LF143" s="12">
        <f t="shared" si="270"/>
        <v>0</v>
      </c>
      <c r="LG143" s="12">
        <f t="shared" si="271"/>
        <v>0</v>
      </c>
      <c r="LH143" s="12">
        <f t="shared" si="272"/>
        <v>0</v>
      </c>
      <c r="LI143" s="12">
        <f t="shared" si="273"/>
        <v>0</v>
      </c>
      <c r="LJ143" s="12">
        <f t="shared" si="274"/>
        <v>0</v>
      </c>
      <c r="LK143" s="12">
        <f t="shared" si="275"/>
        <v>0</v>
      </c>
      <c r="LL143" s="12">
        <f t="shared" si="276"/>
        <v>0</v>
      </c>
      <c r="LM143" s="12">
        <f t="shared" si="277"/>
        <v>0</v>
      </c>
      <c r="LN143" s="12">
        <f t="shared" si="278"/>
        <v>0</v>
      </c>
      <c r="LO143" s="12">
        <f t="shared" si="279"/>
        <v>0</v>
      </c>
      <c r="LP143" s="12">
        <f t="shared" si="280"/>
        <v>0</v>
      </c>
      <c r="LQ143" s="12">
        <f t="shared" si="281"/>
        <v>0</v>
      </c>
      <c r="LR143" s="12">
        <f t="shared" si="282"/>
        <v>0</v>
      </c>
      <c r="LS143" s="12">
        <f t="shared" si="283"/>
        <v>0</v>
      </c>
      <c r="LT143" s="13">
        <f t="shared" si="284"/>
        <v>0</v>
      </c>
      <c r="LU143" s="13">
        <f t="shared" si="285"/>
        <v>0</v>
      </c>
      <c r="LV143" s="13">
        <f t="shared" si="286"/>
        <v>0</v>
      </c>
      <c r="LW143" s="13">
        <f t="shared" si="287"/>
        <v>0</v>
      </c>
      <c r="LX143" s="13">
        <f t="shared" si="288"/>
        <v>0</v>
      </c>
      <c r="LY143" s="13">
        <f t="shared" si="289"/>
        <v>0</v>
      </c>
      <c r="LZ143" s="13">
        <f t="shared" si="290"/>
        <v>0</v>
      </c>
      <c r="MA143" s="13">
        <f t="shared" si="291"/>
        <v>0</v>
      </c>
      <c r="MB143" s="13">
        <f t="shared" si="292"/>
        <v>0</v>
      </c>
      <c r="MC143" s="13">
        <f t="shared" si="293"/>
        <v>0</v>
      </c>
      <c r="MD143" s="13">
        <f t="shared" si="294"/>
        <v>0</v>
      </c>
      <c r="ME143" s="13">
        <f t="shared" si="295"/>
        <v>0</v>
      </c>
      <c r="MF143" s="13">
        <f t="shared" si="296"/>
        <v>0</v>
      </c>
      <c r="MG143" s="13">
        <f t="shared" si="297"/>
        <v>0</v>
      </c>
      <c r="MH143" s="13">
        <f t="shared" si="298"/>
        <v>0</v>
      </c>
      <c r="MI143" s="13">
        <f t="shared" si="299"/>
        <v>0</v>
      </c>
      <c r="MJ143" s="13">
        <f t="shared" si="300"/>
        <v>0</v>
      </c>
      <c r="MK143" s="13">
        <f t="shared" si="301"/>
        <v>0</v>
      </c>
      <c r="ML143" s="14">
        <f t="shared" si="302"/>
        <v>0</v>
      </c>
      <c r="MM143" s="14">
        <f t="shared" si="303"/>
        <v>0</v>
      </c>
      <c r="MN143" s="14">
        <f t="shared" si="304"/>
        <v>0</v>
      </c>
      <c r="MO143" s="14">
        <f t="shared" si="305"/>
        <v>0</v>
      </c>
      <c r="MP143" s="14">
        <f t="shared" si="306"/>
        <v>0</v>
      </c>
      <c r="MQ143" s="14">
        <f t="shared" si="307"/>
        <v>0</v>
      </c>
      <c r="MR143" s="14">
        <f t="shared" si="308"/>
        <v>0</v>
      </c>
      <c r="MS143" s="14">
        <f t="shared" si="309"/>
        <v>0</v>
      </c>
      <c r="MT143" s="14">
        <f t="shared" si="310"/>
        <v>0</v>
      </c>
      <c r="MU143" s="14">
        <f t="shared" si="311"/>
        <v>0</v>
      </c>
      <c r="MV143" s="14">
        <f t="shared" si="312"/>
        <v>0</v>
      </c>
      <c r="MW143" s="14">
        <f t="shared" si="313"/>
        <v>0</v>
      </c>
      <c r="MX143" s="14">
        <f t="shared" si="314"/>
        <v>0</v>
      </c>
      <c r="MY143" s="14">
        <f t="shared" si="315"/>
        <v>0</v>
      </c>
      <c r="MZ143" s="14">
        <f t="shared" si="316"/>
        <v>0</v>
      </c>
      <c r="NA143" s="14">
        <f t="shared" si="317"/>
        <v>0</v>
      </c>
      <c r="NB143" s="14">
        <f t="shared" si="318"/>
        <v>0</v>
      </c>
    </row>
    <row r="144" ht="15.75" customHeight="1">
      <c r="A144" s="2">
        <v>159.0</v>
      </c>
      <c r="B144" s="2" t="s">
        <v>2794</v>
      </c>
      <c r="C144" s="2" t="s">
        <v>2795</v>
      </c>
      <c r="D144" s="2" t="s">
        <v>2796</v>
      </c>
      <c r="E144" s="2">
        <v>2021.0</v>
      </c>
      <c r="F144" s="2" t="s">
        <v>2797</v>
      </c>
      <c r="G144" s="2" t="s">
        <v>2798</v>
      </c>
      <c r="H144" s="2" t="s">
        <v>432</v>
      </c>
      <c r="J144" s="2" t="s">
        <v>2799</v>
      </c>
      <c r="K144" s="2" t="s">
        <v>2800</v>
      </c>
      <c r="M144" s="2">
        <v>3.0</v>
      </c>
      <c r="N144" s="2" t="s">
        <v>2801</v>
      </c>
      <c r="O144" s="2" t="s">
        <v>2802</v>
      </c>
      <c r="P144" s="2" t="s">
        <v>2803</v>
      </c>
      <c r="Q144" s="2" t="s">
        <v>2804</v>
      </c>
      <c r="R144" s="2" t="s">
        <v>2805</v>
      </c>
      <c r="S144" s="2" t="s">
        <v>2806</v>
      </c>
      <c r="T144" s="2" t="s">
        <v>2807</v>
      </c>
      <c r="Y144" s="2" t="s">
        <v>2808</v>
      </c>
      <c r="AB144" s="2" t="s">
        <v>2809</v>
      </c>
      <c r="AG144" s="2" t="s">
        <v>2810</v>
      </c>
      <c r="AK144" s="2" t="s">
        <v>2811</v>
      </c>
      <c r="AL144" s="2" t="s">
        <v>384</v>
      </c>
      <c r="AN144" s="2" t="s">
        <v>386</v>
      </c>
      <c r="AO144" s="2" t="s">
        <v>2812</v>
      </c>
      <c r="AP144" s="2" t="s">
        <v>386</v>
      </c>
      <c r="AQ144" s="2">
        <v>578.0</v>
      </c>
      <c r="AR144" s="2" t="s">
        <v>2813</v>
      </c>
      <c r="AS144" s="2" t="b">
        <v>0</v>
      </c>
      <c r="AT144" s="3">
        <v>0.0</v>
      </c>
      <c r="AU144" s="4"/>
      <c r="AV144" s="4"/>
      <c r="AW144" s="5">
        <f t="shared" si="432"/>
        <v>0</v>
      </c>
      <c r="AX144" s="5">
        <f t="shared" si="4"/>
        <v>0</v>
      </c>
      <c r="AY144" s="5">
        <f t="shared" si="5"/>
        <v>0</v>
      </c>
      <c r="AZ144" s="5">
        <f t="shared" si="6"/>
        <v>0</v>
      </c>
      <c r="BA144" s="5">
        <f t="shared" si="7"/>
        <v>0</v>
      </c>
      <c r="BB144" s="5">
        <f t="shared" si="8"/>
        <v>0</v>
      </c>
      <c r="BC144" s="5">
        <f t="shared" si="9"/>
        <v>0</v>
      </c>
      <c r="BD144" s="5">
        <f t="shared" si="10"/>
        <v>0</v>
      </c>
      <c r="BE144" s="5">
        <f t="shared" si="11"/>
        <v>0</v>
      </c>
      <c r="BF144" s="5">
        <f t="shared" si="12"/>
        <v>0</v>
      </c>
      <c r="BG144" s="5">
        <f t="shared" si="13"/>
        <v>0</v>
      </c>
      <c r="BH144" s="5">
        <f t="shared" si="14"/>
        <v>0</v>
      </c>
      <c r="BI144" s="5">
        <f t="shared" si="15"/>
        <v>0</v>
      </c>
      <c r="BJ144" s="5">
        <f t="shared" si="16"/>
        <v>0</v>
      </c>
      <c r="BK144" s="5">
        <f t="shared" si="17"/>
        <v>0</v>
      </c>
      <c r="BL144" s="5">
        <f t="shared" si="18"/>
        <v>0</v>
      </c>
      <c r="BM144" s="5">
        <f t="shared" si="19"/>
        <v>0</v>
      </c>
      <c r="BN144" s="5">
        <f t="shared" si="20"/>
        <v>0</v>
      </c>
      <c r="BO144" s="5">
        <f t="shared" si="21"/>
        <v>0</v>
      </c>
      <c r="BP144" s="5">
        <f t="shared" si="22"/>
        <v>0</v>
      </c>
      <c r="BQ144" s="5">
        <f t="shared" si="23"/>
        <v>0</v>
      </c>
      <c r="BR144" s="5">
        <f t="shared" si="24"/>
        <v>0</v>
      </c>
      <c r="BS144" s="5">
        <f t="shared" si="25"/>
        <v>0</v>
      </c>
      <c r="BT144" s="5">
        <f t="shared" si="26"/>
        <v>0</v>
      </c>
      <c r="BU144" s="5">
        <f t="shared" si="27"/>
        <v>0</v>
      </c>
      <c r="BV144" s="5">
        <f t="shared" ref="BV144:BW144" si="639">IF(OR(ISNUMBER(SEARCH("grit",$D144)),ISNUMBER(SEARCH("grit",$T144)),ISNUMBER(SEARCH("grit",$R144)),ISNUMBER(SEARCH("grit",$S144)),
ISNUMBER(SEARCH("determination",$D144)),ISNUMBER(SEARCH("determination",$T144)),ISNUMBER(SEARCH("determination",$R144)),ISNUMBER(SEARCH("determination",$S144)),
ISNUMBER(SEARCH("tenacity",$D144)),ISNUMBER(SEARCH("tenacity",$T144)),ISNUMBER(SEARCH("tenacity",$R144)),ISNUMBER(SEARCH("tenacity",$S144)),
ISNUMBER(SEARCH("endurance",$D144)),ISNUMBER(SEARCH("endurance",$T144)),ISNUMBER(SEARCH("endurance",$R144)),ISNUMBER(SEARCH("endurance",$S144)),
ISNUMBER(SEARCH("fortitude",$D144)),ISNUMBER(SEARCH("fortitude",$T144)),ISNUMBER(SEARCH("fortitude",$R144)),ISNUMBER(SEARCH("fortitude",$S144)),
ISNUMBER(SEARCH("resolve",$D144)),ISNUMBER(SEARCH("resolve",$T144)),ISNUMBER(SEARCH("resolve",$R144)),ISNUMBER(SEARCH("resolve",$S144)),
ISNUMBER(SEARCH("stamina",$D144)),ISNUMBER(SEARCH("stamina",$T144)),ISNUMBER(SEARCH("stamina",$R144)),ISNUMBER(SEARCH("stamina",$S144)),
ISNUMBER(SEARCH("guts",$D144)),ISNUMBER(SEARCH("guts",$T144)),ISNUMBER(SEARCH("guts",$R144)),ISNUMBER(SEARCH("guts",$S144)),
ISNUMBER(SEARCH("spunk",$D144)),ISNUMBER(SEARCH("spunk",$T144)),ISNUMBER(SEARCH("spunk",$R144)),ISNUMBER(SEARCH("spunk",$S144))), 1, 0)</f>
        <v>0</v>
      </c>
      <c r="BW144" s="5">
        <f t="shared" si="639"/>
        <v>0</v>
      </c>
      <c r="BX144" s="5">
        <f t="shared" si="29"/>
        <v>1</v>
      </c>
      <c r="BY144" s="5">
        <f t="shared" si="30"/>
        <v>0</v>
      </c>
      <c r="BZ144" s="5">
        <f t="shared" si="31"/>
        <v>0</v>
      </c>
      <c r="CA144" s="5">
        <f t="shared" si="32"/>
        <v>0</v>
      </c>
      <c r="CB144" s="5">
        <f t="shared" si="33"/>
        <v>0</v>
      </c>
      <c r="CC144" s="5">
        <f t="shared" si="34"/>
        <v>0</v>
      </c>
      <c r="CD144" s="5">
        <f t="shared" si="35"/>
        <v>0</v>
      </c>
      <c r="CE144" s="5">
        <f t="shared" si="36"/>
        <v>0</v>
      </c>
      <c r="CF144" s="5">
        <f t="shared" si="37"/>
        <v>0</v>
      </c>
      <c r="CG144" s="5">
        <f t="shared" si="38"/>
        <v>0</v>
      </c>
      <c r="CH144" s="5">
        <f t="shared" si="39"/>
        <v>0</v>
      </c>
      <c r="CI144" s="5">
        <f t="shared" si="40"/>
        <v>0</v>
      </c>
      <c r="CJ144" s="5">
        <f t="shared" si="41"/>
        <v>0</v>
      </c>
      <c r="CK144" s="5">
        <f t="shared" si="42"/>
        <v>0</v>
      </c>
      <c r="CL144" s="5">
        <f t="shared" si="43"/>
        <v>0</v>
      </c>
      <c r="CM144" s="5">
        <f t="shared" si="44"/>
        <v>0</v>
      </c>
      <c r="CN144" s="5">
        <f t="shared" si="45"/>
        <v>0</v>
      </c>
      <c r="CO144" s="5">
        <f t="shared" si="46"/>
        <v>0</v>
      </c>
      <c r="CP144" s="6">
        <f t="shared" si="47"/>
        <v>0</v>
      </c>
      <c r="CQ144" s="6">
        <f t="shared" si="48"/>
        <v>0</v>
      </c>
      <c r="CR144" s="6">
        <f t="shared" si="49"/>
        <v>0</v>
      </c>
      <c r="CS144" s="6">
        <f t="shared" si="50"/>
        <v>0</v>
      </c>
      <c r="CT144" s="6">
        <f t="shared" si="584"/>
        <v>0</v>
      </c>
      <c r="CU144" s="6">
        <f t="shared" si="52"/>
        <v>0</v>
      </c>
      <c r="CV144" s="6">
        <f t="shared" si="53"/>
        <v>0</v>
      </c>
      <c r="CW144" s="6">
        <f t="shared" si="54"/>
        <v>0</v>
      </c>
      <c r="CX144" s="6">
        <f t="shared" si="55"/>
        <v>0</v>
      </c>
      <c r="CY144" s="6">
        <f t="shared" si="56"/>
        <v>0</v>
      </c>
      <c r="CZ144" s="6">
        <f t="shared" si="57"/>
        <v>0</v>
      </c>
      <c r="DA144" s="6">
        <f t="shared" si="58"/>
        <v>0</v>
      </c>
      <c r="DB144" s="6">
        <f t="shared" si="59"/>
        <v>0</v>
      </c>
      <c r="DC144" s="6">
        <f t="shared" si="60"/>
        <v>0</v>
      </c>
      <c r="DD144" s="6">
        <f t="shared" si="61"/>
        <v>0</v>
      </c>
      <c r="DE144" s="6">
        <f t="shared" si="62"/>
        <v>0</v>
      </c>
      <c r="DF144" s="6">
        <f t="shared" si="63"/>
        <v>0</v>
      </c>
      <c r="DG144" s="6">
        <f t="shared" si="64"/>
        <v>0</v>
      </c>
      <c r="DH144" s="6">
        <f t="shared" si="630"/>
        <v>0</v>
      </c>
      <c r="DI144" s="6">
        <f t="shared" si="66"/>
        <v>0</v>
      </c>
      <c r="DJ144" s="6">
        <f t="shared" si="574"/>
        <v>0</v>
      </c>
      <c r="DK144" s="7">
        <f t="shared" si="68"/>
        <v>0</v>
      </c>
      <c r="DL144" s="7">
        <f t="shared" si="498"/>
        <v>0</v>
      </c>
      <c r="DM144" s="7">
        <f t="shared" si="70"/>
        <v>0</v>
      </c>
      <c r="DN144" s="7">
        <f t="shared" si="71"/>
        <v>0</v>
      </c>
      <c r="DO144" s="7">
        <f t="shared" si="72"/>
        <v>0</v>
      </c>
      <c r="DP144" s="8">
        <f t="shared" si="73"/>
        <v>0</v>
      </c>
      <c r="DQ144" s="8">
        <f t="shared" si="74"/>
        <v>0</v>
      </c>
      <c r="DR144" s="7">
        <f t="shared" si="75"/>
        <v>0</v>
      </c>
      <c r="DS144" s="7">
        <f t="shared" si="76"/>
        <v>0</v>
      </c>
      <c r="DT144" s="7">
        <f t="shared" si="77"/>
        <v>0</v>
      </c>
      <c r="DU144" s="9">
        <f t="shared" si="78"/>
        <v>0</v>
      </c>
      <c r="DV144" s="9">
        <f t="shared" si="79"/>
        <v>0</v>
      </c>
      <c r="DW144" s="9">
        <f t="shared" si="80"/>
        <v>0</v>
      </c>
      <c r="DX144" s="9">
        <f t="shared" si="81"/>
        <v>0</v>
      </c>
      <c r="DY144" s="9">
        <f t="shared" si="82"/>
        <v>0</v>
      </c>
      <c r="DZ144" s="9">
        <f t="shared" si="83"/>
        <v>0</v>
      </c>
      <c r="EA144" s="9">
        <f t="shared" si="84"/>
        <v>0</v>
      </c>
      <c r="EB144" s="9">
        <f t="shared" si="85"/>
        <v>0</v>
      </c>
      <c r="EC144" s="9">
        <f t="shared" si="86"/>
        <v>0</v>
      </c>
      <c r="ED144" s="9">
        <f t="shared" si="87"/>
        <v>0</v>
      </c>
      <c r="EE144" s="9">
        <f t="shared" si="88"/>
        <v>0</v>
      </c>
      <c r="EF144" s="9">
        <f t="shared" si="89"/>
        <v>0</v>
      </c>
      <c r="EG144" s="9">
        <f t="shared" si="90"/>
        <v>0</v>
      </c>
      <c r="EH144" s="9">
        <f t="shared" si="91"/>
        <v>0</v>
      </c>
      <c r="EI144" s="9">
        <f t="shared" si="92"/>
        <v>0</v>
      </c>
      <c r="EJ144" s="10">
        <f t="shared" si="93"/>
        <v>0</v>
      </c>
      <c r="EK144" s="10">
        <f t="shared" si="94"/>
        <v>0</v>
      </c>
      <c r="EL144" s="10">
        <f t="shared" ref="EL144:EM144" si="640">IF(OR(ISNUMBER(SEARCH("ai software toolkit", $D144)), ISNUMBER(SEARCH("ai software toolkit", $T144)), ISNUMBER(SEARCH("ai software toolkit", $R144)), ISNUMBER(SEARCH("ai software toolkit", $S144))), 1, 0)</f>
        <v>0</v>
      </c>
      <c r="EM144" s="10">
        <f t="shared" si="640"/>
        <v>0</v>
      </c>
      <c r="EN144" s="10">
        <f t="shared" si="96"/>
        <v>0</v>
      </c>
      <c r="EO144" s="10">
        <f t="shared" si="97"/>
        <v>0</v>
      </c>
      <c r="EP144" s="10">
        <f t="shared" si="98"/>
        <v>0</v>
      </c>
      <c r="EQ144" s="10">
        <f t="shared" si="99"/>
        <v>0</v>
      </c>
      <c r="ER144" s="10">
        <f t="shared" si="100"/>
        <v>0</v>
      </c>
      <c r="ES144" s="10">
        <f t="shared" si="101"/>
        <v>0</v>
      </c>
      <c r="ET144" s="10">
        <f t="shared" si="102"/>
        <v>0</v>
      </c>
      <c r="EU144" s="10">
        <f t="shared" si="103"/>
        <v>0</v>
      </c>
      <c r="EV144" s="10">
        <f t="shared" si="104"/>
        <v>0</v>
      </c>
      <c r="EW144" s="10">
        <f t="shared" si="105"/>
        <v>0</v>
      </c>
      <c r="EX144" s="10">
        <f t="shared" si="106"/>
        <v>0</v>
      </c>
      <c r="EY144" s="10">
        <f t="shared" si="107"/>
        <v>0</v>
      </c>
      <c r="EZ144" s="10">
        <f t="shared" si="108"/>
        <v>0</v>
      </c>
      <c r="FA144" s="10">
        <f t="shared" si="109"/>
        <v>0</v>
      </c>
      <c r="FB144" s="10">
        <f t="shared" si="110"/>
        <v>0</v>
      </c>
      <c r="FC144" s="10">
        <f t="shared" si="111"/>
        <v>0</v>
      </c>
      <c r="FD144" s="10">
        <f t="shared" si="112"/>
        <v>0</v>
      </c>
      <c r="FE144" s="10">
        <f t="shared" si="113"/>
        <v>0</v>
      </c>
      <c r="FF144" s="10">
        <f t="shared" si="114"/>
        <v>0</v>
      </c>
      <c r="FG144" s="10">
        <f t="shared" si="115"/>
        <v>0</v>
      </c>
      <c r="FH144" s="10">
        <f t="shared" si="116"/>
        <v>0</v>
      </c>
      <c r="FI144" s="10">
        <f t="shared" si="117"/>
        <v>0</v>
      </c>
      <c r="FJ144" s="10">
        <f t="shared" si="118"/>
        <v>0</v>
      </c>
      <c r="FK144" s="10">
        <f t="shared" si="119"/>
        <v>0</v>
      </c>
      <c r="FL144" s="10">
        <f t="shared" si="120"/>
        <v>0</v>
      </c>
      <c r="FM144" s="10">
        <f t="shared" si="121"/>
        <v>0</v>
      </c>
      <c r="FN144" s="10">
        <f t="shared" si="122"/>
        <v>0</v>
      </c>
      <c r="FO144" s="10">
        <f t="shared" si="123"/>
        <v>0</v>
      </c>
      <c r="FP144" s="10">
        <f t="shared" si="124"/>
        <v>1</v>
      </c>
      <c r="FQ144" s="10">
        <f t="shared" si="125"/>
        <v>0</v>
      </c>
      <c r="FR144" s="11">
        <f t="shared" si="636"/>
        <v>0</v>
      </c>
      <c r="FS144" s="11">
        <f t="shared" si="127"/>
        <v>0</v>
      </c>
      <c r="FT144" s="11">
        <f t="shared" si="128"/>
        <v>0</v>
      </c>
      <c r="FU144" s="11">
        <f t="shared" si="129"/>
        <v>0</v>
      </c>
      <c r="FV144" s="11">
        <f t="shared" si="130"/>
        <v>0</v>
      </c>
      <c r="FW144" s="11">
        <f t="shared" si="131"/>
        <v>0</v>
      </c>
      <c r="FX144" s="11">
        <f t="shared" si="132"/>
        <v>0</v>
      </c>
      <c r="FY144" s="11">
        <f t="shared" si="133"/>
        <v>0</v>
      </c>
      <c r="FZ144" s="11">
        <f t="shared" si="134"/>
        <v>0</v>
      </c>
      <c r="GA144" s="11">
        <f t="shared" si="135"/>
        <v>0</v>
      </c>
      <c r="GB144" s="11">
        <f t="shared" si="136"/>
        <v>0</v>
      </c>
      <c r="GC144" s="11">
        <f t="shared" si="137"/>
        <v>0</v>
      </c>
      <c r="GD144" s="11">
        <f t="shared" si="138"/>
        <v>0</v>
      </c>
      <c r="GE144" s="11">
        <f t="shared" si="139"/>
        <v>0</v>
      </c>
      <c r="GF144" s="11">
        <f t="shared" si="140"/>
        <v>0</v>
      </c>
      <c r="GG144" s="11">
        <f t="shared" si="141"/>
        <v>0</v>
      </c>
      <c r="GH144" s="11">
        <f t="shared" si="142"/>
        <v>0</v>
      </c>
      <c r="GI144" s="11">
        <f t="shared" si="143"/>
        <v>0</v>
      </c>
      <c r="GJ144" s="11">
        <f t="shared" si="144"/>
        <v>0</v>
      </c>
      <c r="GK144" s="11">
        <f t="shared" si="145"/>
        <v>0</v>
      </c>
      <c r="GL144" s="11">
        <f t="shared" si="146"/>
        <v>0</v>
      </c>
      <c r="GM144" s="11">
        <f t="shared" si="147"/>
        <v>0</v>
      </c>
      <c r="GN144" s="11">
        <f t="shared" si="148"/>
        <v>0</v>
      </c>
      <c r="GO144" s="11">
        <f t="shared" si="149"/>
        <v>0</v>
      </c>
      <c r="GP144" s="11">
        <f t="shared" si="150"/>
        <v>0</v>
      </c>
      <c r="GQ144" s="11">
        <f t="shared" si="151"/>
        <v>1</v>
      </c>
      <c r="GR144" s="11">
        <f t="shared" si="152"/>
        <v>0</v>
      </c>
      <c r="GS144" s="11">
        <f t="shared" si="153"/>
        <v>0</v>
      </c>
      <c r="GT144" s="11">
        <f t="shared" si="154"/>
        <v>0</v>
      </c>
      <c r="GU144" s="12">
        <f t="shared" si="155"/>
        <v>0</v>
      </c>
      <c r="GV144" s="12">
        <f t="shared" si="156"/>
        <v>0</v>
      </c>
      <c r="GW144" s="12">
        <f t="shared" si="157"/>
        <v>0</v>
      </c>
      <c r="GX144" s="12">
        <f t="shared" si="158"/>
        <v>0</v>
      </c>
      <c r="GY144" s="12">
        <f t="shared" si="159"/>
        <v>0</v>
      </c>
      <c r="GZ144" s="12">
        <f t="shared" si="160"/>
        <v>0</v>
      </c>
      <c r="HA144" s="12">
        <f t="shared" si="161"/>
        <v>0</v>
      </c>
      <c r="HB144" s="12">
        <f t="shared" si="162"/>
        <v>0</v>
      </c>
      <c r="HC144" s="12">
        <f t="shared" si="163"/>
        <v>0</v>
      </c>
      <c r="HD144" s="12">
        <f t="shared" si="164"/>
        <v>0</v>
      </c>
      <c r="HE144" s="12">
        <f t="shared" si="165"/>
        <v>0</v>
      </c>
      <c r="HF144" s="12">
        <f t="shared" si="166"/>
        <v>0</v>
      </c>
      <c r="HG144" s="12">
        <f t="shared" si="167"/>
        <v>0</v>
      </c>
      <c r="HH144" s="12">
        <f t="shared" si="168"/>
        <v>0</v>
      </c>
      <c r="HI144" s="12">
        <f t="shared" si="169"/>
        <v>0</v>
      </c>
      <c r="HJ144" s="12">
        <f t="shared" si="170"/>
        <v>0</v>
      </c>
      <c r="HK144" s="12">
        <f t="shared" si="171"/>
        <v>0</v>
      </c>
      <c r="HL144" s="12">
        <f t="shared" si="172"/>
        <v>0</v>
      </c>
      <c r="HM144" s="12">
        <f t="shared" si="173"/>
        <v>0</v>
      </c>
      <c r="HN144" s="12">
        <f t="shared" si="174"/>
        <v>0</v>
      </c>
      <c r="HO144" s="12">
        <f t="shared" si="175"/>
        <v>0</v>
      </c>
      <c r="HP144" s="12">
        <f t="shared" si="176"/>
        <v>0</v>
      </c>
      <c r="HQ144" s="12">
        <f t="shared" si="177"/>
        <v>0</v>
      </c>
      <c r="HR144" s="12">
        <f t="shared" si="178"/>
        <v>0</v>
      </c>
      <c r="HS144" s="12">
        <f t="shared" si="179"/>
        <v>0</v>
      </c>
      <c r="HT144" s="12">
        <f t="shared" si="180"/>
        <v>0</v>
      </c>
      <c r="HU144" s="12">
        <f t="shared" si="181"/>
        <v>0</v>
      </c>
      <c r="HV144" s="12">
        <f t="shared" si="182"/>
        <v>0</v>
      </c>
      <c r="HW144" s="12">
        <f t="shared" si="183"/>
        <v>0</v>
      </c>
      <c r="HX144" s="12">
        <f t="shared" si="184"/>
        <v>0</v>
      </c>
      <c r="HY144" s="12">
        <f t="shared" si="185"/>
        <v>0</v>
      </c>
      <c r="HZ144" s="12">
        <f t="shared" si="186"/>
        <v>0</v>
      </c>
      <c r="IA144" s="12">
        <f t="shared" si="187"/>
        <v>0</v>
      </c>
      <c r="IB144" s="12">
        <f t="shared" si="188"/>
        <v>0</v>
      </c>
      <c r="IC144" s="12">
        <f t="shared" si="189"/>
        <v>0</v>
      </c>
      <c r="ID144" s="12">
        <f t="shared" si="190"/>
        <v>0</v>
      </c>
      <c r="IE144" s="12">
        <f t="shared" si="191"/>
        <v>0</v>
      </c>
      <c r="IF144" s="12">
        <f t="shared" si="192"/>
        <v>0</v>
      </c>
      <c r="IG144" s="12">
        <f t="shared" si="193"/>
        <v>0</v>
      </c>
      <c r="IH144" s="12">
        <f t="shared" si="194"/>
        <v>0</v>
      </c>
      <c r="II144" s="12">
        <f t="shared" si="195"/>
        <v>0</v>
      </c>
      <c r="IJ144" s="12">
        <f t="shared" si="196"/>
        <v>0</v>
      </c>
      <c r="IK144" s="12">
        <f t="shared" si="197"/>
        <v>0</v>
      </c>
      <c r="IL144" s="12">
        <f t="shared" si="198"/>
        <v>0</v>
      </c>
      <c r="IM144" s="12">
        <f t="shared" si="199"/>
        <v>0</v>
      </c>
      <c r="IN144" s="12">
        <f t="shared" si="200"/>
        <v>0</v>
      </c>
      <c r="IO144" s="12">
        <f t="shared" si="201"/>
        <v>0</v>
      </c>
      <c r="IP144" s="12">
        <f t="shared" si="202"/>
        <v>0</v>
      </c>
      <c r="IQ144" s="12">
        <f t="shared" si="203"/>
        <v>0</v>
      </c>
      <c r="IR144" s="12">
        <f t="shared" si="204"/>
        <v>0</v>
      </c>
      <c r="IS144" s="12">
        <f t="shared" si="205"/>
        <v>0</v>
      </c>
      <c r="IT144" s="12">
        <f t="shared" si="206"/>
        <v>0</v>
      </c>
      <c r="IU144" s="12">
        <f t="shared" si="207"/>
        <v>0</v>
      </c>
      <c r="IV144" s="12">
        <f t="shared" si="208"/>
        <v>0</v>
      </c>
      <c r="IW144" s="12">
        <f t="shared" si="209"/>
        <v>0</v>
      </c>
      <c r="IX144" s="12">
        <f t="shared" si="210"/>
        <v>0</v>
      </c>
      <c r="IY144" s="12">
        <f t="shared" si="211"/>
        <v>0</v>
      </c>
      <c r="IZ144" s="12">
        <f t="shared" si="212"/>
        <v>0</v>
      </c>
      <c r="JA144" s="13">
        <f t="shared" si="213"/>
        <v>0</v>
      </c>
      <c r="JB144" s="13">
        <f t="shared" si="214"/>
        <v>0</v>
      </c>
      <c r="JC144" s="13">
        <f t="shared" si="215"/>
        <v>0</v>
      </c>
      <c r="JD144" s="13">
        <f t="shared" si="216"/>
        <v>0</v>
      </c>
      <c r="JE144" s="13">
        <f t="shared" si="217"/>
        <v>0</v>
      </c>
      <c r="JF144" s="13">
        <f t="shared" si="218"/>
        <v>0</v>
      </c>
      <c r="JG144" s="13">
        <f t="shared" si="219"/>
        <v>0</v>
      </c>
      <c r="JH144" s="13">
        <f t="shared" si="220"/>
        <v>0</v>
      </c>
      <c r="JI144" s="13">
        <f t="shared" si="221"/>
        <v>0</v>
      </c>
      <c r="JJ144" s="13">
        <f t="shared" si="222"/>
        <v>0</v>
      </c>
      <c r="JK144" s="13">
        <f t="shared" si="223"/>
        <v>0</v>
      </c>
      <c r="JL144" s="13">
        <f t="shared" si="224"/>
        <v>0</v>
      </c>
      <c r="JM144" s="13">
        <f t="shared" si="225"/>
        <v>0</v>
      </c>
      <c r="JN144" s="13">
        <f t="shared" si="226"/>
        <v>0</v>
      </c>
      <c r="JO144" s="13">
        <f t="shared" si="227"/>
        <v>0</v>
      </c>
      <c r="JP144" s="13">
        <f t="shared" si="228"/>
        <v>0</v>
      </c>
      <c r="JQ144" s="13">
        <f t="shared" si="229"/>
        <v>0</v>
      </c>
      <c r="JR144" s="13">
        <f t="shared" si="230"/>
        <v>0</v>
      </c>
      <c r="JS144" s="13">
        <f t="shared" si="231"/>
        <v>0</v>
      </c>
      <c r="JT144" s="13">
        <f t="shared" si="232"/>
        <v>0</v>
      </c>
      <c r="JU144" s="13">
        <f t="shared" si="233"/>
        <v>0</v>
      </c>
      <c r="JV144" s="12">
        <f t="shared" si="234"/>
        <v>0</v>
      </c>
      <c r="JW144" s="12">
        <f t="shared" si="235"/>
        <v>0</v>
      </c>
      <c r="JX144" s="12">
        <f t="shared" si="236"/>
        <v>0</v>
      </c>
      <c r="JY144" s="12">
        <f t="shared" si="237"/>
        <v>0</v>
      </c>
      <c r="JZ144" s="12">
        <f t="shared" si="238"/>
        <v>0</v>
      </c>
      <c r="KA144" s="12">
        <f t="shared" si="239"/>
        <v>0</v>
      </c>
      <c r="KB144" s="12">
        <f t="shared" si="240"/>
        <v>0</v>
      </c>
      <c r="KC144" s="12">
        <f t="shared" si="241"/>
        <v>0</v>
      </c>
      <c r="KD144" s="12">
        <f t="shared" si="242"/>
        <v>0</v>
      </c>
      <c r="KE144" s="12">
        <f t="shared" si="243"/>
        <v>0</v>
      </c>
      <c r="KF144" s="12">
        <f t="shared" si="244"/>
        <v>0</v>
      </c>
      <c r="KG144" s="12">
        <f t="shared" si="245"/>
        <v>0</v>
      </c>
      <c r="KH144" s="12">
        <f t="shared" si="246"/>
        <v>0</v>
      </c>
      <c r="KI144" s="12">
        <f t="shared" si="247"/>
        <v>0</v>
      </c>
      <c r="KJ144" s="12">
        <f t="shared" si="248"/>
        <v>0</v>
      </c>
      <c r="KK144" s="12">
        <f t="shared" si="249"/>
        <v>0</v>
      </c>
      <c r="KL144" s="12">
        <f t="shared" si="250"/>
        <v>0</v>
      </c>
      <c r="KM144" s="12">
        <f t="shared" si="251"/>
        <v>0</v>
      </c>
      <c r="KN144" s="12">
        <f t="shared" si="252"/>
        <v>0</v>
      </c>
      <c r="KO144" s="12">
        <f t="shared" si="253"/>
        <v>0</v>
      </c>
      <c r="KP144" s="12">
        <f t="shared" si="254"/>
        <v>0</v>
      </c>
      <c r="KQ144" s="12">
        <f t="shared" si="255"/>
        <v>0</v>
      </c>
      <c r="KR144" s="12">
        <f t="shared" si="256"/>
        <v>0</v>
      </c>
      <c r="KS144" s="12">
        <f t="shared" si="257"/>
        <v>0</v>
      </c>
      <c r="KT144" s="12">
        <f t="shared" si="258"/>
        <v>0</v>
      </c>
      <c r="KU144" s="12">
        <f t="shared" si="259"/>
        <v>0</v>
      </c>
      <c r="KV144" s="12">
        <f t="shared" si="260"/>
        <v>0</v>
      </c>
      <c r="KW144" s="12">
        <f t="shared" si="261"/>
        <v>0</v>
      </c>
      <c r="KX144" s="12">
        <f t="shared" si="262"/>
        <v>0</v>
      </c>
      <c r="KY144" s="12">
        <f t="shared" si="263"/>
        <v>0</v>
      </c>
      <c r="KZ144" s="12">
        <f t="shared" si="264"/>
        <v>0</v>
      </c>
      <c r="LA144" s="12">
        <f t="shared" si="265"/>
        <v>0</v>
      </c>
      <c r="LB144" s="12">
        <f t="shared" si="266"/>
        <v>0</v>
      </c>
      <c r="LC144" s="12">
        <f t="shared" si="267"/>
        <v>0</v>
      </c>
      <c r="LD144" s="12">
        <f t="shared" si="268"/>
        <v>0</v>
      </c>
      <c r="LE144" s="12">
        <f t="shared" si="269"/>
        <v>0</v>
      </c>
      <c r="LF144" s="12">
        <f t="shared" si="270"/>
        <v>0</v>
      </c>
      <c r="LG144" s="12">
        <f t="shared" si="271"/>
        <v>0</v>
      </c>
      <c r="LH144" s="12">
        <f t="shared" si="272"/>
        <v>0</v>
      </c>
      <c r="LI144" s="12">
        <f t="shared" si="273"/>
        <v>0</v>
      </c>
      <c r="LJ144" s="12">
        <f t="shared" si="274"/>
        <v>0</v>
      </c>
      <c r="LK144" s="12">
        <f t="shared" si="275"/>
        <v>0</v>
      </c>
      <c r="LL144" s="12">
        <f t="shared" si="276"/>
        <v>0</v>
      </c>
      <c r="LM144" s="12">
        <f t="shared" si="277"/>
        <v>0</v>
      </c>
      <c r="LN144" s="12">
        <f t="shared" si="278"/>
        <v>0</v>
      </c>
      <c r="LO144" s="12">
        <f t="shared" si="279"/>
        <v>0</v>
      </c>
      <c r="LP144" s="12">
        <f t="shared" si="280"/>
        <v>0</v>
      </c>
      <c r="LQ144" s="12">
        <f t="shared" si="281"/>
        <v>0</v>
      </c>
      <c r="LR144" s="12">
        <f t="shared" si="282"/>
        <v>0</v>
      </c>
      <c r="LS144" s="12">
        <f t="shared" si="283"/>
        <v>0</v>
      </c>
      <c r="LT144" s="13">
        <f t="shared" si="284"/>
        <v>0</v>
      </c>
      <c r="LU144" s="13">
        <f t="shared" si="285"/>
        <v>0</v>
      </c>
      <c r="LV144" s="13">
        <f t="shared" si="286"/>
        <v>0</v>
      </c>
      <c r="LW144" s="13">
        <f t="shared" si="287"/>
        <v>0</v>
      </c>
      <c r="LX144" s="13">
        <f t="shared" si="288"/>
        <v>0</v>
      </c>
      <c r="LY144" s="13">
        <f t="shared" si="289"/>
        <v>0</v>
      </c>
      <c r="LZ144" s="13">
        <f t="shared" si="290"/>
        <v>0</v>
      </c>
      <c r="MA144" s="13">
        <f t="shared" si="291"/>
        <v>0</v>
      </c>
      <c r="MB144" s="13">
        <f t="shared" si="292"/>
        <v>0</v>
      </c>
      <c r="MC144" s="13">
        <f t="shared" si="293"/>
        <v>0</v>
      </c>
      <c r="MD144" s="13">
        <f t="shared" si="294"/>
        <v>0</v>
      </c>
      <c r="ME144" s="13">
        <f t="shared" si="295"/>
        <v>0</v>
      </c>
      <c r="MF144" s="13">
        <f t="shared" si="296"/>
        <v>0</v>
      </c>
      <c r="MG144" s="13">
        <f t="shared" si="297"/>
        <v>0</v>
      </c>
      <c r="MH144" s="13">
        <f t="shared" si="298"/>
        <v>0</v>
      </c>
      <c r="MI144" s="13">
        <f t="shared" si="299"/>
        <v>0</v>
      </c>
      <c r="MJ144" s="13">
        <f t="shared" si="300"/>
        <v>0</v>
      </c>
      <c r="MK144" s="13">
        <f t="shared" si="301"/>
        <v>0</v>
      </c>
      <c r="ML144" s="14">
        <f t="shared" si="302"/>
        <v>0</v>
      </c>
      <c r="MM144" s="14">
        <f t="shared" si="303"/>
        <v>0</v>
      </c>
      <c r="MN144" s="14">
        <f t="shared" si="304"/>
        <v>0</v>
      </c>
      <c r="MO144" s="14">
        <f t="shared" si="305"/>
        <v>0</v>
      </c>
      <c r="MP144" s="14">
        <f t="shared" si="306"/>
        <v>0</v>
      </c>
      <c r="MQ144" s="14">
        <f t="shared" si="307"/>
        <v>0</v>
      </c>
      <c r="MR144" s="14">
        <f t="shared" si="308"/>
        <v>0</v>
      </c>
      <c r="MS144" s="14">
        <f t="shared" si="309"/>
        <v>0</v>
      </c>
      <c r="MT144" s="14">
        <f t="shared" si="310"/>
        <v>0</v>
      </c>
      <c r="MU144" s="14">
        <f t="shared" si="311"/>
        <v>0</v>
      </c>
      <c r="MV144" s="14">
        <f t="shared" si="312"/>
        <v>0</v>
      </c>
      <c r="MW144" s="14">
        <f t="shared" si="313"/>
        <v>0</v>
      </c>
      <c r="MX144" s="14">
        <f t="shared" si="314"/>
        <v>0</v>
      </c>
      <c r="MY144" s="14">
        <f t="shared" si="315"/>
        <v>0</v>
      </c>
      <c r="MZ144" s="14">
        <f t="shared" si="316"/>
        <v>0</v>
      </c>
      <c r="NA144" s="14">
        <f t="shared" si="317"/>
        <v>0</v>
      </c>
      <c r="NB144" s="14">
        <f t="shared" si="318"/>
        <v>0</v>
      </c>
    </row>
    <row r="145" ht="15.75" customHeight="1">
      <c r="A145" s="2">
        <v>219.0</v>
      </c>
      <c r="B145" s="2" t="s">
        <v>2814</v>
      </c>
      <c r="C145" s="2" t="s">
        <v>2815</v>
      </c>
      <c r="D145" s="2" t="s">
        <v>2816</v>
      </c>
      <c r="E145" s="2">
        <v>2020.0</v>
      </c>
      <c r="F145" s="2" t="s">
        <v>2817</v>
      </c>
      <c r="G145" s="2" t="s">
        <v>472</v>
      </c>
      <c r="H145" s="2" t="s">
        <v>432</v>
      </c>
      <c r="J145" s="2" t="s">
        <v>1820</v>
      </c>
      <c r="K145" s="2" t="s">
        <v>2818</v>
      </c>
      <c r="M145" s="2">
        <v>3.0</v>
      </c>
      <c r="N145" s="2" t="s">
        <v>2819</v>
      </c>
      <c r="O145" s="2" t="s">
        <v>2820</v>
      </c>
      <c r="P145" s="2" t="s">
        <v>2821</v>
      </c>
      <c r="Q145" s="2" t="s">
        <v>2822</v>
      </c>
      <c r="R145" s="2" t="s">
        <v>2823</v>
      </c>
      <c r="S145" s="2" t="s">
        <v>2824</v>
      </c>
      <c r="Y145" s="2" t="s">
        <v>2825</v>
      </c>
      <c r="AB145" s="2" t="s">
        <v>2826</v>
      </c>
      <c r="AG145" s="2" t="s">
        <v>2827</v>
      </c>
      <c r="AK145" s="2" t="s">
        <v>2828</v>
      </c>
      <c r="AL145" s="2" t="s">
        <v>384</v>
      </c>
      <c r="AN145" s="2" t="s">
        <v>386</v>
      </c>
      <c r="AO145" s="2" t="s">
        <v>2829</v>
      </c>
      <c r="AP145" s="2" t="s">
        <v>386</v>
      </c>
      <c r="AQ145" s="2">
        <v>902.0</v>
      </c>
      <c r="AR145" s="2" t="s">
        <v>2830</v>
      </c>
      <c r="AS145" s="2" t="b">
        <v>0</v>
      </c>
      <c r="AT145" s="3">
        <v>0.0</v>
      </c>
      <c r="AU145" s="4">
        <v>1.0</v>
      </c>
      <c r="AV145" s="4"/>
      <c r="AW145" s="5">
        <f t="shared" si="432"/>
        <v>0</v>
      </c>
      <c r="AX145" s="5">
        <f t="shared" si="4"/>
        <v>0</v>
      </c>
      <c r="AY145" s="5">
        <f t="shared" si="5"/>
        <v>0</v>
      </c>
      <c r="AZ145" s="5">
        <f t="shared" si="6"/>
        <v>0</v>
      </c>
      <c r="BA145" s="5">
        <f t="shared" si="7"/>
        <v>0</v>
      </c>
      <c r="BB145" s="5">
        <f t="shared" si="8"/>
        <v>0</v>
      </c>
      <c r="BC145" s="5">
        <f t="shared" si="9"/>
        <v>0</v>
      </c>
      <c r="BD145" s="5">
        <f t="shared" si="10"/>
        <v>0</v>
      </c>
      <c r="BE145" s="5">
        <f t="shared" si="11"/>
        <v>0</v>
      </c>
      <c r="BF145" s="5">
        <f t="shared" si="12"/>
        <v>0</v>
      </c>
      <c r="BG145" s="5">
        <f t="shared" si="13"/>
        <v>0</v>
      </c>
      <c r="BH145" s="5">
        <f t="shared" si="14"/>
        <v>0</v>
      </c>
      <c r="BI145" s="5">
        <f t="shared" si="15"/>
        <v>0</v>
      </c>
      <c r="BJ145" s="5">
        <f t="shared" si="16"/>
        <v>0</v>
      </c>
      <c r="BK145" s="5">
        <f t="shared" si="17"/>
        <v>0</v>
      </c>
      <c r="BL145" s="5">
        <f t="shared" si="18"/>
        <v>0</v>
      </c>
      <c r="BM145" s="5">
        <f t="shared" si="19"/>
        <v>0</v>
      </c>
      <c r="BN145" s="5">
        <f t="shared" si="20"/>
        <v>0</v>
      </c>
      <c r="BO145" s="5">
        <f t="shared" si="21"/>
        <v>0</v>
      </c>
      <c r="BP145" s="5">
        <f t="shared" si="22"/>
        <v>0</v>
      </c>
      <c r="BQ145" s="5">
        <f t="shared" si="23"/>
        <v>0</v>
      </c>
      <c r="BR145" s="5">
        <f t="shared" si="24"/>
        <v>0</v>
      </c>
      <c r="BS145" s="5">
        <f t="shared" si="25"/>
        <v>0</v>
      </c>
      <c r="BT145" s="5">
        <f t="shared" si="26"/>
        <v>0</v>
      </c>
      <c r="BU145" s="5">
        <f t="shared" si="27"/>
        <v>0</v>
      </c>
      <c r="BV145" s="5">
        <f t="shared" ref="BV145:BW145" si="641">IF(OR(ISNUMBER(SEARCH("grit",$D145)),ISNUMBER(SEARCH("grit",$T145)),ISNUMBER(SEARCH("grit",$R145)),ISNUMBER(SEARCH("grit",$S145)),
ISNUMBER(SEARCH("determination",$D145)),ISNUMBER(SEARCH("determination",$T145)),ISNUMBER(SEARCH("determination",$R145)),ISNUMBER(SEARCH("determination",$S145)),
ISNUMBER(SEARCH("tenacity",$D145)),ISNUMBER(SEARCH("tenacity",$T145)),ISNUMBER(SEARCH("tenacity",$R145)),ISNUMBER(SEARCH("tenacity",$S145)),
ISNUMBER(SEARCH("endurance",$D145)),ISNUMBER(SEARCH("endurance",$T145)),ISNUMBER(SEARCH("endurance",$R145)),ISNUMBER(SEARCH("endurance",$S145)),
ISNUMBER(SEARCH("fortitude",$D145)),ISNUMBER(SEARCH("fortitude",$T145)),ISNUMBER(SEARCH("fortitude",$R145)),ISNUMBER(SEARCH("fortitude",$S145)),
ISNUMBER(SEARCH("resolve",$D145)),ISNUMBER(SEARCH("resolve",$T145)),ISNUMBER(SEARCH("resolve",$R145)),ISNUMBER(SEARCH("resolve",$S145)),
ISNUMBER(SEARCH("stamina",$D145)),ISNUMBER(SEARCH("stamina",$T145)),ISNUMBER(SEARCH("stamina",$R145)),ISNUMBER(SEARCH("stamina",$S145)),
ISNUMBER(SEARCH("guts",$D145)),ISNUMBER(SEARCH("guts",$T145)),ISNUMBER(SEARCH("guts",$R145)),ISNUMBER(SEARCH("guts",$S145)),
ISNUMBER(SEARCH("spunk",$D145)),ISNUMBER(SEARCH("spunk",$T145)),ISNUMBER(SEARCH("spunk",$R145)),ISNUMBER(SEARCH("spunk",$S145))), 1, 0)</f>
        <v>0</v>
      </c>
      <c r="BW145" s="5">
        <f t="shared" si="641"/>
        <v>0</v>
      </c>
      <c r="BX145" s="5">
        <f t="shared" si="29"/>
        <v>0</v>
      </c>
      <c r="BY145" s="5">
        <f t="shared" si="30"/>
        <v>0</v>
      </c>
      <c r="BZ145" s="5">
        <f t="shared" si="31"/>
        <v>0</v>
      </c>
      <c r="CA145" s="5">
        <f t="shared" si="32"/>
        <v>0</v>
      </c>
      <c r="CB145" s="5">
        <f t="shared" si="33"/>
        <v>0</v>
      </c>
      <c r="CC145" s="5">
        <f t="shared" si="34"/>
        <v>0</v>
      </c>
      <c r="CD145" s="5">
        <f t="shared" si="35"/>
        <v>0</v>
      </c>
      <c r="CE145" s="5">
        <f t="shared" si="36"/>
        <v>0</v>
      </c>
      <c r="CF145" s="5">
        <f t="shared" si="37"/>
        <v>0</v>
      </c>
      <c r="CG145" s="5">
        <f t="shared" si="38"/>
        <v>0</v>
      </c>
      <c r="CH145" s="5">
        <f t="shared" si="39"/>
        <v>0</v>
      </c>
      <c r="CI145" s="5">
        <f t="shared" si="40"/>
        <v>0</v>
      </c>
      <c r="CJ145" s="5">
        <f t="shared" si="41"/>
        <v>0</v>
      </c>
      <c r="CK145" s="5">
        <f t="shared" si="42"/>
        <v>0</v>
      </c>
      <c r="CL145" s="5">
        <f t="shared" si="43"/>
        <v>0</v>
      </c>
      <c r="CM145" s="5">
        <f t="shared" si="44"/>
        <v>0</v>
      </c>
      <c r="CN145" s="5">
        <f t="shared" si="45"/>
        <v>0</v>
      </c>
      <c r="CO145" s="5">
        <f t="shared" si="46"/>
        <v>0</v>
      </c>
      <c r="CP145" s="6">
        <f t="shared" si="47"/>
        <v>0</v>
      </c>
      <c r="CQ145" s="6">
        <f t="shared" si="48"/>
        <v>0</v>
      </c>
      <c r="CR145" s="6">
        <f t="shared" si="49"/>
        <v>0</v>
      </c>
      <c r="CS145" s="6">
        <f t="shared" si="50"/>
        <v>0</v>
      </c>
      <c r="CT145" s="6">
        <f t="shared" si="584"/>
        <v>0</v>
      </c>
      <c r="CU145" s="6">
        <f t="shared" si="52"/>
        <v>0</v>
      </c>
      <c r="CV145" s="6">
        <f t="shared" si="53"/>
        <v>0</v>
      </c>
      <c r="CW145" s="6">
        <f t="shared" si="54"/>
        <v>0</v>
      </c>
      <c r="CX145" s="6">
        <f t="shared" si="55"/>
        <v>0</v>
      </c>
      <c r="CY145" s="6">
        <f t="shared" si="56"/>
        <v>0</v>
      </c>
      <c r="CZ145" s="6">
        <f t="shared" si="57"/>
        <v>0</v>
      </c>
      <c r="DA145" s="6">
        <f t="shared" si="58"/>
        <v>0</v>
      </c>
      <c r="DB145" s="6">
        <f t="shared" si="59"/>
        <v>0</v>
      </c>
      <c r="DC145" s="6">
        <f t="shared" si="60"/>
        <v>0</v>
      </c>
      <c r="DD145" s="6">
        <f t="shared" si="61"/>
        <v>0</v>
      </c>
      <c r="DE145" s="6">
        <f t="shared" si="62"/>
        <v>0</v>
      </c>
      <c r="DF145" s="6">
        <f t="shared" si="63"/>
        <v>0</v>
      </c>
      <c r="DG145" s="6">
        <f t="shared" si="64"/>
        <v>1</v>
      </c>
      <c r="DH145" s="6">
        <f t="shared" si="630"/>
        <v>0</v>
      </c>
      <c r="DI145" s="6">
        <f t="shared" si="66"/>
        <v>0</v>
      </c>
      <c r="DJ145" s="6">
        <f t="shared" si="574"/>
        <v>0</v>
      </c>
      <c r="DK145" s="7">
        <f t="shared" si="68"/>
        <v>0</v>
      </c>
      <c r="DL145" s="7">
        <f t="shared" si="498"/>
        <v>0</v>
      </c>
      <c r="DM145" s="7">
        <f t="shared" si="70"/>
        <v>0</v>
      </c>
      <c r="DN145" s="7">
        <f t="shared" si="71"/>
        <v>0</v>
      </c>
      <c r="DO145" s="7">
        <f t="shared" si="72"/>
        <v>1</v>
      </c>
      <c r="DP145" s="8">
        <f t="shared" si="73"/>
        <v>0</v>
      </c>
      <c r="DQ145" s="8">
        <f t="shared" si="74"/>
        <v>0</v>
      </c>
      <c r="DR145" s="7">
        <f t="shared" si="75"/>
        <v>0</v>
      </c>
      <c r="DS145" s="7">
        <f t="shared" si="76"/>
        <v>0</v>
      </c>
      <c r="DT145" s="7">
        <f t="shared" si="77"/>
        <v>0</v>
      </c>
      <c r="DU145" s="9">
        <f t="shared" si="78"/>
        <v>0</v>
      </c>
      <c r="DV145" s="9">
        <f t="shared" si="79"/>
        <v>0</v>
      </c>
      <c r="DW145" s="9">
        <f t="shared" si="80"/>
        <v>0</v>
      </c>
      <c r="DX145" s="9">
        <f t="shared" si="81"/>
        <v>0</v>
      </c>
      <c r="DY145" s="9">
        <f t="shared" si="82"/>
        <v>0</v>
      </c>
      <c r="DZ145" s="9">
        <f t="shared" si="83"/>
        <v>0</v>
      </c>
      <c r="EA145" s="9">
        <f t="shared" si="84"/>
        <v>0</v>
      </c>
      <c r="EB145" s="9">
        <f t="shared" si="85"/>
        <v>0</v>
      </c>
      <c r="EC145" s="9">
        <f t="shared" si="86"/>
        <v>0</v>
      </c>
      <c r="ED145" s="9">
        <f t="shared" si="87"/>
        <v>0</v>
      </c>
      <c r="EE145" s="9">
        <f t="shared" si="88"/>
        <v>0</v>
      </c>
      <c r="EF145" s="9">
        <f t="shared" si="89"/>
        <v>0</v>
      </c>
      <c r="EG145" s="9">
        <f t="shared" si="90"/>
        <v>0</v>
      </c>
      <c r="EH145" s="9">
        <f t="shared" si="91"/>
        <v>0</v>
      </c>
      <c r="EI145" s="9">
        <f t="shared" si="92"/>
        <v>0</v>
      </c>
      <c r="EJ145" s="10">
        <f t="shared" si="93"/>
        <v>0</v>
      </c>
      <c r="EK145" s="10">
        <f t="shared" si="94"/>
        <v>0</v>
      </c>
      <c r="EL145" s="10">
        <f t="shared" ref="EL145:EM145" si="642">IF(OR(ISNUMBER(SEARCH("ai software toolkit", $D145)), ISNUMBER(SEARCH("ai software toolkit", $T145)), ISNUMBER(SEARCH("ai software toolkit", $R145)), ISNUMBER(SEARCH("ai software toolkit", $S145))), 1, 0)</f>
        <v>0</v>
      </c>
      <c r="EM145" s="10">
        <f t="shared" si="642"/>
        <v>0</v>
      </c>
      <c r="EN145" s="10">
        <f t="shared" si="96"/>
        <v>0</v>
      </c>
      <c r="EO145" s="10">
        <f t="shared" si="97"/>
        <v>0</v>
      </c>
      <c r="EP145" s="10">
        <f t="shared" si="98"/>
        <v>0</v>
      </c>
      <c r="EQ145" s="10">
        <f t="shared" si="99"/>
        <v>0</v>
      </c>
      <c r="ER145" s="10">
        <f t="shared" si="100"/>
        <v>0</v>
      </c>
      <c r="ES145" s="10">
        <f t="shared" si="101"/>
        <v>0</v>
      </c>
      <c r="ET145" s="10">
        <f t="shared" si="102"/>
        <v>0</v>
      </c>
      <c r="EU145" s="10">
        <f t="shared" si="103"/>
        <v>0</v>
      </c>
      <c r="EV145" s="10">
        <f t="shared" si="104"/>
        <v>0</v>
      </c>
      <c r="EW145" s="10">
        <f t="shared" si="105"/>
        <v>0</v>
      </c>
      <c r="EX145" s="10">
        <f t="shared" si="106"/>
        <v>0</v>
      </c>
      <c r="EY145" s="10">
        <f t="shared" si="107"/>
        <v>0</v>
      </c>
      <c r="EZ145" s="10">
        <f t="shared" si="108"/>
        <v>0</v>
      </c>
      <c r="FA145" s="10">
        <f t="shared" si="109"/>
        <v>0</v>
      </c>
      <c r="FB145" s="10">
        <f t="shared" si="110"/>
        <v>0</v>
      </c>
      <c r="FC145" s="10">
        <f t="shared" si="111"/>
        <v>0</v>
      </c>
      <c r="FD145" s="10">
        <f t="shared" si="112"/>
        <v>0</v>
      </c>
      <c r="FE145" s="10">
        <f t="shared" si="113"/>
        <v>0</v>
      </c>
      <c r="FF145" s="10">
        <f t="shared" si="114"/>
        <v>0</v>
      </c>
      <c r="FG145" s="10">
        <f t="shared" si="115"/>
        <v>0</v>
      </c>
      <c r="FH145" s="10">
        <f t="shared" si="116"/>
        <v>0</v>
      </c>
      <c r="FI145" s="10">
        <f t="shared" si="117"/>
        <v>0</v>
      </c>
      <c r="FJ145" s="10">
        <f t="shared" si="118"/>
        <v>0</v>
      </c>
      <c r="FK145" s="10">
        <f t="shared" si="119"/>
        <v>0</v>
      </c>
      <c r="FL145" s="10">
        <f t="shared" si="120"/>
        <v>0</v>
      </c>
      <c r="FM145" s="10">
        <f t="shared" si="121"/>
        <v>0</v>
      </c>
      <c r="FN145" s="10">
        <f t="shared" si="122"/>
        <v>0</v>
      </c>
      <c r="FO145" s="10">
        <f t="shared" si="123"/>
        <v>0</v>
      </c>
      <c r="FP145" s="10">
        <f t="shared" si="124"/>
        <v>0</v>
      </c>
      <c r="FQ145" s="10">
        <f t="shared" si="125"/>
        <v>0</v>
      </c>
      <c r="FR145" s="11">
        <f t="shared" si="636"/>
        <v>0</v>
      </c>
      <c r="FS145" s="11">
        <f t="shared" si="127"/>
        <v>0</v>
      </c>
      <c r="FT145" s="11">
        <f t="shared" si="128"/>
        <v>0</v>
      </c>
      <c r="FU145" s="11">
        <f t="shared" si="129"/>
        <v>0</v>
      </c>
      <c r="FV145" s="11">
        <f t="shared" si="130"/>
        <v>0</v>
      </c>
      <c r="FW145" s="11">
        <f t="shared" si="131"/>
        <v>0</v>
      </c>
      <c r="FX145" s="11">
        <f t="shared" si="132"/>
        <v>0</v>
      </c>
      <c r="FY145" s="11">
        <f t="shared" si="133"/>
        <v>0</v>
      </c>
      <c r="FZ145" s="11">
        <f t="shared" si="134"/>
        <v>0</v>
      </c>
      <c r="GA145" s="11">
        <f t="shared" si="135"/>
        <v>0</v>
      </c>
      <c r="GB145" s="11">
        <f t="shared" si="136"/>
        <v>0</v>
      </c>
      <c r="GC145" s="11">
        <f t="shared" si="137"/>
        <v>0</v>
      </c>
      <c r="GD145" s="11">
        <f t="shared" si="138"/>
        <v>0</v>
      </c>
      <c r="GE145" s="11">
        <f t="shared" si="139"/>
        <v>0</v>
      </c>
      <c r="GF145" s="11">
        <f t="shared" si="140"/>
        <v>0</v>
      </c>
      <c r="GG145" s="11">
        <f t="shared" si="141"/>
        <v>0</v>
      </c>
      <c r="GH145" s="11">
        <f t="shared" si="142"/>
        <v>0</v>
      </c>
      <c r="GI145" s="11">
        <f t="shared" si="143"/>
        <v>0</v>
      </c>
      <c r="GJ145" s="11">
        <f t="shared" si="144"/>
        <v>0</v>
      </c>
      <c r="GK145" s="11">
        <f t="shared" si="145"/>
        <v>0</v>
      </c>
      <c r="GL145" s="11">
        <f t="shared" si="146"/>
        <v>0</v>
      </c>
      <c r="GM145" s="11">
        <f t="shared" si="147"/>
        <v>0</v>
      </c>
      <c r="GN145" s="11">
        <f t="shared" si="148"/>
        <v>0</v>
      </c>
      <c r="GO145" s="11">
        <f t="shared" si="149"/>
        <v>0</v>
      </c>
      <c r="GP145" s="11">
        <f t="shared" si="150"/>
        <v>0</v>
      </c>
      <c r="GQ145" s="11">
        <f t="shared" si="151"/>
        <v>0</v>
      </c>
      <c r="GR145" s="11">
        <f t="shared" si="152"/>
        <v>0</v>
      </c>
      <c r="GS145" s="11">
        <f t="shared" si="153"/>
        <v>0</v>
      </c>
      <c r="GT145" s="11">
        <f t="shared" si="154"/>
        <v>0</v>
      </c>
      <c r="GU145" s="12">
        <f t="shared" si="155"/>
        <v>0</v>
      </c>
      <c r="GV145" s="12">
        <f t="shared" si="156"/>
        <v>0</v>
      </c>
      <c r="GW145" s="12">
        <f t="shared" si="157"/>
        <v>0</v>
      </c>
      <c r="GX145" s="12">
        <f t="shared" si="158"/>
        <v>0</v>
      </c>
      <c r="GY145" s="12">
        <f t="shared" si="159"/>
        <v>0</v>
      </c>
      <c r="GZ145" s="12">
        <f t="shared" si="160"/>
        <v>0</v>
      </c>
      <c r="HA145" s="12">
        <f t="shared" si="161"/>
        <v>0</v>
      </c>
      <c r="HB145" s="12">
        <f t="shared" si="162"/>
        <v>0</v>
      </c>
      <c r="HC145" s="12">
        <f t="shared" si="163"/>
        <v>0</v>
      </c>
      <c r="HD145" s="12">
        <f t="shared" si="164"/>
        <v>0</v>
      </c>
      <c r="HE145" s="12">
        <f t="shared" si="165"/>
        <v>0</v>
      </c>
      <c r="HF145" s="12">
        <f t="shared" si="166"/>
        <v>0</v>
      </c>
      <c r="HG145" s="12">
        <f t="shared" si="167"/>
        <v>0</v>
      </c>
      <c r="HH145" s="12">
        <f t="shared" si="168"/>
        <v>0</v>
      </c>
      <c r="HI145" s="12">
        <f t="shared" si="169"/>
        <v>0</v>
      </c>
      <c r="HJ145" s="12">
        <f t="shared" si="170"/>
        <v>0</v>
      </c>
      <c r="HK145" s="12">
        <f t="shared" si="171"/>
        <v>0</v>
      </c>
      <c r="HL145" s="12">
        <f t="shared" si="172"/>
        <v>0</v>
      </c>
      <c r="HM145" s="12">
        <f t="shared" si="173"/>
        <v>0</v>
      </c>
      <c r="HN145" s="12">
        <f t="shared" si="174"/>
        <v>0</v>
      </c>
      <c r="HO145" s="12">
        <f t="shared" si="175"/>
        <v>0</v>
      </c>
      <c r="HP145" s="12">
        <f t="shared" si="176"/>
        <v>0</v>
      </c>
      <c r="HQ145" s="12">
        <f t="shared" si="177"/>
        <v>0</v>
      </c>
      <c r="HR145" s="12">
        <f t="shared" si="178"/>
        <v>0</v>
      </c>
      <c r="HS145" s="12">
        <f t="shared" si="179"/>
        <v>0</v>
      </c>
      <c r="HT145" s="12">
        <f t="shared" si="180"/>
        <v>0</v>
      </c>
      <c r="HU145" s="12">
        <f t="shared" si="181"/>
        <v>0</v>
      </c>
      <c r="HV145" s="12">
        <f t="shared" si="182"/>
        <v>0</v>
      </c>
      <c r="HW145" s="12">
        <f t="shared" si="183"/>
        <v>0</v>
      </c>
      <c r="HX145" s="12">
        <f t="shared" si="184"/>
        <v>0</v>
      </c>
      <c r="HY145" s="12">
        <f t="shared" si="185"/>
        <v>0</v>
      </c>
      <c r="HZ145" s="12">
        <f t="shared" si="186"/>
        <v>0</v>
      </c>
      <c r="IA145" s="12">
        <f t="shared" si="187"/>
        <v>0</v>
      </c>
      <c r="IB145" s="12">
        <f t="shared" si="188"/>
        <v>0</v>
      </c>
      <c r="IC145" s="12">
        <f t="shared" si="189"/>
        <v>0</v>
      </c>
      <c r="ID145" s="12">
        <f t="shared" si="190"/>
        <v>0</v>
      </c>
      <c r="IE145" s="12">
        <f t="shared" si="191"/>
        <v>0</v>
      </c>
      <c r="IF145" s="12">
        <f t="shared" si="192"/>
        <v>0</v>
      </c>
      <c r="IG145" s="12">
        <f t="shared" si="193"/>
        <v>0</v>
      </c>
      <c r="IH145" s="12">
        <f t="shared" si="194"/>
        <v>0</v>
      </c>
      <c r="II145" s="12">
        <f t="shared" si="195"/>
        <v>0</v>
      </c>
      <c r="IJ145" s="12">
        <f t="shared" si="196"/>
        <v>0</v>
      </c>
      <c r="IK145" s="12">
        <f t="shared" si="197"/>
        <v>0</v>
      </c>
      <c r="IL145" s="12">
        <f t="shared" si="198"/>
        <v>0</v>
      </c>
      <c r="IM145" s="12">
        <f t="shared" si="199"/>
        <v>0</v>
      </c>
      <c r="IN145" s="12">
        <f t="shared" si="200"/>
        <v>0</v>
      </c>
      <c r="IO145" s="12">
        <f t="shared" si="201"/>
        <v>0</v>
      </c>
      <c r="IP145" s="12">
        <f t="shared" si="202"/>
        <v>0</v>
      </c>
      <c r="IQ145" s="12">
        <f t="shared" si="203"/>
        <v>0</v>
      </c>
      <c r="IR145" s="12">
        <f t="shared" si="204"/>
        <v>0</v>
      </c>
      <c r="IS145" s="12">
        <f t="shared" si="205"/>
        <v>0</v>
      </c>
      <c r="IT145" s="12">
        <f t="shared" si="206"/>
        <v>0</v>
      </c>
      <c r="IU145" s="12">
        <f t="shared" si="207"/>
        <v>0</v>
      </c>
      <c r="IV145" s="12">
        <f t="shared" si="208"/>
        <v>0</v>
      </c>
      <c r="IW145" s="12">
        <f t="shared" si="209"/>
        <v>0</v>
      </c>
      <c r="IX145" s="12">
        <f t="shared" si="210"/>
        <v>0</v>
      </c>
      <c r="IY145" s="12">
        <f t="shared" si="211"/>
        <v>0</v>
      </c>
      <c r="IZ145" s="12">
        <f t="shared" si="212"/>
        <v>0</v>
      </c>
      <c r="JA145" s="13">
        <f t="shared" si="213"/>
        <v>0</v>
      </c>
      <c r="JB145" s="13">
        <f t="shared" si="214"/>
        <v>0</v>
      </c>
      <c r="JC145" s="13">
        <f t="shared" si="215"/>
        <v>0</v>
      </c>
      <c r="JD145" s="13">
        <f t="shared" si="216"/>
        <v>0</v>
      </c>
      <c r="JE145" s="13">
        <f t="shared" si="217"/>
        <v>0</v>
      </c>
      <c r="JF145" s="13">
        <f t="shared" si="218"/>
        <v>0</v>
      </c>
      <c r="JG145" s="13">
        <f t="shared" si="219"/>
        <v>0</v>
      </c>
      <c r="JH145" s="13">
        <f t="shared" si="220"/>
        <v>0</v>
      </c>
      <c r="JI145" s="13">
        <f t="shared" si="221"/>
        <v>0</v>
      </c>
      <c r="JJ145" s="13">
        <f t="shared" si="222"/>
        <v>0</v>
      </c>
      <c r="JK145" s="13">
        <f t="shared" si="223"/>
        <v>0</v>
      </c>
      <c r="JL145" s="13">
        <f t="shared" si="224"/>
        <v>0</v>
      </c>
      <c r="JM145" s="13">
        <f t="shared" si="225"/>
        <v>0</v>
      </c>
      <c r="JN145" s="13">
        <f t="shared" si="226"/>
        <v>0</v>
      </c>
      <c r="JO145" s="13">
        <f t="shared" si="227"/>
        <v>0</v>
      </c>
      <c r="JP145" s="13">
        <f t="shared" si="228"/>
        <v>0</v>
      </c>
      <c r="JQ145" s="13">
        <f t="shared" si="229"/>
        <v>0</v>
      </c>
      <c r="JR145" s="13">
        <f t="shared" si="230"/>
        <v>0</v>
      </c>
      <c r="JS145" s="13">
        <f t="shared" si="231"/>
        <v>0</v>
      </c>
      <c r="JT145" s="13">
        <f t="shared" si="232"/>
        <v>0</v>
      </c>
      <c r="JU145" s="13">
        <f t="shared" si="233"/>
        <v>0</v>
      </c>
      <c r="JV145" s="12">
        <f t="shared" si="234"/>
        <v>0</v>
      </c>
      <c r="JW145" s="12">
        <f t="shared" si="235"/>
        <v>0</v>
      </c>
      <c r="JX145" s="12">
        <f t="shared" si="236"/>
        <v>0</v>
      </c>
      <c r="JY145" s="12">
        <f t="shared" si="237"/>
        <v>0</v>
      </c>
      <c r="JZ145" s="12">
        <f t="shared" si="238"/>
        <v>0</v>
      </c>
      <c r="KA145" s="12">
        <f t="shared" si="239"/>
        <v>0</v>
      </c>
      <c r="KB145" s="12">
        <f t="shared" si="240"/>
        <v>0</v>
      </c>
      <c r="KC145" s="12">
        <f t="shared" si="241"/>
        <v>0</v>
      </c>
      <c r="KD145" s="12">
        <f t="shared" si="242"/>
        <v>0</v>
      </c>
      <c r="KE145" s="12">
        <f t="shared" si="243"/>
        <v>0</v>
      </c>
      <c r="KF145" s="12">
        <f t="shared" si="244"/>
        <v>0</v>
      </c>
      <c r="KG145" s="12">
        <f t="shared" si="245"/>
        <v>0</v>
      </c>
      <c r="KH145" s="12">
        <f t="shared" si="246"/>
        <v>0</v>
      </c>
      <c r="KI145" s="12">
        <f t="shared" si="247"/>
        <v>0</v>
      </c>
      <c r="KJ145" s="12">
        <f t="shared" si="248"/>
        <v>0</v>
      </c>
      <c r="KK145" s="12">
        <f t="shared" si="249"/>
        <v>0</v>
      </c>
      <c r="KL145" s="12">
        <f t="shared" si="250"/>
        <v>0</v>
      </c>
      <c r="KM145" s="12">
        <f t="shared" si="251"/>
        <v>0</v>
      </c>
      <c r="KN145" s="12">
        <f t="shared" si="252"/>
        <v>0</v>
      </c>
      <c r="KO145" s="12">
        <f t="shared" si="253"/>
        <v>0</v>
      </c>
      <c r="KP145" s="12">
        <f t="shared" si="254"/>
        <v>0</v>
      </c>
      <c r="KQ145" s="12">
        <f t="shared" si="255"/>
        <v>0</v>
      </c>
      <c r="KR145" s="12">
        <f t="shared" si="256"/>
        <v>0</v>
      </c>
      <c r="KS145" s="12">
        <f t="shared" si="257"/>
        <v>0</v>
      </c>
      <c r="KT145" s="12">
        <f t="shared" si="258"/>
        <v>0</v>
      </c>
      <c r="KU145" s="12">
        <f t="shared" si="259"/>
        <v>0</v>
      </c>
      <c r="KV145" s="12">
        <f t="shared" si="260"/>
        <v>0</v>
      </c>
      <c r="KW145" s="12">
        <f t="shared" si="261"/>
        <v>0</v>
      </c>
      <c r="KX145" s="12">
        <f t="shared" si="262"/>
        <v>0</v>
      </c>
      <c r="KY145" s="12">
        <f t="shared" si="263"/>
        <v>0</v>
      </c>
      <c r="KZ145" s="12">
        <f t="shared" si="264"/>
        <v>0</v>
      </c>
      <c r="LA145" s="12">
        <f t="shared" si="265"/>
        <v>0</v>
      </c>
      <c r="LB145" s="12">
        <f t="shared" si="266"/>
        <v>0</v>
      </c>
      <c r="LC145" s="12">
        <f t="shared" si="267"/>
        <v>0</v>
      </c>
      <c r="LD145" s="12">
        <f t="shared" si="268"/>
        <v>0</v>
      </c>
      <c r="LE145" s="12">
        <f t="shared" si="269"/>
        <v>0</v>
      </c>
      <c r="LF145" s="12">
        <f t="shared" si="270"/>
        <v>0</v>
      </c>
      <c r="LG145" s="12">
        <f t="shared" si="271"/>
        <v>0</v>
      </c>
      <c r="LH145" s="12">
        <f t="shared" si="272"/>
        <v>0</v>
      </c>
      <c r="LI145" s="12">
        <f t="shared" si="273"/>
        <v>0</v>
      </c>
      <c r="LJ145" s="12">
        <f t="shared" si="274"/>
        <v>0</v>
      </c>
      <c r="LK145" s="12">
        <f t="shared" si="275"/>
        <v>0</v>
      </c>
      <c r="LL145" s="12">
        <f t="shared" si="276"/>
        <v>0</v>
      </c>
      <c r="LM145" s="12">
        <f t="shared" si="277"/>
        <v>0</v>
      </c>
      <c r="LN145" s="12">
        <f t="shared" si="278"/>
        <v>0</v>
      </c>
      <c r="LO145" s="12">
        <f t="shared" si="279"/>
        <v>0</v>
      </c>
      <c r="LP145" s="12">
        <f t="shared" si="280"/>
        <v>0</v>
      </c>
      <c r="LQ145" s="12">
        <f t="shared" si="281"/>
        <v>0</v>
      </c>
      <c r="LR145" s="12">
        <f t="shared" si="282"/>
        <v>0</v>
      </c>
      <c r="LS145" s="12">
        <f t="shared" si="283"/>
        <v>0</v>
      </c>
      <c r="LT145" s="13">
        <f t="shared" si="284"/>
        <v>0</v>
      </c>
      <c r="LU145" s="13">
        <f t="shared" si="285"/>
        <v>0</v>
      </c>
      <c r="LV145" s="13">
        <f t="shared" si="286"/>
        <v>0</v>
      </c>
      <c r="LW145" s="13">
        <f t="shared" si="287"/>
        <v>0</v>
      </c>
      <c r="LX145" s="13">
        <f t="shared" si="288"/>
        <v>0</v>
      </c>
      <c r="LY145" s="13">
        <f t="shared" si="289"/>
        <v>0</v>
      </c>
      <c r="LZ145" s="13">
        <f t="shared" si="290"/>
        <v>0</v>
      </c>
      <c r="MA145" s="13">
        <f t="shared" si="291"/>
        <v>0</v>
      </c>
      <c r="MB145" s="13">
        <f t="shared" si="292"/>
        <v>0</v>
      </c>
      <c r="MC145" s="13">
        <f t="shared" si="293"/>
        <v>0</v>
      </c>
      <c r="MD145" s="13">
        <f t="shared" si="294"/>
        <v>0</v>
      </c>
      <c r="ME145" s="13">
        <f t="shared" si="295"/>
        <v>0</v>
      </c>
      <c r="MF145" s="13">
        <f t="shared" si="296"/>
        <v>0</v>
      </c>
      <c r="MG145" s="13">
        <f t="shared" si="297"/>
        <v>0</v>
      </c>
      <c r="MH145" s="13">
        <f t="shared" si="298"/>
        <v>0</v>
      </c>
      <c r="MI145" s="13">
        <f t="shared" si="299"/>
        <v>0</v>
      </c>
      <c r="MJ145" s="13">
        <f t="shared" si="300"/>
        <v>0</v>
      </c>
      <c r="MK145" s="13">
        <f t="shared" si="301"/>
        <v>0</v>
      </c>
      <c r="ML145" s="14">
        <f t="shared" si="302"/>
        <v>0</v>
      </c>
      <c r="MM145" s="14">
        <f t="shared" si="303"/>
        <v>0</v>
      </c>
      <c r="MN145" s="14">
        <f t="shared" si="304"/>
        <v>0</v>
      </c>
      <c r="MO145" s="14">
        <f t="shared" si="305"/>
        <v>1</v>
      </c>
      <c r="MP145" s="14">
        <f t="shared" si="306"/>
        <v>0</v>
      </c>
      <c r="MQ145" s="14">
        <f t="shared" si="307"/>
        <v>0</v>
      </c>
      <c r="MR145" s="14">
        <f t="shared" si="308"/>
        <v>0</v>
      </c>
      <c r="MS145" s="14">
        <f t="shared" si="309"/>
        <v>0</v>
      </c>
      <c r="MT145" s="14">
        <f t="shared" si="310"/>
        <v>0</v>
      </c>
      <c r="MU145" s="14">
        <f t="shared" si="311"/>
        <v>0</v>
      </c>
      <c r="MV145" s="14">
        <f t="shared" si="312"/>
        <v>0</v>
      </c>
      <c r="MW145" s="14">
        <f t="shared" si="313"/>
        <v>0</v>
      </c>
      <c r="MX145" s="14">
        <f t="shared" si="314"/>
        <v>0</v>
      </c>
      <c r="MY145" s="14">
        <f t="shared" si="315"/>
        <v>0</v>
      </c>
      <c r="MZ145" s="14">
        <f t="shared" si="316"/>
        <v>0</v>
      </c>
      <c r="NA145" s="14">
        <f t="shared" si="317"/>
        <v>0</v>
      </c>
      <c r="NB145" s="14">
        <f t="shared" si="318"/>
        <v>0</v>
      </c>
    </row>
    <row r="146" ht="15.75" customHeight="1">
      <c r="A146" s="2">
        <v>489.0</v>
      </c>
      <c r="B146" s="2" t="s">
        <v>2831</v>
      </c>
      <c r="C146" s="2" t="s">
        <v>2832</v>
      </c>
      <c r="D146" s="2" t="s">
        <v>2833</v>
      </c>
      <c r="E146" s="2">
        <v>2023.0</v>
      </c>
      <c r="F146" s="2" t="s">
        <v>2834</v>
      </c>
      <c r="G146" s="2">
        <v>38.0</v>
      </c>
      <c r="H146" s="2" t="s">
        <v>432</v>
      </c>
      <c r="J146" s="2" t="s">
        <v>2835</v>
      </c>
      <c r="K146" s="2" t="s">
        <v>2836</v>
      </c>
      <c r="M146" s="2">
        <v>3.0</v>
      </c>
      <c r="N146" s="2" t="s">
        <v>2837</v>
      </c>
      <c r="O146" s="2" t="s">
        <v>2838</v>
      </c>
      <c r="P146" s="2" t="s">
        <v>2839</v>
      </c>
      <c r="Q146" s="2" t="s">
        <v>2840</v>
      </c>
      <c r="R146" s="2" t="s">
        <v>2841</v>
      </c>
      <c r="S146" s="2" t="s">
        <v>2842</v>
      </c>
      <c r="T146" s="2" t="s">
        <v>2843</v>
      </c>
      <c r="Y146" s="2" t="s">
        <v>2844</v>
      </c>
      <c r="AB146" s="2" t="s">
        <v>2311</v>
      </c>
      <c r="AG146" s="2" t="s">
        <v>2845</v>
      </c>
      <c r="AK146" s="2" t="s">
        <v>2846</v>
      </c>
      <c r="AL146" s="2" t="s">
        <v>384</v>
      </c>
      <c r="AN146" s="2" t="s">
        <v>386</v>
      </c>
      <c r="AO146" s="2" t="s">
        <v>2847</v>
      </c>
      <c r="AP146" s="2" t="s">
        <v>386</v>
      </c>
      <c r="AQ146" s="2">
        <v>1878.0</v>
      </c>
      <c r="AR146" s="2" t="s">
        <v>2848</v>
      </c>
      <c r="AS146" s="2" t="b">
        <v>0</v>
      </c>
      <c r="AT146" s="3">
        <v>0.0</v>
      </c>
      <c r="AU146" s="4"/>
      <c r="AV146" s="4"/>
      <c r="AW146" s="5">
        <f t="shared" si="432"/>
        <v>0</v>
      </c>
      <c r="AX146" s="5">
        <f t="shared" si="4"/>
        <v>0</v>
      </c>
      <c r="AY146" s="5">
        <f t="shared" si="5"/>
        <v>0</v>
      </c>
      <c r="AZ146" s="5">
        <f t="shared" si="6"/>
        <v>0</v>
      </c>
      <c r="BA146" s="5">
        <f t="shared" si="7"/>
        <v>0</v>
      </c>
      <c r="BB146" s="5">
        <f t="shared" si="8"/>
        <v>0</v>
      </c>
      <c r="BC146" s="5">
        <f t="shared" si="9"/>
        <v>0</v>
      </c>
      <c r="BD146" s="5">
        <f t="shared" si="10"/>
        <v>0</v>
      </c>
      <c r="BE146" s="5">
        <f t="shared" si="11"/>
        <v>0</v>
      </c>
      <c r="BF146" s="5">
        <f t="shared" si="12"/>
        <v>0</v>
      </c>
      <c r="BG146" s="5">
        <f t="shared" si="13"/>
        <v>0</v>
      </c>
      <c r="BH146" s="5">
        <f t="shared" si="14"/>
        <v>0</v>
      </c>
      <c r="BI146" s="5">
        <f t="shared" si="15"/>
        <v>0</v>
      </c>
      <c r="BJ146" s="5">
        <f t="shared" si="16"/>
        <v>0</v>
      </c>
      <c r="BK146" s="5">
        <f t="shared" si="17"/>
        <v>0</v>
      </c>
      <c r="BL146" s="5">
        <f t="shared" si="18"/>
        <v>0</v>
      </c>
      <c r="BM146" s="5">
        <f t="shared" si="19"/>
        <v>0</v>
      </c>
      <c r="BN146" s="5">
        <f t="shared" si="20"/>
        <v>0</v>
      </c>
      <c r="BO146" s="5">
        <f t="shared" si="21"/>
        <v>0</v>
      </c>
      <c r="BP146" s="5">
        <f t="shared" si="22"/>
        <v>0</v>
      </c>
      <c r="BQ146" s="5">
        <f t="shared" si="23"/>
        <v>0</v>
      </c>
      <c r="BR146" s="5">
        <f t="shared" si="24"/>
        <v>0</v>
      </c>
      <c r="BS146" s="5">
        <f t="shared" si="25"/>
        <v>0</v>
      </c>
      <c r="BT146" s="5">
        <f t="shared" si="26"/>
        <v>0</v>
      </c>
      <c r="BU146" s="5">
        <f t="shared" si="27"/>
        <v>0</v>
      </c>
      <c r="BV146" s="5">
        <f t="shared" ref="BV146:BW146" si="643">IF(OR(ISNUMBER(SEARCH("grit",$D146)),ISNUMBER(SEARCH("grit",$T146)),ISNUMBER(SEARCH("grit",$R146)),ISNUMBER(SEARCH("grit",$S146)),
ISNUMBER(SEARCH("determination",$D146)),ISNUMBER(SEARCH("determination",$T146)),ISNUMBER(SEARCH("determination",$R146)),ISNUMBER(SEARCH("determination",$S146)),
ISNUMBER(SEARCH("tenacity",$D146)),ISNUMBER(SEARCH("tenacity",$T146)),ISNUMBER(SEARCH("tenacity",$R146)),ISNUMBER(SEARCH("tenacity",$S146)),
ISNUMBER(SEARCH("endurance",$D146)),ISNUMBER(SEARCH("endurance",$T146)),ISNUMBER(SEARCH("endurance",$R146)),ISNUMBER(SEARCH("endurance",$S146)),
ISNUMBER(SEARCH("fortitude",$D146)),ISNUMBER(SEARCH("fortitude",$T146)),ISNUMBER(SEARCH("fortitude",$R146)),ISNUMBER(SEARCH("fortitude",$S146)),
ISNUMBER(SEARCH("resolve",$D146)),ISNUMBER(SEARCH("resolve",$T146)),ISNUMBER(SEARCH("resolve",$R146)),ISNUMBER(SEARCH("resolve",$S146)),
ISNUMBER(SEARCH("stamina",$D146)),ISNUMBER(SEARCH("stamina",$T146)),ISNUMBER(SEARCH("stamina",$R146)),ISNUMBER(SEARCH("stamina",$S146)),
ISNUMBER(SEARCH("guts",$D146)),ISNUMBER(SEARCH("guts",$T146)),ISNUMBER(SEARCH("guts",$R146)),ISNUMBER(SEARCH("guts",$S146)),
ISNUMBER(SEARCH("spunk",$D146)),ISNUMBER(SEARCH("spunk",$T146)),ISNUMBER(SEARCH("spunk",$R146)),ISNUMBER(SEARCH("spunk",$S146))), 1, 0)</f>
        <v>0</v>
      </c>
      <c r="BW146" s="5">
        <f t="shared" si="643"/>
        <v>0</v>
      </c>
      <c r="BX146" s="5">
        <f t="shared" si="29"/>
        <v>0</v>
      </c>
      <c r="BY146" s="5">
        <f t="shared" si="30"/>
        <v>0</v>
      </c>
      <c r="BZ146" s="5">
        <f t="shared" si="31"/>
        <v>0</v>
      </c>
      <c r="CA146" s="5">
        <f t="shared" si="32"/>
        <v>0</v>
      </c>
      <c r="CB146" s="5">
        <f t="shared" si="33"/>
        <v>0</v>
      </c>
      <c r="CC146" s="5">
        <f t="shared" si="34"/>
        <v>0</v>
      </c>
      <c r="CD146" s="5">
        <f t="shared" si="35"/>
        <v>0</v>
      </c>
      <c r="CE146" s="5">
        <f t="shared" si="36"/>
        <v>0</v>
      </c>
      <c r="CF146" s="5">
        <f t="shared" si="37"/>
        <v>0</v>
      </c>
      <c r="CG146" s="5">
        <f t="shared" si="38"/>
        <v>0</v>
      </c>
      <c r="CH146" s="5">
        <f t="shared" si="39"/>
        <v>0</v>
      </c>
      <c r="CI146" s="5">
        <f t="shared" si="40"/>
        <v>0</v>
      </c>
      <c r="CJ146" s="5">
        <f t="shared" si="41"/>
        <v>0</v>
      </c>
      <c r="CK146" s="5">
        <f t="shared" si="42"/>
        <v>1</v>
      </c>
      <c r="CL146" s="5">
        <f t="shared" si="43"/>
        <v>0</v>
      </c>
      <c r="CM146" s="5">
        <f t="shared" si="44"/>
        <v>0</v>
      </c>
      <c r="CN146" s="5">
        <f t="shared" si="45"/>
        <v>0</v>
      </c>
      <c r="CO146" s="5">
        <f t="shared" si="46"/>
        <v>0</v>
      </c>
      <c r="CP146" s="6">
        <f t="shared" si="47"/>
        <v>0</v>
      </c>
      <c r="CQ146" s="6">
        <f t="shared" si="48"/>
        <v>0</v>
      </c>
      <c r="CR146" s="6">
        <f t="shared" si="49"/>
        <v>0</v>
      </c>
      <c r="CS146" s="6">
        <f t="shared" si="50"/>
        <v>0</v>
      </c>
      <c r="CT146" s="6">
        <f t="shared" si="584"/>
        <v>0</v>
      </c>
      <c r="CU146" s="6">
        <f t="shared" si="52"/>
        <v>0</v>
      </c>
      <c r="CV146" s="6">
        <f t="shared" si="53"/>
        <v>0</v>
      </c>
      <c r="CW146" s="6">
        <f t="shared" si="54"/>
        <v>0</v>
      </c>
      <c r="CX146" s="6">
        <f t="shared" si="55"/>
        <v>0</v>
      </c>
      <c r="CY146" s="6">
        <f t="shared" si="56"/>
        <v>0</v>
      </c>
      <c r="CZ146" s="6">
        <f t="shared" si="57"/>
        <v>0</v>
      </c>
      <c r="DA146" s="6">
        <f t="shared" si="58"/>
        <v>0</v>
      </c>
      <c r="DB146" s="6">
        <f t="shared" si="59"/>
        <v>0</v>
      </c>
      <c r="DC146" s="6">
        <f t="shared" si="60"/>
        <v>0</v>
      </c>
      <c r="DD146" s="6">
        <f t="shared" si="61"/>
        <v>0</v>
      </c>
      <c r="DE146" s="6">
        <f t="shared" si="62"/>
        <v>0</v>
      </c>
      <c r="DF146" s="6">
        <f t="shared" si="63"/>
        <v>0</v>
      </c>
      <c r="DG146" s="6">
        <f t="shared" si="64"/>
        <v>0</v>
      </c>
      <c r="DH146" s="6">
        <f t="shared" si="630"/>
        <v>0</v>
      </c>
      <c r="DI146" s="6">
        <f t="shared" si="66"/>
        <v>0</v>
      </c>
      <c r="DJ146" s="6">
        <f t="shared" si="574"/>
        <v>0</v>
      </c>
      <c r="DK146" s="7">
        <f t="shared" si="68"/>
        <v>0</v>
      </c>
      <c r="DL146" s="7">
        <f t="shared" si="498"/>
        <v>0</v>
      </c>
      <c r="DM146" s="7">
        <f t="shared" si="70"/>
        <v>0</v>
      </c>
      <c r="DN146" s="7">
        <f t="shared" si="71"/>
        <v>0</v>
      </c>
      <c r="DO146" s="7">
        <f t="shared" si="72"/>
        <v>0</v>
      </c>
      <c r="DP146" s="8">
        <f t="shared" si="73"/>
        <v>0</v>
      </c>
      <c r="DQ146" s="8">
        <f t="shared" si="74"/>
        <v>0</v>
      </c>
      <c r="DR146" s="7">
        <f t="shared" si="75"/>
        <v>0</v>
      </c>
      <c r="DS146" s="7">
        <f t="shared" si="76"/>
        <v>0</v>
      </c>
      <c r="DT146" s="7">
        <f t="shared" si="77"/>
        <v>0</v>
      </c>
      <c r="DU146" s="9">
        <f t="shared" si="78"/>
        <v>0</v>
      </c>
      <c r="DV146" s="9">
        <f t="shared" si="79"/>
        <v>0</v>
      </c>
      <c r="DW146" s="9">
        <f t="shared" si="80"/>
        <v>0</v>
      </c>
      <c r="DX146" s="9">
        <f t="shared" si="81"/>
        <v>0</v>
      </c>
      <c r="DY146" s="9">
        <f t="shared" si="82"/>
        <v>0</v>
      </c>
      <c r="DZ146" s="9">
        <f t="shared" si="83"/>
        <v>0</v>
      </c>
      <c r="EA146" s="9">
        <f t="shared" si="84"/>
        <v>0</v>
      </c>
      <c r="EB146" s="9">
        <f t="shared" si="85"/>
        <v>0</v>
      </c>
      <c r="EC146" s="9">
        <f t="shared" si="86"/>
        <v>0</v>
      </c>
      <c r="ED146" s="9">
        <f t="shared" si="87"/>
        <v>0</v>
      </c>
      <c r="EE146" s="9">
        <f t="shared" si="88"/>
        <v>0</v>
      </c>
      <c r="EF146" s="9">
        <f t="shared" si="89"/>
        <v>0</v>
      </c>
      <c r="EG146" s="9">
        <f t="shared" si="90"/>
        <v>0</v>
      </c>
      <c r="EH146" s="9">
        <f t="shared" si="91"/>
        <v>0</v>
      </c>
      <c r="EI146" s="9">
        <f t="shared" si="92"/>
        <v>0</v>
      </c>
      <c r="EJ146" s="10">
        <f t="shared" si="93"/>
        <v>0</v>
      </c>
      <c r="EK146" s="10">
        <f t="shared" si="94"/>
        <v>0</v>
      </c>
      <c r="EL146" s="10">
        <f t="shared" ref="EL146:EM146" si="644">IF(OR(ISNUMBER(SEARCH("ai software toolkit", $D146)), ISNUMBER(SEARCH("ai software toolkit", $T146)), ISNUMBER(SEARCH("ai software toolkit", $R146)), ISNUMBER(SEARCH("ai software toolkit", $S146))), 1, 0)</f>
        <v>0</v>
      </c>
      <c r="EM146" s="10">
        <f t="shared" si="644"/>
        <v>0</v>
      </c>
      <c r="EN146" s="10">
        <f t="shared" si="96"/>
        <v>0</v>
      </c>
      <c r="EO146" s="10">
        <f t="shared" si="97"/>
        <v>0</v>
      </c>
      <c r="EP146" s="10">
        <f t="shared" si="98"/>
        <v>0</v>
      </c>
      <c r="EQ146" s="10">
        <f t="shared" si="99"/>
        <v>0</v>
      </c>
      <c r="ER146" s="10">
        <f t="shared" si="100"/>
        <v>0</v>
      </c>
      <c r="ES146" s="10">
        <f t="shared" si="101"/>
        <v>0</v>
      </c>
      <c r="ET146" s="10">
        <f t="shared" si="102"/>
        <v>0</v>
      </c>
      <c r="EU146" s="10">
        <f t="shared" si="103"/>
        <v>0</v>
      </c>
      <c r="EV146" s="10">
        <f t="shared" si="104"/>
        <v>0</v>
      </c>
      <c r="EW146" s="10">
        <f t="shared" si="105"/>
        <v>0</v>
      </c>
      <c r="EX146" s="10">
        <f t="shared" si="106"/>
        <v>0</v>
      </c>
      <c r="EY146" s="10">
        <f t="shared" si="107"/>
        <v>0</v>
      </c>
      <c r="EZ146" s="10">
        <f t="shared" si="108"/>
        <v>0</v>
      </c>
      <c r="FA146" s="10">
        <f t="shared" si="109"/>
        <v>0</v>
      </c>
      <c r="FB146" s="10">
        <f t="shared" si="110"/>
        <v>0</v>
      </c>
      <c r="FC146" s="10">
        <f t="shared" si="111"/>
        <v>0</v>
      </c>
      <c r="FD146" s="10">
        <f t="shared" si="112"/>
        <v>0</v>
      </c>
      <c r="FE146" s="10">
        <f t="shared" si="113"/>
        <v>0</v>
      </c>
      <c r="FF146" s="10">
        <f t="shared" si="114"/>
        <v>0</v>
      </c>
      <c r="FG146" s="10">
        <f t="shared" si="115"/>
        <v>0</v>
      </c>
      <c r="FH146" s="10">
        <f t="shared" si="116"/>
        <v>0</v>
      </c>
      <c r="FI146" s="10">
        <f t="shared" si="117"/>
        <v>0</v>
      </c>
      <c r="FJ146" s="10">
        <f t="shared" si="118"/>
        <v>0</v>
      </c>
      <c r="FK146" s="10">
        <f t="shared" si="119"/>
        <v>0</v>
      </c>
      <c r="FL146" s="10">
        <f t="shared" si="120"/>
        <v>0</v>
      </c>
      <c r="FM146" s="10">
        <f t="shared" si="121"/>
        <v>0</v>
      </c>
      <c r="FN146" s="10">
        <f t="shared" si="122"/>
        <v>0</v>
      </c>
      <c r="FO146" s="10">
        <f t="shared" si="123"/>
        <v>0</v>
      </c>
      <c r="FP146" s="10">
        <f t="shared" si="124"/>
        <v>0</v>
      </c>
      <c r="FQ146" s="10">
        <f t="shared" si="125"/>
        <v>0</v>
      </c>
      <c r="FR146" s="11">
        <f t="shared" si="636"/>
        <v>0</v>
      </c>
      <c r="FS146" s="11">
        <f t="shared" si="127"/>
        <v>0</v>
      </c>
      <c r="FT146" s="11">
        <f t="shared" si="128"/>
        <v>0</v>
      </c>
      <c r="FU146" s="11">
        <f t="shared" si="129"/>
        <v>0</v>
      </c>
      <c r="FV146" s="11">
        <f t="shared" si="130"/>
        <v>0</v>
      </c>
      <c r="FW146" s="11">
        <f t="shared" si="131"/>
        <v>0</v>
      </c>
      <c r="FX146" s="11">
        <f t="shared" si="132"/>
        <v>0</v>
      </c>
      <c r="FY146" s="11">
        <f t="shared" si="133"/>
        <v>0</v>
      </c>
      <c r="FZ146" s="11">
        <f t="shared" si="134"/>
        <v>0</v>
      </c>
      <c r="GA146" s="11">
        <f t="shared" si="135"/>
        <v>0</v>
      </c>
      <c r="GB146" s="11">
        <f t="shared" si="136"/>
        <v>0</v>
      </c>
      <c r="GC146" s="11">
        <f t="shared" si="137"/>
        <v>0</v>
      </c>
      <c r="GD146" s="11">
        <f t="shared" si="138"/>
        <v>0</v>
      </c>
      <c r="GE146" s="11">
        <f t="shared" si="139"/>
        <v>0</v>
      </c>
      <c r="GF146" s="11">
        <f t="shared" si="140"/>
        <v>0</v>
      </c>
      <c r="GG146" s="11">
        <f t="shared" si="141"/>
        <v>0</v>
      </c>
      <c r="GH146" s="11">
        <f t="shared" si="142"/>
        <v>0</v>
      </c>
      <c r="GI146" s="11">
        <f t="shared" si="143"/>
        <v>0</v>
      </c>
      <c r="GJ146" s="11">
        <f t="shared" si="144"/>
        <v>0</v>
      </c>
      <c r="GK146" s="11">
        <f t="shared" si="145"/>
        <v>0</v>
      </c>
      <c r="GL146" s="11">
        <f t="shared" si="146"/>
        <v>0</v>
      </c>
      <c r="GM146" s="11">
        <f t="shared" si="147"/>
        <v>0</v>
      </c>
      <c r="GN146" s="11">
        <f t="shared" si="148"/>
        <v>0</v>
      </c>
      <c r="GO146" s="11">
        <f t="shared" si="149"/>
        <v>0</v>
      </c>
      <c r="GP146" s="11">
        <f t="shared" si="150"/>
        <v>0</v>
      </c>
      <c r="GQ146" s="11">
        <f t="shared" si="151"/>
        <v>0</v>
      </c>
      <c r="GR146" s="11">
        <f t="shared" si="152"/>
        <v>0</v>
      </c>
      <c r="GS146" s="11">
        <f t="shared" si="153"/>
        <v>0</v>
      </c>
      <c r="GT146" s="11">
        <f t="shared" si="154"/>
        <v>0</v>
      </c>
      <c r="GU146" s="12">
        <f t="shared" si="155"/>
        <v>0</v>
      </c>
      <c r="GV146" s="12">
        <f t="shared" si="156"/>
        <v>0</v>
      </c>
      <c r="GW146" s="12">
        <f t="shared" si="157"/>
        <v>0</v>
      </c>
      <c r="GX146" s="12">
        <f t="shared" si="158"/>
        <v>0</v>
      </c>
      <c r="GY146" s="12">
        <f t="shared" si="159"/>
        <v>0</v>
      </c>
      <c r="GZ146" s="12">
        <f t="shared" si="160"/>
        <v>0</v>
      </c>
      <c r="HA146" s="12">
        <f t="shared" si="161"/>
        <v>0</v>
      </c>
      <c r="HB146" s="12">
        <f t="shared" si="162"/>
        <v>0</v>
      </c>
      <c r="HC146" s="12">
        <f t="shared" si="163"/>
        <v>0</v>
      </c>
      <c r="HD146" s="12">
        <f t="shared" si="164"/>
        <v>0</v>
      </c>
      <c r="HE146" s="12">
        <f t="shared" si="165"/>
        <v>0</v>
      </c>
      <c r="HF146" s="12">
        <f t="shared" si="166"/>
        <v>0</v>
      </c>
      <c r="HG146" s="12">
        <f t="shared" si="167"/>
        <v>0</v>
      </c>
      <c r="HH146" s="12">
        <f t="shared" si="168"/>
        <v>0</v>
      </c>
      <c r="HI146" s="12">
        <f t="shared" si="169"/>
        <v>0</v>
      </c>
      <c r="HJ146" s="12">
        <f t="shared" si="170"/>
        <v>0</v>
      </c>
      <c r="HK146" s="12">
        <f t="shared" si="171"/>
        <v>0</v>
      </c>
      <c r="HL146" s="12">
        <f t="shared" si="172"/>
        <v>0</v>
      </c>
      <c r="HM146" s="12">
        <f t="shared" si="173"/>
        <v>0</v>
      </c>
      <c r="HN146" s="12">
        <f t="shared" si="174"/>
        <v>0</v>
      </c>
      <c r="HO146" s="12">
        <f t="shared" si="175"/>
        <v>0</v>
      </c>
      <c r="HP146" s="12">
        <f t="shared" si="176"/>
        <v>0</v>
      </c>
      <c r="HQ146" s="12">
        <f t="shared" si="177"/>
        <v>0</v>
      </c>
      <c r="HR146" s="12">
        <f t="shared" si="178"/>
        <v>0</v>
      </c>
      <c r="HS146" s="12">
        <f t="shared" si="179"/>
        <v>0</v>
      </c>
      <c r="HT146" s="12">
        <f t="shared" si="180"/>
        <v>0</v>
      </c>
      <c r="HU146" s="12">
        <f t="shared" si="181"/>
        <v>0</v>
      </c>
      <c r="HV146" s="12">
        <f t="shared" si="182"/>
        <v>0</v>
      </c>
      <c r="HW146" s="12">
        <f t="shared" si="183"/>
        <v>0</v>
      </c>
      <c r="HX146" s="12">
        <f t="shared" si="184"/>
        <v>0</v>
      </c>
      <c r="HY146" s="12">
        <f t="shared" si="185"/>
        <v>0</v>
      </c>
      <c r="HZ146" s="12">
        <f t="shared" si="186"/>
        <v>0</v>
      </c>
      <c r="IA146" s="12">
        <f t="shared" si="187"/>
        <v>0</v>
      </c>
      <c r="IB146" s="12">
        <f t="shared" si="188"/>
        <v>0</v>
      </c>
      <c r="IC146" s="12">
        <f t="shared" si="189"/>
        <v>0</v>
      </c>
      <c r="ID146" s="12">
        <f t="shared" si="190"/>
        <v>0</v>
      </c>
      <c r="IE146" s="12">
        <f t="shared" si="191"/>
        <v>0</v>
      </c>
      <c r="IF146" s="12">
        <f t="shared" si="192"/>
        <v>0</v>
      </c>
      <c r="IG146" s="12">
        <f t="shared" si="193"/>
        <v>0</v>
      </c>
      <c r="IH146" s="12">
        <f t="shared" si="194"/>
        <v>0</v>
      </c>
      <c r="II146" s="12">
        <f t="shared" si="195"/>
        <v>0</v>
      </c>
      <c r="IJ146" s="12">
        <f t="shared" si="196"/>
        <v>0</v>
      </c>
      <c r="IK146" s="12">
        <f t="shared" si="197"/>
        <v>0</v>
      </c>
      <c r="IL146" s="12">
        <f t="shared" si="198"/>
        <v>0</v>
      </c>
      <c r="IM146" s="12">
        <f t="shared" si="199"/>
        <v>0</v>
      </c>
      <c r="IN146" s="12">
        <f t="shared" si="200"/>
        <v>0</v>
      </c>
      <c r="IO146" s="12">
        <f t="shared" si="201"/>
        <v>0</v>
      </c>
      <c r="IP146" s="12">
        <f t="shared" si="202"/>
        <v>0</v>
      </c>
      <c r="IQ146" s="12">
        <f t="shared" si="203"/>
        <v>0</v>
      </c>
      <c r="IR146" s="12">
        <f t="shared" si="204"/>
        <v>0</v>
      </c>
      <c r="IS146" s="12">
        <f t="shared" si="205"/>
        <v>0</v>
      </c>
      <c r="IT146" s="12">
        <f t="shared" si="206"/>
        <v>0</v>
      </c>
      <c r="IU146" s="12">
        <f t="shared" si="207"/>
        <v>0</v>
      </c>
      <c r="IV146" s="12">
        <f t="shared" si="208"/>
        <v>0</v>
      </c>
      <c r="IW146" s="12">
        <f t="shared" si="209"/>
        <v>0</v>
      </c>
      <c r="IX146" s="12">
        <f t="shared" si="210"/>
        <v>0</v>
      </c>
      <c r="IY146" s="12">
        <f t="shared" si="211"/>
        <v>0</v>
      </c>
      <c r="IZ146" s="12">
        <f t="shared" si="212"/>
        <v>0</v>
      </c>
      <c r="JA146" s="13">
        <f t="shared" si="213"/>
        <v>0</v>
      </c>
      <c r="JB146" s="13">
        <f t="shared" si="214"/>
        <v>0</v>
      </c>
      <c r="JC146" s="13">
        <f t="shared" si="215"/>
        <v>0</v>
      </c>
      <c r="JD146" s="13">
        <f t="shared" si="216"/>
        <v>0</v>
      </c>
      <c r="JE146" s="13">
        <f t="shared" si="217"/>
        <v>0</v>
      </c>
      <c r="JF146" s="13">
        <f t="shared" si="218"/>
        <v>0</v>
      </c>
      <c r="JG146" s="13">
        <f t="shared" si="219"/>
        <v>0</v>
      </c>
      <c r="JH146" s="13">
        <f t="shared" si="220"/>
        <v>0</v>
      </c>
      <c r="JI146" s="13">
        <f t="shared" si="221"/>
        <v>0</v>
      </c>
      <c r="JJ146" s="13">
        <f t="shared" si="222"/>
        <v>0</v>
      </c>
      <c r="JK146" s="13">
        <f t="shared" si="223"/>
        <v>0</v>
      </c>
      <c r="JL146" s="13">
        <f t="shared" si="224"/>
        <v>0</v>
      </c>
      <c r="JM146" s="13">
        <f t="shared" si="225"/>
        <v>0</v>
      </c>
      <c r="JN146" s="13">
        <f t="shared" si="226"/>
        <v>0</v>
      </c>
      <c r="JO146" s="13">
        <f t="shared" si="227"/>
        <v>0</v>
      </c>
      <c r="JP146" s="13">
        <f t="shared" si="228"/>
        <v>0</v>
      </c>
      <c r="JQ146" s="13">
        <f t="shared" si="229"/>
        <v>0</v>
      </c>
      <c r="JR146" s="13">
        <f t="shared" si="230"/>
        <v>0</v>
      </c>
      <c r="JS146" s="13">
        <f t="shared" si="231"/>
        <v>0</v>
      </c>
      <c r="JT146" s="13">
        <f t="shared" si="232"/>
        <v>0</v>
      </c>
      <c r="JU146" s="13">
        <f t="shared" si="233"/>
        <v>0</v>
      </c>
      <c r="JV146" s="12">
        <f t="shared" si="234"/>
        <v>0</v>
      </c>
      <c r="JW146" s="12">
        <f t="shared" si="235"/>
        <v>0</v>
      </c>
      <c r="JX146" s="12">
        <f t="shared" si="236"/>
        <v>0</v>
      </c>
      <c r="JY146" s="12">
        <f t="shared" si="237"/>
        <v>0</v>
      </c>
      <c r="JZ146" s="12">
        <f t="shared" si="238"/>
        <v>0</v>
      </c>
      <c r="KA146" s="12">
        <f t="shared" si="239"/>
        <v>0</v>
      </c>
      <c r="KB146" s="12">
        <f t="shared" si="240"/>
        <v>0</v>
      </c>
      <c r="KC146" s="12">
        <f t="shared" si="241"/>
        <v>0</v>
      </c>
      <c r="KD146" s="12">
        <f t="shared" si="242"/>
        <v>0</v>
      </c>
      <c r="KE146" s="12">
        <f t="shared" si="243"/>
        <v>0</v>
      </c>
      <c r="KF146" s="12">
        <f t="shared" si="244"/>
        <v>0</v>
      </c>
      <c r="KG146" s="12">
        <f t="shared" si="245"/>
        <v>0</v>
      </c>
      <c r="KH146" s="12">
        <f t="shared" si="246"/>
        <v>0</v>
      </c>
      <c r="KI146" s="12">
        <f t="shared" si="247"/>
        <v>0</v>
      </c>
      <c r="KJ146" s="12">
        <f t="shared" si="248"/>
        <v>0</v>
      </c>
      <c r="KK146" s="12">
        <f t="shared" si="249"/>
        <v>0</v>
      </c>
      <c r="KL146" s="12">
        <f t="shared" si="250"/>
        <v>0</v>
      </c>
      <c r="KM146" s="12">
        <f t="shared" si="251"/>
        <v>0</v>
      </c>
      <c r="KN146" s="12">
        <f t="shared" si="252"/>
        <v>0</v>
      </c>
      <c r="KO146" s="12">
        <f t="shared" si="253"/>
        <v>0</v>
      </c>
      <c r="KP146" s="12">
        <f t="shared" si="254"/>
        <v>0</v>
      </c>
      <c r="KQ146" s="12">
        <f t="shared" si="255"/>
        <v>0</v>
      </c>
      <c r="KR146" s="12">
        <f t="shared" si="256"/>
        <v>0</v>
      </c>
      <c r="KS146" s="12">
        <f t="shared" si="257"/>
        <v>0</v>
      </c>
      <c r="KT146" s="12">
        <f t="shared" si="258"/>
        <v>0</v>
      </c>
      <c r="KU146" s="12">
        <f t="shared" si="259"/>
        <v>0</v>
      </c>
      <c r="KV146" s="12">
        <f t="shared" si="260"/>
        <v>0</v>
      </c>
      <c r="KW146" s="12">
        <f t="shared" si="261"/>
        <v>0</v>
      </c>
      <c r="KX146" s="12">
        <f t="shared" si="262"/>
        <v>0</v>
      </c>
      <c r="KY146" s="12">
        <f t="shared" si="263"/>
        <v>0</v>
      </c>
      <c r="KZ146" s="12">
        <f t="shared" si="264"/>
        <v>0</v>
      </c>
      <c r="LA146" s="12">
        <f t="shared" si="265"/>
        <v>0</v>
      </c>
      <c r="LB146" s="12">
        <f t="shared" si="266"/>
        <v>0</v>
      </c>
      <c r="LC146" s="12">
        <f t="shared" si="267"/>
        <v>0</v>
      </c>
      <c r="LD146" s="12">
        <f t="shared" si="268"/>
        <v>0</v>
      </c>
      <c r="LE146" s="12">
        <f t="shared" si="269"/>
        <v>0</v>
      </c>
      <c r="LF146" s="12">
        <f t="shared" si="270"/>
        <v>0</v>
      </c>
      <c r="LG146" s="12">
        <f t="shared" si="271"/>
        <v>0</v>
      </c>
      <c r="LH146" s="12">
        <f t="shared" si="272"/>
        <v>0</v>
      </c>
      <c r="LI146" s="12">
        <f t="shared" si="273"/>
        <v>0</v>
      </c>
      <c r="LJ146" s="12">
        <f t="shared" si="274"/>
        <v>0</v>
      </c>
      <c r="LK146" s="12">
        <f t="shared" si="275"/>
        <v>0</v>
      </c>
      <c r="LL146" s="12">
        <f t="shared" si="276"/>
        <v>0</v>
      </c>
      <c r="LM146" s="12">
        <f t="shared" si="277"/>
        <v>0</v>
      </c>
      <c r="LN146" s="12">
        <f t="shared" si="278"/>
        <v>0</v>
      </c>
      <c r="LO146" s="12">
        <f t="shared" si="279"/>
        <v>0</v>
      </c>
      <c r="LP146" s="12">
        <f t="shared" si="280"/>
        <v>0</v>
      </c>
      <c r="LQ146" s="12">
        <f t="shared" si="281"/>
        <v>0</v>
      </c>
      <c r="LR146" s="12">
        <f t="shared" si="282"/>
        <v>0</v>
      </c>
      <c r="LS146" s="12">
        <f t="shared" si="283"/>
        <v>0</v>
      </c>
      <c r="LT146" s="13">
        <f t="shared" si="284"/>
        <v>0</v>
      </c>
      <c r="LU146" s="13">
        <f t="shared" si="285"/>
        <v>0</v>
      </c>
      <c r="LV146" s="13">
        <f t="shared" si="286"/>
        <v>0</v>
      </c>
      <c r="LW146" s="13">
        <f t="shared" si="287"/>
        <v>0</v>
      </c>
      <c r="LX146" s="13">
        <f t="shared" si="288"/>
        <v>0</v>
      </c>
      <c r="LY146" s="13">
        <f t="shared" si="289"/>
        <v>0</v>
      </c>
      <c r="LZ146" s="13">
        <f t="shared" si="290"/>
        <v>0</v>
      </c>
      <c r="MA146" s="13">
        <f t="shared" si="291"/>
        <v>0</v>
      </c>
      <c r="MB146" s="13">
        <f t="shared" si="292"/>
        <v>0</v>
      </c>
      <c r="MC146" s="13">
        <f t="shared" si="293"/>
        <v>0</v>
      </c>
      <c r="MD146" s="13">
        <f t="shared" si="294"/>
        <v>0</v>
      </c>
      <c r="ME146" s="13">
        <f t="shared" si="295"/>
        <v>0</v>
      </c>
      <c r="MF146" s="13">
        <f t="shared" si="296"/>
        <v>0</v>
      </c>
      <c r="MG146" s="13">
        <f t="shared" si="297"/>
        <v>0</v>
      </c>
      <c r="MH146" s="13">
        <f t="shared" si="298"/>
        <v>0</v>
      </c>
      <c r="MI146" s="13">
        <f t="shared" si="299"/>
        <v>0</v>
      </c>
      <c r="MJ146" s="13">
        <f t="shared" si="300"/>
        <v>0</v>
      </c>
      <c r="MK146" s="13">
        <f t="shared" si="301"/>
        <v>0</v>
      </c>
      <c r="ML146" s="14">
        <f t="shared" si="302"/>
        <v>0</v>
      </c>
      <c r="MM146" s="14">
        <f t="shared" si="303"/>
        <v>1</v>
      </c>
      <c r="MN146" s="14">
        <f t="shared" si="304"/>
        <v>0</v>
      </c>
      <c r="MO146" s="14">
        <f t="shared" si="305"/>
        <v>1</v>
      </c>
      <c r="MP146" s="14">
        <f t="shared" si="306"/>
        <v>0</v>
      </c>
      <c r="MQ146" s="14">
        <f t="shared" si="307"/>
        <v>0</v>
      </c>
      <c r="MR146" s="14">
        <f t="shared" si="308"/>
        <v>0</v>
      </c>
      <c r="MS146" s="14">
        <f t="shared" si="309"/>
        <v>0</v>
      </c>
      <c r="MT146" s="14">
        <f t="shared" si="310"/>
        <v>0</v>
      </c>
      <c r="MU146" s="14">
        <f t="shared" si="311"/>
        <v>0</v>
      </c>
      <c r="MV146" s="14">
        <f t="shared" si="312"/>
        <v>0</v>
      </c>
      <c r="MW146" s="14">
        <f t="shared" si="313"/>
        <v>1</v>
      </c>
      <c r="MX146" s="14">
        <f t="shared" si="314"/>
        <v>0</v>
      </c>
      <c r="MY146" s="14">
        <f t="shared" si="315"/>
        <v>0</v>
      </c>
      <c r="MZ146" s="14">
        <f t="shared" si="316"/>
        <v>0</v>
      </c>
      <c r="NA146" s="14">
        <f t="shared" si="317"/>
        <v>0</v>
      </c>
      <c r="NB146" s="14">
        <f t="shared" si="318"/>
        <v>0</v>
      </c>
    </row>
    <row r="147" ht="15.75" customHeight="1">
      <c r="A147" s="2">
        <v>363.0</v>
      </c>
      <c r="B147" s="2" t="s">
        <v>2849</v>
      </c>
      <c r="C147" s="2" t="s">
        <v>2850</v>
      </c>
      <c r="D147" s="2" t="s">
        <v>2851</v>
      </c>
      <c r="E147" s="2">
        <v>2020.0</v>
      </c>
      <c r="F147" s="2" t="s">
        <v>2852</v>
      </c>
      <c r="G147" s="2" t="s">
        <v>694</v>
      </c>
      <c r="J147" s="2" t="s">
        <v>2853</v>
      </c>
      <c r="K147" s="2" t="s">
        <v>2110</v>
      </c>
      <c r="M147" s="2">
        <v>3.0</v>
      </c>
      <c r="N147" s="2" t="s">
        <v>2854</v>
      </c>
      <c r="O147" s="2" t="s">
        <v>2855</v>
      </c>
      <c r="P147" s="2" t="s">
        <v>2856</v>
      </c>
      <c r="Q147" s="2" t="s">
        <v>2857</v>
      </c>
      <c r="R147" s="2" t="s">
        <v>2858</v>
      </c>
      <c r="S147" s="2" t="s">
        <v>2859</v>
      </c>
      <c r="Y147" s="2" t="s">
        <v>2860</v>
      </c>
      <c r="AB147" s="2" t="s">
        <v>1099</v>
      </c>
      <c r="AG147" s="2" t="s">
        <v>2861</v>
      </c>
      <c r="AK147" s="2" t="s">
        <v>2862</v>
      </c>
      <c r="AL147" s="2" t="s">
        <v>384</v>
      </c>
      <c r="AN147" s="2" t="s">
        <v>386</v>
      </c>
      <c r="AO147" s="2" t="s">
        <v>2863</v>
      </c>
      <c r="AP147" s="2" t="s">
        <v>386</v>
      </c>
      <c r="AQ147" s="2">
        <v>714.0</v>
      </c>
      <c r="AR147" s="2" t="s">
        <v>2864</v>
      </c>
      <c r="AS147" s="2" t="b">
        <v>1</v>
      </c>
      <c r="AT147" s="3">
        <v>0.0</v>
      </c>
      <c r="AU147" s="4"/>
      <c r="AV147" s="4"/>
      <c r="AW147" s="5">
        <f t="shared" si="432"/>
        <v>0</v>
      </c>
      <c r="AX147" s="5">
        <f t="shared" si="4"/>
        <v>0</v>
      </c>
      <c r="AY147" s="5">
        <f t="shared" si="5"/>
        <v>0</v>
      </c>
      <c r="AZ147" s="5">
        <f t="shared" si="6"/>
        <v>0</v>
      </c>
      <c r="BA147" s="5">
        <f t="shared" si="7"/>
        <v>0</v>
      </c>
      <c r="BB147" s="5">
        <f t="shared" si="8"/>
        <v>1</v>
      </c>
      <c r="BC147" s="5">
        <f t="shared" si="9"/>
        <v>0</v>
      </c>
      <c r="BD147" s="5">
        <f t="shared" si="10"/>
        <v>0</v>
      </c>
      <c r="BE147" s="5">
        <f t="shared" si="11"/>
        <v>0</v>
      </c>
      <c r="BF147" s="5">
        <f t="shared" si="12"/>
        <v>0</v>
      </c>
      <c r="BG147" s="5">
        <f t="shared" si="13"/>
        <v>0</v>
      </c>
      <c r="BH147" s="5">
        <f t="shared" si="14"/>
        <v>0</v>
      </c>
      <c r="BI147" s="5">
        <f t="shared" si="15"/>
        <v>0</v>
      </c>
      <c r="BJ147" s="5">
        <f t="shared" si="16"/>
        <v>0</v>
      </c>
      <c r="BK147" s="5">
        <f t="shared" si="17"/>
        <v>0</v>
      </c>
      <c r="BL147" s="5">
        <f t="shared" si="18"/>
        <v>0</v>
      </c>
      <c r="BM147" s="5">
        <f t="shared" si="19"/>
        <v>0</v>
      </c>
      <c r="BN147" s="5">
        <f t="shared" si="20"/>
        <v>0</v>
      </c>
      <c r="BO147" s="5">
        <f t="shared" si="21"/>
        <v>0</v>
      </c>
      <c r="BP147" s="5">
        <f t="shared" si="22"/>
        <v>0</v>
      </c>
      <c r="BQ147" s="5">
        <f t="shared" si="23"/>
        <v>0</v>
      </c>
      <c r="BR147" s="5">
        <f t="shared" si="24"/>
        <v>0</v>
      </c>
      <c r="BS147" s="5">
        <f t="shared" si="25"/>
        <v>0</v>
      </c>
      <c r="BT147" s="5">
        <f t="shared" si="26"/>
        <v>0</v>
      </c>
      <c r="BU147" s="5">
        <f t="shared" si="27"/>
        <v>0</v>
      </c>
      <c r="BV147" s="5">
        <f t="shared" ref="BV147:BW147" si="645">IF(OR(ISNUMBER(SEARCH("grit",$D147)),ISNUMBER(SEARCH("grit",$T147)),ISNUMBER(SEARCH("grit",$R147)),ISNUMBER(SEARCH("grit",$S147)),
ISNUMBER(SEARCH("determination",$D147)),ISNUMBER(SEARCH("determination",$T147)),ISNUMBER(SEARCH("determination",$R147)),ISNUMBER(SEARCH("determination",$S147)),
ISNUMBER(SEARCH("tenacity",$D147)),ISNUMBER(SEARCH("tenacity",$T147)),ISNUMBER(SEARCH("tenacity",$R147)),ISNUMBER(SEARCH("tenacity",$S147)),
ISNUMBER(SEARCH("endurance",$D147)),ISNUMBER(SEARCH("endurance",$T147)),ISNUMBER(SEARCH("endurance",$R147)),ISNUMBER(SEARCH("endurance",$S147)),
ISNUMBER(SEARCH("fortitude",$D147)),ISNUMBER(SEARCH("fortitude",$T147)),ISNUMBER(SEARCH("fortitude",$R147)),ISNUMBER(SEARCH("fortitude",$S147)),
ISNUMBER(SEARCH("resolve",$D147)),ISNUMBER(SEARCH("resolve",$T147)),ISNUMBER(SEARCH("resolve",$R147)),ISNUMBER(SEARCH("resolve",$S147)),
ISNUMBER(SEARCH("stamina",$D147)),ISNUMBER(SEARCH("stamina",$T147)),ISNUMBER(SEARCH("stamina",$R147)),ISNUMBER(SEARCH("stamina",$S147)),
ISNUMBER(SEARCH("guts",$D147)),ISNUMBER(SEARCH("guts",$T147)),ISNUMBER(SEARCH("guts",$R147)),ISNUMBER(SEARCH("guts",$S147)),
ISNUMBER(SEARCH("spunk",$D147)),ISNUMBER(SEARCH("spunk",$T147)),ISNUMBER(SEARCH("spunk",$R147)),ISNUMBER(SEARCH("spunk",$S147))), 1, 0)</f>
        <v>0</v>
      </c>
      <c r="BW147" s="5">
        <f t="shared" si="645"/>
        <v>0</v>
      </c>
      <c r="BX147" s="5">
        <f t="shared" si="29"/>
        <v>0</v>
      </c>
      <c r="BY147" s="5">
        <f t="shared" si="30"/>
        <v>0</v>
      </c>
      <c r="BZ147" s="5">
        <f t="shared" si="31"/>
        <v>0</v>
      </c>
      <c r="CA147" s="5">
        <f t="shared" si="32"/>
        <v>0</v>
      </c>
      <c r="CB147" s="5">
        <f t="shared" si="33"/>
        <v>0</v>
      </c>
      <c r="CC147" s="5">
        <f t="shared" si="34"/>
        <v>0</v>
      </c>
      <c r="CD147" s="5">
        <f t="shared" si="35"/>
        <v>0</v>
      </c>
      <c r="CE147" s="5">
        <f t="shared" si="36"/>
        <v>0</v>
      </c>
      <c r="CF147" s="5">
        <f t="shared" si="37"/>
        <v>0</v>
      </c>
      <c r="CG147" s="5">
        <f t="shared" si="38"/>
        <v>0</v>
      </c>
      <c r="CH147" s="5">
        <f t="shared" si="39"/>
        <v>0</v>
      </c>
      <c r="CI147" s="5">
        <f t="shared" si="40"/>
        <v>0</v>
      </c>
      <c r="CJ147" s="5">
        <f t="shared" si="41"/>
        <v>0</v>
      </c>
      <c r="CK147" s="5">
        <f t="shared" si="42"/>
        <v>0</v>
      </c>
      <c r="CL147" s="5">
        <f t="shared" si="43"/>
        <v>0</v>
      </c>
      <c r="CM147" s="5">
        <f t="shared" si="44"/>
        <v>0</v>
      </c>
      <c r="CN147" s="5">
        <f t="shared" si="45"/>
        <v>0</v>
      </c>
      <c r="CO147" s="5">
        <f t="shared" si="46"/>
        <v>0</v>
      </c>
      <c r="CP147" s="6">
        <f t="shared" si="47"/>
        <v>0</v>
      </c>
      <c r="CQ147" s="6">
        <f t="shared" si="48"/>
        <v>0</v>
      </c>
      <c r="CR147" s="6">
        <f t="shared" si="49"/>
        <v>0</v>
      </c>
      <c r="CS147" s="6">
        <f t="shared" si="50"/>
        <v>0</v>
      </c>
      <c r="CT147" s="6">
        <f t="shared" si="584"/>
        <v>0</v>
      </c>
      <c r="CU147" s="6">
        <f t="shared" si="52"/>
        <v>0</v>
      </c>
      <c r="CV147" s="6">
        <f t="shared" si="53"/>
        <v>0</v>
      </c>
      <c r="CW147" s="6">
        <f t="shared" si="54"/>
        <v>0</v>
      </c>
      <c r="CX147" s="6">
        <f t="shared" si="55"/>
        <v>0</v>
      </c>
      <c r="CY147" s="6">
        <f t="shared" si="56"/>
        <v>0</v>
      </c>
      <c r="CZ147" s="6">
        <f t="shared" si="57"/>
        <v>0</v>
      </c>
      <c r="DA147" s="6">
        <f t="shared" si="58"/>
        <v>1</v>
      </c>
      <c r="DB147" s="6">
        <f t="shared" si="59"/>
        <v>0</v>
      </c>
      <c r="DC147" s="6">
        <f t="shared" si="60"/>
        <v>0</v>
      </c>
      <c r="DD147" s="6">
        <f t="shared" si="61"/>
        <v>0</v>
      </c>
      <c r="DE147" s="6">
        <f t="shared" si="62"/>
        <v>0</v>
      </c>
      <c r="DF147" s="6">
        <f t="shared" si="63"/>
        <v>0</v>
      </c>
      <c r="DG147" s="6">
        <f t="shared" si="64"/>
        <v>0</v>
      </c>
      <c r="DH147" s="6">
        <f t="shared" si="630"/>
        <v>0</v>
      </c>
      <c r="DI147" s="6">
        <f t="shared" si="66"/>
        <v>0</v>
      </c>
      <c r="DJ147" s="6">
        <f t="shared" si="574"/>
        <v>0</v>
      </c>
      <c r="DK147" s="7">
        <f t="shared" si="68"/>
        <v>0</v>
      </c>
      <c r="DL147" s="7">
        <f t="shared" si="498"/>
        <v>0</v>
      </c>
      <c r="DM147" s="7">
        <f t="shared" si="70"/>
        <v>0</v>
      </c>
      <c r="DN147" s="7">
        <f t="shared" si="71"/>
        <v>0</v>
      </c>
      <c r="DO147" s="7">
        <f t="shared" si="72"/>
        <v>1</v>
      </c>
      <c r="DP147" s="8">
        <f t="shared" si="73"/>
        <v>0</v>
      </c>
      <c r="DQ147" s="8">
        <f t="shared" si="74"/>
        <v>0</v>
      </c>
      <c r="DR147" s="7">
        <f t="shared" si="75"/>
        <v>0</v>
      </c>
      <c r="DS147" s="7">
        <f t="shared" si="76"/>
        <v>0</v>
      </c>
      <c r="DT147" s="7">
        <f t="shared" si="77"/>
        <v>0</v>
      </c>
      <c r="DU147" s="9">
        <f t="shared" si="78"/>
        <v>0</v>
      </c>
      <c r="DV147" s="9">
        <f t="shared" si="79"/>
        <v>0</v>
      </c>
      <c r="DW147" s="9">
        <f t="shared" si="80"/>
        <v>0</v>
      </c>
      <c r="DX147" s="9">
        <f t="shared" si="81"/>
        <v>0</v>
      </c>
      <c r="DY147" s="9">
        <f t="shared" si="82"/>
        <v>0</v>
      </c>
      <c r="DZ147" s="9">
        <f t="shared" si="83"/>
        <v>0</v>
      </c>
      <c r="EA147" s="9">
        <f t="shared" si="84"/>
        <v>0</v>
      </c>
      <c r="EB147" s="9">
        <f t="shared" si="85"/>
        <v>0</v>
      </c>
      <c r="EC147" s="9">
        <f t="shared" si="86"/>
        <v>0</v>
      </c>
      <c r="ED147" s="9">
        <f t="shared" si="87"/>
        <v>0</v>
      </c>
      <c r="EE147" s="9">
        <f t="shared" si="88"/>
        <v>0</v>
      </c>
      <c r="EF147" s="9">
        <f t="shared" si="89"/>
        <v>0</v>
      </c>
      <c r="EG147" s="9">
        <f t="shared" si="90"/>
        <v>0</v>
      </c>
      <c r="EH147" s="9">
        <f t="shared" si="91"/>
        <v>0</v>
      </c>
      <c r="EI147" s="9">
        <f t="shared" si="92"/>
        <v>0</v>
      </c>
      <c r="EJ147" s="10">
        <f t="shared" si="93"/>
        <v>0</v>
      </c>
      <c r="EK147" s="10">
        <f t="shared" si="94"/>
        <v>0</v>
      </c>
      <c r="EL147" s="10">
        <f t="shared" ref="EL147:EM147" si="646">IF(OR(ISNUMBER(SEARCH("ai software toolkit", $D147)), ISNUMBER(SEARCH("ai software toolkit", $T147)), ISNUMBER(SEARCH("ai software toolkit", $R147)), ISNUMBER(SEARCH("ai software toolkit", $S147))), 1, 0)</f>
        <v>0</v>
      </c>
      <c r="EM147" s="10">
        <f t="shared" si="646"/>
        <v>0</v>
      </c>
      <c r="EN147" s="10">
        <f t="shared" si="96"/>
        <v>0</v>
      </c>
      <c r="EO147" s="10">
        <f t="shared" si="97"/>
        <v>0</v>
      </c>
      <c r="EP147" s="10">
        <f t="shared" si="98"/>
        <v>0</v>
      </c>
      <c r="EQ147" s="10">
        <f t="shared" si="99"/>
        <v>0</v>
      </c>
      <c r="ER147" s="10">
        <f t="shared" si="100"/>
        <v>0</v>
      </c>
      <c r="ES147" s="10">
        <f t="shared" si="101"/>
        <v>0</v>
      </c>
      <c r="ET147" s="10">
        <f t="shared" si="102"/>
        <v>0</v>
      </c>
      <c r="EU147" s="10">
        <f t="shared" si="103"/>
        <v>0</v>
      </c>
      <c r="EV147" s="10">
        <f t="shared" si="104"/>
        <v>0</v>
      </c>
      <c r="EW147" s="10">
        <f t="shared" si="105"/>
        <v>0</v>
      </c>
      <c r="EX147" s="10">
        <f t="shared" si="106"/>
        <v>0</v>
      </c>
      <c r="EY147" s="10">
        <f t="shared" si="107"/>
        <v>0</v>
      </c>
      <c r="EZ147" s="10">
        <f t="shared" si="108"/>
        <v>0</v>
      </c>
      <c r="FA147" s="10">
        <f t="shared" si="109"/>
        <v>0</v>
      </c>
      <c r="FB147" s="10">
        <f t="shared" si="110"/>
        <v>0</v>
      </c>
      <c r="FC147" s="10">
        <f t="shared" si="111"/>
        <v>0</v>
      </c>
      <c r="FD147" s="10">
        <f t="shared" si="112"/>
        <v>0</v>
      </c>
      <c r="FE147" s="10">
        <f t="shared" si="113"/>
        <v>0</v>
      </c>
      <c r="FF147" s="10">
        <f t="shared" si="114"/>
        <v>0</v>
      </c>
      <c r="FG147" s="10">
        <f t="shared" si="115"/>
        <v>0</v>
      </c>
      <c r="FH147" s="10">
        <f t="shared" si="116"/>
        <v>0</v>
      </c>
      <c r="FI147" s="10">
        <f t="shared" si="117"/>
        <v>0</v>
      </c>
      <c r="FJ147" s="10">
        <f t="shared" si="118"/>
        <v>0</v>
      </c>
      <c r="FK147" s="10">
        <f t="shared" si="119"/>
        <v>0</v>
      </c>
      <c r="FL147" s="10">
        <f t="shared" si="120"/>
        <v>0</v>
      </c>
      <c r="FM147" s="10">
        <f t="shared" si="121"/>
        <v>0</v>
      </c>
      <c r="FN147" s="10">
        <f t="shared" si="122"/>
        <v>0</v>
      </c>
      <c r="FO147" s="10">
        <f t="shared" si="123"/>
        <v>0</v>
      </c>
      <c r="FP147" s="10">
        <f t="shared" si="124"/>
        <v>0</v>
      </c>
      <c r="FQ147" s="10">
        <f t="shared" si="125"/>
        <v>0</v>
      </c>
      <c r="FR147" s="11">
        <f t="shared" si="636"/>
        <v>0</v>
      </c>
      <c r="FS147" s="11">
        <f t="shared" si="127"/>
        <v>0</v>
      </c>
      <c r="FT147" s="11">
        <f t="shared" si="128"/>
        <v>0</v>
      </c>
      <c r="FU147" s="11">
        <f t="shared" si="129"/>
        <v>0</v>
      </c>
      <c r="FV147" s="11">
        <f t="shared" si="130"/>
        <v>0</v>
      </c>
      <c r="FW147" s="11">
        <f t="shared" si="131"/>
        <v>0</v>
      </c>
      <c r="FX147" s="11">
        <f t="shared" si="132"/>
        <v>0</v>
      </c>
      <c r="FY147" s="11">
        <f t="shared" si="133"/>
        <v>0</v>
      </c>
      <c r="FZ147" s="11">
        <f t="shared" si="134"/>
        <v>0</v>
      </c>
      <c r="GA147" s="11">
        <f t="shared" si="135"/>
        <v>0</v>
      </c>
      <c r="GB147" s="11">
        <f t="shared" si="136"/>
        <v>0</v>
      </c>
      <c r="GC147" s="11">
        <f t="shared" si="137"/>
        <v>0</v>
      </c>
      <c r="GD147" s="11">
        <f t="shared" si="138"/>
        <v>0</v>
      </c>
      <c r="GE147" s="11">
        <f t="shared" si="139"/>
        <v>0</v>
      </c>
      <c r="GF147" s="11">
        <f t="shared" si="140"/>
        <v>0</v>
      </c>
      <c r="GG147" s="11">
        <f t="shared" si="141"/>
        <v>0</v>
      </c>
      <c r="GH147" s="11">
        <f t="shared" si="142"/>
        <v>0</v>
      </c>
      <c r="GI147" s="11">
        <f t="shared" si="143"/>
        <v>0</v>
      </c>
      <c r="GJ147" s="11">
        <f t="shared" si="144"/>
        <v>0</v>
      </c>
      <c r="GK147" s="11">
        <f t="shared" si="145"/>
        <v>0</v>
      </c>
      <c r="GL147" s="11">
        <f t="shared" si="146"/>
        <v>0</v>
      </c>
      <c r="GM147" s="11">
        <f t="shared" si="147"/>
        <v>0</v>
      </c>
      <c r="GN147" s="11">
        <f t="shared" si="148"/>
        <v>0</v>
      </c>
      <c r="GO147" s="11">
        <f t="shared" si="149"/>
        <v>0</v>
      </c>
      <c r="GP147" s="11">
        <f t="shared" si="150"/>
        <v>0</v>
      </c>
      <c r="GQ147" s="11">
        <f t="shared" si="151"/>
        <v>0</v>
      </c>
      <c r="GR147" s="11">
        <f t="shared" si="152"/>
        <v>0</v>
      </c>
      <c r="GS147" s="11">
        <f t="shared" si="153"/>
        <v>0</v>
      </c>
      <c r="GT147" s="11">
        <f t="shared" si="154"/>
        <v>0</v>
      </c>
      <c r="GU147" s="12">
        <f t="shared" si="155"/>
        <v>0</v>
      </c>
      <c r="GV147" s="12">
        <f t="shared" si="156"/>
        <v>0</v>
      </c>
      <c r="GW147" s="12">
        <f t="shared" si="157"/>
        <v>0</v>
      </c>
      <c r="GX147" s="12">
        <f t="shared" si="158"/>
        <v>0</v>
      </c>
      <c r="GY147" s="12">
        <f t="shared" si="159"/>
        <v>0</v>
      </c>
      <c r="GZ147" s="12">
        <f t="shared" si="160"/>
        <v>0</v>
      </c>
      <c r="HA147" s="12">
        <f t="shared" si="161"/>
        <v>0</v>
      </c>
      <c r="HB147" s="12">
        <f t="shared" si="162"/>
        <v>0</v>
      </c>
      <c r="HC147" s="12">
        <f t="shared" si="163"/>
        <v>0</v>
      </c>
      <c r="HD147" s="12">
        <f t="shared" si="164"/>
        <v>0</v>
      </c>
      <c r="HE147" s="12">
        <f t="shared" si="165"/>
        <v>0</v>
      </c>
      <c r="HF147" s="12">
        <f t="shared" si="166"/>
        <v>0</v>
      </c>
      <c r="HG147" s="12">
        <f t="shared" si="167"/>
        <v>0</v>
      </c>
      <c r="HH147" s="12">
        <f t="shared" si="168"/>
        <v>0</v>
      </c>
      <c r="HI147" s="12">
        <f t="shared" si="169"/>
        <v>0</v>
      </c>
      <c r="HJ147" s="12">
        <f t="shared" si="170"/>
        <v>0</v>
      </c>
      <c r="HK147" s="12">
        <f t="shared" si="171"/>
        <v>0</v>
      </c>
      <c r="HL147" s="12">
        <f t="shared" si="172"/>
        <v>0</v>
      </c>
      <c r="HM147" s="12">
        <f t="shared" si="173"/>
        <v>0</v>
      </c>
      <c r="HN147" s="12">
        <f t="shared" si="174"/>
        <v>0</v>
      </c>
      <c r="HO147" s="12">
        <f t="shared" si="175"/>
        <v>0</v>
      </c>
      <c r="HP147" s="12">
        <f t="shared" si="176"/>
        <v>0</v>
      </c>
      <c r="HQ147" s="12">
        <f t="shared" si="177"/>
        <v>0</v>
      </c>
      <c r="HR147" s="12">
        <f t="shared" si="178"/>
        <v>0</v>
      </c>
      <c r="HS147" s="12">
        <f t="shared" si="179"/>
        <v>0</v>
      </c>
      <c r="HT147" s="12">
        <f t="shared" si="180"/>
        <v>0</v>
      </c>
      <c r="HU147" s="12">
        <f t="shared" si="181"/>
        <v>0</v>
      </c>
      <c r="HV147" s="12">
        <f t="shared" si="182"/>
        <v>0</v>
      </c>
      <c r="HW147" s="12">
        <f t="shared" si="183"/>
        <v>0</v>
      </c>
      <c r="HX147" s="12">
        <f t="shared" si="184"/>
        <v>0</v>
      </c>
      <c r="HY147" s="12">
        <f t="shared" si="185"/>
        <v>0</v>
      </c>
      <c r="HZ147" s="12">
        <f t="shared" si="186"/>
        <v>0</v>
      </c>
      <c r="IA147" s="12">
        <f t="shared" si="187"/>
        <v>0</v>
      </c>
      <c r="IB147" s="12">
        <f t="shared" si="188"/>
        <v>0</v>
      </c>
      <c r="IC147" s="12">
        <f t="shared" si="189"/>
        <v>0</v>
      </c>
      <c r="ID147" s="12">
        <f t="shared" si="190"/>
        <v>0</v>
      </c>
      <c r="IE147" s="12">
        <f t="shared" si="191"/>
        <v>0</v>
      </c>
      <c r="IF147" s="12">
        <f t="shared" si="192"/>
        <v>0</v>
      </c>
      <c r="IG147" s="12">
        <f t="shared" si="193"/>
        <v>0</v>
      </c>
      <c r="IH147" s="12">
        <f t="shared" si="194"/>
        <v>0</v>
      </c>
      <c r="II147" s="12">
        <f t="shared" si="195"/>
        <v>0</v>
      </c>
      <c r="IJ147" s="12">
        <f t="shared" si="196"/>
        <v>0</v>
      </c>
      <c r="IK147" s="12">
        <f t="shared" si="197"/>
        <v>0</v>
      </c>
      <c r="IL147" s="12">
        <f t="shared" si="198"/>
        <v>0</v>
      </c>
      <c r="IM147" s="12">
        <f t="shared" si="199"/>
        <v>0</v>
      </c>
      <c r="IN147" s="12">
        <f t="shared" si="200"/>
        <v>0</v>
      </c>
      <c r="IO147" s="12">
        <f t="shared" si="201"/>
        <v>0</v>
      </c>
      <c r="IP147" s="12">
        <f t="shared" si="202"/>
        <v>0</v>
      </c>
      <c r="IQ147" s="12">
        <f t="shared" si="203"/>
        <v>0</v>
      </c>
      <c r="IR147" s="12">
        <f t="shared" si="204"/>
        <v>0</v>
      </c>
      <c r="IS147" s="12">
        <f t="shared" si="205"/>
        <v>0</v>
      </c>
      <c r="IT147" s="12">
        <f t="shared" si="206"/>
        <v>0</v>
      </c>
      <c r="IU147" s="12">
        <f t="shared" si="207"/>
        <v>0</v>
      </c>
      <c r="IV147" s="12">
        <f t="shared" si="208"/>
        <v>0</v>
      </c>
      <c r="IW147" s="12">
        <f t="shared" si="209"/>
        <v>0</v>
      </c>
      <c r="IX147" s="12">
        <f t="shared" si="210"/>
        <v>0</v>
      </c>
      <c r="IY147" s="12">
        <f t="shared" si="211"/>
        <v>0</v>
      </c>
      <c r="IZ147" s="12">
        <f t="shared" si="212"/>
        <v>0</v>
      </c>
      <c r="JA147" s="13">
        <f t="shared" si="213"/>
        <v>0</v>
      </c>
      <c r="JB147" s="13">
        <f t="shared" si="214"/>
        <v>0</v>
      </c>
      <c r="JC147" s="13">
        <f t="shared" si="215"/>
        <v>0</v>
      </c>
      <c r="JD147" s="13">
        <f t="shared" si="216"/>
        <v>0</v>
      </c>
      <c r="JE147" s="13">
        <f t="shared" si="217"/>
        <v>0</v>
      </c>
      <c r="JF147" s="13">
        <f t="shared" si="218"/>
        <v>0</v>
      </c>
      <c r="JG147" s="13">
        <f t="shared" si="219"/>
        <v>0</v>
      </c>
      <c r="JH147" s="13">
        <f t="shared" si="220"/>
        <v>0</v>
      </c>
      <c r="JI147" s="13">
        <f t="shared" si="221"/>
        <v>0</v>
      </c>
      <c r="JJ147" s="13">
        <f t="shared" si="222"/>
        <v>0</v>
      </c>
      <c r="JK147" s="13">
        <f t="shared" si="223"/>
        <v>0</v>
      </c>
      <c r="JL147" s="13">
        <f t="shared" si="224"/>
        <v>0</v>
      </c>
      <c r="JM147" s="13">
        <f t="shared" si="225"/>
        <v>0</v>
      </c>
      <c r="JN147" s="13">
        <f t="shared" si="226"/>
        <v>0</v>
      </c>
      <c r="JO147" s="13">
        <f t="shared" si="227"/>
        <v>0</v>
      </c>
      <c r="JP147" s="13">
        <f t="shared" si="228"/>
        <v>0</v>
      </c>
      <c r="JQ147" s="13">
        <f t="shared" si="229"/>
        <v>0</v>
      </c>
      <c r="JR147" s="13">
        <f t="shared" si="230"/>
        <v>0</v>
      </c>
      <c r="JS147" s="13">
        <f t="shared" si="231"/>
        <v>0</v>
      </c>
      <c r="JT147" s="13">
        <f t="shared" si="232"/>
        <v>0</v>
      </c>
      <c r="JU147" s="13">
        <f t="shared" si="233"/>
        <v>0</v>
      </c>
      <c r="JV147" s="12">
        <f t="shared" si="234"/>
        <v>0</v>
      </c>
      <c r="JW147" s="12">
        <f t="shared" si="235"/>
        <v>0</v>
      </c>
      <c r="JX147" s="12">
        <f t="shared" si="236"/>
        <v>0</v>
      </c>
      <c r="JY147" s="12">
        <f t="shared" si="237"/>
        <v>0</v>
      </c>
      <c r="JZ147" s="12">
        <f t="shared" si="238"/>
        <v>0</v>
      </c>
      <c r="KA147" s="12">
        <f t="shared" si="239"/>
        <v>0</v>
      </c>
      <c r="KB147" s="12">
        <f t="shared" si="240"/>
        <v>0</v>
      </c>
      <c r="KC147" s="12">
        <f t="shared" si="241"/>
        <v>0</v>
      </c>
      <c r="KD147" s="12">
        <f t="shared" si="242"/>
        <v>0</v>
      </c>
      <c r="KE147" s="12">
        <f t="shared" si="243"/>
        <v>0</v>
      </c>
      <c r="KF147" s="12">
        <f t="shared" si="244"/>
        <v>0</v>
      </c>
      <c r="KG147" s="12">
        <f t="shared" si="245"/>
        <v>0</v>
      </c>
      <c r="KH147" s="12">
        <f t="shared" si="246"/>
        <v>0</v>
      </c>
      <c r="KI147" s="12">
        <f t="shared" si="247"/>
        <v>0</v>
      </c>
      <c r="KJ147" s="12">
        <f t="shared" si="248"/>
        <v>0</v>
      </c>
      <c r="KK147" s="12">
        <f t="shared" si="249"/>
        <v>0</v>
      </c>
      <c r="KL147" s="12">
        <f t="shared" si="250"/>
        <v>0</v>
      </c>
      <c r="KM147" s="12">
        <f t="shared" si="251"/>
        <v>0</v>
      </c>
      <c r="KN147" s="12">
        <f t="shared" si="252"/>
        <v>0</v>
      </c>
      <c r="KO147" s="12">
        <f t="shared" si="253"/>
        <v>0</v>
      </c>
      <c r="KP147" s="12">
        <f t="shared" si="254"/>
        <v>0</v>
      </c>
      <c r="KQ147" s="12">
        <f t="shared" si="255"/>
        <v>0</v>
      </c>
      <c r="KR147" s="12">
        <f t="shared" si="256"/>
        <v>0</v>
      </c>
      <c r="KS147" s="12">
        <f t="shared" si="257"/>
        <v>0</v>
      </c>
      <c r="KT147" s="12">
        <f t="shared" si="258"/>
        <v>0</v>
      </c>
      <c r="KU147" s="12">
        <f t="shared" si="259"/>
        <v>0</v>
      </c>
      <c r="KV147" s="12">
        <f t="shared" si="260"/>
        <v>0</v>
      </c>
      <c r="KW147" s="12">
        <f t="shared" si="261"/>
        <v>0</v>
      </c>
      <c r="KX147" s="12">
        <f t="shared" si="262"/>
        <v>0</v>
      </c>
      <c r="KY147" s="12">
        <f t="shared" si="263"/>
        <v>0</v>
      </c>
      <c r="KZ147" s="12">
        <f t="shared" si="264"/>
        <v>0</v>
      </c>
      <c r="LA147" s="12">
        <f t="shared" si="265"/>
        <v>0</v>
      </c>
      <c r="LB147" s="12">
        <f t="shared" si="266"/>
        <v>0</v>
      </c>
      <c r="LC147" s="12">
        <f t="shared" si="267"/>
        <v>0</v>
      </c>
      <c r="LD147" s="12">
        <f t="shared" si="268"/>
        <v>0</v>
      </c>
      <c r="LE147" s="12">
        <f t="shared" si="269"/>
        <v>0</v>
      </c>
      <c r="LF147" s="12">
        <f t="shared" si="270"/>
        <v>0</v>
      </c>
      <c r="LG147" s="12">
        <f t="shared" si="271"/>
        <v>0</v>
      </c>
      <c r="LH147" s="12">
        <f t="shared" si="272"/>
        <v>0</v>
      </c>
      <c r="LI147" s="12">
        <f t="shared" si="273"/>
        <v>0</v>
      </c>
      <c r="LJ147" s="12">
        <f t="shared" si="274"/>
        <v>0</v>
      </c>
      <c r="LK147" s="12">
        <f t="shared" si="275"/>
        <v>0</v>
      </c>
      <c r="LL147" s="12">
        <f t="shared" si="276"/>
        <v>0</v>
      </c>
      <c r="LM147" s="12">
        <f t="shared" si="277"/>
        <v>0</v>
      </c>
      <c r="LN147" s="12">
        <f t="shared" si="278"/>
        <v>0</v>
      </c>
      <c r="LO147" s="12">
        <f t="shared" si="279"/>
        <v>0</v>
      </c>
      <c r="LP147" s="12">
        <f t="shared" si="280"/>
        <v>0</v>
      </c>
      <c r="LQ147" s="12">
        <f t="shared" si="281"/>
        <v>0</v>
      </c>
      <c r="LR147" s="12">
        <f t="shared" si="282"/>
        <v>0</v>
      </c>
      <c r="LS147" s="12">
        <f t="shared" si="283"/>
        <v>0</v>
      </c>
      <c r="LT147" s="13">
        <f t="shared" si="284"/>
        <v>0</v>
      </c>
      <c r="LU147" s="13">
        <f t="shared" si="285"/>
        <v>0</v>
      </c>
      <c r="LV147" s="13">
        <f t="shared" si="286"/>
        <v>0</v>
      </c>
      <c r="LW147" s="13">
        <f t="shared" si="287"/>
        <v>0</v>
      </c>
      <c r="LX147" s="13">
        <f t="shared" si="288"/>
        <v>0</v>
      </c>
      <c r="LY147" s="13">
        <f t="shared" si="289"/>
        <v>0</v>
      </c>
      <c r="LZ147" s="13">
        <f t="shared" si="290"/>
        <v>0</v>
      </c>
      <c r="MA147" s="13">
        <f t="shared" si="291"/>
        <v>0</v>
      </c>
      <c r="MB147" s="13">
        <f t="shared" si="292"/>
        <v>0</v>
      </c>
      <c r="MC147" s="13">
        <f t="shared" si="293"/>
        <v>0</v>
      </c>
      <c r="MD147" s="13">
        <f t="shared" si="294"/>
        <v>0</v>
      </c>
      <c r="ME147" s="13">
        <f t="shared" si="295"/>
        <v>0</v>
      </c>
      <c r="MF147" s="13">
        <f t="shared" si="296"/>
        <v>0</v>
      </c>
      <c r="MG147" s="13">
        <f t="shared" si="297"/>
        <v>0</v>
      </c>
      <c r="MH147" s="13">
        <f t="shared" si="298"/>
        <v>0</v>
      </c>
      <c r="MI147" s="13">
        <f t="shared" si="299"/>
        <v>0</v>
      </c>
      <c r="MJ147" s="13">
        <f t="shared" si="300"/>
        <v>0</v>
      </c>
      <c r="MK147" s="13">
        <f t="shared" si="301"/>
        <v>0</v>
      </c>
      <c r="ML147" s="14">
        <f t="shared" si="302"/>
        <v>0</v>
      </c>
      <c r="MM147" s="14">
        <f t="shared" si="303"/>
        <v>0</v>
      </c>
      <c r="MN147" s="14">
        <f t="shared" si="304"/>
        <v>0</v>
      </c>
      <c r="MO147" s="14">
        <f t="shared" si="305"/>
        <v>0</v>
      </c>
      <c r="MP147" s="14">
        <f t="shared" si="306"/>
        <v>0</v>
      </c>
      <c r="MQ147" s="14">
        <f t="shared" si="307"/>
        <v>0</v>
      </c>
      <c r="MR147" s="14">
        <f t="shared" si="308"/>
        <v>0</v>
      </c>
      <c r="MS147" s="14">
        <f t="shared" si="309"/>
        <v>0</v>
      </c>
      <c r="MT147" s="14">
        <f t="shared" si="310"/>
        <v>0</v>
      </c>
      <c r="MU147" s="14">
        <f t="shared" si="311"/>
        <v>0</v>
      </c>
      <c r="MV147" s="14">
        <f t="shared" si="312"/>
        <v>0</v>
      </c>
      <c r="MW147" s="14">
        <f t="shared" si="313"/>
        <v>0</v>
      </c>
      <c r="MX147" s="14">
        <f t="shared" si="314"/>
        <v>0</v>
      </c>
      <c r="MY147" s="14">
        <f t="shared" si="315"/>
        <v>0</v>
      </c>
      <c r="MZ147" s="14">
        <f t="shared" si="316"/>
        <v>0</v>
      </c>
      <c r="NA147" s="14">
        <f t="shared" si="317"/>
        <v>0</v>
      </c>
      <c r="NB147" s="14">
        <f t="shared" si="318"/>
        <v>0</v>
      </c>
    </row>
    <row r="148" ht="15.75" customHeight="1">
      <c r="A148" s="16">
        <v>7.0</v>
      </c>
      <c r="B148" s="2" t="s">
        <v>2865</v>
      </c>
      <c r="C148" s="2" t="s">
        <v>2866</v>
      </c>
      <c r="D148" s="2" t="s">
        <v>2867</v>
      </c>
      <c r="E148" s="2">
        <v>2021.0</v>
      </c>
      <c r="F148" s="2" t="s">
        <v>2868</v>
      </c>
      <c r="G148" s="2" t="s">
        <v>471</v>
      </c>
      <c r="H148" s="2" t="s">
        <v>510</v>
      </c>
      <c r="J148" s="2" t="s">
        <v>413</v>
      </c>
      <c r="K148" s="2" t="s">
        <v>2869</v>
      </c>
      <c r="M148" s="2">
        <v>3.0</v>
      </c>
      <c r="N148" s="2" t="s">
        <v>2870</v>
      </c>
      <c r="O148" s="2" t="s">
        <v>2871</v>
      </c>
      <c r="P148" s="2" t="s">
        <v>2872</v>
      </c>
      <c r="Q148" s="2" t="s">
        <v>2873</v>
      </c>
      <c r="R148" s="2" t="s">
        <v>2874</v>
      </c>
      <c r="S148" s="2" t="s">
        <v>2875</v>
      </c>
      <c r="Y148" s="2" t="s">
        <v>2876</v>
      </c>
      <c r="AB148" s="2" t="s">
        <v>2877</v>
      </c>
      <c r="AG148" s="2" t="s">
        <v>2878</v>
      </c>
      <c r="AK148" s="2" t="s">
        <v>2879</v>
      </c>
      <c r="AL148" s="2" t="s">
        <v>384</v>
      </c>
      <c r="AN148" s="2" t="s">
        <v>386</v>
      </c>
      <c r="AO148" s="2" t="s">
        <v>2880</v>
      </c>
      <c r="AP148" s="2" t="s">
        <v>386</v>
      </c>
      <c r="AQ148" s="2">
        <v>8.0</v>
      </c>
      <c r="AR148" s="2" t="s">
        <v>2881</v>
      </c>
      <c r="AS148" s="2" t="b">
        <v>0</v>
      </c>
      <c r="AT148" s="3">
        <v>0.0</v>
      </c>
      <c r="AU148" s="4"/>
      <c r="AV148" s="4">
        <v>1.0</v>
      </c>
      <c r="AW148" s="5">
        <f t="shared" si="432"/>
        <v>0</v>
      </c>
      <c r="AX148" s="5">
        <f t="shared" si="4"/>
        <v>0</v>
      </c>
      <c r="AY148" s="5">
        <f t="shared" si="5"/>
        <v>0</v>
      </c>
      <c r="AZ148" s="5">
        <f t="shared" si="6"/>
        <v>1</v>
      </c>
      <c r="BA148" s="5">
        <f t="shared" si="7"/>
        <v>0</v>
      </c>
      <c r="BB148" s="5">
        <f t="shared" si="8"/>
        <v>0</v>
      </c>
      <c r="BC148" s="5">
        <f t="shared" si="9"/>
        <v>0</v>
      </c>
      <c r="BD148" s="5">
        <f t="shared" si="10"/>
        <v>0</v>
      </c>
      <c r="BE148" s="5">
        <f t="shared" si="11"/>
        <v>0</v>
      </c>
      <c r="BF148" s="5">
        <f t="shared" si="12"/>
        <v>0</v>
      </c>
      <c r="BG148" s="5">
        <f t="shared" si="13"/>
        <v>0</v>
      </c>
      <c r="BH148" s="5">
        <f t="shared" si="14"/>
        <v>0</v>
      </c>
      <c r="BI148" s="5">
        <f t="shared" si="15"/>
        <v>0</v>
      </c>
      <c r="BJ148" s="5">
        <f t="shared" si="16"/>
        <v>0</v>
      </c>
      <c r="BK148" s="5">
        <f t="shared" si="17"/>
        <v>0</v>
      </c>
      <c r="BL148" s="5">
        <f t="shared" si="18"/>
        <v>0</v>
      </c>
      <c r="BM148" s="5">
        <f t="shared" si="19"/>
        <v>0</v>
      </c>
      <c r="BN148" s="5">
        <f t="shared" si="20"/>
        <v>0</v>
      </c>
      <c r="BO148" s="5">
        <f t="shared" si="21"/>
        <v>0</v>
      </c>
      <c r="BP148" s="5">
        <f t="shared" si="22"/>
        <v>0</v>
      </c>
      <c r="BQ148" s="5">
        <f t="shared" si="23"/>
        <v>0</v>
      </c>
      <c r="BR148" s="5">
        <f t="shared" si="24"/>
        <v>0</v>
      </c>
      <c r="BS148" s="5">
        <f t="shared" si="25"/>
        <v>0</v>
      </c>
      <c r="BT148" s="5">
        <f t="shared" si="26"/>
        <v>0</v>
      </c>
      <c r="BU148" s="5">
        <f t="shared" si="27"/>
        <v>0</v>
      </c>
      <c r="BV148" s="5">
        <f t="shared" ref="BV148:BW148" si="647">IF(OR(ISNUMBER(SEARCH("grit",$D148)),ISNUMBER(SEARCH("grit",$T148)),ISNUMBER(SEARCH("grit",$R148)),ISNUMBER(SEARCH("grit",$S148)),
ISNUMBER(SEARCH("determination",$D148)),ISNUMBER(SEARCH("determination",$T148)),ISNUMBER(SEARCH("determination",$R148)),ISNUMBER(SEARCH("determination",$S148)),
ISNUMBER(SEARCH("tenacity",$D148)),ISNUMBER(SEARCH("tenacity",$T148)),ISNUMBER(SEARCH("tenacity",$R148)),ISNUMBER(SEARCH("tenacity",$S148)),
ISNUMBER(SEARCH("endurance",$D148)),ISNUMBER(SEARCH("endurance",$T148)),ISNUMBER(SEARCH("endurance",$R148)),ISNUMBER(SEARCH("endurance",$S148)),
ISNUMBER(SEARCH("fortitude",$D148)),ISNUMBER(SEARCH("fortitude",$T148)),ISNUMBER(SEARCH("fortitude",$R148)),ISNUMBER(SEARCH("fortitude",$S148)),
ISNUMBER(SEARCH("resolve",$D148)),ISNUMBER(SEARCH("resolve",$T148)),ISNUMBER(SEARCH("resolve",$R148)),ISNUMBER(SEARCH("resolve",$S148)),
ISNUMBER(SEARCH("stamina",$D148)),ISNUMBER(SEARCH("stamina",$T148)),ISNUMBER(SEARCH("stamina",$R148)),ISNUMBER(SEARCH("stamina",$S148)),
ISNUMBER(SEARCH("guts",$D148)),ISNUMBER(SEARCH("guts",$T148)),ISNUMBER(SEARCH("guts",$R148)),ISNUMBER(SEARCH("guts",$S148)),
ISNUMBER(SEARCH("spunk",$D148)),ISNUMBER(SEARCH("spunk",$T148)),ISNUMBER(SEARCH("spunk",$R148)),ISNUMBER(SEARCH("spunk",$S148))), 1, 0)</f>
        <v>0</v>
      </c>
      <c r="BW148" s="5">
        <f t="shared" si="647"/>
        <v>0</v>
      </c>
      <c r="BX148" s="5">
        <f t="shared" si="29"/>
        <v>0</v>
      </c>
      <c r="BY148" s="5">
        <f t="shared" si="30"/>
        <v>0</v>
      </c>
      <c r="BZ148" s="5">
        <f t="shared" si="31"/>
        <v>0</v>
      </c>
      <c r="CA148" s="5">
        <f t="shared" si="32"/>
        <v>0</v>
      </c>
      <c r="CB148" s="5">
        <f t="shared" si="33"/>
        <v>0</v>
      </c>
      <c r="CC148" s="5">
        <f t="shared" si="34"/>
        <v>0</v>
      </c>
      <c r="CD148" s="5">
        <f t="shared" si="35"/>
        <v>0</v>
      </c>
      <c r="CE148" s="5">
        <f t="shared" si="36"/>
        <v>0</v>
      </c>
      <c r="CF148" s="5">
        <f t="shared" si="37"/>
        <v>0</v>
      </c>
      <c r="CG148" s="5">
        <f t="shared" si="38"/>
        <v>0</v>
      </c>
      <c r="CH148" s="5">
        <f t="shared" si="39"/>
        <v>0</v>
      </c>
      <c r="CI148" s="5">
        <f t="shared" si="40"/>
        <v>0</v>
      </c>
      <c r="CJ148" s="5">
        <f t="shared" si="41"/>
        <v>0</v>
      </c>
      <c r="CK148" s="5">
        <f t="shared" si="42"/>
        <v>0</v>
      </c>
      <c r="CL148" s="5">
        <f t="shared" si="43"/>
        <v>0</v>
      </c>
      <c r="CM148" s="5">
        <f t="shared" si="44"/>
        <v>0</v>
      </c>
      <c r="CN148" s="5">
        <f t="shared" si="45"/>
        <v>0</v>
      </c>
      <c r="CO148" s="5">
        <f t="shared" si="46"/>
        <v>0</v>
      </c>
      <c r="CP148" s="6">
        <f t="shared" si="47"/>
        <v>0</v>
      </c>
      <c r="CQ148" s="6">
        <f t="shared" si="48"/>
        <v>0</v>
      </c>
      <c r="CR148" s="6">
        <f t="shared" si="49"/>
        <v>0</v>
      </c>
      <c r="CS148" s="6">
        <f t="shared" si="50"/>
        <v>1</v>
      </c>
      <c r="CT148" s="6">
        <f t="shared" si="584"/>
        <v>0</v>
      </c>
      <c r="CU148" s="6">
        <f t="shared" si="52"/>
        <v>0</v>
      </c>
      <c r="CV148" s="6">
        <f t="shared" si="53"/>
        <v>0</v>
      </c>
      <c r="CW148" s="6">
        <f t="shared" si="54"/>
        <v>0</v>
      </c>
      <c r="CX148" s="6">
        <f t="shared" si="55"/>
        <v>0</v>
      </c>
      <c r="CY148" s="6">
        <f t="shared" si="56"/>
        <v>0</v>
      </c>
      <c r="CZ148" s="6">
        <f t="shared" si="57"/>
        <v>0</v>
      </c>
      <c r="DA148" s="6">
        <f t="shared" si="58"/>
        <v>0</v>
      </c>
      <c r="DB148" s="6">
        <f t="shared" si="59"/>
        <v>0</v>
      </c>
      <c r="DC148" s="6">
        <f t="shared" si="60"/>
        <v>0</v>
      </c>
      <c r="DD148" s="6">
        <f t="shared" si="61"/>
        <v>0</v>
      </c>
      <c r="DE148" s="6">
        <f t="shared" si="62"/>
        <v>0</v>
      </c>
      <c r="DF148" s="6">
        <f t="shared" si="63"/>
        <v>0</v>
      </c>
      <c r="DG148" s="6">
        <f t="shared" si="64"/>
        <v>0</v>
      </c>
      <c r="DH148" s="6">
        <f>IF(
OR(
ISNUMBER(SEARCH("Spirituality",$D148)),ISNUMBER(SEARCH("Spirituality",$T148)),ISNUMBER(SEARCH("Spirituality",$R146)),ISNUMBER(SEARCH("Spirituality",$S148)),
ISNUMBER(SEARCH("religiosity",$D148)),ISNUMBER(SEARCH("religiosity",$T148)),ISNUMBER(SEARCH("religiosity",$R148)),ISNUMBER(SEARCH("religiosity",$S148))), 1, 0)</f>
        <v>0</v>
      </c>
      <c r="DI148" s="6">
        <f t="shared" si="66"/>
        <v>0</v>
      </c>
      <c r="DJ148" s="6">
        <f>IF(OR(ISNUMBER(SEARCH("Emotional Balance", $D148)), ISNUMBER(SEARCH("Emotional Balance", $T148)), ISNUMBER(SEARCH("Emotional Balance", $R148)), ISNUMBER(SEARCH("Emotional Balance", $S148))), 1, 0)</f>
        <v>0</v>
      </c>
      <c r="DK148" s="7">
        <f t="shared" si="68"/>
        <v>0</v>
      </c>
      <c r="DL148" s="7">
        <f t="shared" si="498"/>
        <v>0</v>
      </c>
      <c r="DM148" s="7">
        <f t="shared" si="70"/>
        <v>0</v>
      </c>
      <c r="DN148" s="7">
        <f t="shared" si="71"/>
        <v>0</v>
      </c>
      <c r="DO148" s="7">
        <f t="shared" si="72"/>
        <v>1</v>
      </c>
      <c r="DP148" s="8">
        <f t="shared" si="73"/>
        <v>0</v>
      </c>
      <c r="DQ148" s="8">
        <f t="shared" si="74"/>
        <v>0</v>
      </c>
      <c r="DR148" s="7">
        <f t="shared" si="75"/>
        <v>0</v>
      </c>
      <c r="DS148" s="7">
        <f t="shared" si="76"/>
        <v>0</v>
      </c>
      <c r="DT148" s="7">
        <f t="shared" si="77"/>
        <v>0</v>
      </c>
      <c r="DU148" s="9">
        <f t="shared" si="78"/>
        <v>0</v>
      </c>
      <c r="DV148" s="9">
        <f t="shared" si="79"/>
        <v>0</v>
      </c>
      <c r="DW148" s="9">
        <f t="shared" si="80"/>
        <v>0</v>
      </c>
      <c r="DX148" s="9">
        <f t="shared" si="81"/>
        <v>0</v>
      </c>
      <c r="DY148" s="9">
        <f t="shared" si="82"/>
        <v>0</v>
      </c>
      <c r="DZ148" s="9">
        <f t="shared" si="83"/>
        <v>0</v>
      </c>
      <c r="EA148" s="9">
        <f t="shared" si="84"/>
        <v>0</v>
      </c>
      <c r="EB148" s="9">
        <f t="shared" si="85"/>
        <v>0</v>
      </c>
      <c r="EC148" s="9">
        <f t="shared" si="86"/>
        <v>0</v>
      </c>
      <c r="ED148" s="9">
        <f t="shared" si="87"/>
        <v>0</v>
      </c>
      <c r="EE148" s="9">
        <f t="shared" si="88"/>
        <v>0</v>
      </c>
      <c r="EF148" s="9">
        <f t="shared" si="89"/>
        <v>0</v>
      </c>
      <c r="EG148" s="9">
        <f t="shared" si="90"/>
        <v>0</v>
      </c>
      <c r="EH148" s="9">
        <f t="shared" si="91"/>
        <v>0</v>
      </c>
      <c r="EI148" s="9">
        <f t="shared" si="92"/>
        <v>0</v>
      </c>
      <c r="EJ148" s="10">
        <f t="shared" si="93"/>
        <v>0</v>
      </c>
      <c r="EK148" s="10">
        <f t="shared" si="94"/>
        <v>0</v>
      </c>
      <c r="EL148" s="10">
        <f t="shared" ref="EL148:EM148" si="648">IF(OR(ISNUMBER(SEARCH("ai software toolkit", $D148)), ISNUMBER(SEARCH("ai software toolkit", $T148)), ISNUMBER(SEARCH("ai software toolkit", $R148)), ISNUMBER(SEARCH("ai software toolkit", $S148))), 1, 0)</f>
        <v>0</v>
      </c>
      <c r="EM148" s="10">
        <f t="shared" si="648"/>
        <v>0</v>
      </c>
      <c r="EN148" s="10">
        <f t="shared" si="96"/>
        <v>0</v>
      </c>
      <c r="EO148" s="10">
        <f t="shared" si="97"/>
        <v>0</v>
      </c>
      <c r="EP148" s="10">
        <f t="shared" si="98"/>
        <v>0</v>
      </c>
      <c r="EQ148" s="10">
        <f t="shared" si="99"/>
        <v>0</v>
      </c>
      <c r="ER148" s="10">
        <f t="shared" si="100"/>
        <v>0</v>
      </c>
      <c r="ES148" s="10">
        <f t="shared" si="101"/>
        <v>0</v>
      </c>
      <c r="ET148" s="10">
        <f t="shared" si="102"/>
        <v>0</v>
      </c>
      <c r="EU148" s="10">
        <f t="shared" si="103"/>
        <v>0</v>
      </c>
      <c r="EV148" s="10">
        <f t="shared" si="104"/>
        <v>0</v>
      </c>
      <c r="EW148" s="10">
        <f t="shared" si="105"/>
        <v>0</v>
      </c>
      <c r="EX148" s="10">
        <f t="shared" si="106"/>
        <v>0</v>
      </c>
      <c r="EY148" s="10">
        <f t="shared" si="107"/>
        <v>0</v>
      </c>
      <c r="EZ148" s="10">
        <f t="shared" si="108"/>
        <v>0</v>
      </c>
      <c r="FA148" s="10">
        <f t="shared" si="109"/>
        <v>0</v>
      </c>
      <c r="FB148" s="10">
        <f t="shared" si="110"/>
        <v>0</v>
      </c>
      <c r="FC148" s="10">
        <f t="shared" si="111"/>
        <v>0</v>
      </c>
      <c r="FD148" s="10">
        <f t="shared" si="112"/>
        <v>0</v>
      </c>
      <c r="FE148" s="10">
        <f t="shared" si="113"/>
        <v>0</v>
      </c>
      <c r="FF148" s="10">
        <f t="shared" si="114"/>
        <v>0</v>
      </c>
      <c r="FG148" s="10">
        <f t="shared" si="115"/>
        <v>0</v>
      </c>
      <c r="FH148" s="10">
        <f t="shared" si="116"/>
        <v>0</v>
      </c>
      <c r="FI148" s="10">
        <f t="shared" si="117"/>
        <v>0</v>
      </c>
      <c r="FJ148" s="10">
        <f t="shared" si="118"/>
        <v>0</v>
      </c>
      <c r="FK148" s="10">
        <f t="shared" si="119"/>
        <v>0</v>
      </c>
      <c r="FL148" s="10">
        <f t="shared" si="120"/>
        <v>0</v>
      </c>
      <c r="FM148" s="10">
        <f t="shared" si="121"/>
        <v>0</v>
      </c>
      <c r="FN148" s="10">
        <f t="shared" si="122"/>
        <v>0</v>
      </c>
      <c r="FO148" s="10">
        <f t="shared" si="123"/>
        <v>0</v>
      </c>
      <c r="FP148" s="10">
        <f t="shared" si="124"/>
        <v>0</v>
      </c>
      <c r="FQ148" s="10">
        <f t="shared" si="125"/>
        <v>0</v>
      </c>
      <c r="FR148" s="11">
        <f t="shared" si="636"/>
        <v>0</v>
      </c>
      <c r="FS148" s="11">
        <f t="shared" si="127"/>
        <v>0</v>
      </c>
      <c r="FT148" s="11">
        <f t="shared" si="128"/>
        <v>0</v>
      </c>
      <c r="FU148" s="11">
        <f t="shared" si="129"/>
        <v>0</v>
      </c>
      <c r="FV148" s="11">
        <f t="shared" si="130"/>
        <v>0</v>
      </c>
      <c r="FW148" s="11">
        <f t="shared" si="131"/>
        <v>0</v>
      </c>
      <c r="FX148" s="11">
        <f t="shared" si="132"/>
        <v>0</v>
      </c>
      <c r="FY148" s="11">
        <f t="shared" si="133"/>
        <v>0</v>
      </c>
      <c r="FZ148" s="11">
        <f t="shared" si="134"/>
        <v>0</v>
      </c>
      <c r="GA148" s="11">
        <f t="shared" si="135"/>
        <v>0</v>
      </c>
      <c r="GB148" s="11">
        <f t="shared" si="136"/>
        <v>0</v>
      </c>
      <c r="GC148" s="11">
        <f t="shared" si="137"/>
        <v>0</v>
      </c>
      <c r="GD148" s="11">
        <f t="shared" si="138"/>
        <v>0</v>
      </c>
      <c r="GE148" s="11">
        <f t="shared" si="139"/>
        <v>0</v>
      </c>
      <c r="GF148" s="11">
        <f t="shared" si="140"/>
        <v>0</v>
      </c>
      <c r="GG148" s="11">
        <f t="shared" si="141"/>
        <v>0</v>
      </c>
      <c r="GH148" s="11">
        <f t="shared" si="142"/>
        <v>0</v>
      </c>
      <c r="GI148" s="11">
        <f t="shared" si="143"/>
        <v>0</v>
      </c>
      <c r="GJ148" s="11">
        <f t="shared" si="144"/>
        <v>0</v>
      </c>
      <c r="GK148" s="11">
        <f t="shared" si="145"/>
        <v>0</v>
      </c>
      <c r="GL148" s="11">
        <f t="shared" si="146"/>
        <v>0</v>
      </c>
      <c r="GM148" s="11">
        <f t="shared" si="147"/>
        <v>0</v>
      </c>
      <c r="GN148" s="11">
        <f t="shared" si="148"/>
        <v>0</v>
      </c>
      <c r="GO148" s="11">
        <f t="shared" si="149"/>
        <v>0</v>
      </c>
      <c r="GP148" s="11">
        <f t="shared" si="150"/>
        <v>0</v>
      </c>
      <c r="GQ148" s="11">
        <f t="shared" si="151"/>
        <v>0</v>
      </c>
      <c r="GR148" s="11">
        <f t="shared" si="152"/>
        <v>0</v>
      </c>
      <c r="GS148" s="11">
        <f t="shared" si="153"/>
        <v>0</v>
      </c>
      <c r="GT148" s="11">
        <f t="shared" si="154"/>
        <v>0</v>
      </c>
      <c r="GU148" s="12">
        <f t="shared" si="155"/>
        <v>0</v>
      </c>
      <c r="GV148" s="12">
        <f t="shared" si="156"/>
        <v>0</v>
      </c>
      <c r="GW148" s="12">
        <f t="shared" si="157"/>
        <v>0</v>
      </c>
      <c r="GX148" s="12">
        <f t="shared" si="158"/>
        <v>0</v>
      </c>
      <c r="GY148" s="12">
        <f t="shared" si="159"/>
        <v>0</v>
      </c>
      <c r="GZ148" s="12">
        <f t="shared" si="160"/>
        <v>0</v>
      </c>
      <c r="HA148" s="12">
        <f t="shared" si="161"/>
        <v>0</v>
      </c>
      <c r="HB148" s="12">
        <f t="shared" si="162"/>
        <v>0</v>
      </c>
      <c r="HC148" s="12">
        <f t="shared" si="163"/>
        <v>0</v>
      </c>
      <c r="HD148" s="12">
        <f t="shared" si="164"/>
        <v>0</v>
      </c>
      <c r="HE148" s="12">
        <f t="shared" si="165"/>
        <v>0</v>
      </c>
      <c r="HF148" s="12">
        <f t="shared" si="166"/>
        <v>0</v>
      </c>
      <c r="HG148" s="12">
        <f t="shared" si="167"/>
        <v>0</v>
      </c>
      <c r="HH148" s="12">
        <f t="shared" si="168"/>
        <v>0</v>
      </c>
      <c r="HI148" s="12">
        <f t="shared" si="169"/>
        <v>0</v>
      </c>
      <c r="HJ148" s="12">
        <f t="shared" si="170"/>
        <v>0</v>
      </c>
      <c r="HK148" s="12">
        <f t="shared" si="171"/>
        <v>0</v>
      </c>
      <c r="HL148" s="12">
        <f t="shared" si="172"/>
        <v>0</v>
      </c>
      <c r="HM148" s="12">
        <f t="shared" si="173"/>
        <v>0</v>
      </c>
      <c r="HN148" s="12">
        <f t="shared" si="174"/>
        <v>0</v>
      </c>
      <c r="HO148" s="12">
        <f t="shared" si="175"/>
        <v>0</v>
      </c>
      <c r="HP148" s="12">
        <f t="shared" si="176"/>
        <v>0</v>
      </c>
      <c r="HQ148" s="12">
        <f t="shared" si="177"/>
        <v>0</v>
      </c>
      <c r="HR148" s="12">
        <f t="shared" si="178"/>
        <v>0</v>
      </c>
      <c r="HS148" s="12">
        <f t="shared" si="179"/>
        <v>0</v>
      </c>
      <c r="HT148" s="12">
        <f t="shared" si="180"/>
        <v>0</v>
      </c>
      <c r="HU148" s="12">
        <f t="shared" si="181"/>
        <v>0</v>
      </c>
      <c r="HV148" s="12">
        <f t="shared" si="182"/>
        <v>0</v>
      </c>
      <c r="HW148" s="12">
        <f t="shared" si="183"/>
        <v>0</v>
      </c>
      <c r="HX148" s="12">
        <f t="shared" si="184"/>
        <v>0</v>
      </c>
      <c r="HY148" s="12">
        <f t="shared" si="185"/>
        <v>0</v>
      </c>
      <c r="HZ148" s="12">
        <f t="shared" si="186"/>
        <v>0</v>
      </c>
      <c r="IA148" s="12">
        <f t="shared" si="187"/>
        <v>0</v>
      </c>
      <c r="IB148" s="12">
        <f t="shared" si="188"/>
        <v>0</v>
      </c>
      <c r="IC148" s="12">
        <f t="shared" si="189"/>
        <v>0</v>
      </c>
      <c r="ID148" s="12">
        <f t="shared" si="190"/>
        <v>0</v>
      </c>
      <c r="IE148" s="12">
        <f t="shared" si="191"/>
        <v>0</v>
      </c>
      <c r="IF148" s="12">
        <f t="shared" si="192"/>
        <v>0</v>
      </c>
      <c r="IG148" s="12">
        <f t="shared" si="193"/>
        <v>0</v>
      </c>
      <c r="IH148" s="12">
        <f t="shared" si="194"/>
        <v>0</v>
      </c>
      <c r="II148" s="12">
        <f t="shared" si="195"/>
        <v>0</v>
      </c>
      <c r="IJ148" s="12">
        <f t="shared" si="196"/>
        <v>0</v>
      </c>
      <c r="IK148" s="12">
        <f t="shared" si="197"/>
        <v>0</v>
      </c>
      <c r="IL148" s="12">
        <f t="shared" si="198"/>
        <v>0</v>
      </c>
      <c r="IM148" s="12">
        <f t="shared" si="199"/>
        <v>0</v>
      </c>
      <c r="IN148" s="12">
        <f t="shared" si="200"/>
        <v>0</v>
      </c>
      <c r="IO148" s="12">
        <f t="shared" si="201"/>
        <v>0</v>
      </c>
      <c r="IP148" s="12">
        <f t="shared" si="202"/>
        <v>0</v>
      </c>
      <c r="IQ148" s="12">
        <f t="shared" si="203"/>
        <v>0</v>
      </c>
      <c r="IR148" s="12">
        <f t="shared" si="204"/>
        <v>0</v>
      </c>
      <c r="IS148" s="12">
        <f t="shared" si="205"/>
        <v>0</v>
      </c>
      <c r="IT148" s="12">
        <f t="shared" si="206"/>
        <v>0</v>
      </c>
      <c r="IU148" s="12">
        <f t="shared" si="207"/>
        <v>0</v>
      </c>
      <c r="IV148" s="12">
        <f t="shared" si="208"/>
        <v>0</v>
      </c>
      <c r="IW148" s="12">
        <f t="shared" si="209"/>
        <v>0</v>
      </c>
      <c r="IX148" s="12">
        <f t="shared" si="210"/>
        <v>0</v>
      </c>
      <c r="IY148" s="12">
        <f t="shared" si="211"/>
        <v>0</v>
      </c>
      <c r="IZ148" s="12">
        <f t="shared" si="212"/>
        <v>0</v>
      </c>
      <c r="JA148" s="13">
        <f t="shared" si="213"/>
        <v>0</v>
      </c>
      <c r="JB148" s="13">
        <f t="shared" si="214"/>
        <v>0</v>
      </c>
      <c r="JC148" s="13">
        <f t="shared" si="215"/>
        <v>0</v>
      </c>
      <c r="JD148" s="13">
        <f t="shared" si="216"/>
        <v>0</v>
      </c>
      <c r="JE148" s="13">
        <f t="shared" si="217"/>
        <v>0</v>
      </c>
      <c r="JF148" s="13">
        <f t="shared" si="218"/>
        <v>0</v>
      </c>
      <c r="JG148" s="13">
        <f t="shared" si="219"/>
        <v>0</v>
      </c>
      <c r="JH148" s="13">
        <f t="shared" si="220"/>
        <v>0</v>
      </c>
      <c r="JI148" s="13">
        <f t="shared" si="221"/>
        <v>0</v>
      </c>
      <c r="JJ148" s="13">
        <f t="shared" si="222"/>
        <v>0</v>
      </c>
      <c r="JK148" s="13">
        <f t="shared" si="223"/>
        <v>0</v>
      </c>
      <c r="JL148" s="13">
        <f t="shared" si="224"/>
        <v>0</v>
      </c>
      <c r="JM148" s="13">
        <f t="shared" si="225"/>
        <v>0</v>
      </c>
      <c r="JN148" s="13">
        <f t="shared" si="226"/>
        <v>0</v>
      </c>
      <c r="JO148" s="13">
        <f t="shared" si="227"/>
        <v>0</v>
      </c>
      <c r="JP148" s="13">
        <f t="shared" si="228"/>
        <v>0</v>
      </c>
      <c r="JQ148" s="13">
        <f t="shared" si="229"/>
        <v>0</v>
      </c>
      <c r="JR148" s="13">
        <f t="shared" si="230"/>
        <v>0</v>
      </c>
      <c r="JS148" s="13">
        <f t="shared" si="231"/>
        <v>0</v>
      </c>
      <c r="JT148" s="13">
        <f t="shared" si="232"/>
        <v>0</v>
      </c>
      <c r="JU148" s="13">
        <f t="shared" si="233"/>
        <v>0</v>
      </c>
      <c r="JV148" s="12">
        <f t="shared" si="234"/>
        <v>0</v>
      </c>
      <c r="JW148" s="12">
        <f t="shared" si="235"/>
        <v>0</v>
      </c>
      <c r="JX148" s="12">
        <f t="shared" si="236"/>
        <v>0</v>
      </c>
      <c r="JY148" s="12">
        <f t="shared" si="237"/>
        <v>0</v>
      </c>
      <c r="JZ148" s="12">
        <f t="shared" si="238"/>
        <v>0</v>
      </c>
      <c r="KA148" s="12">
        <f t="shared" si="239"/>
        <v>0</v>
      </c>
      <c r="KB148" s="12">
        <f t="shared" si="240"/>
        <v>0</v>
      </c>
      <c r="KC148" s="12">
        <f t="shared" si="241"/>
        <v>0</v>
      </c>
      <c r="KD148" s="12">
        <f t="shared" si="242"/>
        <v>0</v>
      </c>
      <c r="KE148" s="12">
        <f t="shared" si="243"/>
        <v>0</v>
      </c>
      <c r="KF148" s="12">
        <f t="shared" si="244"/>
        <v>0</v>
      </c>
      <c r="KG148" s="12">
        <f t="shared" si="245"/>
        <v>0</v>
      </c>
      <c r="KH148" s="12">
        <f t="shared" si="246"/>
        <v>0</v>
      </c>
      <c r="KI148" s="12">
        <f t="shared" si="247"/>
        <v>0</v>
      </c>
      <c r="KJ148" s="12">
        <f t="shared" si="248"/>
        <v>0</v>
      </c>
      <c r="KK148" s="12">
        <f t="shared" si="249"/>
        <v>0</v>
      </c>
      <c r="KL148" s="12">
        <f t="shared" si="250"/>
        <v>0</v>
      </c>
      <c r="KM148" s="12">
        <f t="shared" si="251"/>
        <v>0</v>
      </c>
      <c r="KN148" s="12">
        <f t="shared" si="252"/>
        <v>0</v>
      </c>
      <c r="KO148" s="12">
        <f t="shared" si="253"/>
        <v>0</v>
      </c>
      <c r="KP148" s="12">
        <f t="shared" si="254"/>
        <v>0</v>
      </c>
      <c r="KQ148" s="12">
        <f t="shared" si="255"/>
        <v>0</v>
      </c>
      <c r="KR148" s="12">
        <f t="shared" si="256"/>
        <v>0</v>
      </c>
      <c r="KS148" s="12">
        <f t="shared" si="257"/>
        <v>0</v>
      </c>
      <c r="KT148" s="12">
        <f t="shared" si="258"/>
        <v>0</v>
      </c>
      <c r="KU148" s="12">
        <f t="shared" si="259"/>
        <v>0</v>
      </c>
      <c r="KV148" s="12">
        <f t="shared" si="260"/>
        <v>0</v>
      </c>
      <c r="KW148" s="12">
        <f t="shared" si="261"/>
        <v>0</v>
      </c>
      <c r="KX148" s="12">
        <f t="shared" si="262"/>
        <v>0</v>
      </c>
      <c r="KY148" s="12">
        <f t="shared" si="263"/>
        <v>0</v>
      </c>
      <c r="KZ148" s="12">
        <f t="shared" si="264"/>
        <v>0</v>
      </c>
      <c r="LA148" s="12">
        <f t="shared" si="265"/>
        <v>0</v>
      </c>
      <c r="LB148" s="12">
        <f t="shared" si="266"/>
        <v>0</v>
      </c>
      <c r="LC148" s="12">
        <f t="shared" si="267"/>
        <v>0</v>
      </c>
      <c r="LD148" s="12">
        <f t="shared" si="268"/>
        <v>0</v>
      </c>
      <c r="LE148" s="12">
        <f t="shared" si="269"/>
        <v>0</v>
      </c>
      <c r="LF148" s="12">
        <f t="shared" si="270"/>
        <v>0</v>
      </c>
      <c r="LG148" s="12">
        <f t="shared" si="271"/>
        <v>0</v>
      </c>
      <c r="LH148" s="12">
        <f t="shared" si="272"/>
        <v>0</v>
      </c>
      <c r="LI148" s="12">
        <f t="shared" si="273"/>
        <v>0</v>
      </c>
      <c r="LJ148" s="12">
        <f t="shared" si="274"/>
        <v>0</v>
      </c>
      <c r="LK148" s="12">
        <f t="shared" si="275"/>
        <v>0</v>
      </c>
      <c r="LL148" s="12">
        <f t="shared" si="276"/>
        <v>0</v>
      </c>
      <c r="LM148" s="12">
        <f t="shared" si="277"/>
        <v>0</v>
      </c>
      <c r="LN148" s="12">
        <f t="shared" si="278"/>
        <v>0</v>
      </c>
      <c r="LO148" s="12">
        <f t="shared" si="279"/>
        <v>0</v>
      </c>
      <c r="LP148" s="12">
        <f t="shared" si="280"/>
        <v>0</v>
      </c>
      <c r="LQ148" s="12">
        <f t="shared" si="281"/>
        <v>0</v>
      </c>
      <c r="LR148" s="12">
        <f t="shared" si="282"/>
        <v>0</v>
      </c>
      <c r="LS148" s="12">
        <f t="shared" si="283"/>
        <v>0</v>
      </c>
      <c r="LT148" s="13">
        <f t="shared" si="284"/>
        <v>0</v>
      </c>
      <c r="LU148" s="13">
        <f t="shared" si="285"/>
        <v>0</v>
      </c>
      <c r="LV148" s="13">
        <f t="shared" si="286"/>
        <v>0</v>
      </c>
      <c r="LW148" s="13">
        <f t="shared" si="287"/>
        <v>0</v>
      </c>
      <c r="LX148" s="13">
        <f t="shared" si="288"/>
        <v>0</v>
      </c>
      <c r="LY148" s="13">
        <f t="shared" si="289"/>
        <v>0</v>
      </c>
      <c r="LZ148" s="13">
        <f t="shared" si="290"/>
        <v>0</v>
      </c>
      <c r="MA148" s="13">
        <f t="shared" si="291"/>
        <v>0</v>
      </c>
      <c r="MB148" s="13">
        <f t="shared" si="292"/>
        <v>0</v>
      </c>
      <c r="MC148" s="13">
        <f t="shared" si="293"/>
        <v>0</v>
      </c>
      <c r="MD148" s="13">
        <f t="shared" si="294"/>
        <v>0</v>
      </c>
      <c r="ME148" s="13">
        <f t="shared" si="295"/>
        <v>0</v>
      </c>
      <c r="MF148" s="13">
        <f t="shared" si="296"/>
        <v>0</v>
      </c>
      <c r="MG148" s="13">
        <f t="shared" si="297"/>
        <v>0</v>
      </c>
      <c r="MH148" s="13">
        <f t="shared" si="298"/>
        <v>0</v>
      </c>
      <c r="MI148" s="13">
        <f t="shared" si="299"/>
        <v>0</v>
      </c>
      <c r="MJ148" s="13">
        <f t="shared" si="300"/>
        <v>0</v>
      </c>
      <c r="MK148" s="13">
        <f t="shared" si="301"/>
        <v>0</v>
      </c>
      <c r="ML148" s="14">
        <f t="shared" si="302"/>
        <v>0</v>
      </c>
      <c r="MM148" s="14">
        <f t="shared" si="303"/>
        <v>0</v>
      </c>
      <c r="MN148" s="14">
        <f t="shared" si="304"/>
        <v>0</v>
      </c>
      <c r="MO148" s="14">
        <f t="shared" si="305"/>
        <v>1</v>
      </c>
      <c r="MP148" s="14">
        <f t="shared" si="306"/>
        <v>0</v>
      </c>
      <c r="MQ148" s="14">
        <f t="shared" si="307"/>
        <v>0</v>
      </c>
      <c r="MR148" s="14">
        <f t="shared" si="308"/>
        <v>0</v>
      </c>
      <c r="MS148" s="14">
        <f t="shared" si="309"/>
        <v>0</v>
      </c>
      <c r="MT148" s="14">
        <f t="shared" si="310"/>
        <v>0</v>
      </c>
      <c r="MU148" s="14">
        <f t="shared" si="311"/>
        <v>0</v>
      </c>
      <c r="MV148" s="14">
        <f t="shared" si="312"/>
        <v>0</v>
      </c>
      <c r="MW148" s="14">
        <f t="shared" si="313"/>
        <v>0</v>
      </c>
      <c r="MX148" s="14">
        <f t="shared" si="314"/>
        <v>0</v>
      </c>
      <c r="MY148" s="14">
        <f t="shared" si="315"/>
        <v>0</v>
      </c>
      <c r="MZ148" s="14">
        <f t="shared" si="316"/>
        <v>0</v>
      </c>
      <c r="NA148" s="14">
        <f t="shared" si="317"/>
        <v>0</v>
      </c>
      <c r="NB148" s="14">
        <f t="shared" si="318"/>
        <v>0</v>
      </c>
    </row>
    <row r="149" ht="15.75" customHeight="1">
      <c r="A149" s="2">
        <v>84.0</v>
      </c>
      <c r="B149" s="2" t="s">
        <v>2882</v>
      </c>
      <c r="C149" s="2" t="s">
        <v>2883</v>
      </c>
      <c r="D149" s="2" t="s">
        <v>2884</v>
      </c>
      <c r="E149" s="2">
        <v>2021.0</v>
      </c>
      <c r="F149" s="2" t="s">
        <v>655</v>
      </c>
      <c r="G149" s="2" t="s">
        <v>656</v>
      </c>
      <c r="H149" s="2" t="s">
        <v>371</v>
      </c>
      <c r="I149" s="2" t="s">
        <v>2885</v>
      </c>
      <c r="J149" s="2" t="s">
        <v>2886</v>
      </c>
      <c r="K149" s="2" t="s">
        <v>2887</v>
      </c>
      <c r="M149" s="2">
        <v>3.0</v>
      </c>
      <c r="N149" s="2" t="s">
        <v>2888</v>
      </c>
      <c r="O149" s="2" t="s">
        <v>2889</v>
      </c>
      <c r="P149" s="2" t="s">
        <v>2890</v>
      </c>
      <c r="Q149" s="2" t="s">
        <v>2891</v>
      </c>
      <c r="R149" s="2" t="s">
        <v>2892</v>
      </c>
      <c r="AB149" s="2" t="s">
        <v>668</v>
      </c>
      <c r="AG149" s="2" t="s">
        <v>669</v>
      </c>
      <c r="AK149" s="2" t="s">
        <v>670</v>
      </c>
      <c r="AL149" s="2" t="s">
        <v>384</v>
      </c>
      <c r="AM149" s="2" t="s">
        <v>650</v>
      </c>
      <c r="AN149" s="2" t="s">
        <v>386</v>
      </c>
      <c r="AO149" s="2" t="s">
        <v>2893</v>
      </c>
      <c r="AP149" s="2" t="s">
        <v>386</v>
      </c>
      <c r="AQ149" s="2">
        <v>277.0</v>
      </c>
      <c r="AR149" s="2" t="s">
        <v>2894</v>
      </c>
      <c r="AS149" s="2" t="b">
        <v>0</v>
      </c>
      <c r="AT149" s="3">
        <v>0.0</v>
      </c>
      <c r="AU149" s="4">
        <v>1.0</v>
      </c>
      <c r="AV149" s="4"/>
      <c r="AW149" s="5">
        <f t="shared" si="432"/>
        <v>0</v>
      </c>
      <c r="AX149" s="5">
        <f t="shared" si="4"/>
        <v>0</v>
      </c>
      <c r="AY149" s="5">
        <f t="shared" si="5"/>
        <v>0</v>
      </c>
      <c r="AZ149" s="5">
        <f t="shared" si="6"/>
        <v>0</v>
      </c>
      <c r="BA149" s="5">
        <f t="shared" si="7"/>
        <v>0</v>
      </c>
      <c r="BB149" s="5">
        <f t="shared" si="8"/>
        <v>0</v>
      </c>
      <c r="BC149" s="5">
        <f t="shared" si="9"/>
        <v>0</v>
      </c>
      <c r="BD149" s="5">
        <f t="shared" si="10"/>
        <v>0</v>
      </c>
      <c r="BE149" s="5">
        <f t="shared" si="11"/>
        <v>0</v>
      </c>
      <c r="BF149" s="5">
        <f t="shared" si="12"/>
        <v>0</v>
      </c>
      <c r="BG149" s="5">
        <f t="shared" si="13"/>
        <v>0</v>
      </c>
      <c r="BH149" s="5">
        <f t="shared" si="14"/>
        <v>0</v>
      </c>
      <c r="BI149" s="5">
        <f t="shared" si="15"/>
        <v>0</v>
      </c>
      <c r="BJ149" s="5">
        <f t="shared" si="16"/>
        <v>0</v>
      </c>
      <c r="BK149" s="5">
        <f t="shared" si="17"/>
        <v>0</v>
      </c>
      <c r="BL149" s="5">
        <f t="shared" si="18"/>
        <v>0</v>
      </c>
      <c r="BM149" s="5">
        <f t="shared" si="19"/>
        <v>0</v>
      </c>
      <c r="BN149" s="5">
        <f t="shared" si="20"/>
        <v>0</v>
      </c>
      <c r="BO149" s="5">
        <f t="shared" si="21"/>
        <v>0</v>
      </c>
      <c r="BP149" s="5">
        <f t="shared" si="22"/>
        <v>0</v>
      </c>
      <c r="BQ149" s="5">
        <f t="shared" si="23"/>
        <v>0</v>
      </c>
      <c r="BR149" s="5">
        <f t="shared" si="24"/>
        <v>0</v>
      </c>
      <c r="BS149" s="5">
        <f t="shared" si="25"/>
        <v>0</v>
      </c>
      <c r="BT149" s="5">
        <f t="shared" si="26"/>
        <v>0</v>
      </c>
      <c r="BU149" s="5">
        <f t="shared" si="27"/>
        <v>0</v>
      </c>
      <c r="BV149" s="5">
        <f t="shared" ref="BV149:BW149" si="649">IF(OR(ISNUMBER(SEARCH("grit",$D149)),ISNUMBER(SEARCH("grit",$T149)),ISNUMBER(SEARCH("grit",$R149)),ISNUMBER(SEARCH("grit",$S149)),
ISNUMBER(SEARCH("determination",$D149)),ISNUMBER(SEARCH("determination",$T149)),ISNUMBER(SEARCH("determination",$R149)),ISNUMBER(SEARCH("determination",$S149)),
ISNUMBER(SEARCH("tenacity",$D149)),ISNUMBER(SEARCH("tenacity",$T149)),ISNUMBER(SEARCH("tenacity",$R149)),ISNUMBER(SEARCH("tenacity",$S149)),
ISNUMBER(SEARCH("endurance",$D149)),ISNUMBER(SEARCH("endurance",$T149)),ISNUMBER(SEARCH("endurance",$R149)),ISNUMBER(SEARCH("endurance",$S149)),
ISNUMBER(SEARCH("fortitude",$D149)),ISNUMBER(SEARCH("fortitude",$T149)),ISNUMBER(SEARCH("fortitude",$R149)),ISNUMBER(SEARCH("fortitude",$S149)),
ISNUMBER(SEARCH("resolve",$D149)),ISNUMBER(SEARCH("resolve",$T149)),ISNUMBER(SEARCH("resolve",$R149)),ISNUMBER(SEARCH("resolve",$S149)),
ISNUMBER(SEARCH("stamina",$D149)),ISNUMBER(SEARCH("stamina",$T149)),ISNUMBER(SEARCH("stamina",$R149)),ISNUMBER(SEARCH("stamina",$S149)),
ISNUMBER(SEARCH("guts",$D149)),ISNUMBER(SEARCH("guts",$T149)),ISNUMBER(SEARCH("guts",$R149)),ISNUMBER(SEARCH("guts",$S149)),
ISNUMBER(SEARCH("spunk",$D149)),ISNUMBER(SEARCH("spunk",$T149)),ISNUMBER(SEARCH("spunk",$R149)),ISNUMBER(SEARCH("spunk",$S149))), 1, 0)</f>
        <v>0</v>
      </c>
      <c r="BW149" s="5">
        <f t="shared" si="649"/>
        <v>0</v>
      </c>
      <c r="BX149" s="5">
        <f t="shared" si="29"/>
        <v>0</v>
      </c>
      <c r="BY149" s="5">
        <f t="shared" si="30"/>
        <v>0</v>
      </c>
      <c r="BZ149" s="5">
        <f t="shared" si="31"/>
        <v>0</v>
      </c>
      <c r="CA149" s="5">
        <f t="shared" si="32"/>
        <v>0</v>
      </c>
      <c r="CB149" s="5">
        <f t="shared" si="33"/>
        <v>0</v>
      </c>
      <c r="CC149" s="5">
        <f t="shared" si="34"/>
        <v>0</v>
      </c>
      <c r="CD149" s="5">
        <f t="shared" si="35"/>
        <v>0</v>
      </c>
      <c r="CE149" s="5">
        <f t="shared" si="36"/>
        <v>0</v>
      </c>
      <c r="CF149" s="5">
        <f t="shared" si="37"/>
        <v>0</v>
      </c>
      <c r="CG149" s="5">
        <f t="shared" si="38"/>
        <v>0</v>
      </c>
      <c r="CH149" s="5">
        <f t="shared" si="39"/>
        <v>0</v>
      </c>
      <c r="CI149" s="5">
        <f t="shared" si="40"/>
        <v>0</v>
      </c>
      <c r="CJ149" s="5">
        <f t="shared" si="41"/>
        <v>0</v>
      </c>
      <c r="CK149" s="5">
        <f t="shared" si="42"/>
        <v>0</v>
      </c>
      <c r="CL149" s="5">
        <f t="shared" si="43"/>
        <v>0</v>
      </c>
      <c r="CM149" s="5">
        <f t="shared" si="44"/>
        <v>0</v>
      </c>
      <c r="CN149" s="5">
        <f t="shared" si="45"/>
        <v>0</v>
      </c>
      <c r="CO149" s="5">
        <f t="shared" si="46"/>
        <v>0</v>
      </c>
      <c r="CP149" s="6">
        <f t="shared" si="47"/>
        <v>0</v>
      </c>
      <c r="CQ149" s="6">
        <f t="shared" si="48"/>
        <v>0</v>
      </c>
      <c r="CR149" s="6">
        <f t="shared" si="49"/>
        <v>0</v>
      </c>
      <c r="CS149" s="6">
        <f t="shared" si="50"/>
        <v>0</v>
      </c>
      <c r="CT149" s="6">
        <f t="shared" si="584"/>
        <v>0</v>
      </c>
      <c r="CU149" s="6">
        <f t="shared" si="52"/>
        <v>0</v>
      </c>
      <c r="CV149" s="6">
        <f t="shared" si="53"/>
        <v>0</v>
      </c>
      <c r="CW149" s="6">
        <f t="shared" si="54"/>
        <v>0</v>
      </c>
      <c r="CX149" s="6">
        <f t="shared" si="55"/>
        <v>0</v>
      </c>
      <c r="CY149" s="6">
        <f t="shared" si="56"/>
        <v>0</v>
      </c>
      <c r="CZ149" s="6">
        <f t="shared" si="57"/>
        <v>0</v>
      </c>
      <c r="DA149" s="6">
        <f t="shared" si="58"/>
        <v>0</v>
      </c>
      <c r="DB149" s="6">
        <f t="shared" si="59"/>
        <v>0</v>
      </c>
      <c r="DC149" s="6">
        <f t="shared" si="60"/>
        <v>0</v>
      </c>
      <c r="DD149" s="6">
        <f t="shared" si="61"/>
        <v>0</v>
      </c>
      <c r="DE149" s="6">
        <f t="shared" si="62"/>
        <v>0</v>
      </c>
      <c r="DF149" s="6">
        <f t="shared" si="63"/>
        <v>0</v>
      </c>
      <c r="DG149" s="6">
        <f t="shared" si="64"/>
        <v>0</v>
      </c>
      <c r="DH149" s="6">
        <f t="shared" ref="DH149:DH168" si="652">IF(
OR(
ISNUMBER(SEARCH("Spirituality",$D149)),ISNUMBER(SEARCH("Spirituality",$T149)),ISNUMBER(SEARCH("Spirituality",$R147)),ISNUMBER(SEARCH("Spirituality",$S149)),
ISNUMBER(SEARCH("religio",$D149)),ISNUMBER(SEARCH("religio",$T149)),ISNUMBER(SEARCH("religio",$R149)),ISNUMBER(SEARCH("religio",$S149))), 1, 0)</f>
        <v>0</v>
      </c>
      <c r="DI149" s="6">
        <f t="shared" si="66"/>
        <v>0</v>
      </c>
      <c r="DJ149" s="6">
        <f t="shared" ref="DJ149:DJ264" si="653">IF(OR(ISNUMBER(SEARCH("Emotional stability", $D149)), ISNUMBER(SEARCH("Emotional stability", $T149)), ISNUMBER(SEARCH("Emotional stability", $R149)), ISNUMBER(SEARCH("Emotional stability", $S149))), 1, 0)</f>
        <v>0</v>
      </c>
      <c r="DK149" s="7">
        <f t="shared" si="68"/>
        <v>0</v>
      </c>
      <c r="DL149" s="7">
        <f t="shared" si="498"/>
        <v>0</v>
      </c>
      <c r="DM149" s="7">
        <f t="shared" si="70"/>
        <v>0</v>
      </c>
      <c r="DN149" s="7">
        <f t="shared" si="71"/>
        <v>0</v>
      </c>
      <c r="DO149" s="7">
        <f t="shared" si="72"/>
        <v>0</v>
      </c>
      <c r="DP149" s="8">
        <f t="shared" si="73"/>
        <v>0</v>
      </c>
      <c r="DQ149" s="8">
        <f t="shared" si="74"/>
        <v>1</v>
      </c>
      <c r="DR149" s="7">
        <f t="shared" si="75"/>
        <v>0</v>
      </c>
      <c r="DS149" s="7">
        <f t="shared" si="76"/>
        <v>0</v>
      </c>
      <c r="DT149" s="7">
        <f t="shared" si="77"/>
        <v>0</v>
      </c>
      <c r="DU149" s="9">
        <f t="shared" si="78"/>
        <v>0</v>
      </c>
      <c r="DV149" s="9">
        <f t="shared" si="79"/>
        <v>0</v>
      </c>
      <c r="DW149" s="9">
        <f t="shared" si="80"/>
        <v>0</v>
      </c>
      <c r="DX149" s="9">
        <f t="shared" si="81"/>
        <v>0</v>
      </c>
      <c r="DY149" s="9">
        <f t="shared" si="82"/>
        <v>0</v>
      </c>
      <c r="DZ149" s="9">
        <f t="shared" si="83"/>
        <v>0</v>
      </c>
      <c r="EA149" s="9">
        <f t="shared" si="84"/>
        <v>0</v>
      </c>
      <c r="EB149" s="9">
        <f t="shared" si="85"/>
        <v>0</v>
      </c>
      <c r="EC149" s="9">
        <f t="shared" si="86"/>
        <v>0</v>
      </c>
      <c r="ED149" s="9">
        <f t="shared" si="87"/>
        <v>0</v>
      </c>
      <c r="EE149" s="9">
        <f t="shared" si="88"/>
        <v>0</v>
      </c>
      <c r="EF149" s="9">
        <f t="shared" si="89"/>
        <v>0</v>
      </c>
      <c r="EG149" s="9">
        <f t="shared" si="90"/>
        <v>0</v>
      </c>
      <c r="EH149" s="9">
        <f t="shared" si="91"/>
        <v>0</v>
      </c>
      <c r="EI149" s="9">
        <f t="shared" si="92"/>
        <v>0</v>
      </c>
      <c r="EJ149" s="10">
        <f t="shared" si="93"/>
        <v>0</v>
      </c>
      <c r="EK149" s="10">
        <f t="shared" si="94"/>
        <v>0</v>
      </c>
      <c r="EL149" s="10">
        <f t="shared" ref="EL149:EM149" si="650">IF(OR(ISNUMBER(SEARCH("ai software toolkit", $D149)), ISNUMBER(SEARCH("ai software toolkit", $T149)), ISNUMBER(SEARCH("ai software toolkit", $R149)), ISNUMBER(SEARCH("ai software toolkit", $S149))), 1, 0)</f>
        <v>0</v>
      </c>
      <c r="EM149" s="10">
        <f t="shared" si="650"/>
        <v>0</v>
      </c>
      <c r="EN149" s="10">
        <f t="shared" si="96"/>
        <v>0</v>
      </c>
      <c r="EO149" s="10">
        <f t="shared" si="97"/>
        <v>0</v>
      </c>
      <c r="EP149" s="10">
        <f t="shared" si="98"/>
        <v>0</v>
      </c>
      <c r="EQ149" s="10">
        <f t="shared" si="99"/>
        <v>0</v>
      </c>
      <c r="ER149" s="10">
        <f t="shared" si="100"/>
        <v>0</v>
      </c>
      <c r="ES149" s="10">
        <f t="shared" si="101"/>
        <v>0</v>
      </c>
      <c r="ET149" s="10">
        <f t="shared" si="102"/>
        <v>0</v>
      </c>
      <c r="EU149" s="10">
        <f t="shared" si="103"/>
        <v>0</v>
      </c>
      <c r="EV149" s="10">
        <f t="shared" si="104"/>
        <v>0</v>
      </c>
      <c r="EW149" s="10">
        <f t="shared" si="105"/>
        <v>0</v>
      </c>
      <c r="EX149" s="10">
        <f t="shared" si="106"/>
        <v>0</v>
      </c>
      <c r="EY149" s="10">
        <f t="shared" si="107"/>
        <v>0</v>
      </c>
      <c r="EZ149" s="10">
        <f t="shared" si="108"/>
        <v>0</v>
      </c>
      <c r="FA149" s="10">
        <f t="shared" si="109"/>
        <v>0</v>
      </c>
      <c r="FB149" s="10">
        <f t="shared" si="110"/>
        <v>0</v>
      </c>
      <c r="FC149" s="10">
        <f t="shared" si="111"/>
        <v>0</v>
      </c>
      <c r="FD149" s="10">
        <f t="shared" si="112"/>
        <v>0</v>
      </c>
      <c r="FE149" s="10">
        <f t="shared" si="113"/>
        <v>1</v>
      </c>
      <c r="FF149" s="10">
        <f t="shared" si="114"/>
        <v>0</v>
      </c>
      <c r="FG149" s="10">
        <f t="shared" si="115"/>
        <v>0</v>
      </c>
      <c r="FH149" s="10">
        <f t="shared" si="116"/>
        <v>0</v>
      </c>
      <c r="FI149" s="10">
        <f t="shared" si="117"/>
        <v>0</v>
      </c>
      <c r="FJ149" s="10">
        <f t="shared" si="118"/>
        <v>0</v>
      </c>
      <c r="FK149" s="10">
        <f t="shared" si="119"/>
        <v>0</v>
      </c>
      <c r="FL149" s="10">
        <f t="shared" si="120"/>
        <v>0</v>
      </c>
      <c r="FM149" s="10">
        <f t="shared" si="121"/>
        <v>0</v>
      </c>
      <c r="FN149" s="10">
        <f t="shared" si="122"/>
        <v>0</v>
      </c>
      <c r="FO149" s="10">
        <f t="shared" si="123"/>
        <v>0</v>
      </c>
      <c r="FP149" s="10">
        <f t="shared" si="124"/>
        <v>0</v>
      </c>
      <c r="FQ149" s="10">
        <f t="shared" si="125"/>
        <v>0</v>
      </c>
      <c r="FR149" s="11">
        <f t="shared" si="636"/>
        <v>0</v>
      </c>
      <c r="FS149" s="11">
        <f t="shared" si="127"/>
        <v>0</v>
      </c>
      <c r="FT149" s="11">
        <f t="shared" si="128"/>
        <v>0</v>
      </c>
      <c r="FU149" s="11">
        <f t="shared" si="129"/>
        <v>0</v>
      </c>
      <c r="FV149" s="11">
        <f t="shared" si="130"/>
        <v>0</v>
      </c>
      <c r="FW149" s="11">
        <f t="shared" si="131"/>
        <v>0</v>
      </c>
      <c r="FX149" s="11">
        <f t="shared" si="132"/>
        <v>0</v>
      </c>
      <c r="FY149" s="11">
        <f t="shared" si="133"/>
        <v>0</v>
      </c>
      <c r="FZ149" s="11">
        <f t="shared" si="134"/>
        <v>0</v>
      </c>
      <c r="GA149" s="11">
        <f t="shared" si="135"/>
        <v>0</v>
      </c>
      <c r="GB149" s="11">
        <f t="shared" si="136"/>
        <v>0</v>
      </c>
      <c r="GC149" s="11">
        <f t="shared" si="137"/>
        <v>0</v>
      </c>
      <c r="GD149" s="11">
        <f t="shared" si="138"/>
        <v>0</v>
      </c>
      <c r="GE149" s="11">
        <f t="shared" si="139"/>
        <v>0</v>
      </c>
      <c r="GF149" s="11">
        <f t="shared" si="140"/>
        <v>0</v>
      </c>
      <c r="GG149" s="11">
        <f t="shared" si="141"/>
        <v>0</v>
      </c>
      <c r="GH149" s="11">
        <f t="shared" si="142"/>
        <v>0</v>
      </c>
      <c r="GI149" s="11">
        <f t="shared" si="143"/>
        <v>0</v>
      </c>
      <c r="GJ149" s="11">
        <f t="shared" si="144"/>
        <v>0</v>
      </c>
      <c r="GK149" s="11">
        <f t="shared" si="145"/>
        <v>0</v>
      </c>
      <c r="GL149" s="11">
        <f t="shared" si="146"/>
        <v>0</v>
      </c>
      <c r="GM149" s="11">
        <f t="shared" si="147"/>
        <v>0</v>
      </c>
      <c r="GN149" s="11">
        <f t="shared" si="148"/>
        <v>0</v>
      </c>
      <c r="GO149" s="11">
        <f t="shared" si="149"/>
        <v>0</v>
      </c>
      <c r="GP149" s="11">
        <f t="shared" si="150"/>
        <v>0</v>
      </c>
      <c r="GQ149" s="11">
        <f t="shared" si="151"/>
        <v>0</v>
      </c>
      <c r="GR149" s="11">
        <f t="shared" si="152"/>
        <v>0</v>
      </c>
      <c r="GS149" s="11">
        <f t="shared" si="153"/>
        <v>0</v>
      </c>
      <c r="GT149" s="11">
        <f t="shared" si="154"/>
        <v>0</v>
      </c>
      <c r="GU149" s="12">
        <f t="shared" si="155"/>
        <v>0</v>
      </c>
      <c r="GV149" s="12">
        <f t="shared" si="156"/>
        <v>0</v>
      </c>
      <c r="GW149" s="12">
        <f t="shared" si="157"/>
        <v>0</v>
      </c>
      <c r="GX149" s="12">
        <f t="shared" si="158"/>
        <v>0</v>
      </c>
      <c r="GY149" s="12">
        <f t="shared" si="159"/>
        <v>0</v>
      </c>
      <c r="GZ149" s="12">
        <f t="shared" si="160"/>
        <v>0</v>
      </c>
      <c r="HA149" s="12">
        <f t="shared" si="161"/>
        <v>0</v>
      </c>
      <c r="HB149" s="12">
        <f t="shared" si="162"/>
        <v>0</v>
      </c>
      <c r="HC149" s="12">
        <f t="shared" si="163"/>
        <v>0</v>
      </c>
      <c r="HD149" s="12">
        <f t="shared" si="164"/>
        <v>0</v>
      </c>
      <c r="HE149" s="12">
        <f t="shared" si="165"/>
        <v>0</v>
      </c>
      <c r="HF149" s="12">
        <f t="shared" si="166"/>
        <v>0</v>
      </c>
      <c r="HG149" s="12">
        <f t="shared" si="167"/>
        <v>0</v>
      </c>
      <c r="HH149" s="12">
        <f t="shared" si="168"/>
        <v>0</v>
      </c>
      <c r="HI149" s="12">
        <f t="shared" si="169"/>
        <v>0</v>
      </c>
      <c r="HJ149" s="12">
        <f t="shared" si="170"/>
        <v>0</v>
      </c>
      <c r="HK149" s="12">
        <f t="shared" si="171"/>
        <v>0</v>
      </c>
      <c r="HL149" s="12">
        <f t="shared" si="172"/>
        <v>0</v>
      </c>
      <c r="HM149" s="12">
        <f t="shared" si="173"/>
        <v>0</v>
      </c>
      <c r="HN149" s="12">
        <f t="shared" si="174"/>
        <v>0</v>
      </c>
      <c r="HO149" s="12">
        <f t="shared" si="175"/>
        <v>0</v>
      </c>
      <c r="HP149" s="12">
        <f t="shared" si="176"/>
        <v>0</v>
      </c>
      <c r="HQ149" s="12">
        <f t="shared" si="177"/>
        <v>0</v>
      </c>
      <c r="HR149" s="12">
        <f t="shared" si="178"/>
        <v>0</v>
      </c>
      <c r="HS149" s="12">
        <f t="shared" si="179"/>
        <v>0</v>
      </c>
      <c r="HT149" s="12">
        <f t="shared" si="180"/>
        <v>0</v>
      </c>
      <c r="HU149" s="12">
        <f t="shared" si="181"/>
        <v>0</v>
      </c>
      <c r="HV149" s="12">
        <f t="shared" si="182"/>
        <v>0</v>
      </c>
      <c r="HW149" s="12">
        <f t="shared" si="183"/>
        <v>0</v>
      </c>
      <c r="HX149" s="12">
        <f t="shared" si="184"/>
        <v>0</v>
      </c>
      <c r="HY149" s="12">
        <f t="shared" si="185"/>
        <v>0</v>
      </c>
      <c r="HZ149" s="12">
        <f t="shared" si="186"/>
        <v>0</v>
      </c>
      <c r="IA149" s="12">
        <f t="shared" si="187"/>
        <v>0</v>
      </c>
      <c r="IB149" s="12">
        <f t="shared" si="188"/>
        <v>0</v>
      </c>
      <c r="IC149" s="12">
        <f t="shared" si="189"/>
        <v>0</v>
      </c>
      <c r="ID149" s="12">
        <f t="shared" si="190"/>
        <v>0</v>
      </c>
      <c r="IE149" s="12">
        <f t="shared" si="191"/>
        <v>0</v>
      </c>
      <c r="IF149" s="12">
        <f t="shared" si="192"/>
        <v>0</v>
      </c>
      <c r="IG149" s="12">
        <f t="shared" si="193"/>
        <v>0</v>
      </c>
      <c r="IH149" s="12">
        <f t="shared" si="194"/>
        <v>0</v>
      </c>
      <c r="II149" s="12">
        <f t="shared" si="195"/>
        <v>0</v>
      </c>
      <c r="IJ149" s="12">
        <f t="shared" si="196"/>
        <v>0</v>
      </c>
      <c r="IK149" s="12">
        <f t="shared" si="197"/>
        <v>0</v>
      </c>
      <c r="IL149" s="12">
        <f t="shared" si="198"/>
        <v>0</v>
      </c>
      <c r="IM149" s="12">
        <f t="shared" si="199"/>
        <v>0</v>
      </c>
      <c r="IN149" s="12">
        <f t="shared" si="200"/>
        <v>0</v>
      </c>
      <c r="IO149" s="12">
        <f t="shared" si="201"/>
        <v>0</v>
      </c>
      <c r="IP149" s="12">
        <f t="shared" si="202"/>
        <v>0</v>
      </c>
      <c r="IQ149" s="12">
        <f t="shared" si="203"/>
        <v>0</v>
      </c>
      <c r="IR149" s="12">
        <f t="shared" si="204"/>
        <v>0</v>
      </c>
      <c r="IS149" s="12">
        <f t="shared" si="205"/>
        <v>0</v>
      </c>
      <c r="IT149" s="12">
        <f t="shared" si="206"/>
        <v>0</v>
      </c>
      <c r="IU149" s="12">
        <f t="shared" si="207"/>
        <v>0</v>
      </c>
      <c r="IV149" s="12">
        <f t="shared" si="208"/>
        <v>0</v>
      </c>
      <c r="IW149" s="12">
        <f t="shared" si="209"/>
        <v>0</v>
      </c>
      <c r="IX149" s="12">
        <f t="shared" si="210"/>
        <v>0</v>
      </c>
      <c r="IY149" s="12">
        <f t="shared" si="211"/>
        <v>0</v>
      </c>
      <c r="IZ149" s="12">
        <f t="shared" si="212"/>
        <v>0</v>
      </c>
      <c r="JA149" s="13">
        <f t="shared" si="213"/>
        <v>0</v>
      </c>
      <c r="JB149" s="13">
        <f t="shared" si="214"/>
        <v>0</v>
      </c>
      <c r="JC149" s="13">
        <f t="shared" si="215"/>
        <v>0</v>
      </c>
      <c r="JD149" s="13">
        <f t="shared" si="216"/>
        <v>0</v>
      </c>
      <c r="JE149" s="13">
        <f t="shared" si="217"/>
        <v>0</v>
      </c>
      <c r="JF149" s="13">
        <f t="shared" si="218"/>
        <v>0</v>
      </c>
      <c r="JG149" s="13">
        <f t="shared" si="219"/>
        <v>0</v>
      </c>
      <c r="JH149" s="13">
        <f t="shared" si="220"/>
        <v>0</v>
      </c>
      <c r="JI149" s="13">
        <f t="shared" si="221"/>
        <v>0</v>
      </c>
      <c r="JJ149" s="13">
        <f t="shared" si="222"/>
        <v>0</v>
      </c>
      <c r="JK149" s="13">
        <f t="shared" si="223"/>
        <v>0</v>
      </c>
      <c r="JL149" s="13">
        <f t="shared" si="224"/>
        <v>0</v>
      </c>
      <c r="JM149" s="13">
        <f t="shared" si="225"/>
        <v>0</v>
      </c>
      <c r="JN149" s="13">
        <f t="shared" si="226"/>
        <v>0</v>
      </c>
      <c r="JO149" s="13">
        <f t="shared" si="227"/>
        <v>0</v>
      </c>
      <c r="JP149" s="13">
        <f t="shared" si="228"/>
        <v>0</v>
      </c>
      <c r="JQ149" s="13">
        <f t="shared" si="229"/>
        <v>0</v>
      </c>
      <c r="JR149" s="13">
        <f t="shared" si="230"/>
        <v>0</v>
      </c>
      <c r="JS149" s="13">
        <f t="shared" si="231"/>
        <v>0</v>
      </c>
      <c r="JT149" s="13">
        <f t="shared" si="232"/>
        <v>0</v>
      </c>
      <c r="JU149" s="13">
        <f t="shared" si="233"/>
        <v>0</v>
      </c>
      <c r="JV149" s="12">
        <f t="shared" si="234"/>
        <v>0</v>
      </c>
      <c r="JW149" s="12">
        <f t="shared" si="235"/>
        <v>0</v>
      </c>
      <c r="JX149" s="12">
        <f t="shared" si="236"/>
        <v>0</v>
      </c>
      <c r="JY149" s="12">
        <f t="shared" si="237"/>
        <v>0</v>
      </c>
      <c r="JZ149" s="12">
        <f t="shared" si="238"/>
        <v>0</v>
      </c>
      <c r="KA149" s="12">
        <f t="shared" si="239"/>
        <v>0</v>
      </c>
      <c r="KB149" s="12">
        <f t="shared" si="240"/>
        <v>0</v>
      </c>
      <c r="KC149" s="12">
        <f t="shared" si="241"/>
        <v>0</v>
      </c>
      <c r="KD149" s="12">
        <f t="shared" si="242"/>
        <v>0</v>
      </c>
      <c r="KE149" s="12">
        <f t="shared" si="243"/>
        <v>0</v>
      </c>
      <c r="KF149" s="12">
        <f t="shared" si="244"/>
        <v>0</v>
      </c>
      <c r="KG149" s="12">
        <f t="shared" si="245"/>
        <v>0</v>
      </c>
      <c r="KH149" s="12">
        <f t="shared" si="246"/>
        <v>0</v>
      </c>
      <c r="KI149" s="12">
        <f t="shared" si="247"/>
        <v>0</v>
      </c>
      <c r="KJ149" s="12">
        <f t="shared" si="248"/>
        <v>0</v>
      </c>
      <c r="KK149" s="12">
        <f t="shared" si="249"/>
        <v>0</v>
      </c>
      <c r="KL149" s="12">
        <f t="shared" si="250"/>
        <v>0</v>
      </c>
      <c r="KM149" s="12">
        <f t="shared" si="251"/>
        <v>0</v>
      </c>
      <c r="KN149" s="12">
        <f t="shared" si="252"/>
        <v>0</v>
      </c>
      <c r="KO149" s="12">
        <f t="shared" si="253"/>
        <v>0</v>
      </c>
      <c r="KP149" s="12">
        <f t="shared" si="254"/>
        <v>0</v>
      </c>
      <c r="KQ149" s="12">
        <f t="shared" si="255"/>
        <v>0</v>
      </c>
      <c r="KR149" s="12">
        <f t="shared" si="256"/>
        <v>0</v>
      </c>
      <c r="KS149" s="12">
        <f t="shared" si="257"/>
        <v>0</v>
      </c>
      <c r="KT149" s="12">
        <f t="shared" si="258"/>
        <v>0</v>
      </c>
      <c r="KU149" s="12">
        <f t="shared" si="259"/>
        <v>0</v>
      </c>
      <c r="KV149" s="12">
        <f t="shared" si="260"/>
        <v>0</v>
      </c>
      <c r="KW149" s="12">
        <f t="shared" si="261"/>
        <v>0</v>
      </c>
      <c r="KX149" s="12">
        <f t="shared" si="262"/>
        <v>0</v>
      </c>
      <c r="KY149" s="12">
        <f t="shared" si="263"/>
        <v>0</v>
      </c>
      <c r="KZ149" s="12">
        <f t="shared" si="264"/>
        <v>0</v>
      </c>
      <c r="LA149" s="12">
        <f t="shared" si="265"/>
        <v>0</v>
      </c>
      <c r="LB149" s="12">
        <f t="shared" si="266"/>
        <v>0</v>
      </c>
      <c r="LC149" s="12">
        <f t="shared" si="267"/>
        <v>0</v>
      </c>
      <c r="LD149" s="12">
        <f t="shared" si="268"/>
        <v>0</v>
      </c>
      <c r="LE149" s="12">
        <f t="shared" si="269"/>
        <v>0</v>
      </c>
      <c r="LF149" s="12">
        <f t="shared" si="270"/>
        <v>0</v>
      </c>
      <c r="LG149" s="12">
        <f t="shared" si="271"/>
        <v>0</v>
      </c>
      <c r="LH149" s="12">
        <f t="shared" si="272"/>
        <v>0</v>
      </c>
      <c r="LI149" s="12">
        <f t="shared" si="273"/>
        <v>0</v>
      </c>
      <c r="LJ149" s="12">
        <f t="shared" si="274"/>
        <v>0</v>
      </c>
      <c r="LK149" s="12">
        <f t="shared" si="275"/>
        <v>0</v>
      </c>
      <c r="LL149" s="12">
        <f t="shared" si="276"/>
        <v>0</v>
      </c>
      <c r="LM149" s="12">
        <f t="shared" si="277"/>
        <v>0</v>
      </c>
      <c r="LN149" s="12">
        <f t="shared" si="278"/>
        <v>0</v>
      </c>
      <c r="LO149" s="12">
        <f t="shared" si="279"/>
        <v>0</v>
      </c>
      <c r="LP149" s="12">
        <f t="shared" si="280"/>
        <v>0</v>
      </c>
      <c r="LQ149" s="12">
        <f t="shared" si="281"/>
        <v>0</v>
      </c>
      <c r="LR149" s="12">
        <f t="shared" si="282"/>
        <v>0</v>
      </c>
      <c r="LS149" s="12">
        <f t="shared" si="283"/>
        <v>0</v>
      </c>
      <c r="LT149" s="13">
        <f t="shared" si="284"/>
        <v>0</v>
      </c>
      <c r="LU149" s="13">
        <f t="shared" si="285"/>
        <v>0</v>
      </c>
      <c r="LV149" s="13">
        <f t="shared" si="286"/>
        <v>0</v>
      </c>
      <c r="LW149" s="13">
        <f t="shared" si="287"/>
        <v>0</v>
      </c>
      <c r="LX149" s="13">
        <f t="shared" si="288"/>
        <v>0</v>
      </c>
      <c r="LY149" s="13">
        <f t="shared" si="289"/>
        <v>0</v>
      </c>
      <c r="LZ149" s="13">
        <f t="shared" si="290"/>
        <v>0</v>
      </c>
      <c r="MA149" s="13">
        <f t="shared" si="291"/>
        <v>0</v>
      </c>
      <c r="MB149" s="13">
        <f t="shared" si="292"/>
        <v>0</v>
      </c>
      <c r="MC149" s="13">
        <f t="shared" si="293"/>
        <v>0</v>
      </c>
      <c r="MD149" s="13">
        <f t="shared" si="294"/>
        <v>0</v>
      </c>
      <c r="ME149" s="13">
        <f t="shared" si="295"/>
        <v>0</v>
      </c>
      <c r="MF149" s="13">
        <f t="shared" si="296"/>
        <v>0</v>
      </c>
      <c r="MG149" s="13">
        <f t="shared" si="297"/>
        <v>0</v>
      </c>
      <c r="MH149" s="13">
        <f t="shared" si="298"/>
        <v>0</v>
      </c>
      <c r="MI149" s="13">
        <f t="shared" si="299"/>
        <v>0</v>
      </c>
      <c r="MJ149" s="13">
        <f t="shared" si="300"/>
        <v>0</v>
      </c>
      <c r="MK149" s="13">
        <f t="shared" si="301"/>
        <v>0</v>
      </c>
      <c r="ML149" s="14">
        <f t="shared" si="302"/>
        <v>0</v>
      </c>
      <c r="MM149" s="14">
        <f t="shared" si="303"/>
        <v>0</v>
      </c>
      <c r="MN149" s="14">
        <f t="shared" si="304"/>
        <v>0</v>
      </c>
      <c r="MO149" s="14">
        <f t="shared" si="305"/>
        <v>0</v>
      </c>
      <c r="MP149" s="14">
        <f t="shared" si="306"/>
        <v>0</v>
      </c>
      <c r="MQ149" s="14">
        <f t="shared" si="307"/>
        <v>0</v>
      </c>
      <c r="MR149" s="14">
        <f t="shared" si="308"/>
        <v>0</v>
      </c>
      <c r="MS149" s="14">
        <f t="shared" si="309"/>
        <v>0</v>
      </c>
      <c r="MT149" s="14">
        <f t="shared" si="310"/>
        <v>0</v>
      </c>
      <c r="MU149" s="14">
        <f t="shared" si="311"/>
        <v>0</v>
      </c>
      <c r="MV149" s="14">
        <f t="shared" si="312"/>
        <v>0</v>
      </c>
      <c r="MW149" s="14">
        <f t="shared" si="313"/>
        <v>0</v>
      </c>
      <c r="MX149" s="14">
        <f t="shared" si="314"/>
        <v>0</v>
      </c>
      <c r="MY149" s="14">
        <f t="shared" si="315"/>
        <v>0</v>
      </c>
      <c r="MZ149" s="14">
        <f t="shared" si="316"/>
        <v>0</v>
      </c>
      <c r="NA149" s="14">
        <f t="shared" si="317"/>
        <v>0</v>
      </c>
      <c r="NB149" s="14">
        <f t="shared" si="318"/>
        <v>0</v>
      </c>
    </row>
    <row r="150" ht="15.75" customHeight="1">
      <c r="A150" s="2">
        <v>377.0</v>
      </c>
      <c r="B150" s="2" t="s">
        <v>2895</v>
      </c>
      <c r="C150" s="2" t="s">
        <v>2896</v>
      </c>
      <c r="D150" s="2" t="s">
        <v>2897</v>
      </c>
      <c r="E150" s="2">
        <v>2016.0</v>
      </c>
      <c r="F150" s="2" t="s">
        <v>2898</v>
      </c>
      <c r="G150" s="2" t="s">
        <v>831</v>
      </c>
      <c r="H150" s="2" t="s">
        <v>603</v>
      </c>
      <c r="J150" s="2" t="s">
        <v>2899</v>
      </c>
      <c r="K150" s="2" t="s">
        <v>2900</v>
      </c>
      <c r="M150" s="2">
        <v>3.0</v>
      </c>
      <c r="N150" s="2" t="s">
        <v>2901</v>
      </c>
      <c r="O150" s="2" t="s">
        <v>2902</v>
      </c>
      <c r="P150" s="2" t="s">
        <v>2903</v>
      </c>
      <c r="Q150" s="2" t="s">
        <v>2904</v>
      </c>
      <c r="R150" s="2" t="s">
        <v>2905</v>
      </c>
      <c r="S150" s="2" t="s">
        <v>2906</v>
      </c>
      <c r="Y150" s="2" t="s">
        <v>2907</v>
      </c>
      <c r="AB150" s="2" t="s">
        <v>2214</v>
      </c>
      <c r="AG150" s="2" t="s">
        <v>2908</v>
      </c>
      <c r="AK150" s="2" t="s">
        <v>2909</v>
      </c>
      <c r="AL150" s="2" t="s">
        <v>384</v>
      </c>
      <c r="AN150" s="2" t="s">
        <v>386</v>
      </c>
      <c r="AO150" s="2" t="s">
        <v>2910</v>
      </c>
      <c r="AP150" s="2" t="s">
        <v>386</v>
      </c>
      <c r="AQ150" s="2">
        <v>1486.0</v>
      </c>
      <c r="AR150" s="2" t="s">
        <v>2897</v>
      </c>
      <c r="AS150" s="2" t="b">
        <v>1</v>
      </c>
      <c r="AT150" s="3">
        <v>0.0</v>
      </c>
      <c r="AU150" s="4"/>
      <c r="AV150" s="4">
        <v>1.0</v>
      </c>
      <c r="AW150" s="5">
        <f t="shared" si="432"/>
        <v>0</v>
      </c>
      <c r="AX150" s="5">
        <f t="shared" si="4"/>
        <v>0</v>
      </c>
      <c r="AY150" s="5">
        <f t="shared" si="5"/>
        <v>0</v>
      </c>
      <c r="AZ150" s="5">
        <f t="shared" si="6"/>
        <v>0</v>
      </c>
      <c r="BA150" s="5">
        <f t="shared" si="7"/>
        <v>0</v>
      </c>
      <c r="BB150" s="5">
        <f t="shared" si="8"/>
        <v>0</v>
      </c>
      <c r="BC150" s="5">
        <f t="shared" si="9"/>
        <v>0</v>
      </c>
      <c r="BD150" s="5">
        <f t="shared" si="10"/>
        <v>0</v>
      </c>
      <c r="BE150" s="5">
        <f t="shared" si="11"/>
        <v>0</v>
      </c>
      <c r="BF150" s="5">
        <f t="shared" si="12"/>
        <v>0</v>
      </c>
      <c r="BG150" s="5">
        <f t="shared" si="13"/>
        <v>0</v>
      </c>
      <c r="BH150" s="5">
        <f t="shared" si="14"/>
        <v>0</v>
      </c>
      <c r="BI150" s="5">
        <f t="shared" si="15"/>
        <v>0</v>
      </c>
      <c r="BJ150" s="5">
        <f t="shared" si="16"/>
        <v>0</v>
      </c>
      <c r="BK150" s="5">
        <f t="shared" si="17"/>
        <v>0</v>
      </c>
      <c r="BL150" s="5">
        <f t="shared" si="18"/>
        <v>0</v>
      </c>
      <c r="BM150" s="5">
        <f t="shared" si="19"/>
        <v>0</v>
      </c>
      <c r="BN150" s="5">
        <f t="shared" si="20"/>
        <v>0</v>
      </c>
      <c r="BO150" s="5">
        <f t="shared" si="21"/>
        <v>0</v>
      </c>
      <c r="BP150" s="5">
        <f t="shared" si="22"/>
        <v>0</v>
      </c>
      <c r="BQ150" s="5">
        <f t="shared" si="23"/>
        <v>0</v>
      </c>
      <c r="BR150" s="5">
        <f t="shared" si="24"/>
        <v>0</v>
      </c>
      <c r="BS150" s="5">
        <f t="shared" si="25"/>
        <v>0</v>
      </c>
      <c r="BT150" s="5">
        <f t="shared" si="26"/>
        <v>0</v>
      </c>
      <c r="BU150" s="5">
        <f t="shared" si="27"/>
        <v>1</v>
      </c>
      <c r="BV150" s="5">
        <f t="shared" ref="BV150:BW150" si="651">IF(OR(ISNUMBER(SEARCH("grit",$D150)),ISNUMBER(SEARCH("grit",$T150)),ISNUMBER(SEARCH("grit",$R150)),ISNUMBER(SEARCH("grit",$S150)),
ISNUMBER(SEARCH("determination",$D150)),ISNUMBER(SEARCH("determination",$T150)),ISNUMBER(SEARCH("determination",$R150)),ISNUMBER(SEARCH("determination",$S150)),
ISNUMBER(SEARCH("tenacity",$D150)),ISNUMBER(SEARCH("tenacity",$T150)),ISNUMBER(SEARCH("tenacity",$R150)),ISNUMBER(SEARCH("tenacity",$S150)),
ISNUMBER(SEARCH("endurance",$D150)),ISNUMBER(SEARCH("endurance",$T150)),ISNUMBER(SEARCH("endurance",$R150)),ISNUMBER(SEARCH("endurance",$S150)),
ISNUMBER(SEARCH("fortitude",$D150)),ISNUMBER(SEARCH("fortitude",$T150)),ISNUMBER(SEARCH("fortitude",$R150)),ISNUMBER(SEARCH("fortitude",$S150)),
ISNUMBER(SEARCH("resolve",$D150)),ISNUMBER(SEARCH("resolve",$T150)),ISNUMBER(SEARCH("resolve",$R150)),ISNUMBER(SEARCH("resolve",$S150)),
ISNUMBER(SEARCH("stamina",$D150)),ISNUMBER(SEARCH("stamina",$T150)),ISNUMBER(SEARCH("stamina",$R150)),ISNUMBER(SEARCH("stamina",$S150)),
ISNUMBER(SEARCH("guts",$D150)),ISNUMBER(SEARCH("guts",$T150)),ISNUMBER(SEARCH("guts",$R150)),ISNUMBER(SEARCH("guts",$S150)),
ISNUMBER(SEARCH("spunk",$D150)),ISNUMBER(SEARCH("spunk",$T150)),ISNUMBER(SEARCH("spunk",$R150)),ISNUMBER(SEARCH("spunk",$S150))), 1, 0)</f>
        <v>0</v>
      </c>
      <c r="BW150" s="5">
        <f t="shared" si="651"/>
        <v>0</v>
      </c>
      <c r="BX150" s="5">
        <f t="shared" si="29"/>
        <v>0</v>
      </c>
      <c r="BY150" s="5">
        <f t="shared" si="30"/>
        <v>0</v>
      </c>
      <c r="BZ150" s="5">
        <f t="shared" si="31"/>
        <v>0</v>
      </c>
      <c r="CA150" s="5">
        <f t="shared" si="32"/>
        <v>0</v>
      </c>
      <c r="CB150" s="5">
        <f t="shared" si="33"/>
        <v>0</v>
      </c>
      <c r="CC150" s="5">
        <f t="shared" si="34"/>
        <v>0</v>
      </c>
      <c r="CD150" s="5">
        <f t="shared" si="35"/>
        <v>0</v>
      </c>
      <c r="CE150" s="5">
        <f t="shared" si="36"/>
        <v>0</v>
      </c>
      <c r="CF150" s="5">
        <f t="shared" si="37"/>
        <v>0</v>
      </c>
      <c r="CG150" s="5">
        <f t="shared" si="38"/>
        <v>0</v>
      </c>
      <c r="CH150" s="5">
        <f t="shared" si="39"/>
        <v>0</v>
      </c>
      <c r="CI150" s="5">
        <f t="shared" si="40"/>
        <v>0</v>
      </c>
      <c r="CJ150" s="5">
        <f t="shared" si="41"/>
        <v>0</v>
      </c>
      <c r="CK150" s="5">
        <f t="shared" si="42"/>
        <v>0</v>
      </c>
      <c r="CL150" s="5">
        <f t="shared" si="43"/>
        <v>0</v>
      </c>
      <c r="CM150" s="5">
        <f t="shared" si="44"/>
        <v>0</v>
      </c>
      <c r="CN150" s="5">
        <f t="shared" si="45"/>
        <v>0</v>
      </c>
      <c r="CO150" s="5">
        <f t="shared" si="46"/>
        <v>0</v>
      </c>
      <c r="CP150" s="6">
        <f t="shared" si="47"/>
        <v>0</v>
      </c>
      <c r="CQ150" s="6">
        <f t="shared" si="48"/>
        <v>0</v>
      </c>
      <c r="CR150" s="6">
        <f t="shared" si="49"/>
        <v>0</v>
      </c>
      <c r="CS150" s="6">
        <f t="shared" si="50"/>
        <v>0</v>
      </c>
      <c r="CT150" s="6">
        <f t="shared" si="584"/>
        <v>0</v>
      </c>
      <c r="CU150" s="6">
        <f t="shared" si="52"/>
        <v>0</v>
      </c>
      <c r="CV150" s="6">
        <f t="shared" si="53"/>
        <v>0</v>
      </c>
      <c r="CW150" s="6">
        <f t="shared" si="54"/>
        <v>0</v>
      </c>
      <c r="CX150" s="6">
        <f t="shared" si="55"/>
        <v>0</v>
      </c>
      <c r="CY150" s="6">
        <f t="shared" si="56"/>
        <v>0</v>
      </c>
      <c r="CZ150" s="6">
        <f t="shared" si="57"/>
        <v>1</v>
      </c>
      <c r="DA150" s="6">
        <f t="shared" si="58"/>
        <v>0</v>
      </c>
      <c r="DB150" s="6">
        <f t="shared" si="59"/>
        <v>0</v>
      </c>
      <c r="DC150" s="6">
        <f t="shared" si="60"/>
        <v>0</v>
      </c>
      <c r="DD150" s="6">
        <f t="shared" si="61"/>
        <v>0</v>
      </c>
      <c r="DE150" s="6">
        <f t="shared" si="62"/>
        <v>0</v>
      </c>
      <c r="DF150" s="6">
        <f t="shared" si="63"/>
        <v>0</v>
      </c>
      <c r="DG150" s="6">
        <f t="shared" si="64"/>
        <v>0</v>
      </c>
      <c r="DH150" s="6">
        <f t="shared" si="652"/>
        <v>0</v>
      </c>
      <c r="DI150" s="6">
        <f t="shared" si="66"/>
        <v>0</v>
      </c>
      <c r="DJ150" s="6">
        <f t="shared" si="653"/>
        <v>0</v>
      </c>
      <c r="DK150" s="7">
        <f t="shared" si="68"/>
        <v>0</v>
      </c>
      <c r="DL150" s="7">
        <f t="shared" si="498"/>
        <v>0</v>
      </c>
      <c r="DM150" s="7">
        <f t="shared" si="70"/>
        <v>0</v>
      </c>
      <c r="DN150" s="7">
        <f t="shared" si="71"/>
        <v>0</v>
      </c>
      <c r="DO150" s="7">
        <f t="shared" si="72"/>
        <v>1</v>
      </c>
      <c r="DP150" s="8">
        <f t="shared" si="73"/>
        <v>0</v>
      </c>
      <c r="DQ150" s="8">
        <f t="shared" si="74"/>
        <v>1</v>
      </c>
      <c r="DR150" s="7">
        <f t="shared" si="75"/>
        <v>0</v>
      </c>
      <c r="DS150" s="7">
        <f t="shared" si="76"/>
        <v>0</v>
      </c>
      <c r="DT150" s="7">
        <f t="shared" si="77"/>
        <v>0</v>
      </c>
      <c r="DU150" s="9">
        <f t="shared" si="78"/>
        <v>0</v>
      </c>
      <c r="DV150" s="9">
        <f t="shared" si="79"/>
        <v>0</v>
      </c>
      <c r="DW150" s="9">
        <f t="shared" si="80"/>
        <v>0</v>
      </c>
      <c r="DX150" s="9">
        <f t="shared" si="81"/>
        <v>0</v>
      </c>
      <c r="DY150" s="9">
        <f t="shared" si="82"/>
        <v>0</v>
      </c>
      <c r="DZ150" s="9">
        <f t="shared" si="83"/>
        <v>0</v>
      </c>
      <c r="EA150" s="9">
        <f t="shared" si="84"/>
        <v>0</v>
      </c>
      <c r="EB150" s="9">
        <f t="shared" si="85"/>
        <v>0</v>
      </c>
      <c r="EC150" s="9">
        <f t="shared" si="86"/>
        <v>0</v>
      </c>
      <c r="ED150" s="9">
        <f t="shared" si="87"/>
        <v>0</v>
      </c>
      <c r="EE150" s="9">
        <f t="shared" si="88"/>
        <v>0</v>
      </c>
      <c r="EF150" s="9">
        <f t="shared" si="89"/>
        <v>0</v>
      </c>
      <c r="EG150" s="9">
        <f t="shared" si="90"/>
        <v>0</v>
      </c>
      <c r="EH150" s="9">
        <f t="shared" si="91"/>
        <v>0</v>
      </c>
      <c r="EI150" s="9">
        <f t="shared" si="92"/>
        <v>0</v>
      </c>
      <c r="EJ150" s="10">
        <f t="shared" si="93"/>
        <v>0</v>
      </c>
      <c r="EK150" s="10">
        <f t="shared" si="94"/>
        <v>0</v>
      </c>
      <c r="EL150" s="10">
        <f t="shared" ref="EL150:EM150" si="654">IF(OR(ISNUMBER(SEARCH("ai software toolkit", $D150)), ISNUMBER(SEARCH("ai software toolkit", $T150)), ISNUMBER(SEARCH("ai software toolkit", $R150)), ISNUMBER(SEARCH("ai software toolkit", $S150))), 1, 0)</f>
        <v>0</v>
      </c>
      <c r="EM150" s="10">
        <f t="shared" si="654"/>
        <v>0</v>
      </c>
      <c r="EN150" s="10">
        <f t="shared" si="96"/>
        <v>0</v>
      </c>
      <c r="EO150" s="10">
        <f t="shared" si="97"/>
        <v>0</v>
      </c>
      <c r="EP150" s="10">
        <f t="shared" si="98"/>
        <v>0</v>
      </c>
      <c r="EQ150" s="10">
        <f t="shared" si="99"/>
        <v>0</v>
      </c>
      <c r="ER150" s="10">
        <f t="shared" si="100"/>
        <v>0</v>
      </c>
      <c r="ES150" s="10">
        <f t="shared" si="101"/>
        <v>0</v>
      </c>
      <c r="ET150" s="10">
        <f t="shared" si="102"/>
        <v>0</v>
      </c>
      <c r="EU150" s="10">
        <f t="shared" si="103"/>
        <v>0</v>
      </c>
      <c r="EV150" s="10">
        <f t="shared" si="104"/>
        <v>0</v>
      </c>
      <c r="EW150" s="10">
        <f t="shared" si="105"/>
        <v>0</v>
      </c>
      <c r="EX150" s="10">
        <f t="shared" si="106"/>
        <v>0</v>
      </c>
      <c r="EY150" s="10">
        <f t="shared" si="107"/>
        <v>0</v>
      </c>
      <c r="EZ150" s="10">
        <f t="shared" si="108"/>
        <v>0</v>
      </c>
      <c r="FA150" s="10">
        <f t="shared" si="109"/>
        <v>0</v>
      </c>
      <c r="FB150" s="10">
        <f t="shared" si="110"/>
        <v>0</v>
      </c>
      <c r="FC150" s="10">
        <f t="shared" si="111"/>
        <v>0</v>
      </c>
      <c r="FD150" s="10">
        <f t="shared" si="112"/>
        <v>0</v>
      </c>
      <c r="FE150" s="10">
        <f t="shared" si="113"/>
        <v>0</v>
      </c>
      <c r="FF150" s="10">
        <f t="shared" si="114"/>
        <v>0</v>
      </c>
      <c r="FG150" s="10">
        <f t="shared" si="115"/>
        <v>0</v>
      </c>
      <c r="FH150" s="10">
        <f t="shared" si="116"/>
        <v>0</v>
      </c>
      <c r="FI150" s="10">
        <f t="shared" si="117"/>
        <v>0</v>
      </c>
      <c r="FJ150" s="10">
        <f t="shared" si="118"/>
        <v>0</v>
      </c>
      <c r="FK150" s="10">
        <f t="shared" si="119"/>
        <v>0</v>
      </c>
      <c r="FL150" s="10">
        <f t="shared" si="120"/>
        <v>0</v>
      </c>
      <c r="FM150" s="10">
        <f t="shared" si="121"/>
        <v>0</v>
      </c>
      <c r="FN150" s="10">
        <f t="shared" si="122"/>
        <v>0</v>
      </c>
      <c r="FO150" s="10">
        <f t="shared" si="123"/>
        <v>0</v>
      </c>
      <c r="FP150" s="10">
        <f t="shared" si="124"/>
        <v>0</v>
      </c>
      <c r="FQ150" s="10">
        <f t="shared" si="125"/>
        <v>0</v>
      </c>
      <c r="FR150" s="11">
        <f t="shared" si="636"/>
        <v>0</v>
      </c>
      <c r="FS150" s="11">
        <f t="shared" si="127"/>
        <v>0</v>
      </c>
      <c r="FT150" s="11">
        <f t="shared" si="128"/>
        <v>0</v>
      </c>
      <c r="FU150" s="11">
        <f t="shared" si="129"/>
        <v>0</v>
      </c>
      <c r="FV150" s="11">
        <f t="shared" si="130"/>
        <v>0</v>
      </c>
      <c r="FW150" s="11">
        <f t="shared" si="131"/>
        <v>0</v>
      </c>
      <c r="FX150" s="11">
        <f t="shared" si="132"/>
        <v>0</v>
      </c>
      <c r="FY150" s="11">
        <f t="shared" si="133"/>
        <v>0</v>
      </c>
      <c r="FZ150" s="11">
        <f t="shared" si="134"/>
        <v>0</v>
      </c>
      <c r="GA150" s="11">
        <f t="shared" si="135"/>
        <v>0</v>
      </c>
      <c r="GB150" s="11">
        <f t="shared" si="136"/>
        <v>0</v>
      </c>
      <c r="GC150" s="11">
        <f t="shared" si="137"/>
        <v>0</v>
      </c>
      <c r="GD150" s="11">
        <f t="shared" si="138"/>
        <v>0</v>
      </c>
      <c r="GE150" s="11">
        <f t="shared" si="139"/>
        <v>0</v>
      </c>
      <c r="GF150" s="11">
        <f t="shared" si="140"/>
        <v>0</v>
      </c>
      <c r="GG150" s="11">
        <f t="shared" si="141"/>
        <v>0</v>
      </c>
      <c r="GH150" s="11">
        <f t="shared" si="142"/>
        <v>0</v>
      </c>
      <c r="GI150" s="11">
        <f t="shared" si="143"/>
        <v>0</v>
      </c>
      <c r="GJ150" s="11">
        <f t="shared" si="144"/>
        <v>0</v>
      </c>
      <c r="GK150" s="11">
        <f t="shared" si="145"/>
        <v>0</v>
      </c>
      <c r="GL150" s="11">
        <f t="shared" si="146"/>
        <v>0</v>
      </c>
      <c r="GM150" s="11">
        <f t="shared" si="147"/>
        <v>0</v>
      </c>
      <c r="GN150" s="11">
        <f t="shared" si="148"/>
        <v>0</v>
      </c>
      <c r="GO150" s="11">
        <f t="shared" si="149"/>
        <v>0</v>
      </c>
      <c r="GP150" s="11">
        <f t="shared" si="150"/>
        <v>0</v>
      </c>
      <c r="GQ150" s="11">
        <f t="shared" si="151"/>
        <v>0</v>
      </c>
      <c r="GR150" s="11">
        <f t="shared" si="152"/>
        <v>0</v>
      </c>
      <c r="GS150" s="11">
        <f t="shared" si="153"/>
        <v>0</v>
      </c>
      <c r="GT150" s="11">
        <f t="shared" si="154"/>
        <v>0</v>
      </c>
      <c r="GU150" s="12">
        <f t="shared" si="155"/>
        <v>0</v>
      </c>
      <c r="GV150" s="12">
        <f t="shared" si="156"/>
        <v>0</v>
      </c>
      <c r="GW150" s="12">
        <f t="shared" si="157"/>
        <v>0</v>
      </c>
      <c r="GX150" s="12">
        <f t="shared" si="158"/>
        <v>0</v>
      </c>
      <c r="GY150" s="12">
        <f t="shared" si="159"/>
        <v>0</v>
      </c>
      <c r="GZ150" s="12">
        <f t="shared" si="160"/>
        <v>0</v>
      </c>
      <c r="HA150" s="12">
        <f t="shared" si="161"/>
        <v>0</v>
      </c>
      <c r="HB150" s="12">
        <f t="shared" si="162"/>
        <v>0</v>
      </c>
      <c r="HC150" s="12">
        <f t="shared" si="163"/>
        <v>0</v>
      </c>
      <c r="HD150" s="12">
        <f t="shared" si="164"/>
        <v>0</v>
      </c>
      <c r="HE150" s="12">
        <f t="shared" si="165"/>
        <v>0</v>
      </c>
      <c r="HF150" s="12">
        <f t="shared" si="166"/>
        <v>0</v>
      </c>
      <c r="HG150" s="12">
        <f t="shared" si="167"/>
        <v>0</v>
      </c>
      <c r="HH150" s="12">
        <f t="shared" si="168"/>
        <v>0</v>
      </c>
      <c r="HI150" s="12">
        <f t="shared" si="169"/>
        <v>0</v>
      </c>
      <c r="HJ150" s="12">
        <f t="shared" si="170"/>
        <v>0</v>
      </c>
      <c r="HK150" s="12">
        <f t="shared" si="171"/>
        <v>0</v>
      </c>
      <c r="HL150" s="12">
        <f t="shared" si="172"/>
        <v>0</v>
      </c>
      <c r="HM150" s="12">
        <f t="shared" si="173"/>
        <v>0</v>
      </c>
      <c r="HN150" s="12">
        <f t="shared" si="174"/>
        <v>0</v>
      </c>
      <c r="HO150" s="12">
        <f t="shared" si="175"/>
        <v>0</v>
      </c>
      <c r="HP150" s="12">
        <f t="shared" si="176"/>
        <v>0</v>
      </c>
      <c r="HQ150" s="12">
        <f t="shared" si="177"/>
        <v>0</v>
      </c>
      <c r="HR150" s="12">
        <f t="shared" si="178"/>
        <v>0</v>
      </c>
      <c r="HS150" s="12">
        <f t="shared" si="179"/>
        <v>0</v>
      </c>
      <c r="HT150" s="12">
        <f t="shared" si="180"/>
        <v>0</v>
      </c>
      <c r="HU150" s="12">
        <f t="shared" si="181"/>
        <v>0</v>
      </c>
      <c r="HV150" s="12">
        <f t="shared" si="182"/>
        <v>0</v>
      </c>
      <c r="HW150" s="12">
        <f t="shared" si="183"/>
        <v>0</v>
      </c>
      <c r="HX150" s="12">
        <f t="shared" si="184"/>
        <v>0</v>
      </c>
      <c r="HY150" s="12">
        <f t="shared" si="185"/>
        <v>0</v>
      </c>
      <c r="HZ150" s="12">
        <f t="shared" si="186"/>
        <v>0</v>
      </c>
      <c r="IA150" s="12">
        <f t="shared" si="187"/>
        <v>0</v>
      </c>
      <c r="IB150" s="12">
        <f t="shared" si="188"/>
        <v>0</v>
      </c>
      <c r="IC150" s="12">
        <f t="shared" si="189"/>
        <v>0</v>
      </c>
      <c r="ID150" s="12">
        <f t="shared" si="190"/>
        <v>0</v>
      </c>
      <c r="IE150" s="12">
        <f t="shared" si="191"/>
        <v>0</v>
      </c>
      <c r="IF150" s="12">
        <f t="shared" si="192"/>
        <v>0</v>
      </c>
      <c r="IG150" s="12">
        <f t="shared" si="193"/>
        <v>0</v>
      </c>
      <c r="IH150" s="12">
        <f t="shared" si="194"/>
        <v>0</v>
      </c>
      <c r="II150" s="12">
        <f t="shared" si="195"/>
        <v>0</v>
      </c>
      <c r="IJ150" s="12">
        <f t="shared" si="196"/>
        <v>0</v>
      </c>
      <c r="IK150" s="12">
        <f t="shared" si="197"/>
        <v>0</v>
      </c>
      <c r="IL150" s="12">
        <f t="shared" si="198"/>
        <v>0</v>
      </c>
      <c r="IM150" s="12">
        <f t="shared" si="199"/>
        <v>0</v>
      </c>
      <c r="IN150" s="12">
        <f t="shared" si="200"/>
        <v>0</v>
      </c>
      <c r="IO150" s="12">
        <f t="shared" si="201"/>
        <v>0</v>
      </c>
      <c r="IP150" s="12">
        <f t="shared" si="202"/>
        <v>0</v>
      </c>
      <c r="IQ150" s="12">
        <f t="shared" si="203"/>
        <v>0</v>
      </c>
      <c r="IR150" s="12">
        <f t="shared" si="204"/>
        <v>0</v>
      </c>
      <c r="IS150" s="12">
        <f t="shared" si="205"/>
        <v>0</v>
      </c>
      <c r="IT150" s="12">
        <f t="shared" si="206"/>
        <v>0</v>
      </c>
      <c r="IU150" s="12">
        <f t="shared" si="207"/>
        <v>0</v>
      </c>
      <c r="IV150" s="12">
        <f t="shared" si="208"/>
        <v>0</v>
      </c>
      <c r="IW150" s="12">
        <f t="shared" si="209"/>
        <v>0</v>
      </c>
      <c r="IX150" s="12">
        <f t="shared" si="210"/>
        <v>0</v>
      </c>
      <c r="IY150" s="12">
        <f t="shared" si="211"/>
        <v>0</v>
      </c>
      <c r="IZ150" s="12">
        <f t="shared" si="212"/>
        <v>0</v>
      </c>
      <c r="JA150" s="13">
        <f t="shared" si="213"/>
        <v>0</v>
      </c>
      <c r="JB150" s="13">
        <f t="shared" si="214"/>
        <v>0</v>
      </c>
      <c r="JC150" s="13">
        <f t="shared" si="215"/>
        <v>0</v>
      </c>
      <c r="JD150" s="13">
        <f t="shared" si="216"/>
        <v>0</v>
      </c>
      <c r="JE150" s="13">
        <f t="shared" si="217"/>
        <v>0</v>
      </c>
      <c r="JF150" s="13">
        <f t="shared" si="218"/>
        <v>0</v>
      </c>
      <c r="JG150" s="13">
        <f t="shared" si="219"/>
        <v>0</v>
      </c>
      <c r="JH150" s="13">
        <f t="shared" si="220"/>
        <v>0</v>
      </c>
      <c r="JI150" s="13">
        <f t="shared" si="221"/>
        <v>0</v>
      </c>
      <c r="JJ150" s="13">
        <f t="shared" si="222"/>
        <v>0</v>
      </c>
      <c r="JK150" s="13">
        <f t="shared" si="223"/>
        <v>0</v>
      </c>
      <c r="JL150" s="13">
        <f t="shared" si="224"/>
        <v>0</v>
      </c>
      <c r="JM150" s="13">
        <f t="shared" si="225"/>
        <v>0</v>
      </c>
      <c r="JN150" s="13">
        <f t="shared" si="226"/>
        <v>0</v>
      </c>
      <c r="JO150" s="13">
        <f t="shared" si="227"/>
        <v>0</v>
      </c>
      <c r="JP150" s="13">
        <f t="shared" si="228"/>
        <v>0</v>
      </c>
      <c r="JQ150" s="13">
        <f t="shared" si="229"/>
        <v>0</v>
      </c>
      <c r="JR150" s="13">
        <f t="shared" si="230"/>
        <v>0</v>
      </c>
      <c r="JS150" s="13">
        <f t="shared" si="231"/>
        <v>0</v>
      </c>
      <c r="JT150" s="13">
        <f t="shared" si="232"/>
        <v>0</v>
      </c>
      <c r="JU150" s="13">
        <f t="shared" si="233"/>
        <v>0</v>
      </c>
      <c r="JV150" s="12">
        <f t="shared" si="234"/>
        <v>0</v>
      </c>
      <c r="JW150" s="12">
        <f t="shared" si="235"/>
        <v>0</v>
      </c>
      <c r="JX150" s="12">
        <f t="shared" si="236"/>
        <v>0</v>
      </c>
      <c r="JY150" s="12">
        <f t="shared" si="237"/>
        <v>0</v>
      </c>
      <c r="JZ150" s="12">
        <f t="shared" si="238"/>
        <v>0</v>
      </c>
      <c r="KA150" s="12">
        <f t="shared" si="239"/>
        <v>0</v>
      </c>
      <c r="KB150" s="12">
        <f t="shared" si="240"/>
        <v>0</v>
      </c>
      <c r="KC150" s="12">
        <f t="shared" si="241"/>
        <v>0</v>
      </c>
      <c r="KD150" s="12">
        <f t="shared" si="242"/>
        <v>0</v>
      </c>
      <c r="KE150" s="12">
        <f t="shared" si="243"/>
        <v>0</v>
      </c>
      <c r="KF150" s="12">
        <f t="shared" si="244"/>
        <v>0</v>
      </c>
      <c r="KG150" s="12">
        <f t="shared" si="245"/>
        <v>0</v>
      </c>
      <c r="KH150" s="12">
        <f t="shared" si="246"/>
        <v>0</v>
      </c>
      <c r="KI150" s="12">
        <f t="shared" si="247"/>
        <v>0</v>
      </c>
      <c r="KJ150" s="12">
        <f t="shared" si="248"/>
        <v>0</v>
      </c>
      <c r="KK150" s="12">
        <f t="shared" si="249"/>
        <v>0</v>
      </c>
      <c r="KL150" s="12">
        <f t="shared" si="250"/>
        <v>0</v>
      </c>
      <c r="KM150" s="12">
        <f t="shared" si="251"/>
        <v>0</v>
      </c>
      <c r="KN150" s="12">
        <f t="shared" si="252"/>
        <v>0</v>
      </c>
      <c r="KO150" s="12">
        <f t="shared" si="253"/>
        <v>0</v>
      </c>
      <c r="KP150" s="12">
        <f t="shared" si="254"/>
        <v>0</v>
      </c>
      <c r="KQ150" s="12">
        <f t="shared" si="255"/>
        <v>0</v>
      </c>
      <c r="KR150" s="12">
        <f t="shared" si="256"/>
        <v>0</v>
      </c>
      <c r="KS150" s="12">
        <f t="shared" si="257"/>
        <v>0</v>
      </c>
      <c r="KT150" s="12">
        <f t="shared" si="258"/>
        <v>0</v>
      </c>
      <c r="KU150" s="12">
        <f t="shared" si="259"/>
        <v>0</v>
      </c>
      <c r="KV150" s="12">
        <f t="shared" si="260"/>
        <v>0</v>
      </c>
      <c r="KW150" s="12">
        <f t="shared" si="261"/>
        <v>0</v>
      </c>
      <c r="KX150" s="12">
        <f t="shared" si="262"/>
        <v>0</v>
      </c>
      <c r="KY150" s="12">
        <f t="shared" si="263"/>
        <v>0</v>
      </c>
      <c r="KZ150" s="12">
        <f t="shared" si="264"/>
        <v>0</v>
      </c>
      <c r="LA150" s="12">
        <f t="shared" si="265"/>
        <v>0</v>
      </c>
      <c r="LB150" s="12">
        <f t="shared" si="266"/>
        <v>0</v>
      </c>
      <c r="LC150" s="12">
        <f t="shared" si="267"/>
        <v>0</v>
      </c>
      <c r="LD150" s="12">
        <f t="shared" si="268"/>
        <v>0</v>
      </c>
      <c r="LE150" s="12">
        <f t="shared" si="269"/>
        <v>0</v>
      </c>
      <c r="LF150" s="12">
        <f t="shared" si="270"/>
        <v>0</v>
      </c>
      <c r="LG150" s="12">
        <f t="shared" si="271"/>
        <v>0</v>
      </c>
      <c r="LH150" s="12">
        <f t="shared" si="272"/>
        <v>0</v>
      </c>
      <c r="LI150" s="12">
        <f t="shared" si="273"/>
        <v>0</v>
      </c>
      <c r="LJ150" s="12">
        <f t="shared" si="274"/>
        <v>0</v>
      </c>
      <c r="LK150" s="12">
        <f t="shared" si="275"/>
        <v>0</v>
      </c>
      <c r="LL150" s="12">
        <f t="shared" si="276"/>
        <v>0</v>
      </c>
      <c r="LM150" s="12">
        <f t="shared" si="277"/>
        <v>0</v>
      </c>
      <c r="LN150" s="12">
        <f t="shared" si="278"/>
        <v>0</v>
      </c>
      <c r="LO150" s="12">
        <f t="shared" si="279"/>
        <v>0</v>
      </c>
      <c r="LP150" s="12">
        <f t="shared" si="280"/>
        <v>0</v>
      </c>
      <c r="LQ150" s="12">
        <f t="shared" si="281"/>
        <v>0</v>
      </c>
      <c r="LR150" s="12">
        <f t="shared" si="282"/>
        <v>0</v>
      </c>
      <c r="LS150" s="12">
        <f t="shared" si="283"/>
        <v>0</v>
      </c>
      <c r="LT150" s="13">
        <f t="shared" si="284"/>
        <v>0</v>
      </c>
      <c r="LU150" s="13">
        <f t="shared" si="285"/>
        <v>0</v>
      </c>
      <c r="LV150" s="13">
        <f t="shared" si="286"/>
        <v>0</v>
      </c>
      <c r="LW150" s="13">
        <f t="shared" si="287"/>
        <v>0</v>
      </c>
      <c r="LX150" s="13">
        <f t="shared" si="288"/>
        <v>0</v>
      </c>
      <c r="LY150" s="13">
        <f t="shared" si="289"/>
        <v>0</v>
      </c>
      <c r="LZ150" s="13">
        <f t="shared" si="290"/>
        <v>0</v>
      </c>
      <c r="MA150" s="13">
        <f t="shared" si="291"/>
        <v>0</v>
      </c>
      <c r="MB150" s="13">
        <f t="shared" si="292"/>
        <v>0</v>
      </c>
      <c r="MC150" s="13">
        <f t="shared" si="293"/>
        <v>0</v>
      </c>
      <c r="MD150" s="13">
        <f t="shared" si="294"/>
        <v>0</v>
      </c>
      <c r="ME150" s="13">
        <f t="shared" si="295"/>
        <v>0</v>
      </c>
      <c r="MF150" s="13">
        <f t="shared" si="296"/>
        <v>0</v>
      </c>
      <c r="MG150" s="13">
        <f t="shared" si="297"/>
        <v>0</v>
      </c>
      <c r="MH150" s="13">
        <f t="shared" si="298"/>
        <v>0</v>
      </c>
      <c r="MI150" s="13">
        <f t="shared" si="299"/>
        <v>0</v>
      </c>
      <c r="MJ150" s="13">
        <f t="shared" si="300"/>
        <v>0</v>
      </c>
      <c r="MK150" s="13">
        <f t="shared" si="301"/>
        <v>0</v>
      </c>
      <c r="ML150" s="14">
        <f t="shared" si="302"/>
        <v>0</v>
      </c>
      <c r="MM150" s="14">
        <f t="shared" si="303"/>
        <v>0</v>
      </c>
      <c r="MN150" s="14">
        <f t="shared" si="304"/>
        <v>0</v>
      </c>
      <c r="MO150" s="14">
        <f t="shared" si="305"/>
        <v>0</v>
      </c>
      <c r="MP150" s="14">
        <f t="shared" si="306"/>
        <v>0</v>
      </c>
      <c r="MQ150" s="14">
        <f t="shared" si="307"/>
        <v>0</v>
      </c>
      <c r="MR150" s="14">
        <f t="shared" si="308"/>
        <v>0</v>
      </c>
      <c r="MS150" s="14">
        <f t="shared" si="309"/>
        <v>0</v>
      </c>
      <c r="MT150" s="14">
        <f t="shared" si="310"/>
        <v>0</v>
      </c>
      <c r="MU150" s="14">
        <f t="shared" si="311"/>
        <v>0</v>
      </c>
      <c r="MV150" s="14">
        <f t="shared" si="312"/>
        <v>0</v>
      </c>
      <c r="MW150" s="14">
        <f t="shared" si="313"/>
        <v>0</v>
      </c>
      <c r="MX150" s="14">
        <f t="shared" si="314"/>
        <v>0</v>
      </c>
      <c r="MY150" s="14">
        <f t="shared" si="315"/>
        <v>0</v>
      </c>
      <c r="MZ150" s="14">
        <f t="shared" si="316"/>
        <v>0</v>
      </c>
      <c r="NA150" s="14">
        <f t="shared" si="317"/>
        <v>0</v>
      </c>
      <c r="NB150" s="14">
        <f t="shared" si="318"/>
        <v>0</v>
      </c>
    </row>
    <row r="151" ht="15.75" customHeight="1">
      <c r="A151" s="2">
        <v>467.0</v>
      </c>
      <c r="B151" s="2" t="s">
        <v>2911</v>
      </c>
      <c r="C151" s="2" t="s">
        <v>2912</v>
      </c>
      <c r="D151" s="2" t="s">
        <v>2913</v>
      </c>
      <c r="E151" s="2">
        <v>2023.0</v>
      </c>
      <c r="F151" s="2" t="s">
        <v>2914</v>
      </c>
      <c r="G151" s="2">
        <v>74.0</v>
      </c>
      <c r="J151" s="2" t="s">
        <v>1431</v>
      </c>
      <c r="K151" s="2" t="s">
        <v>831</v>
      </c>
      <c r="M151" s="2">
        <v>3.0</v>
      </c>
      <c r="N151" s="2" t="s">
        <v>2915</v>
      </c>
      <c r="O151" s="2" t="s">
        <v>2916</v>
      </c>
      <c r="P151" s="2" t="s">
        <v>2917</v>
      </c>
      <c r="Q151" s="2" t="s">
        <v>2918</v>
      </c>
      <c r="R151" s="2" t="s">
        <v>2919</v>
      </c>
      <c r="S151" s="2" t="s">
        <v>2920</v>
      </c>
      <c r="T151" s="2" t="s">
        <v>2921</v>
      </c>
      <c r="Y151" s="2" t="s">
        <v>2922</v>
      </c>
      <c r="AB151" s="2" t="s">
        <v>862</v>
      </c>
      <c r="AG151" s="2" t="s">
        <v>2923</v>
      </c>
      <c r="AJ151" s="2">
        <v>3.6754147E7</v>
      </c>
      <c r="AK151" s="2" t="s">
        <v>2924</v>
      </c>
      <c r="AL151" s="2" t="s">
        <v>384</v>
      </c>
      <c r="AM151" s="2" t="s">
        <v>1306</v>
      </c>
      <c r="AN151" s="2" t="s">
        <v>386</v>
      </c>
      <c r="AO151" s="2" t="s">
        <v>2925</v>
      </c>
      <c r="AP151" s="2" t="s">
        <v>386</v>
      </c>
      <c r="AQ151" s="2">
        <v>1813.0</v>
      </c>
      <c r="AR151" s="2" t="s">
        <v>2926</v>
      </c>
      <c r="AS151" s="2" t="b">
        <v>1</v>
      </c>
      <c r="AT151" s="3">
        <v>0.0</v>
      </c>
      <c r="AU151" s="4"/>
      <c r="AV151" s="4"/>
      <c r="AW151" s="5">
        <f t="shared" si="432"/>
        <v>0</v>
      </c>
      <c r="AX151" s="5">
        <f t="shared" si="4"/>
        <v>0</v>
      </c>
      <c r="AY151" s="5">
        <f t="shared" si="5"/>
        <v>0</v>
      </c>
      <c r="AZ151" s="5">
        <f t="shared" si="6"/>
        <v>0</v>
      </c>
      <c r="BA151" s="5">
        <f t="shared" si="7"/>
        <v>0</v>
      </c>
      <c r="BB151" s="5">
        <f t="shared" si="8"/>
        <v>0</v>
      </c>
      <c r="BC151" s="5">
        <f t="shared" si="9"/>
        <v>0</v>
      </c>
      <c r="BD151" s="5">
        <f t="shared" si="10"/>
        <v>0</v>
      </c>
      <c r="BE151" s="5">
        <f t="shared" si="11"/>
        <v>0</v>
      </c>
      <c r="BF151" s="5">
        <f t="shared" si="12"/>
        <v>0</v>
      </c>
      <c r="BG151" s="5">
        <f t="shared" si="13"/>
        <v>0</v>
      </c>
      <c r="BH151" s="5">
        <f t="shared" si="14"/>
        <v>0</v>
      </c>
      <c r="BI151" s="5">
        <f t="shared" si="15"/>
        <v>0</v>
      </c>
      <c r="BJ151" s="5">
        <f t="shared" si="16"/>
        <v>0</v>
      </c>
      <c r="BK151" s="5">
        <f t="shared" si="17"/>
        <v>0</v>
      </c>
      <c r="BL151" s="5">
        <f t="shared" si="18"/>
        <v>0</v>
      </c>
      <c r="BM151" s="5">
        <f t="shared" si="19"/>
        <v>0</v>
      </c>
      <c r="BN151" s="5">
        <f t="shared" si="20"/>
        <v>0</v>
      </c>
      <c r="BO151" s="5">
        <f t="shared" si="21"/>
        <v>0</v>
      </c>
      <c r="BP151" s="5">
        <f t="shared" si="22"/>
        <v>0</v>
      </c>
      <c r="BQ151" s="5">
        <f t="shared" si="23"/>
        <v>0</v>
      </c>
      <c r="BR151" s="5">
        <f t="shared" si="24"/>
        <v>0</v>
      </c>
      <c r="BS151" s="5">
        <f t="shared" si="25"/>
        <v>0</v>
      </c>
      <c r="BT151" s="5">
        <f t="shared" si="26"/>
        <v>0</v>
      </c>
      <c r="BU151" s="5">
        <f t="shared" si="27"/>
        <v>0</v>
      </c>
      <c r="BV151" s="5">
        <f t="shared" ref="BV151:BW151" si="655">IF(OR(ISNUMBER(SEARCH("grit",$D151)),ISNUMBER(SEARCH("grit",$T151)),ISNUMBER(SEARCH("grit",$R151)),ISNUMBER(SEARCH("grit",$S151)),
ISNUMBER(SEARCH("determination",$D151)),ISNUMBER(SEARCH("determination",$T151)),ISNUMBER(SEARCH("determination",$R151)),ISNUMBER(SEARCH("determination",$S151)),
ISNUMBER(SEARCH("tenacity",$D151)),ISNUMBER(SEARCH("tenacity",$T151)),ISNUMBER(SEARCH("tenacity",$R151)),ISNUMBER(SEARCH("tenacity",$S151)),
ISNUMBER(SEARCH("endurance",$D151)),ISNUMBER(SEARCH("endurance",$T151)),ISNUMBER(SEARCH("endurance",$R151)),ISNUMBER(SEARCH("endurance",$S151)),
ISNUMBER(SEARCH("fortitude",$D151)),ISNUMBER(SEARCH("fortitude",$T151)),ISNUMBER(SEARCH("fortitude",$R151)),ISNUMBER(SEARCH("fortitude",$S151)),
ISNUMBER(SEARCH("resolve",$D151)),ISNUMBER(SEARCH("resolve",$T151)),ISNUMBER(SEARCH("resolve",$R151)),ISNUMBER(SEARCH("resolve",$S151)),
ISNUMBER(SEARCH("stamina",$D151)),ISNUMBER(SEARCH("stamina",$T151)),ISNUMBER(SEARCH("stamina",$R151)),ISNUMBER(SEARCH("stamina",$S151)),
ISNUMBER(SEARCH("guts",$D151)),ISNUMBER(SEARCH("guts",$T151)),ISNUMBER(SEARCH("guts",$R151)),ISNUMBER(SEARCH("guts",$S151)),
ISNUMBER(SEARCH("spunk",$D151)),ISNUMBER(SEARCH("spunk",$T151)),ISNUMBER(SEARCH("spunk",$R151)),ISNUMBER(SEARCH("spunk",$S151))), 1, 0)</f>
        <v>0</v>
      </c>
      <c r="BW151" s="5">
        <f t="shared" si="655"/>
        <v>0</v>
      </c>
      <c r="BX151" s="5">
        <f t="shared" si="29"/>
        <v>0</v>
      </c>
      <c r="BY151" s="5">
        <f t="shared" si="30"/>
        <v>0</v>
      </c>
      <c r="BZ151" s="5">
        <f t="shared" si="31"/>
        <v>0</v>
      </c>
      <c r="CA151" s="5">
        <f t="shared" si="32"/>
        <v>0</v>
      </c>
      <c r="CB151" s="5">
        <f t="shared" si="33"/>
        <v>0</v>
      </c>
      <c r="CC151" s="5">
        <f t="shared" si="34"/>
        <v>0</v>
      </c>
      <c r="CD151" s="5">
        <f t="shared" si="35"/>
        <v>0</v>
      </c>
      <c r="CE151" s="5">
        <f t="shared" si="36"/>
        <v>0</v>
      </c>
      <c r="CF151" s="5">
        <f t="shared" si="37"/>
        <v>0</v>
      </c>
      <c r="CG151" s="5">
        <f t="shared" si="38"/>
        <v>0</v>
      </c>
      <c r="CH151" s="5">
        <f t="shared" si="39"/>
        <v>0</v>
      </c>
      <c r="CI151" s="5">
        <f t="shared" si="40"/>
        <v>0</v>
      </c>
      <c r="CJ151" s="5">
        <f t="shared" si="41"/>
        <v>0</v>
      </c>
      <c r="CK151" s="5">
        <f t="shared" si="42"/>
        <v>0</v>
      </c>
      <c r="CL151" s="5">
        <f t="shared" si="43"/>
        <v>0</v>
      </c>
      <c r="CM151" s="5">
        <f t="shared" si="44"/>
        <v>0</v>
      </c>
      <c r="CN151" s="5">
        <f t="shared" si="45"/>
        <v>0</v>
      </c>
      <c r="CO151" s="5">
        <f t="shared" si="46"/>
        <v>0</v>
      </c>
      <c r="CP151" s="6">
        <f t="shared" si="47"/>
        <v>0</v>
      </c>
      <c r="CQ151" s="6">
        <f t="shared" si="48"/>
        <v>0</v>
      </c>
      <c r="CR151" s="6">
        <f t="shared" si="49"/>
        <v>0</v>
      </c>
      <c r="CS151" s="6">
        <f t="shared" si="50"/>
        <v>0</v>
      </c>
      <c r="CT151" s="6">
        <f t="shared" si="584"/>
        <v>0</v>
      </c>
      <c r="CU151" s="6">
        <f t="shared" si="52"/>
        <v>0</v>
      </c>
      <c r="CV151" s="6">
        <f t="shared" si="53"/>
        <v>0</v>
      </c>
      <c r="CW151" s="6">
        <f t="shared" si="54"/>
        <v>0</v>
      </c>
      <c r="CX151" s="6">
        <f t="shared" si="55"/>
        <v>0</v>
      </c>
      <c r="CY151" s="6">
        <f t="shared" si="56"/>
        <v>0</v>
      </c>
      <c r="CZ151" s="6">
        <f t="shared" si="57"/>
        <v>0</v>
      </c>
      <c r="DA151" s="6">
        <f t="shared" si="58"/>
        <v>0</v>
      </c>
      <c r="DB151" s="6">
        <f t="shared" si="59"/>
        <v>0</v>
      </c>
      <c r="DC151" s="6">
        <f t="shared" si="60"/>
        <v>0</v>
      </c>
      <c r="DD151" s="6">
        <f t="shared" si="61"/>
        <v>0</v>
      </c>
      <c r="DE151" s="6">
        <f t="shared" si="62"/>
        <v>0</v>
      </c>
      <c r="DF151" s="6">
        <f t="shared" si="63"/>
        <v>0</v>
      </c>
      <c r="DG151" s="6">
        <f t="shared" si="64"/>
        <v>0</v>
      </c>
      <c r="DH151" s="6">
        <f t="shared" si="652"/>
        <v>0</v>
      </c>
      <c r="DI151" s="6">
        <f t="shared" si="66"/>
        <v>0</v>
      </c>
      <c r="DJ151" s="6">
        <f t="shared" si="653"/>
        <v>0</v>
      </c>
      <c r="DK151" s="7">
        <f t="shared" si="68"/>
        <v>0</v>
      </c>
      <c r="DL151" s="7">
        <f t="shared" si="498"/>
        <v>0</v>
      </c>
      <c r="DM151" s="7">
        <f t="shared" si="70"/>
        <v>0</v>
      </c>
      <c r="DN151" s="7">
        <f t="shared" si="71"/>
        <v>0</v>
      </c>
      <c r="DO151" s="7">
        <f t="shared" si="72"/>
        <v>0</v>
      </c>
      <c r="DP151" s="8">
        <f t="shared" si="73"/>
        <v>0</v>
      </c>
      <c r="DQ151" s="8">
        <f t="shared" si="74"/>
        <v>1</v>
      </c>
      <c r="DR151" s="7">
        <f t="shared" si="75"/>
        <v>0</v>
      </c>
      <c r="DS151" s="7">
        <f t="shared" si="76"/>
        <v>0</v>
      </c>
      <c r="DT151" s="7">
        <f t="shared" si="77"/>
        <v>0</v>
      </c>
      <c r="DU151" s="9">
        <f t="shared" si="78"/>
        <v>0</v>
      </c>
      <c r="DV151" s="9">
        <f t="shared" si="79"/>
        <v>0</v>
      </c>
      <c r="DW151" s="9">
        <f t="shared" si="80"/>
        <v>0</v>
      </c>
      <c r="DX151" s="9">
        <f t="shared" si="81"/>
        <v>0</v>
      </c>
      <c r="DY151" s="9">
        <f t="shared" si="82"/>
        <v>0</v>
      </c>
      <c r="DZ151" s="9">
        <f t="shared" si="83"/>
        <v>0</v>
      </c>
      <c r="EA151" s="9">
        <f t="shared" si="84"/>
        <v>0</v>
      </c>
      <c r="EB151" s="9">
        <f t="shared" si="85"/>
        <v>0</v>
      </c>
      <c r="EC151" s="9">
        <f t="shared" si="86"/>
        <v>0</v>
      </c>
      <c r="ED151" s="9">
        <f t="shared" si="87"/>
        <v>0</v>
      </c>
      <c r="EE151" s="9">
        <f t="shared" si="88"/>
        <v>0</v>
      </c>
      <c r="EF151" s="9">
        <f t="shared" si="89"/>
        <v>0</v>
      </c>
      <c r="EG151" s="9">
        <f t="shared" si="90"/>
        <v>0</v>
      </c>
      <c r="EH151" s="9">
        <f t="shared" si="91"/>
        <v>0</v>
      </c>
      <c r="EI151" s="9">
        <f t="shared" si="92"/>
        <v>0</v>
      </c>
      <c r="EJ151" s="10">
        <f t="shared" si="93"/>
        <v>0</v>
      </c>
      <c r="EK151" s="10">
        <f t="shared" si="94"/>
        <v>0</v>
      </c>
      <c r="EL151" s="10">
        <f t="shared" ref="EL151:EM151" si="656">IF(OR(ISNUMBER(SEARCH("ai software toolkit", $D151)), ISNUMBER(SEARCH("ai software toolkit", $T151)), ISNUMBER(SEARCH("ai software toolkit", $R151)), ISNUMBER(SEARCH("ai software toolkit", $S151))), 1, 0)</f>
        <v>0</v>
      </c>
      <c r="EM151" s="10">
        <f t="shared" si="656"/>
        <v>0</v>
      </c>
      <c r="EN151" s="10">
        <f t="shared" si="96"/>
        <v>0</v>
      </c>
      <c r="EO151" s="10">
        <f t="shared" si="97"/>
        <v>1</v>
      </c>
      <c r="EP151" s="10">
        <f t="shared" si="98"/>
        <v>0</v>
      </c>
      <c r="EQ151" s="10">
        <f t="shared" si="99"/>
        <v>0</v>
      </c>
      <c r="ER151" s="10">
        <f t="shared" si="100"/>
        <v>0</v>
      </c>
      <c r="ES151" s="10">
        <f t="shared" si="101"/>
        <v>0</v>
      </c>
      <c r="ET151" s="10">
        <f t="shared" si="102"/>
        <v>1</v>
      </c>
      <c r="EU151" s="10">
        <f t="shared" si="103"/>
        <v>0</v>
      </c>
      <c r="EV151" s="10">
        <f t="shared" si="104"/>
        <v>1</v>
      </c>
      <c r="EW151" s="10">
        <f t="shared" si="105"/>
        <v>0</v>
      </c>
      <c r="EX151" s="10">
        <f t="shared" si="106"/>
        <v>0</v>
      </c>
      <c r="EY151" s="10">
        <f t="shared" si="107"/>
        <v>0</v>
      </c>
      <c r="EZ151" s="10">
        <f t="shared" si="108"/>
        <v>0</v>
      </c>
      <c r="FA151" s="10">
        <f t="shared" si="109"/>
        <v>0</v>
      </c>
      <c r="FB151" s="10">
        <f t="shared" si="110"/>
        <v>0</v>
      </c>
      <c r="FC151" s="10">
        <f t="shared" si="111"/>
        <v>0</v>
      </c>
      <c r="FD151" s="10">
        <f t="shared" si="112"/>
        <v>0</v>
      </c>
      <c r="FE151" s="10">
        <f t="shared" si="113"/>
        <v>1</v>
      </c>
      <c r="FF151" s="10">
        <f t="shared" si="114"/>
        <v>0</v>
      </c>
      <c r="FG151" s="10">
        <f t="shared" si="115"/>
        <v>0</v>
      </c>
      <c r="FH151" s="10">
        <f t="shared" si="116"/>
        <v>0</v>
      </c>
      <c r="FI151" s="10">
        <f t="shared" si="117"/>
        <v>0</v>
      </c>
      <c r="FJ151" s="10">
        <f t="shared" si="118"/>
        <v>0</v>
      </c>
      <c r="FK151" s="10">
        <f t="shared" si="119"/>
        <v>0</v>
      </c>
      <c r="FL151" s="10">
        <f t="shared" si="120"/>
        <v>0</v>
      </c>
      <c r="FM151" s="10">
        <f t="shared" si="121"/>
        <v>0</v>
      </c>
      <c r="FN151" s="10">
        <f t="shared" si="122"/>
        <v>0</v>
      </c>
      <c r="FO151" s="10">
        <f t="shared" si="123"/>
        <v>0</v>
      </c>
      <c r="FP151" s="10">
        <f t="shared" si="124"/>
        <v>1</v>
      </c>
      <c r="FQ151" s="10">
        <f t="shared" si="125"/>
        <v>0</v>
      </c>
      <c r="FR151" s="11">
        <f t="shared" si="636"/>
        <v>0</v>
      </c>
      <c r="FS151" s="11">
        <f t="shared" si="127"/>
        <v>0</v>
      </c>
      <c r="FT151" s="11">
        <f t="shared" si="128"/>
        <v>0</v>
      </c>
      <c r="FU151" s="11">
        <f t="shared" si="129"/>
        <v>0</v>
      </c>
      <c r="FV151" s="11">
        <f t="shared" si="130"/>
        <v>0</v>
      </c>
      <c r="FW151" s="11">
        <f t="shared" si="131"/>
        <v>0</v>
      </c>
      <c r="FX151" s="11">
        <f t="shared" si="132"/>
        <v>0</v>
      </c>
      <c r="FY151" s="11">
        <f t="shared" si="133"/>
        <v>0</v>
      </c>
      <c r="FZ151" s="11">
        <f t="shared" si="134"/>
        <v>0</v>
      </c>
      <c r="GA151" s="11">
        <f t="shared" si="135"/>
        <v>0</v>
      </c>
      <c r="GB151" s="11">
        <f t="shared" si="136"/>
        <v>0</v>
      </c>
      <c r="GC151" s="11">
        <f t="shared" si="137"/>
        <v>0</v>
      </c>
      <c r="GD151" s="11">
        <f t="shared" si="138"/>
        <v>0</v>
      </c>
      <c r="GE151" s="11">
        <f t="shared" si="139"/>
        <v>0</v>
      </c>
      <c r="GF151" s="11">
        <f t="shared" si="140"/>
        <v>0</v>
      </c>
      <c r="GG151" s="11">
        <f t="shared" si="141"/>
        <v>0</v>
      </c>
      <c r="GH151" s="11">
        <f t="shared" si="142"/>
        <v>0</v>
      </c>
      <c r="GI151" s="11">
        <f t="shared" si="143"/>
        <v>0</v>
      </c>
      <c r="GJ151" s="11">
        <f t="shared" si="144"/>
        <v>0</v>
      </c>
      <c r="GK151" s="11">
        <f t="shared" si="145"/>
        <v>0</v>
      </c>
      <c r="GL151" s="11">
        <f t="shared" si="146"/>
        <v>0</v>
      </c>
      <c r="GM151" s="11">
        <f t="shared" si="147"/>
        <v>0</v>
      </c>
      <c r="GN151" s="11">
        <f t="shared" si="148"/>
        <v>0</v>
      </c>
      <c r="GO151" s="11">
        <f t="shared" si="149"/>
        <v>0</v>
      </c>
      <c r="GP151" s="11">
        <f t="shared" si="150"/>
        <v>0</v>
      </c>
      <c r="GQ151" s="11">
        <f t="shared" si="151"/>
        <v>1</v>
      </c>
      <c r="GR151" s="11">
        <f t="shared" si="152"/>
        <v>0</v>
      </c>
      <c r="GS151" s="11">
        <f t="shared" si="153"/>
        <v>0</v>
      </c>
      <c r="GT151" s="11">
        <f t="shared" si="154"/>
        <v>0</v>
      </c>
      <c r="GU151" s="12">
        <f t="shared" si="155"/>
        <v>0</v>
      </c>
      <c r="GV151" s="12">
        <f t="shared" si="156"/>
        <v>0</v>
      </c>
      <c r="GW151" s="12">
        <f t="shared" si="157"/>
        <v>0</v>
      </c>
      <c r="GX151" s="12">
        <f t="shared" si="158"/>
        <v>0</v>
      </c>
      <c r="GY151" s="12">
        <f t="shared" si="159"/>
        <v>0</v>
      </c>
      <c r="GZ151" s="12">
        <f t="shared" si="160"/>
        <v>0</v>
      </c>
      <c r="HA151" s="12">
        <f t="shared" si="161"/>
        <v>0</v>
      </c>
      <c r="HB151" s="12">
        <f t="shared" si="162"/>
        <v>0</v>
      </c>
      <c r="HC151" s="12">
        <f t="shared" si="163"/>
        <v>0</v>
      </c>
      <c r="HD151" s="12">
        <f t="shared" si="164"/>
        <v>0</v>
      </c>
      <c r="HE151" s="12">
        <f t="shared" si="165"/>
        <v>0</v>
      </c>
      <c r="HF151" s="12">
        <f t="shared" si="166"/>
        <v>0</v>
      </c>
      <c r="HG151" s="12">
        <f t="shared" si="167"/>
        <v>0</v>
      </c>
      <c r="HH151" s="12">
        <f t="shared" si="168"/>
        <v>0</v>
      </c>
      <c r="HI151" s="12">
        <f t="shared" si="169"/>
        <v>0</v>
      </c>
      <c r="HJ151" s="12">
        <f t="shared" si="170"/>
        <v>0</v>
      </c>
      <c r="HK151" s="12">
        <f t="shared" si="171"/>
        <v>0</v>
      </c>
      <c r="HL151" s="12">
        <f t="shared" si="172"/>
        <v>0</v>
      </c>
      <c r="HM151" s="12">
        <f t="shared" si="173"/>
        <v>0</v>
      </c>
      <c r="HN151" s="12">
        <f t="shared" si="174"/>
        <v>0</v>
      </c>
      <c r="HO151" s="12">
        <f t="shared" si="175"/>
        <v>0</v>
      </c>
      <c r="HP151" s="12">
        <f t="shared" si="176"/>
        <v>0</v>
      </c>
      <c r="HQ151" s="12">
        <f t="shared" si="177"/>
        <v>0</v>
      </c>
      <c r="HR151" s="12">
        <f t="shared" si="178"/>
        <v>0</v>
      </c>
      <c r="HS151" s="12">
        <f t="shared" si="179"/>
        <v>0</v>
      </c>
      <c r="HT151" s="12">
        <f t="shared" si="180"/>
        <v>0</v>
      </c>
      <c r="HU151" s="12">
        <f t="shared" si="181"/>
        <v>0</v>
      </c>
      <c r="HV151" s="12">
        <f t="shared" si="182"/>
        <v>0</v>
      </c>
      <c r="HW151" s="12">
        <f t="shared" si="183"/>
        <v>0</v>
      </c>
      <c r="HX151" s="12">
        <f t="shared" si="184"/>
        <v>0</v>
      </c>
      <c r="HY151" s="12">
        <f t="shared" si="185"/>
        <v>0</v>
      </c>
      <c r="HZ151" s="12">
        <f t="shared" si="186"/>
        <v>0</v>
      </c>
      <c r="IA151" s="12">
        <f t="shared" si="187"/>
        <v>0</v>
      </c>
      <c r="IB151" s="12">
        <f t="shared" si="188"/>
        <v>0</v>
      </c>
      <c r="IC151" s="12">
        <f t="shared" si="189"/>
        <v>0</v>
      </c>
      <c r="ID151" s="12">
        <f t="shared" si="190"/>
        <v>0</v>
      </c>
      <c r="IE151" s="12">
        <f t="shared" si="191"/>
        <v>0</v>
      </c>
      <c r="IF151" s="12">
        <f t="shared" si="192"/>
        <v>0</v>
      </c>
      <c r="IG151" s="12">
        <f t="shared" si="193"/>
        <v>0</v>
      </c>
      <c r="IH151" s="12">
        <f t="shared" si="194"/>
        <v>0</v>
      </c>
      <c r="II151" s="12">
        <f t="shared" si="195"/>
        <v>0</v>
      </c>
      <c r="IJ151" s="12">
        <f t="shared" si="196"/>
        <v>0</v>
      </c>
      <c r="IK151" s="12">
        <f t="shared" si="197"/>
        <v>0</v>
      </c>
      <c r="IL151" s="12">
        <f t="shared" si="198"/>
        <v>0</v>
      </c>
      <c r="IM151" s="12">
        <f t="shared" si="199"/>
        <v>0</v>
      </c>
      <c r="IN151" s="12">
        <f t="shared" si="200"/>
        <v>0</v>
      </c>
      <c r="IO151" s="12">
        <f t="shared" si="201"/>
        <v>0</v>
      </c>
      <c r="IP151" s="12">
        <f t="shared" si="202"/>
        <v>0</v>
      </c>
      <c r="IQ151" s="12">
        <f t="shared" si="203"/>
        <v>0</v>
      </c>
      <c r="IR151" s="12">
        <f t="shared" si="204"/>
        <v>0</v>
      </c>
      <c r="IS151" s="12">
        <f t="shared" si="205"/>
        <v>0</v>
      </c>
      <c r="IT151" s="12">
        <f t="shared" si="206"/>
        <v>0</v>
      </c>
      <c r="IU151" s="12">
        <f t="shared" si="207"/>
        <v>0</v>
      </c>
      <c r="IV151" s="12">
        <f t="shared" si="208"/>
        <v>0</v>
      </c>
      <c r="IW151" s="12">
        <f t="shared" si="209"/>
        <v>0</v>
      </c>
      <c r="IX151" s="12">
        <f t="shared" si="210"/>
        <v>0</v>
      </c>
      <c r="IY151" s="12">
        <f t="shared" si="211"/>
        <v>0</v>
      </c>
      <c r="IZ151" s="12">
        <f t="shared" si="212"/>
        <v>0</v>
      </c>
      <c r="JA151" s="13">
        <f t="shared" si="213"/>
        <v>0</v>
      </c>
      <c r="JB151" s="13">
        <f t="shared" si="214"/>
        <v>0</v>
      </c>
      <c r="JC151" s="13">
        <f t="shared" si="215"/>
        <v>0</v>
      </c>
      <c r="JD151" s="13">
        <f t="shared" si="216"/>
        <v>0</v>
      </c>
      <c r="JE151" s="13">
        <f t="shared" si="217"/>
        <v>0</v>
      </c>
      <c r="JF151" s="13">
        <f t="shared" si="218"/>
        <v>0</v>
      </c>
      <c r="JG151" s="13">
        <f t="shared" si="219"/>
        <v>0</v>
      </c>
      <c r="JH151" s="13">
        <f t="shared" si="220"/>
        <v>0</v>
      </c>
      <c r="JI151" s="13">
        <f t="shared" si="221"/>
        <v>0</v>
      </c>
      <c r="JJ151" s="13">
        <f t="shared" si="222"/>
        <v>0</v>
      </c>
      <c r="JK151" s="13">
        <f t="shared" si="223"/>
        <v>0</v>
      </c>
      <c r="JL151" s="13">
        <f t="shared" si="224"/>
        <v>0</v>
      </c>
      <c r="JM151" s="13">
        <f t="shared" si="225"/>
        <v>0</v>
      </c>
      <c r="JN151" s="13">
        <f t="shared" si="226"/>
        <v>0</v>
      </c>
      <c r="JO151" s="13">
        <f t="shared" si="227"/>
        <v>0</v>
      </c>
      <c r="JP151" s="13">
        <f t="shared" si="228"/>
        <v>0</v>
      </c>
      <c r="JQ151" s="13">
        <f t="shared" si="229"/>
        <v>0</v>
      </c>
      <c r="JR151" s="13">
        <f t="shared" si="230"/>
        <v>0</v>
      </c>
      <c r="JS151" s="13">
        <f t="shared" si="231"/>
        <v>0</v>
      </c>
      <c r="JT151" s="13">
        <f t="shared" si="232"/>
        <v>0</v>
      </c>
      <c r="JU151" s="13">
        <f t="shared" si="233"/>
        <v>0</v>
      </c>
      <c r="JV151" s="12">
        <f t="shared" si="234"/>
        <v>0</v>
      </c>
      <c r="JW151" s="12">
        <f t="shared" si="235"/>
        <v>0</v>
      </c>
      <c r="JX151" s="12">
        <f t="shared" si="236"/>
        <v>0</v>
      </c>
      <c r="JY151" s="12">
        <f t="shared" si="237"/>
        <v>0</v>
      </c>
      <c r="JZ151" s="12">
        <f t="shared" si="238"/>
        <v>0</v>
      </c>
      <c r="KA151" s="12">
        <f t="shared" si="239"/>
        <v>0</v>
      </c>
      <c r="KB151" s="12">
        <f t="shared" si="240"/>
        <v>0</v>
      </c>
      <c r="KC151" s="12">
        <f t="shared" si="241"/>
        <v>0</v>
      </c>
      <c r="KD151" s="12">
        <f t="shared" si="242"/>
        <v>0</v>
      </c>
      <c r="KE151" s="12">
        <f t="shared" si="243"/>
        <v>0</v>
      </c>
      <c r="KF151" s="12">
        <f t="shared" si="244"/>
        <v>0</v>
      </c>
      <c r="KG151" s="12">
        <f t="shared" si="245"/>
        <v>0</v>
      </c>
      <c r="KH151" s="12">
        <f t="shared" si="246"/>
        <v>0</v>
      </c>
      <c r="KI151" s="12">
        <f t="shared" si="247"/>
        <v>0</v>
      </c>
      <c r="KJ151" s="12">
        <f t="shared" si="248"/>
        <v>0</v>
      </c>
      <c r="KK151" s="12">
        <f t="shared" si="249"/>
        <v>0</v>
      </c>
      <c r="KL151" s="12">
        <f t="shared" si="250"/>
        <v>0</v>
      </c>
      <c r="KM151" s="12">
        <f t="shared" si="251"/>
        <v>0</v>
      </c>
      <c r="KN151" s="12">
        <f t="shared" si="252"/>
        <v>0</v>
      </c>
      <c r="KO151" s="12">
        <f t="shared" si="253"/>
        <v>0</v>
      </c>
      <c r="KP151" s="12">
        <f t="shared" si="254"/>
        <v>0</v>
      </c>
      <c r="KQ151" s="12">
        <f t="shared" si="255"/>
        <v>0</v>
      </c>
      <c r="KR151" s="12">
        <f t="shared" si="256"/>
        <v>0</v>
      </c>
      <c r="KS151" s="12">
        <f t="shared" si="257"/>
        <v>0</v>
      </c>
      <c r="KT151" s="12">
        <f t="shared" si="258"/>
        <v>0</v>
      </c>
      <c r="KU151" s="12">
        <f t="shared" si="259"/>
        <v>0</v>
      </c>
      <c r="KV151" s="12">
        <f t="shared" si="260"/>
        <v>0</v>
      </c>
      <c r="KW151" s="12">
        <f t="shared" si="261"/>
        <v>0</v>
      </c>
      <c r="KX151" s="12">
        <f t="shared" si="262"/>
        <v>0</v>
      </c>
      <c r="KY151" s="12">
        <f t="shared" si="263"/>
        <v>0</v>
      </c>
      <c r="KZ151" s="12">
        <f t="shared" si="264"/>
        <v>0</v>
      </c>
      <c r="LA151" s="12">
        <f t="shared" si="265"/>
        <v>0</v>
      </c>
      <c r="LB151" s="12">
        <f t="shared" si="266"/>
        <v>0</v>
      </c>
      <c r="LC151" s="12">
        <f t="shared" si="267"/>
        <v>0</v>
      </c>
      <c r="LD151" s="12">
        <f t="shared" si="268"/>
        <v>0</v>
      </c>
      <c r="LE151" s="12">
        <f t="shared" si="269"/>
        <v>0</v>
      </c>
      <c r="LF151" s="12">
        <f t="shared" si="270"/>
        <v>0</v>
      </c>
      <c r="LG151" s="12">
        <f t="shared" si="271"/>
        <v>0</v>
      </c>
      <c r="LH151" s="12">
        <f t="shared" si="272"/>
        <v>0</v>
      </c>
      <c r="LI151" s="12">
        <f t="shared" si="273"/>
        <v>0</v>
      </c>
      <c r="LJ151" s="12">
        <f t="shared" si="274"/>
        <v>0</v>
      </c>
      <c r="LK151" s="12">
        <f t="shared" si="275"/>
        <v>0</v>
      </c>
      <c r="LL151" s="12">
        <f t="shared" si="276"/>
        <v>0</v>
      </c>
      <c r="LM151" s="12">
        <f t="shared" si="277"/>
        <v>0</v>
      </c>
      <c r="LN151" s="12">
        <f t="shared" si="278"/>
        <v>0</v>
      </c>
      <c r="LO151" s="12">
        <f t="shared" si="279"/>
        <v>0</v>
      </c>
      <c r="LP151" s="12">
        <f t="shared" si="280"/>
        <v>0</v>
      </c>
      <c r="LQ151" s="12">
        <f t="shared" si="281"/>
        <v>0</v>
      </c>
      <c r="LR151" s="12">
        <f t="shared" si="282"/>
        <v>0</v>
      </c>
      <c r="LS151" s="12">
        <f t="shared" si="283"/>
        <v>0</v>
      </c>
      <c r="LT151" s="13">
        <f t="shared" si="284"/>
        <v>0</v>
      </c>
      <c r="LU151" s="13">
        <f t="shared" si="285"/>
        <v>0</v>
      </c>
      <c r="LV151" s="13">
        <f t="shared" si="286"/>
        <v>0</v>
      </c>
      <c r="LW151" s="13">
        <f t="shared" si="287"/>
        <v>0</v>
      </c>
      <c r="LX151" s="13">
        <f t="shared" si="288"/>
        <v>0</v>
      </c>
      <c r="LY151" s="13">
        <f t="shared" si="289"/>
        <v>0</v>
      </c>
      <c r="LZ151" s="13">
        <f t="shared" si="290"/>
        <v>0</v>
      </c>
      <c r="MA151" s="13">
        <f t="shared" si="291"/>
        <v>0</v>
      </c>
      <c r="MB151" s="13">
        <f t="shared" si="292"/>
        <v>0</v>
      </c>
      <c r="MC151" s="13">
        <f t="shared" si="293"/>
        <v>0</v>
      </c>
      <c r="MD151" s="13">
        <f t="shared" si="294"/>
        <v>0</v>
      </c>
      <c r="ME151" s="13">
        <f t="shared" si="295"/>
        <v>0</v>
      </c>
      <c r="MF151" s="13">
        <f t="shared" si="296"/>
        <v>0</v>
      </c>
      <c r="MG151" s="13">
        <f t="shared" si="297"/>
        <v>0</v>
      </c>
      <c r="MH151" s="13">
        <f t="shared" si="298"/>
        <v>0</v>
      </c>
      <c r="MI151" s="13">
        <f t="shared" si="299"/>
        <v>0</v>
      </c>
      <c r="MJ151" s="13">
        <f t="shared" si="300"/>
        <v>0</v>
      </c>
      <c r="MK151" s="13">
        <f t="shared" si="301"/>
        <v>0</v>
      </c>
      <c r="ML151" s="14">
        <f t="shared" si="302"/>
        <v>0</v>
      </c>
      <c r="MM151" s="14">
        <f t="shared" si="303"/>
        <v>0</v>
      </c>
      <c r="MN151" s="14">
        <f t="shared" si="304"/>
        <v>0</v>
      </c>
      <c r="MO151" s="14">
        <f t="shared" si="305"/>
        <v>0</v>
      </c>
      <c r="MP151" s="14">
        <f t="shared" si="306"/>
        <v>0</v>
      </c>
      <c r="MQ151" s="14">
        <f t="shared" si="307"/>
        <v>0</v>
      </c>
      <c r="MR151" s="14">
        <f t="shared" si="308"/>
        <v>0</v>
      </c>
      <c r="MS151" s="14">
        <f t="shared" si="309"/>
        <v>0</v>
      </c>
      <c r="MT151" s="14">
        <f t="shared" si="310"/>
        <v>0</v>
      </c>
      <c r="MU151" s="14">
        <f t="shared" si="311"/>
        <v>0</v>
      </c>
      <c r="MV151" s="14">
        <f t="shared" si="312"/>
        <v>0</v>
      </c>
      <c r="MW151" s="14">
        <f t="shared" si="313"/>
        <v>0</v>
      </c>
      <c r="MX151" s="14">
        <f t="shared" si="314"/>
        <v>0</v>
      </c>
      <c r="MY151" s="14">
        <f t="shared" si="315"/>
        <v>0</v>
      </c>
      <c r="MZ151" s="14">
        <f t="shared" si="316"/>
        <v>0</v>
      </c>
      <c r="NA151" s="14">
        <f t="shared" si="317"/>
        <v>0</v>
      </c>
      <c r="NB151" s="14">
        <f t="shared" si="318"/>
        <v>0</v>
      </c>
    </row>
    <row r="152" ht="15.75" customHeight="1">
      <c r="A152" s="2">
        <v>194.0</v>
      </c>
      <c r="B152" s="2" t="s">
        <v>2927</v>
      </c>
      <c r="C152" s="2" t="s">
        <v>2928</v>
      </c>
      <c r="D152" s="2" t="s">
        <v>2929</v>
      </c>
      <c r="E152" s="2">
        <v>2020.0</v>
      </c>
      <c r="F152" s="2" t="s">
        <v>2156</v>
      </c>
      <c r="G152" s="2" t="s">
        <v>1069</v>
      </c>
      <c r="H152" s="2" t="s">
        <v>472</v>
      </c>
      <c r="I152" s="2" t="s">
        <v>2930</v>
      </c>
      <c r="M152" s="2">
        <v>3.0</v>
      </c>
      <c r="N152" s="2" t="s">
        <v>2931</v>
      </c>
      <c r="O152" s="2" t="s">
        <v>2932</v>
      </c>
      <c r="P152" s="2" t="s">
        <v>2933</v>
      </c>
      <c r="Q152" s="2" t="s">
        <v>2934</v>
      </c>
      <c r="R152" s="2" t="s">
        <v>2935</v>
      </c>
      <c r="S152" s="2" t="s">
        <v>2936</v>
      </c>
      <c r="Y152" s="2" t="s">
        <v>2937</v>
      </c>
      <c r="AB152" s="2" t="s">
        <v>687</v>
      </c>
      <c r="AG152" s="2" t="s">
        <v>2165</v>
      </c>
      <c r="AK152" s="2" t="s">
        <v>2166</v>
      </c>
      <c r="AL152" s="2" t="s">
        <v>384</v>
      </c>
      <c r="AM152" s="2" t="s">
        <v>1306</v>
      </c>
      <c r="AN152" s="2" t="s">
        <v>386</v>
      </c>
      <c r="AO152" s="2" t="s">
        <v>2938</v>
      </c>
      <c r="AP152" s="2" t="s">
        <v>386</v>
      </c>
      <c r="AQ152" s="2">
        <v>812.0</v>
      </c>
      <c r="AR152" s="2" t="s">
        <v>2929</v>
      </c>
      <c r="AS152" s="2" t="b">
        <v>1</v>
      </c>
      <c r="AT152" s="3">
        <v>0.0</v>
      </c>
      <c r="AU152" s="4"/>
      <c r="AV152" s="4"/>
      <c r="AW152" s="5">
        <f t="shared" si="432"/>
        <v>0</v>
      </c>
      <c r="AX152" s="5">
        <f t="shared" si="4"/>
        <v>0</v>
      </c>
      <c r="AY152" s="5">
        <f t="shared" si="5"/>
        <v>0</v>
      </c>
      <c r="AZ152" s="5">
        <f t="shared" si="6"/>
        <v>0</v>
      </c>
      <c r="BA152" s="5">
        <f t="shared" si="7"/>
        <v>0</v>
      </c>
      <c r="BB152" s="5">
        <f t="shared" si="8"/>
        <v>0</v>
      </c>
      <c r="BC152" s="5">
        <f t="shared" si="9"/>
        <v>0</v>
      </c>
      <c r="BD152" s="5">
        <f t="shared" si="10"/>
        <v>0</v>
      </c>
      <c r="BE152" s="5">
        <f t="shared" si="11"/>
        <v>0</v>
      </c>
      <c r="BF152" s="5">
        <f t="shared" si="12"/>
        <v>0</v>
      </c>
      <c r="BG152" s="5">
        <f t="shared" si="13"/>
        <v>0</v>
      </c>
      <c r="BH152" s="5">
        <f t="shared" si="14"/>
        <v>0</v>
      </c>
      <c r="BI152" s="5">
        <f t="shared" si="15"/>
        <v>0</v>
      </c>
      <c r="BJ152" s="5">
        <f t="shared" si="16"/>
        <v>0</v>
      </c>
      <c r="BK152" s="5">
        <f t="shared" si="17"/>
        <v>0</v>
      </c>
      <c r="BL152" s="5">
        <f t="shared" si="18"/>
        <v>0</v>
      </c>
      <c r="BM152" s="5">
        <f t="shared" si="19"/>
        <v>0</v>
      </c>
      <c r="BN152" s="5">
        <f t="shared" si="20"/>
        <v>0</v>
      </c>
      <c r="BO152" s="5">
        <f t="shared" si="21"/>
        <v>0</v>
      </c>
      <c r="BP152" s="5">
        <f t="shared" si="22"/>
        <v>0</v>
      </c>
      <c r="BQ152" s="5">
        <f t="shared" si="23"/>
        <v>0</v>
      </c>
      <c r="BR152" s="5">
        <f t="shared" si="24"/>
        <v>0</v>
      </c>
      <c r="BS152" s="5">
        <f t="shared" si="25"/>
        <v>0</v>
      </c>
      <c r="BT152" s="5">
        <f t="shared" si="26"/>
        <v>0</v>
      </c>
      <c r="BU152" s="5">
        <f t="shared" si="27"/>
        <v>0</v>
      </c>
      <c r="BV152" s="5">
        <f t="shared" ref="BV152:BW152" si="657">IF(OR(ISNUMBER(SEARCH("grit",$D152)),ISNUMBER(SEARCH("grit",$T152)),ISNUMBER(SEARCH("grit",$R152)),ISNUMBER(SEARCH("grit",$S152)),
ISNUMBER(SEARCH("determination",$D152)),ISNUMBER(SEARCH("determination",$T152)),ISNUMBER(SEARCH("determination",$R152)),ISNUMBER(SEARCH("determination",$S152)),
ISNUMBER(SEARCH("tenacity",$D152)),ISNUMBER(SEARCH("tenacity",$T152)),ISNUMBER(SEARCH("tenacity",$R152)),ISNUMBER(SEARCH("tenacity",$S152)),
ISNUMBER(SEARCH("endurance",$D152)),ISNUMBER(SEARCH("endurance",$T152)),ISNUMBER(SEARCH("endurance",$R152)),ISNUMBER(SEARCH("endurance",$S152)),
ISNUMBER(SEARCH("fortitude",$D152)),ISNUMBER(SEARCH("fortitude",$T152)),ISNUMBER(SEARCH("fortitude",$R152)),ISNUMBER(SEARCH("fortitude",$S152)),
ISNUMBER(SEARCH("resolve",$D152)),ISNUMBER(SEARCH("resolve",$T152)),ISNUMBER(SEARCH("resolve",$R152)),ISNUMBER(SEARCH("resolve",$S152)),
ISNUMBER(SEARCH("stamina",$D152)),ISNUMBER(SEARCH("stamina",$T152)),ISNUMBER(SEARCH("stamina",$R152)),ISNUMBER(SEARCH("stamina",$S152)),
ISNUMBER(SEARCH("guts",$D152)),ISNUMBER(SEARCH("guts",$T152)),ISNUMBER(SEARCH("guts",$R152)),ISNUMBER(SEARCH("guts",$S152)),
ISNUMBER(SEARCH("spunk",$D152)),ISNUMBER(SEARCH("spunk",$T152)),ISNUMBER(SEARCH("spunk",$R152)),ISNUMBER(SEARCH("spunk",$S152))), 1, 0)</f>
        <v>0</v>
      </c>
      <c r="BW152" s="5">
        <f t="shared" si="657"/>
        <v>0</v>
      </c>
      <c r="BX152" s="5">
        <f t="shared" si="29"/>
        <v>0</v>
      </c>
      <c r="BY152" s="5">
        <f t="shared" si="30"/>
        <v>0</v>
      </c>
      <c r="BZ152" s="5">
        <f t="shared" si="31"/>
        <v>0</v>
      </c>
      <c r="CA152" s="5">
        <f t="shared" si="32"/>
        <v>0</v>
      </c>
      <c r="CB152" s="5">
        <f t="shared" si="33"/>
        <v>0</v>
      </c>
      <c r="CC152" s="5">
        <f t="shared" si="34"/>
        <v>0</v>
      </c>
      <c r="CD152" s="5">
        <f t="shared" si="35"/>
        <v>0</v>
      </c>
      <c r="CE152" s="5">
        <f t="shared" si="36"/>
        <v>0</v>
      </c>
      <c r="CF152" s="5">
        <f t="shared" si="37"/>
        <v>0</v>
      </c>
      <c r="CG152" s="5">
        <f t="shared" si="38"/>
        <v>0</v>
      </c>
      <c r="CH152" s="5">
        <f t="shared" si="39"/>
        <v>0</v>
      </c>
      <c r="CI152" s="5">
        <f t="shared" si="40"/>
        <v>0</v>
      </c>
      <c r="CJ152" s="5">
        <f t="shared" si="41"/>
        <v>0</v>
      </c>
      <c r="CK152" s="5">
        <f t="shared" si="42"/>
        <v>0</v>
      </c>
      <c r="CL152" s="5">
        <f t="shared" si="43"/>
        <v>0</v>
      </c>
      <c r="CM152" s="5">
        <f t="shared" si="44"/>
        <v>0</v>
      </c>
      <c r="CN152" s="5">
        <f t="shared" si="45"/>
        <v>0</v>
      </c>
      <c r="CO152" s="5">
        <f t="shared" si="46"/>
        <v>0</v>
      </c>
      <c r="CP152" s="6">
        <f t="shared" si="47"/>
        <v>0</v>
      </c>
      <c r="CQ152" s="6">
        <f t="shared" si="48"/>
        <v>0</v>
      </c>
      <c r="CR152" s="6">
        <f t="shared" si="49"/>
        <v>0</v>
      </c>
      <c r="CS152" s="6">
        <f t="shared" si="50"/>
        <v>0</v>
      </c>
      <c r="CT152" s="6">
        <f t="shared" si="584"/>
        <v>0</v>
      </c>
      <c r="CU152" s="6">
        <f t="shared" si="52"/>
        <v>0</v>
      </c>
      <c r="CV152" s="6">
        <f t="shared" si="53"/>
        <v>0</v>
      </c>
      <c r="CW152" s="6">
        <f t="shared" si="54"/>
        <v>0</v>
      </c>
      <c r="CX152" s="6">
        <f t="shared" si="55"/>
        <v>0</v>
      </c>
      <c r="CY152" s="6">
        <f t="shared" si="56"/>
        <v>0</v>
      </c>
      <c r="CZ152" s="6">
        <f t="shared" si="57"/>
        <v>0</v>
      </c>
      <c r="DA152" s="6">
        <f t="shared" si="58"/>
        <v>0</v>
      </c>
      <c r="DB152" s="6">
        <f t="shared" si="59"/>
        <v>0</v>
      </c>
      <c r="DC152" s="6">
        <f t="shared" si="60"/>
        <v>0</v>
      </c>
      <c r="DD152" s="6">
        <f t="shared" si="61"/>
        <v>0</v>
      </c>
      <c r="DE152" s="6">
        <f t="shared" si="62"/>
        <v>0</v>
      </c>
      <c r="DF152" s="6">
        <f t="shared" si="63"/>
        <v>0</v>
      </c>
      <c r="DG152" s="6">
        <f t="shared" si="64"/>
        <v>0</v>
      </c>
      <c r="DH152" s="6">
        <f t="shared" si="652"/>
        <v>0</v>
      </c>
      <c r="DI152" s="6">
        <f t="shared" si="66"/>
        <v>0</v>
      </c>
      <c r="DJ152" s="6">
        <f t="shared" si="653"/>
        <v>0</v>
      </c>
      <c r="DK152" s="7">
        <f t="shared" si="68"/>
        <v>0</v>
      </c>
      <c r="DL152" s="7">
        <f t="shared" si="498"/>
        <v>0</v>
      </c>
      <c r="DM152" s="7">
        <f t="shared" si="70"/>
        <v>0</v>
      </c>
      <c r="DN152" s="7">
        <f t="shared" si="71"/>
        <v>0</v>
      </c>
      <c r="DO152" s="7">
        <f t="shared" si="72"/>
        <v>1</v>
      </c>
      <c r="DP152" s="8">
        <f t="shared" si="73"/>
        <v>0</v>
      </c>
      <c r="DQ152" s="8">
        <f t="shared" si="74"/>
        <v>1</v>
      </c>
      <c r="DR152" s="7">
        <f t="shared" si="75"/>
        <v>0</v>
      </c>
      <c r="DS152" s="7">
        <f t="shared" si="76"/>
        <v>0</v>
      </c>
      <c r="DT152" s="7">
        <f t="shared" si="77"/>
        <v>0</v>
      </c>
      <c r="DU152" s="9">
        <f t="shared" si="78"/>
        <v>0</v>
      </c>
      <c r="DV152" s="9">
        <f t="shared" si="79"/>
        <v>0</v>
      </c>
      <c r="DW152" s="9">
        <f t="shared" si="80"/>
        <v>0</v>
      </c>
      <c r="DX152" s="9">
        <f t="shared" si="81"/>
        <v>0</v>
      </c>
      <c r="DY152" s="9">
        <f t="shared" si="82"/>
        <v>0</v>
      </c>
      <c r="DZ152" s="9">
        <f t="shared" si="83"/>
        <v>0</v>
      </c>
      <c r="EA152" s="9">
        <f t="shared" si="84"/>
        <v>0</v>
      </c>
      <c r="EB152" s="9">
        <f t="shared" si="85"/>
        <v>0</v>
      </c>
      <c r="EC152" s="9">
        <f t="shared" si="86"/>
        <v>0</v>
      </c>
      <c r="ED152" s="9">
        <f t="shared" si="87"/>
        <v>0</v>
      </c>
      <c r="EE152" s="9">
        <f t="shared" si="88"/>
        <v>0</v>
      </c>
      <c r="EF152" s="9">
        <f t="shared" si="89"/>
        <v>0</v>
      </c>
      <c r="EG152" s="9">
        <f t="shared" si="90"/>
        <v>0</v>
      </c>
      <c r="EH152" s="9">
        <f t="shared" si="91"/>
        <v>0</v>
      </c>
      <c r="EI152" s="9">
        <f t="shared" si="92"/>
        <v>0</v>
      </c>
      <c r="EJ152" s="10">
        <f t="shared" si="93"/>
        <v>0</v>
      </c>
      <c r="EK152" s="10">
        <f t="shared" si="94"/>
        <v>0</v>
      </c>
      <c r="EL152" s="10">
        <f t="shared" ref="EL152:EM152" si="658">IF(OR(ISNUMBER(SEARCH("ai software toolkit", $D152)), ISNUMBER(SEARCH("ai software toolkit", $T152)), ISNUMBER(SEARCH("ai software toolkit", $R152)), ISNUMBER(SEARCH("ai software toolkit", $S152))), 1, 0)</f>
        <v>0</v>
      </c>
      <c r="EM152" s="10">
        <f t="shared" si="658"/>
        <v>0</v>
      </c>
      <c r="EN152" s="10">
        <f t="shared" si="96"/>
        <v>0</v>
      </c>
      <c r="EO152" s="10">
        <f t="shared" si="97"/>
        <v>0</v>
      </c>
      <c r="EP152" s="10">
        <f t="shared" si="98"/>
        <v>0</v>
      </c>
      <c r="EQ152" s="10">
        <f t="shared" si="99"/>
        <v>0</v>
      </c>
      <c r="ER152" s="10">
        <f t="shared" si="100"/>
        <v>0</v>
      </c>
      <c r="ES152" s="10">
        <f t="shared" si="101"/>
        <v>0</v>
      </c>
      <c r="ET152" s="10">
        <f t="shared" si="102"/>
        <v>0</v>
      </c>
      <c r="EU152" s="10">
        <f t="shared" si="103"/>
        <v>0</v>
      </c>
      <c r="EV152" s="10">
        <f t="shared" si="104"/>
        <v>0</v>
      </c>
      <c r="EW152" s="10">
        <f t="shared" si="105"/>
        <v>0</v>
      </c>
      <c r="EX152" s="10">
        <f t="shared" si="106"/>
        <v>0</v>
      </c>
      <c r="EY152" s="10">
        <f t="shared" si="107"/>
        <v>0</v>
      </c>
      <c r="EZ152" s="10">
        <f t="shared" si="108"/>
        <v>0</v>
      </c>
      <c r="FA152" s="10">
        <f t="shared" si="109"/>
        <v>0</v>
      </c>
      <c r="FB152" s="10">
        <f t="shared" si="110"/>
        <v>0</v>
      </c>
      <c r="FC152" s="10">
        <f t="shared" si="111"/>
        <v>0</v>
      </c>
      <c r="FD152" s="10">
        <f t="shared" si="112"/>
        <v>0</v>
      </c>
      <c r="FE152" s="10">
        <f t="shared" si="113"/>
        <v>0</v>
      </c>
      <c r="FF152" s="10">
        <f t="shared" si="114"/>
        <v>0</v>
      </c>
      <c r="FG152" s="10">
        <f t="shared" si="115"/>
        <v>0</v>
      </c>
      <c r="FH152" s="10">
        <f t="shared" si="116"/>
        <v>0</v>
      </c>
      <c r="FI152" s="10">
        <f t="shared" si="117"/>
        <v>0</v>
      </c>
      <c r="FJ152" s="10">
        <f t="shared" si="118"/>
        <v>0</v>
      </c>
      <c r="FK152" s="10">
        <f t="shared" si="119"/>
        <v>0</v>
      </c>
      <c r="FL152" s="10">
        <f t="shared" si="120"/>
        <v>0</v>
      </c>
      <c r="FM152" s="10">
        <f t="shared" si="121"/>
        <v>0</v>
      </c>
      <c r="FN152" s="10">
        <f t="shared" si="122"/>
        <v>0</v>
      </c>
      <c r="FO152" s="10">
        <f t="shared" si="123"/>
        <v>0</v>
      </c>
      <c r="FP152" s="10">
        <f t="shared" si="124"/>
        <v>0</v>
      </c>
      <c r="FQ152" s="10">
        <f t="shared" si="125"/>
        <v>0</v>
      </c>
      <c r="FR152" s="11">
        <f t="shared" si="636"/>
        <v>0</v>
      </c>
      <c r="FS152" s="11">
        <f t="shared" si="127"/>
        <v>0</v>
      </c>
      <c r="FT152" s="11">
        <f t="shared" si="128"/>
        <v>0</v>
      </c>
      <c r="FU152" s="11">
        <f t="shared" si="129"/>
        <v>0</v>
      </c>
      <c r="FV152" s="11">
        <f t="shared" si="130"/>
        <v>0</v>
      </c>
      <c r="FW152" s="11">
        <f t="shared" si="131"/>
        <v>0</v>
      </c>
      <c r="FX152" s="11">
        <f t="shared" si="132"/>
        <v>0</v>
      </c>
      <c r="FY152" s="11">
        <f t="shared" si="133"/>
        <v>0</v>
      </c>
      <c r="FZ152" s="11">
        <f t="shared" si="134"/>
        <v>0</v>
      </c>
      <c r="GA152" s="11">
        <f t="shared" si="135"/>
        <v>0</v>
      </c>
      <c r="GB152" s="11">
        <f t="shared" si="136"/>
        <v>0</v>
      </c>
      <c r="GC152" s="11">
        <f t="shared" si="137"/>
        <v>0</v>
      </c>
      <c r="GD152" s="11">
        <f t="shared" si="138"/>
        <v>0</v>
      </c>
      <c r="GE152" s="11">
        <f t="shared" si="139"/>
        <v>0</v>
      </c>
      <c r="GF152" s="11">
        <f t="shared" si="140"/>
        <v>0</v>
      </c>
      <c r="GG152" s="11">
        <f t="shared" si="141"/>
        <v>0</v>
      </c>
      <c r="GH152" s="11">
        <f t="shared" si="142"/>
        <v>0</v>
      </c>
      <c r="GI152" s="11">
        <f t="shared" si="143"/>
        <v>0</v>
      </c>
      <c r="GJ152" s="11">
        <f t="shared" si="144"/>
        <v>0</v>
      </c>
      <c r="GK152" s="11">
        <f t="shared" si="145"/>
        <v>0</v>
      </c>
      <c r="GL152" s="11">
        <f t="shared" si="146"/>
        <v>0</v>
      </c>
      <c r="GM152" s="11">
        <f t="shared" si="147"/>
        <v>0</v>
      </c>
      <c r="GN152" s="11">
        <f t="shared" si="148"/>
        <v>0</v>
      </c>
      <c r="GO152" s="11">
        <f t="shared" si="149"/>
        <v>0</v>
      </c>
      <c r="GP152" s="11">
        <f t="shared" si="150"/>
        <v>0</v>
      </c>
      <c r="GQ152" s="11">
        <f t="shared" si="151"/>
        <v>0</v>
      </c>
      <c r="GR152" s="11">
        <f t="shared" si="152"/>
        <v>0</v>
      </c>
      <c r="GS152" s="11">
        <f t="shared" si="153"/>
        <v>0</v>
      </c>
      <c r="GT152" s="11">
        <f t="shared" si="154"/>
        <v>0</v>
      </c>
      <c r="GU152" s="12">
        <f t="shared" si="155"/>
        <v>0</v>
      </c>
      <c r="GV152" s="12">
        <f t="shared" si="156"/>
        <v>0</v>
      </c>
      <c r="GW152" s="12">
        <f t="shared" si="157"/>
        <v>0</v>
      </c>
      <c r="GX152" s="12">
        <f t="shared" si="158"/>
        <v>0</v>
      </c>
      <c r="GY152" s="12">
        <f t="shared" si="159"/>
        <v>0</v>
      </c>
      <c r="GZ152" s="12">
        <f t="shared" si="160"/>
        <v>0</v>
      </c>
      <c r="HA152" s="12">
        <f t="shared" si="161"/>
        <v>0</v>
      </c>
      <c r="HB152" s="12">
        <f t="shared" si="162"/>
        <v>0</v>
      </c>
      <c r="HC152" s="12">
        <f t="shared" si="163"/>
        <v>0</v>
      </c>
      <c r="HD152" s="12">
        <f t="shared" si="164"/>
        <v>0</v>
      </c>
      <c r="HE152" s="12">
        <f t="shared" si="165"/>
        <v>0</v>
      </c>
      <c r="HF152" s="12">
        <f t="shared" si="166"/>
        <v>0</v>
      </c>
      <c r="HG152" s="12">
        <f t="shared" si="167"/>
        <v>0</v>
      </c>
      <c r="HH152" s="12">
        <f t="shared" si="168"/>
        <v>0</v>
      </c>
      <c r="HI152" s="12">
        <f t="shared" si="169"/>
        <v>0</v>
      </c>
      <c r="HJ152" s="12">
        <f t="shared" si="170"/>
        <v>0</v>
      </c>
      <c r="HK152" s="12">
        <f t="shared" si="171"/>
        <v>0</v>
      </c>
      <c r="HL152" s="12">
        <f t="shared" si="172"/>
        <v>0</v>
      </c>
      <c r="HM152" s="12">
        <f t="shared" si="173"/>
        <v>0</v>
      </c>
      <c r="HN152" s="12">
        <f t="shared" si="174"/>
        <v>0</v>
      </c>
      <c r="HO152" s="12">
        <f t="shared" si="175"/>
        <v>0</v>
      </c>
      <c r="HP152" s="12">
        <f t="shared" si="176"/>
        <v>0</v>
      </c>
      <c r="HQ152" s="12">
        <f t="shared" si="177"/>
        <v>0</v>
      </c>
      <c r="HR152" s="12">
        <f t="shared" si="178"/>
        <v>0</v>
      </c>
      <c r="HS152" s="12">
        <f t="shared" si="179"/>
        <v>0</v>
      </c>
      <c r="HT152" s="12">
        <f t="shared" si="180"/>
        <v>0</v>
      </c>
      <c r="HU152" s="12">
        <f t="shared" si="181"/>
        <v>0</v>
      </c>
      <c r="HV152" s="12">
        <f t="shared" si="182"/>
        <v>0</v>
      </c>
      <c r="HW152" s="12">
        <f t="shared" si="183"/>
        <v>0</v>
      </c>
      <c r="HX152" s="12">
        <f t="shared" si="184"/>
        <v>0</v>
      </c>
      <c r="HY152" s="12">
        <f t="shared" si="185"/>
        <v>0</v>
      </c>
      <c r="HZ152" s="12">
        <f t="shared" si="186"/>
        <v>0</v>
      </c>
      <c r="IA152" s="12">
        <f t="shared" si="187"/>
        <v>0</v>
      </c>
      <c r="IB152" s="12">
        <f t="shared" si="188"/>
        <v>0</v>
      </c>
      <c r="IC152" s="12">
        <f t="shared" si="189"/>
        <v>0</v>
      </c>
      <c r="ID152" s="12">
        <f t="shared" si="190"/>
        <v>0</v>
      </c>
      <c r="IE152" s="12">
        <f t="shared" si="191"/>
        <v>0</v>
      </c>
      <c r="IF152" s="12">
        <f t="shared" si="192"/>
        <v>0</v>
      </c>
      <c r="IG152" s="12">
        <f t="shared" si="193"/>
        <v>0</v>
      </c>
      <c r="IH152" s="12">
        <f t="shared" si="194"/>
        <v>0</v>
      </c>
      <c r="II152" s="12">
        <f t="shared" si="195"/>
        <v>0</v>
      </c>
      <c r="IJ152" s="12">
        <f t="shared" si="196"/>
        <v>0</v>
      </c>
      <c r="IK152" s="12">
        <f t="shared" si="197"/>
        <v>0</v>
      </c>
      <c r="IL152" s="12">
        <f t="shared" si="198"/>
        <v>0</v>
      </c>
      <c r="IM152" s="12">
        <f t="shared" si="199"/>
        <v>0</v>
      </c>
      <c r="IN152" s="12">
        <f t="shared" si="200"/>
        <v>0</v>
      </c>
      <c r="IO152" s="12">
        <f t="shared" si="201"/>
        <v>0</v>
      </c>
      <c r="IP152" s="12">
        <f t="shared" si="202"/>
        <v>0</v>
      </c>
      <c r="IQ152" s="12">
        <f t="shared" si="203"/>
        <v>0</v>
      </c>
      <c r="IR152" s="12">
        <f t="shared" si="204"/>
        <v>0</v>
      </c>
      <c r="IS152" s="12">
        <f t="shared" si="205"/>
        <v>0</v>
      </c>
      <c r="IT152" s="12">
        <f t="shared" si="206"/>
        <v>0</v>
      </c>
      <c r="IU152" s="12">
        <f t="shared" si="207"/>
        <v>0</v>
      </c>
      <c r="IV152" s="12">
        <f t="shared" si="208"/>
        <v>0</v>
      </c>
      <c r="IW152" s="12">
        <f t="shared" si="209"/>
        <v>0</v>
      </c>
      <c r="IX152" s="12">
        <f t="shared" si="210"/>
        <v>0</v>
      </c>
      <c r="IY152" s="12">
        <f t="shared" si="211"/>
        <v>0</v>
      </c>
      <c r="IZ152" s="12">
        <f t="shared" si="212"/>
        <v>1</v>
      </c>
      <c r="JA152" s="13">
        <f t="shared" si="213"/>
        <v>0</v>
      </c>
      <c r="JB152" s="13">
        <f t="shared" si="214"/>
        <v>0</v>
      </c>
      <c r="JC152" s="13">
        <f t="shared" si="215"/>
        <v>0</v>
      </c>
      <c r="JD152" s="13">
        <f t="shared" si="216"/>
        <v>0</v>
      </c>
      <c r="JE152" s="13">
        <f t="shared" si="217"/>
        <v>0</v>
      </c>
      <c r="JF152" s="13">
        <f t="shared" si="218"/>
        <v>0</v>
      </c>
      <c r="JG152" s="13">
        <f t="shared" si="219"/>
        <v>0</v>
      </c>
      <c r="JH152" s="13">
        <f t="shared" si="220"/>
        <v>0</v>
      </c>
      <c r="JI152" s="13">
        <f t="shared" si="221"/>
        <v>0</v>
      </c>
      <c r="JJ152" s="13">
        <f t="shared" si="222"/>
        <v>0</v>
      </c>
      <c r="JK152" s="13">
        <f t="shared" si="223"/>
        <v>0</v>
      </c>
      <c r="JL152" s="13">
        <f t="shared" si="224"/>
        <v>0</v>
      </c>
      <c r="JM152" s="13">
        <f t="shared" si="225"/>
        <v>0</v>
      </c>
      <c r="JN152" s="13">
        <f t="shared" si="226"/>
        <v>0</v>
      </c>
      <c r="JO152" s="13">
        <f t="shared" si="227"/>
        <v>0</v>
      </c>
      <c r="JP152" s="13">
        <f t="shared" si="228"/>
        <v>0</v>
      </c>
      <c r="JQ152" s="13">
        <f t="shared" si="229"/>
        <v>0</v>
      </c>
      <c r="JR152" s="13">
        <f t="shared" si="230"/>
        <v>0</v>
      </c>
      <c r="JS152" s="13">
        <f t="shared" si="231"/>
        <v>0</v>
      </c>
      <c r="JT152" s="13">
        <f t="shared" si="232"/>
        <v>0</v>
      </c>
      <c r="JU152" s="13">
        <f t="shared" si="233"/>
        <v>0</v>
      </c>
      <c r="JV152" s="12">
        <f t="shared" si="234"/>
        <v>0</v>
      </c>
      <c r="JW152" s="12">
        <f t="shared" si="235"/>
        <v>0</v>
      </c>
      <c r="JX152" s="12">
        <f t="shared" si="236"/>
        <v>0</v>
      </c>
      <c r="JY152" s="12">
        <f t="shared" si="237"/>
        <v>0</v>
      </c>
      <c r="JZ152" s="12">
        <f t="shared" si="238"/>
        <v>0</v>
      </c>
      <c r="KA152" s="12">
        <f t="shared" si="239"/>
        <v>0</v>
      </c>
      <c r="KB152" s="12">
        <f t="shared" si="240"/>
        <v>0</v>
      </c>
      <c r="KC152" s="12">
        <f t="shared" si="241"/>
        <v>0</v>
      </c>
      <c r="KD152" s="12">
        <f t="shared" si="242"/>
        <v>0</v>
      </c>
      <c r="KE152" s="12">
        <f t="shared" si="243"/>
        <v>0</v>
      </c>
      <c r="KF152" s="12">
        <f t="shared" si="244"/>
        <v>0</v>
      </c>
      <c r="KG152" s="12">
        <f t="shared" si="245"/>
        <v>0</v>
      </c>
      <c r="KH152" s="12">
        <f t="shared" si="246"/>
        <v>0</v>
      </c>
      <c r="KI152" s="12">
        <f t="shared" si="247"/>
        <v>0</v>
      </c>
      <c r="KJ152" s="12">
        <f t="shared" si="248"/>
        <v>0</v>
      </c>
      <c r="KK152" s="12">
        <f t="shared" si="249"/>
        <v>0</v>
      </c>
      <c r="KL152" s="12">
        <f t="shared" si="250"/>
        <v>0</v>
      </c>
      <c r="KM152" s="12">
        <f t="shared" si="251"/>
        <v>0</v>
      </c>
      <c r="KN152" s="12">
        <f t="shared" si="252"/>
        <v>0</v>
      </c>
      <c r="KO152" s="12">
        <f t="shared" si="253"/>
        <v>0</v>
      </c>
      <c r="KP152" s="12">
        <f t="shared" si="254"/>
        <v>0</v>
      </c>
      <c r="KQ152" s="12">
        <f t="shared" si="255"/>
        <v>0</v>
      </c>
      <c r="KR152" s="12">
        <f t="shared" si="256"/>
        <v>0</v>
      </c>
      <c r="KS152" s="12">
        <f t="shared" si="257"/>
        <v>0</v>
      </c>
      <c r="KT152" s="12">
        <f t="shared" si="258"/>
        <v>0</v>
      </c>
      <c r="KU152" s="12">
        <f t="shared" si="259"/>
        <v>0</v>
      </c>
      <c r="KV152" s="12">
        <f t="shared" si="260"/>
        <v>0</v>
      </c>
      <c r="KW152" s="12">
        <f t="shared" si="261"/>
        <v>0</v>
      </c>
      <c r="KX152" s="12">
        <f t="shared" si="262"/>
        <v>0</v>
      </c>
      <c r="KY152" s="12">
        <f t="shared" si="263"/>
        <v>0</v>
      </c>
      <c r="KZ152" s="12">
        <f t="shared" si="264"/>
        <v>0</v>
      </c>
      <c r="LA152" s="12">
        <f t="shared" si="265"/>
        <v>0</v>
      </c>
      <c r="LB152" s="12">
        <f t="shared" si="266"/>
        <v>0</v>
      </c>
      <c r="LC152" s="12">
        <f t="shared" si="267"/>
        <v>0</v>
      </c>
      <c r="LD152" s="12">
        <f t="shared" si="268"/>
        <v>0</v>
      </c>
      <c r="LE152" s="12">
        <f t="shared" si="269"/>
        <v>0</v>
      </c>
      <c r="LF152" s="12">
        <f t="shared" si="270"/>
        <v>0</v>
      </c>
      <c r="LG152" s="12">
        <f t="shared" si="271"/>
        <v>0</v>
      </c>
      <c r="LH152" s="12">
        <f t="shared" si="272"/>
        <v>0</v>
      </c>
      <c r="LI152" s="12">
        <f t="shared" si="273"/>
        <v>0</v>
      </c>
      <c r="LJ152" s="12">
        <f t="shared" si="274"/>
        <v>0</v>
      </c>
      <c r="LK152" s="12">
        <f t="shared" si="275"/>
        <v>0</v>
      </c>
      <c r="LL152" s="12">
        <f t="shared" si="276"/>
        <v>0</v>
      </c>
      <c r="LM152" s="12">
        <f t="shared" si="277"/>
        <v>0</v>
      </c>
      <c r="LN152" s="12">
        <f t="shared" si="278"/>
        <v>0</v>
      </c>
      <c r="LO152" s="12">
        <f t="shared" si="279"/>
        <v>0</v>
      </c>
      <c r="LP152" s="12">
        <f t="shared" si="280"/>
        <v>0</v>
      </c>
      <c r="LQ152" s="12">
        <f t="shared" si="281"/>
        <v>0</v>
      </c>
      <c r="LR152" s="12">
        <f t="shared" si="282"/>
        <v>0</v>
      </c>
      <c r="LS152" s="12">
        <f t="shared" si="283"/>
        <v>0</v>
      </c>
      <c r="LT152" s="13">
        <f t="shared" si="284"/>
        <v>0</v>
      </c>
      <c r="LU152" s="13">
        <f t="shared" si="285"/>
        <v>0</v>
      </c>
      <c r="LV152" s="13">
        <f t="shared" si="286"/>
        <v>0</v>
      </c>
      <c r="LW152" s="13">
        <f t="shared" si="287"/>
        <v>0</v>
      </c>
      <c r="LX152" s="13">
        <f t="shared" si="288"/>
        <v>0</v>
      </c>
      <c r="LY152" s="13">
        <f t="shared" si="289"/>
        <v>0</v>
      </c>
      <c r="LZ152" s="13">
        <f t="shared" si="290"/>
        <v>0</v>
      </c>
      <c r="MA152" s="13">
        <f t="shared" si="291"/>
        <v>0</v>
      </c>
      <c r="MB152" s="13">
        <f t="shared" si="292"/>
        <v>0</v>
      </c>
      <c r="MC152" s="13">
        <f t="shared" si="293"/>
        <v>0</v>
      </c>
      <c r="MD152" s="13">
        <f t="shared" si="294"/>
        <v>0</v>
      </c>
      <c r="ME152" s="13">
        <f t="shared" si="295"/>
        <v>0</v>
      </c>
      <c r="MF152" s="13">
        <f t="shared" si="296"/>
        <v>0</v>
      </c>
      <c r="MG152" s="13">
        <f t="shared" si="297"/>
        <v>0</v>
      </c>
      <c r="MH152" s="13">
        <f t="shared" si="298"/>
        <v>0</v>
      </c>
      <c r="MI152" s="13">
        <f t="shared" si="299"/>
        <v>0</v>
      </c>
      <c r="MJ152" s="13">
        <f t="shared" si="300"/>
        <v>0</v>
      </c>
      <c r="MK152" s="13">
        <f t="shared" si="301"/>
        <v>0</v>
      </c>
      <c r="ML152" s="14">
        <f t="shared" si="302"/>
        <v>0</v>
      </c>
      <c r="MM152" s="14">
        <f t="shared" si="303"/>
        <v>0</v>
      </c>
      <c r="MN152" s="14">
        <f t="shared" si="304"/>
        <v>0</v>
      </c>
      <c r="MO152" s="14">
        <f t="shared" si="305"/>
        <v>0</v>
      </c>
      <c r="MP152" s="14">
        <f t="shared" si="306"/>
        <v>0</v>
      </c>
      <c r="MQ152" s="14">
        <f t="shared" si="307"/>
        <v>0</v>
      </c>
      <c r="MR152" s="14">
        <f t="shared" si="308"/>
        <v>0</v>
      </c>
      <c r="MS152" s="14">
        <f t="shared" si="309"/>
        <v>0</v>
      </c>
      <c r="MT152" s="14">
        <f t="shared" si="310"/>
        <v>0</v>
      </c>
      <c r="MU152" s="14">
        <f t="shared" si="311"/>
        <v>0</v>
      </c>
      <c r="MV152" s="14">
        <f t="shared" si="312"/>
        <v>0</v>
      </c>
      <c r="MW152" s="14">
        <f t="shared" si="313"/>
        <v>0</v>
      </c>
      <c r="MX152" s="14">
        <f t="shared" si="314"/>
        <v>0</v>
      </c>
      <c r="MY152" s="14">
        <f t="shared" si="315"/>
        <v>0</v>
      </c>
      <c r="MZ152" s="14">
        <f t="shared" si="316"/>
        <v>0</v>
      </c>
      <c r="NA152" s="14">
        <f t="shared" si="317"/>
        <v>0</v>
      </c>
      <c r="NB152" s="14">
        <f t="shared" si="318"/>
        <v>0</v>
      </c>
    </row>
    <row r="153" ht="15.75" customHeight="1">
      <c r="A153" s="2">
        <v>200.0</v>
      </c>
      <c r="B153" s="2" t="s">
        <v>2939</v>
      </c>
      <c r="C153" s="2" t="s">
        <v>2940</v>
      </c>
      <c r="D153" s="2" t="s">
        <v>2941</v>
      </c>
      <c r="E153" s="2">
        <v>2020.0</v>
      </c>
      <c r="F153" s="2" t="s">
        <v>2942</v>
      </c>
      <c r="G153" s="2" t="s">
        <v>656</v>
      </c>
      <c r="H153" s="2" t="s">
        <v>603</v>
      </c>
      <c r="I153" s="2" t="s">
        <v>2943</v>
      </c>
      <c r="M153" s="2">
        <v>3.0</v>
      </c>
      <c r="N153" s="2" t="s">
        <v>2944</v>
      </c>
      <c r="O153" s="2" t="s">
        <v>2945</v>
      </c>
      <c r="P153" s="2" t="s">
        <v>2946</v>
      </c>
      <c r="Q153" s="2" t="s">
        <v>2947</v>
      </c>
      <c r="R153" s="2" t="s">
        <v>2948</v>
      </c>
      <c r="S153" s="2" t="s">
        <v>2949</v>
      </c>
      <c r="Y153" s="2" t="s">
        <v>2950</v>
      </c>
      <c r="AB153" s="2" t="s">
        <v>481</v>
      </c>
      <c r="AG153" s="2" t="s">
        <v>2951</v>
      </c>
      <c r="AK153" s="2" t="s">
        <v>2952</v>
      </c>
      <c r="AL153" s="2" t="s">
        <v>384</v>
      </c>
      <c r="AM153" s="2" t="s">
        <v>484</v>
      </c>
      <c r="AN153" s="2" t="s">
        <v>386</v>
      </c>
      <c r="AO153" s="2" t="s">
        <v>2953</v>
      </c>
      <c r="AP153" s="2" t="s">
        <v>386</v>
      </c>
      <c r="AQ153" s="2">
        <v>833.0</v>
      </c>
      <c r="AR153" s="2" t="s">
        <v>2954</v>
      </c>
      <c r="AS153" s="2" t="b">
        <v>1</v>
      </c>
      <c r="AT153" s="3">
        <v>0.0</v>
      </c>
      <c r="AU153" s="4">
        <v>1.0</v>
      </c>
      <c r="AV153" s="4"/>
      <c r="AW153" s="5">
        <f t="shared" si="432"/>
        <v>0</v>
      </c>
      <c r="AX153" s="5">
        <f t="shared" si="4"/>
        <v>0</v>
      </c>
      <c r="AY153" s="5">
        <f t="shared" si="5"/>
        <v>0</v>
      </c>
      <c r="AZ153" s="5">
        <f t="shared" si="6"/>
        <v>0</v>
      </c>
      <c r="BA153" s="5">
        <f t="shared" si="7"/>
        <v>0</v>
      </c>
      <c r="BB153" s="5">
        <f t="shared" si="8"/>
        <v>0</v>
      </c>
      <c r="BC153" s="5">
        <f t="shared" si="9"/>
        <v>0</v>
      </c>
      <c r="BD153" s="5">
        <f t="shared" si="10"/>
        <v>0</v>
      </c>
      <c r="BE153" s="5">
        <f t="shared" si="11"/>
        <v>0</v>
      </c>
      <c r="BF153" s="5">
        <f t="shared" si="12"/>
        <v>0</v>
      </c>
      <c r="BG153" s="5">
        <f t="shared" si="13"/>
        <v>0</v>
      </c>
      <c r="BH153" s="5">
        <f t="shared" si="14"/>
        <v>0</v>
      </c>
      <c r="BI153" s="5">
        <f t="shared" si="15"/>
        <v>0</v>
      </c>
      <c r="BJ153" s="5">
        <f t="shared" si="16"/>
        <v>0</v>
      </c>
      <c r="BK153" s="5">
        <f t="shared" si="17"/>
        <v>0</v>
      </c>
      <c r="BL153" s="5">
        <f t="shared" si="18"/>
        <v>0</v>
      </c>
      <c r="BM153" s="5">
        <f t="shared" si="19"/>
        <v>0</v>
      </c>
      <c r="BN153" s="5">
        <f t="shared" si="20"/>
        <v>0</v>
      </c>
      <c r="BO153" s="5">
        <f t="shared" si="21"/>
        <v>0</v>
      </c>
      <c r="BP153" s="5">
        <f t="shared" si="22"/>
        <v>0</v>
      </c>
      <c r="BQ153" s="5">
        <f t="shared" si="23"/>
        <v>0</v>
      </c>
      <c r="BR153" s="5">
        <f t="shared" si="24"/>
        <v>0</v>
      </c>
      <c r="BS153" s="5">
        <f t="shared" si="25"/>
        <v>0</v>
      </c>
      <c r="BT153" s="5">
        <f t="shared" si="26"/>
        <v>0</v>
      </c>
      <c r="BU153" s="5">
        <f t="shared" si="27"/>
        <v>0</v>
      </c>
      <c r="BV153" s="5">
        <f t="shared" ref="BV153:BW153" si="659">IF(OR(ISNUMBER(SEARCH("grit",$D153)),ISNUMBER(SEARCH("grit",$T153)),ISNUMBER(SEARCH("grit",$R153)),ISNUMBER(SEARCH("grit",$S153)),
ISNUMBER(SEARCH("determination",$D153)),ISNUMBER(SEARCH("determination",$T153)),ISNUMBER(SEARCH("determination",$R153)),ISNUMBER(SEARCH("determination",$S153)),
ISNUMBER(SEARCH("tenacity",$D153)),ISNUMBER(SEARCH("tenacity",$T153)),ISNUMBER(SEARCH("tenacity",$R153)),ISNUMBER(SEARCH("tenacity",$S153)),
ISNUMBER(SEARCH("endurance",$D153)),ISNUMBER(SEARCH("endurance",$T153)),ISNUMBER(SEARCH("endurance",$R153)),ISNUMBER(SEARCH("endurance",$S153)),
ISNUMBER(SEARCH("fortitude",$D153)),ISNUMBER(SEARCH("fortitude",$T153)),ISNUMBER(SEARCH("fortitude",$R153)),ISNUMBER(SEARCH("fortitude",$S153)),
ISNUMBER(SEARCH("resolve",$D153)),ISNUMBER(SEARCH("resolve",$T153)),ISNUMBER(SEARCH("resolve",$R153)),ISNUMBER(SEARCH("resolve",$S153)),
ISNUMBER(SEARCH("stamina",$D153)),ISNUMBER(SEARCH("stamina",$T153)),ISNUMBER(SEARCH("stamina",$R153)),ISNUMBER(SEARCH("stamina",$S153)),
ISNUMBER(SEARCH("guts",$D153)),ISNUMBER(SEARCH("guts",$T153)),ISNUMBER(SEARCH("guts",$R153)),ISNUMBER(SEARCH("guts",$S153)),
ISNUMBER(SEARCH("spunk",$D153)),ISNUMBER(SEARCH("spunk",$T153)),ISNUMBER(SEARCH("spunk",$R153)),ISNUMBER(SEARCH("spunk",$S153))), 1, 0)</f>
        <v>0</v>
      </c>
      <c r="BW153" s="5">
        <f t="shared" si="659"/>
        <v>0</v>
      </c>
      <c r="BX153" s="5">
        <f t="shared" si="29"/>
        <v>0</v>
      </c>
      <c r="BY153" s="5">
        <f t="shared" si="30"/>
        <v>0</v>
      </c>
      <c r="BZ153" s="5">
        <f t="shared" si="31"/>
        <v>0</v>
      </c>
      <c r="CA153" s="5">
        <f t="shared" si="32"/>
        <v>0</v>
      </c>
      <c r="CB153" s="5">
        <f t="shared" si="33"/>
        <v>0</v>
      </c>
      <c r="CC153" s="5">
        <f t="shared" si="34"/>
        <v>0</v>
      </c>
      <c r="CD153" s="5">
        <f t="shared" si="35"/>
        <v>0</v>
      </c>
      <c r="CE153" s="5">
        <f t="shared" si="36"/>
        <v>0</v>
      </c>
      <c r="CF153" s="5">
        <f t="shared" si="37"/>
        <v>0</v>
      </c>
      <c r="CG153" s="5">
        <f t="shared" si="38"/>
        <v>0</v>
      </c>
      <c r="CH153" s="5">
        <f t="shared" si="39"/>
        <v>0</v>
      </c>
      <c r="CI153" s="5">
        <f t="shared" si="40"/>
        <v>0</v>
      </c>
      <c r="CJ153" s="5">
        <f t="shared" si="41"/>
        <v>0</v>
      </c>
      <c r="CK153" s="5">
        <f t="shared" si="42"/>
        <v>0</v>
      </c>
      <c r="CL153" s="5">
        <f t="shared" si="43"/>
        <v>0</v>
      </c>
      <c r="CM153" s="5">
        <f t="shared" si="44"/>
        <v>0</v>
      </c>
      <c r="CN153" s="5">
        <f t="shared" si="45"/>
        <v>0</v>
      </c>
      <c r="CO153" s="5">
        <f t="shared" si="46"/>
        <v>0</v>
      </c>
      <c r="CP153" s="6">
        <f t="shared" si="47"/>
        <v>0</v>
      </c>
      <c r="CQ153" s="6">
        <f t="shared" si="48"/>
        <v>0</v>
      </c>
      <c r="CR153" s="6">
        <f t="shared" si="49"/>
        <v>0</v>
      </c>
      <c r="CS153" s="6">
        <f t="shared" si="50"/>
        <v>0</v>
      </c>
      <c r="CT153" s="6">
        <f t="shared" si="584"/>
        <v>0</v>
      </c>
      <c r="CU153" s="6">
        <f t="shared" si="52"/>
        <v>0</v>
      </c>
      <c r="CV153" s="6">
        <f t="shared" si="53"/>
        <v>0</v>
      </c>
      <c r="CW153" s="6">
        <f t="shared" si="54"/>
        <v>0</v>
      </c>
      <c r="CX153" s="6">
        <f t="shared" si="55"/>
        <v>0</v>
      </c>
      <c r="CY153" s="6">
        <f t="shared" si="56"/>
        <v>0</v>
      </c>
      <c r="CZ153" s="6">
        <f t="shared" si="57"/>
        <v>0</v>
      </c>
      <c r="DA153" s="6">
        <f t="shared" si="58"/>
        <v>0</v>
      </c>
      <c r="DB153" s="6">
        <f t="shared" si="59"/>
        <v>0</v>
      </c>
      <c r="DC153" s="6">
        <f t="shared" si="60"/>
        <v>0</v>
      </c>
      <c r="DD153" s="6">
        <f t="shared" si="61"/>
        <v>0</v>
      </c>
      <c r="DE153" s="6">
        <f t="shared" si="62"/>
        <v>0</v>
      </c>
      <c r="DF153" s="6">
        <f t="shared" si="63"/>
        <v>0</v>
      </c>
      <c r="DG153" s="6">
        <f t="shared" si="64"/>
        <v>0</v>
      </c>
      <c r="DH153" s="6">
        <f t="shared" si="652"/>
        <v>0</v>
      </c>
      <c r="DI153" s="6">
        <f t="shared" si="66"/>
        <v>0</v>
      </c>
      <c r="DJ153" s="6">
        <f t="shared" si="653"/>
        <v>0</v>
      </c>
      <c r="DK153" s="7">
        <f t="shared" si="68"/>
        <v>0</v>
      </c>
      <c r="DL153" s="7">
        <f t="shared" si="498"/>
        <v>0</v>
      </c>
      <c r="DM153" s="7">
        <f t="shared" si="70"/>
        <v>0</v>
      </c>
      <c r="DN153" s="7">
        <f t="shared" si="71"/>
        <v>0</v>
      </c>
      <c r="DO153" s="7">
        <f t="shared" si="72"/>
        <v>1</v>
      </c>
      <c r="DP153" s="8">
        <f t="shared" si="73"/>
        <v>0</v>
      </c>
      <c r="DQ153" s="8">
        <f t="shared" si="74"/>
        <v>1</v>
      </c>
      <c r="DR153" s="7">
        <f t="shared" si="75"/>
        <v>0</v>
      </c>
      <c r="DS153" s="7">
        <f t="shared" si="76"/>
        <v>0</v>
      </c>
      <c r="DT153" s="7">
        <f t="shared" si="77"/>
        <v>0</v>
      </c>
      <c r="DU153" s="9">
        <f t="shared" si="78"/>
        <v>0</v>
      </c>
      <c r="DV153" s="9">
        <f t="shared" si="79"/>
        <v>0</v>
      </c>
      <c r="DW153" s="9">
        <f t="shared" si="80"/>
        <v>0</v>
      </c>
      <c r="DX153" s="9">
        <f t="shared" si="81"/>
        <v>0</v>
      </c>
      <c r="DY153" s="9">
        <f t="shared" si="82"/>
        <v>0</v>
      </c>
      <c r="DZ153" s="9">
        <f t="shared" si="83"/>
        <v>0</v>
      </c>
      <c r="EA153" s="9">
        <f t="shared" si="84"/>
        <v>0</v>
      </c>
      <c r="EB153" s="9">
        <f t="shared" si="85"/>
        <v>0</v>
      </c>
      <c r="EC153" s="9">
        <f t="shared" si="86"/>
        <v>0</v>
      </c>
      <c r="ED153" s="9">
        <f t="shared" si="87"/>
        <v>0</v>
      </c>
      <c r="EE153" s="9">
        <f t="shared" si="88"/>
        <v>0</v>
      </c>
      <c r="EF153" s="9">
        <f t="shared" si="89"/>
        <v>0</v>
      </c>
      <c r="EG153" s="9">
        <f t="shared" si="90"/>
        <v>0</v>
      </c>
      <c r="EH153" s="9">
        <f t="shared" si="91"/>
        <v>0</v>
      </c>
      <c r="EI153" s="9">
        <f t="shared" si="92"/>
        <v>0</v>
      </c>
      <c r="EJ153" s="10">
        <f t="shared" si="93"/>
        <v>0</v>
      </c>
      <c r="EK153" s="10">
        <f t="shared" si="94"/>
        <v>0</v>
      </c>
      <c r="EL153" s="10">
        <f t="shared" ref="EL153:EM153" si="660">IF(OR(ISNUMBER(SEARCH("ai software toolkit", $D153)), ISNUMBER(SEARCH("ai software toolkit", $T153)), ISNUMBER(SEARCH("ai software toolkit", $R153)), ISNUMBER(SEARCH("ai software toolkit", $S153))), 1, 0)</f>
        <v>0</v>
      </c>
      <c r="EM153" s="10">
        <f t="shared" si="660"/>
        <v>0</v>
      </c>
      <c r="EN153" s="10">
        <f t="shared" si="96"/>
        <v>0</v>
      </c>
      <c r="EO153" s="10">
        <f t="shared" si="97"/>
        <v>0</v>
      </c>
      <c r="EP153" s="10">
        <f t="shared" si="98"/>
        <v>0</v>
      </c>
      <c r="EQ153" s="10">
        <f t="shared" si="99"/>
        <v>0</v>
      </c>
      <c r="ER153" s="10">
        <f t="shared" si="100"/>
        <v>0</v>
      </c>
      <c r="ES153" s="10">
        <f t="shared" si="101"/>
        <v>0</v>
      </c>
      <c r="ET153" s="10">
        <f t="shared" si="102"/>
        <v>0</v>
      </c>
      <c r="EU153" s="10">
        <f t="shared" si="103"/>
        <v>0</v>
      </c>
      <c r="EV153" s="10">
        <f t="shared" si="104"/>
        <v>0</v>
      </c>
      <c r="EW153" s="10">
        <f t="shared" si="105"/>
        <v>0</v>
      </c>
      <c r="EX153" s="10">
        <f t="shared" si="106"/>
        <v>0</v>
      </c>
      <c r="EY153" s="10">
        <f t="shared" si="107"/>
        <v>0</v>
      </c>
      <c r="EZ153" s="10">
        <f t="shared" si="108"/>
        <v>0</v>
      </c>
      <c r="FA153" s="10">
        <f t="shared" si="109"/>
        <v>0</v>
      </c>
      <c r="FB153" s="10">
        <f t="shared" si="110"/>
        <v>0</v>
      </c>
      <c r="FC153" s="10">
        <f t="shared" si="111"/>
        <v>0</v>
      </c>
      <c r="FD153" s="10">
        <f t="shared" si="112"/>
        <v>0</v>
      </c>
      <c r="FE153" s="10">
        <f t="shared" si="113"/>
        <v>0</v>
      </c>
      <c r="FF153" s="10">
        <f t="shared" si="114"/>
        <v>0</v>
      </c>
      <c r="FG153" s="10">
        <f t="shared" si="115"/>
        <v>0</v>
      </c>
      <c r="FH153" s="10">
        <f t="shared" si="116"/>
        <v>0</v>
      </c>
      <c r="FI153" s="10">
        <f t="shared" si="117"/>
        <v>0</v>
      </c>
      <c r="FJ153" s="10">
        <f t="shared" si="118"/>
        <v>0</v>
      </c>
      <c r="FK153" s="10">
        <f t="shared" si="119"/>
        <v>0</v>
      </c>
      <c r="FL153" s="10">
        <f t="shared" si="120"/>
        <v>0</v>
      </c>
      <c r="FM153" s="10">
        <f t="shared" si="121"/>
        <v>0</v>
      </c>
      <c r="FN153" s="10">
        <f t="shared" si="122"/>
        <v>0</v>
      </c>
      <c r="FO153" s="10">
        <f t="shared" si="123"/>
        <v>0</v>
      </c>
      <c r="FP153" s="10">
        <f t="shared" si="124"/>
        <v>0</v>
      </c>
      <c r="FQ153" s="10">
        <f t="shared" si="125"/>
        <v>0</v>
      </c>
      <c r="FR153" s="11">
        <f t="shared" si="636"/>
        <v>0</v>
      </c>
      <c r="FS153" s="11">
        <f t="shared" si="127"/>
        <v>0</v>
      </c>
      <c r="FT153" s="11">
        <f t="shared" si="128"/>
        <v>0</v>
      </c>
      <c r="FU153" s="11">
        <f t="shared" si="129"/>
        <v>0</v>
      </c>
      <c r="FV153" s="11">
        <f t="shared" si="130"/>
        <v>0</v>
      </c>
      <c r="FW153" s="11">
        <f t="shared" si="131"/>
        <v>0</v>
      </c>
      <c r="FX153" s="11">
        <f t="shared" si="132"/>
        <v>0</v>
      </c>
      <c r="FY153" s="11">
        <f t="shared" si="133"/>
        <v>0</v>
      </c>
      <c r="FZ153" s="11">
        <f t="shared" si="134"/>
        <v>0</v>
      </c>
      <c r="GA153" s="11">
        <f t="shared" si="135"/>
        <v>0</v>
      </c>
      <c r="GB153" s="11">
        <f t="shared" si="136"/>
        <v>0</v>
      </c>
      <c r="GC153" s="11">
        <f t="shared" si="137"/>
        <v>0</v>
      </c>
      <c r="GD153" s="11">
        <f t="shared" si="138"/>
        <v>0</v>
      </c>
      <c r="GE153" s="11">
        <f t="shared" si="139"/>
        <v>0</v>
      </c>
      <c r="GF153" s="11">
        <f t="shared" si="140"/>
        <v>0</v>
      </c>
      <c r="GG153" s="11">
        <f t="shared" si="141"/>
        <v>0</v>
      </c>
      <c r="GH153" s="11">
        <f t="shared" si="142"/>
        <v>0</v>
      </c>
      <c r="GI153" s="11">
        <f t="shared" si="143"/>
        <v>0</v>
      </c>
      <c r="GJ153" s="11">
        <f t="shared" si="144"/>
        <v>0</v>
      </c>
      <c r="GK153" s="11">
        <f t="shared" si="145"/>
        <v>0</v>
      </c>
      <c r="GL153" s="11">
        <f t="shared" si="146"/>
        <v>0</v>
      </c>
      <c r="GM153" s="11">
        <f t="shared" si="147"/>
        <v>0</v>
      </c>
      <c r="GN153" s="11">
        <f t="shared" si="148"/>
        <v>0</v>
      </c>
      <c r="GO153" s="11">
        <f t="shared" si="149"/>
        <v>0</v>
      </c>
      <c r="GP153" s="11">
        <f t="shared" si="150"/>
        <v>0</v>
      </c>
      <c r="GQ153" s="11">
        <f t="shared" si="151"/>
        <v>0</v>
      </c>
      <c r="GR153" s="11">
        <f t="shared" si="152"/>
        <v>0</v>
      </c>
      <c r="GS153" s="11">
        <f t="shared" si="153"/>
        <v>0</v>
      </c>
      <c r="GT153" s="11">
        <f t="shared" si="154"/>
        <v>0</v>
      </c>
      <c r="GU153" s="12">
        <f t="shared" si="155"/>
        <v>0</v>
      </c>
      <c r="GV153" s="12">
        <f t="shared" si="156"/>
        <v>0</v>
      </c>
      <c r="GW153" s="12">
        <f t="shared" si="157"/>
        <v>0</v>
      </c>
      <c r="GX153" s="12">
        <f t="shared" si="158"/>
        <v>0</v>
      </c>
      <c r="GY153" s="12">
        <f t="shared" si="159"/>
        <v>0</v>
      </c>
      <c r="GZ153" s="12">
        <f t="shared" si="160"/>
        <v>0</v>
      </c>
      <c r="HA153" s="12">
        <f t="shared" si="161"/>
        <v>0</v>
      </c>
      <c r="HB153" s="12">
        <f t="shared" si="162"/>
        <v>0</v>
      </c>
      <c r="HC153" s="12">
        <f t="shared" si="163"/>
        <v>0</v>
      </c>
      <c r="HD153" s="12">
        <f t="shared" si="164"/>
        <v>0</v>
      </c>
      <c r="HE153" s="12">
        <f t="shared" si="165"/>
        <v>0</v>
      </c>
      <c r="HF153" s="12">
        <f t="shared" si="166"/>
        <v>0</v>
      </c>
      <c r="HG153" s="12">
        <f t="shared" si="167"/>
        <v>0</v>
      </c>
      <c r="HH153" s="12">
        <f t="shared" si="168"/>
        <v>0</v>
      </c>
      <c r="HI153" s="12">
        <f t="shared" si="169"/>
        <v>0</v>
      </c>
      <c r="HJ153" s="12">
        <f t="shared" si="170"/>
        <v>0</v>
      </c>
      <c r="HK153" s="12">
        <f t="shared" si="171"/>
        <v>0</v>
      </c>
      <c r="HL153" s="12">
        <f t="shared" si="172"/>
        <v>0</v>
      </c>
      <c r="HM153" s="12">
        <f t="shared" si="173"/>
        <v>0</v>
      </c>
      <c r="HN153" s="12">
        <f t="shared" si="174"/>
        <v>0</v>
      </c>
      <c r="HO153" s="12">
        <f t="shared" si="175"/>
        <v>0</v>
      </c>
      <c r="HP153" s="12">
        <f t="shared" si="176"/>
        <v>0</v>
      </c>
      <c r="HQ153" s="12">
        <f t="shared" si="177"/>
        <v>0</v>
      </c>
      <c r="HR153" s="12">
        <f t="shared" si="178"/>
        <v>0</v>
      </c>
      <c r="HS153" s="12">
        <f t="shared" si="179"/>
        <v>0</v>
      </c>
      <c r="HT153" s="12">
        <f t="shared" si="180"/>
        <v>0</v>
      </c>
      <c r="HU153" s="12">
        <f t="shared" si="181"/>
        <v>0</v>
      </c>
      <c r="HV153" s="12">
        <f t="shared" si="182"/>
        <v>0</v>
      </c>
      <c r="HW153" s="12">
        <f t="shared" si="183"/>
        <v>0</v>
      </c>
      <c r="HX153" s="12">
        <f t="shared" si="184"/>
        <v>0</v>
      </c>
      <c r="HY153" s="12">
        <f t="shared" si="185"/>
        <v>0</v>
      </c>
      <c r="HZ153" s="12">
        <f t="shared" si="186"/>
        <v>0</v>
      </c>
      <c r="IA153" s="12">
        <f t="shared" si="187"/>
        <v>0</v>
      </c>
      <c r="IB153" s="12">
        <f t="shared" si="188"/>
        <v>0</v>
      </c>
      <c r="IC153" s="12">
        <f t="shared" si="189"/>
        <v>0</v>
      </c>
      <c r="ID153" s="12">
        <f t="shared" si="190"/>
        <v>0</v>
      </c>
      <c r="IE153" s="12">
        <f t="shared" si="191"/>
        <v>0</v>
      </c>
      <c r="IF153" s="12">
        <f t="shared" si="192"/>
        <v>0</v>
      </c>
      <c r="IG153" s="12">
        <f t="shared" si="193"/>
        <v>0</v>
      </c>
      <c r="IH153" s="12">
        <f t="shared" si="194"/>
        <v>0</v>
      </c>
      <c r="II153" s="12">
        <f t="shared" si="195"/>
        <v>0</v>
      </c>
      <c r="IJ153" s="12">
        <f t="shared" si="196"/>
        <v>0</v>
      </c>
      <c r="IK153" s="12">
        <f t="shared" si="197"/>
        <v>0</v>
      </c>
      <c r="IL153" s="12">
        <f t="shared" si="198"/>
        <v>0</v>
      </c>
      <c r="IM153" s="12">
        <f t="shared" si="199"/>
        <v>0</v>
      </c>
      <c r="IN153" s="12">
        <f t="shared" si="200"/>
        <v>0</v>
      </c>
      <c r="IO153" s="12">
        <f t="shared" si="201"/>
        <v>0</v>
      </c>
      <c r="IP153" s="12">
        <f t="shared" si="202"/>
        <v>0</v>
      </c>
      <c r="IQ153" s="12">
        <f t="shared" si="203"/>
        <v>0</v>
      </c>
      <c r="IR153" s="12">
        <f t="shared" si="204"/>
        <v>0</v>
      </c>
      <c r="IS153" s="12">
        <f t="shared" si="205"/>
        <v>0</v>
      </c>
      <c r="IT153" s="12">
        <f t="shared" si="206"/>
        <v>0</v>
      </c>
      <c r="IU153" s="12">
        <f t="shared" si="207"/>
        <v>0</v>
      </c>
      <c r="IV153" s="12">
        <f t="shared" si="208"/>
        <v>0</v>
      </c>
      <c r="IW153" s="12">
        <f t="shared" si="209"/>
        <v>0</v>
      </c>
      <c r="IX153" s="12">
        <f t="shared" si="210"/>
        <v>0</v>
      </c>
      <c r="IY153" s="12">
        <f t="shared" si="211"/>
        <v>0</v>
      </c>
      <c r="IZ153" s="12">
        <f t="shared" si="212"/>
        <v>1</v>
      </c>
      <c r="JA153" s="13">
        <f t="shared" si="213"/>
        <v>0</v>
      </c>
      <c r="JB153" s="13">
        <f t="shared" si="214"/>
        <v>0</v>
      </c>
      <c r="JC153" s="13">
        <f t="shared" si="215"/>
        <v>0</v>
      </c>
      <c r="JD153" s="13">
        <f t="shared" si="216"/>
        <v>0</v>
      </c>
      <c r="JE153" s="13">
        <f t="shared" si="217"/>
        <v>0</v>
      </c>
      <c r="JF153" s="13">
        <f t="shared" si="218"/>
        <v>0</v>
      </c>
      <c r="JG153" s="13">
        <f t="shared" si="219"/>
        <v>0</v>
      </c>
      <c r="JH153" s="13">
        <f t="shared" si="220"/>
        <v>0</v>
      </c>
      <c r="JI153" s="13">
        <f t="shared" si="221"/>
        <v>0</v>
      </c>
      <c r="JJ153" s="13">
        <f t="shared" si="222"/>
        <v>0</v>
      </c>
      <c r="JK153" s="13">
        <f t="shared" si="223"/>
        <v>0</v>
      </c>
      <c r="JL153" s="13">
        <f t="shared" si="224"/>
        <v>0</v>
      </c>
      <c r="JM153" s="13">
        <f t="shared" si="225"/>
        <v>0</v>
      </c>
      <c r="JN153" s="13">
        <f t="shared" si="226"/>
        <v>0</v>
      </c>
      <c r="JO153" s="13">
        <f t="shared" si="227"/>
        <v>0</v>
      </c>
      <c r="JP153" s="13">
        <f t="shared" si="228"/>
        <v>0</v>
      </c>
      <c r="JQ153" s="13">
        <f t="shared" si="229"/>
        <v>0</v>
      </c>
      <c r="JR153" s="13">
        <f t="shared" si="230"/>
        <v>0</v>
      </c>
      <c r="JS153" s="13">
        <f t="shared" si="231"/>
        <v>0</v>
      </c>
      <c r="JT153" s="13">
        <f t="shared" si="232"/>
        <v>0</v>
      </c>
      <c r="JU153" s="13">
        <f t="shared" si="233"/>
        <v>0</v>
      </c>
      <c r="JV153" s="12">
        <f t="shared" si="234"/>
        <v>0</v>
      </c>
      <c r="JW153" s="12">
        <f t="shared" si="235"/>
        <v>0</v>
      </c>
      <c r="JX153" s="12">
        <f t="shared" si="236"/>
        <v>0</v>
      </c>
      <c r="JY153" s="12">
        <f t="shared" si="237"/>
        <v>0</v>
      </c>
      <c r="JZ153" s="12">
        <f t="shared" si="238"/>
        <v>0</v>
      </c>
      <c r="KA153" s="12">
        <f t="shared" si="239"/>
        <v>0</v>
      </c>
      <c r="KB153" s="12">
        <f t="shared" si="240"/>
        <v>0</v>
      </c>
      <c r="KC153" s="12">
        <f t="shared" si="241"/>
        <v>0</v>
      </c>
      <c r="KD153" s="12">
        <f t="shared" si="242"/>
        <v>0</v>
      </c>
      <c r="KE153" s="12">
        <f t="shared" si="243"/>
        <v>0</v>
      </c>
      <c r="KF153" s="12">
        <f t="shared" si="244"/>
        <v>0</v>
      </c>
      <c r="KG153" s="12">
        <f t="shared" si="245"/>
        <v>0</v>
      </c>
      <c r="KH153" s="12">
        <f t="shared" si="246"/>
        <v>0</v>
      </c>
      <c r="KI153" s="12">
        <f t="shared" si="247"/>
        <v>0</v>
      </c>
      <c r="KJ153" s="12">
        <f t="shared" si="248"/>
        <v>0</v>
      </c>
      <c r="KK153" s="12">
        <f t="shared" si="249"/>
        <v>0</v>
      </c>
      <c r="KL153" s="12">
        <f t="shared" si="250"/>
        <v>0</v>
      </c>
      <c r="KM153" s="12">
        <f t="shared" si="251"/>
        <v>0</v>
      </c>
      <c r="KN153" s="12">
        <f t="shared" si="252"/>
        <v>0</v>
      </c>
      <c r="KO153" s="12">
        <f t="shared" si="253"/>
        <v>0</v>
      </c>
      <c r="KP153" s="12">
        <f t="shared" si="254"/>
        <v>0</v>
      </c>
      <c r="KQ153" s="12">
        <f t="shared" si="255"/>
        <v>0</v>
      </c>
      <c r="KR153" s="12">
        <f t="shared" si="256"/>
        <v>0</v>
      </c>
      <c r="KS153" s="12">
        <f t="shared" si="257"/>
        <v>0</v>
      </c>
      <c r="KT153" s="12">
        <f t="shared" si="258"/>
        <v>0</v>
      </c>
      <c r="KU153" s="12">
        <f t="shared" si="259"/>
        <v>0</v>
      </c>
      <c r="KV153" s="12">
        <f t="shared" si="260"/>
        <v>0</v>
      </c>
      <c r="KW153" s="12">
        <f t="shared" si="261"/>
        <v>0</v>
      </c>
      <c r="KX153" s="12">
        <f t="shared" si="262"/>
        <v>0</v>
      </c>
      <c r="KY153" s="12">
        <f t="shared" si="263"/>
        <v>0</v>
      </c>
      <c r="KZ153" s="12">
        <f t="shared" si="264"/>
        <v>0</v>
      </c>
      <c r="LA153" s="12">
        <f t="shared" si="265"/>
        <v>0</v>
      </c>
      <c r="LB153" s="12">
        <f t="shared" si="266"/>
        <v>0</v>
      </c>
      <c r="LC153" s="12">
        <f t="shared" si="267"/>
        <v>0</v>
      </c>
      <c r="LD153" s="12">
        <f t="shared" si="268"/>
        <v>0</v>
      </c>
      <c r="LE153" s="12">
        <f t="shared" si="269"/>
        <v>0</v>
      </c>
      <c r="LF153" s="12">
        <f t="shared" si="270"/>
        <v>0</v>
      </c>
      <c r="LG153" s="12">
        <f t="shared" si="271"/>
        <v>0</v>
      </c>
      <c r="LH153" s="12">
        <f t="shared" si="272"/>
        <v>0</v>
      </c>
      <c r="LI153" s="12">
        <f t="shared" si="273"/>
        <v>0</v>
      </c>
      <c r="LJ153" s="12">
        <f t="shared" si="274"/>
        <v>0</v>
      </c>
      <c r="LK153" s="12">
        <f t="shared" si="275"/>
        <v>0</v>
      </c>
      <c r="LL153" s="12">
        <f t="shared" si="276"/>
        <v>0</v>
      </c>
      <c r="LM153" s="12">
        <f t="shared" si="277"/>
        <v>0</v>
      </c>
      <c r="LN153" s="12">
        <f t="shared" si="278"/>
        <v>0</v>
      </c>
      <c r="LO153" s="12">
        <f t="shared" si="279"/>
        <v>0</v>
      </c>
      <c r="LP153" s="12">
        <f t="shared" si="280"/>
        <v>0</v>
      </c>
      <c r="LQ153" s="12">
        <f t="shared" si="281"/>
        <v>0</v>
      </c>
      <c r="LR153" s="12">
        <f t="shared" si="282"/>
        <v>0</v>
      </c>
      <c r="LS153" s="12">
        <f t="shared" si="283"/>
        <v>0</v>
      </c>
      <c r="LT153" s="13">
        <f t="shared" si="284"/>
        <v>0</v>
      </c>
      <c r="LU153" s="13">
        <f t="shared" si="285"/>
        <v>0</v>
      </c>
      <c r="LV153" s="13">
        <f t="shared" si="286"/>
        <v>0</v>
      </c>
      <c r="LW153" s="13">
        <f t="shared" si="287"/>
        <v>0</v>
      </c>
      <c r="LX153" s="13">
        <f t="shared" si="288"/>
        <v>0</v>
      </c>
      <c r="LY153" s="13">
        <f t="shared" si="289"/>
        <v>0</v>
      </c>
      <c r="LZ153" s="13">
        <f t="shared" si="290"/>
        <v>0</v>
      </c>
      <c r="MA153" s="13">
        <f t="shared" si="291"/>
        <v>0</v>
      </c>
      <c r="MB153" s="13">
        <f t="shared" si="292"/>
        <v>0</v>
      </c>
      <c r="MC153" s="13">
        <f t="shared" si="293"/>
        <v>0</v>
      </c>
      <c r="MD153" s="13">
        <f t="shared" si="294"/>
        <v>0</v>
      </c>
      <c r="ME153" s="13">
        <f t="shared" si="295"/>
        <v>0</v>
      </c>
      <c r="MF153" s="13">
        <f t="shared" si="296"/>
        <v>0</v>
      </c>
      <c r="MG153" s="13">
        <f t="shared" si="297"/>
        <v>0</v>
      </c>
      <c r="MH153" s="13">
        <f t="shared" si="298"/>
        <v>0</v>
      </c>
      <c r="MI153" s="13">
        <f t="shared" si="299"/>
        <v>0</v>
      </c>
      <c r="MJ153" s="13">
        <f t="shared" si="300"/>
        <v>0</v>
      </c>
      <c r="MK153" s="13">
        <f t="shared" si="301"/>
        <v>0</v>
      </c>
      <c r="ML153" s="14">
        <f t="shared" si="302"/>
        <v>0</v>
      </c>
      <c r="MM153" s="14">
        <f t="shared" si="303"/>
        <v>0</v>
      </c>
      <c r="MN153" s="14">
        <f t="shared" si="304"/>
        <v>0</v>
      </c>
      <c r="MO153" s="14">
        <f t="shared" si="305"/>
        <v>0</v>
      </c>
      <c r="MP153" s="14">
        <f t="shared" si="306"/>
        <v>0</v>
      </c>
      <c r="MQ153" s="14">
        <f t="shared" si="307"/>
        <v>0</v>
      </c>
      <c r="MR153" s="14">
        <f t="shared" si="308"/>
        <v>0</v>
      </c>
      <c r="MS153" s="14">
        <f t="shared" si="309"/>
        <v>0</v>
      </c>
      <c r="MT153" s="14">
        <f t="shared" si="310"/>
        <v>0</v>
      </c>
      <c r="MU153" s="14">
        <f t="shared" si="311"/>
        <v>0</v>
      </c>
      <c r="MV153" s="14">
        <f t="shared" si="312"/>
        <v>0</v>
      </c>
      <c r="MW153" s="14">
        <f t="shared" si="313"/>
        <v>0</v>
      </c>
      <c r="MX153" s="14">
        <f t="shared" si="314"/>
        <v>0</v>
      </c>
      <c r="MY153" s="14">
        <f t="shared" si="315"/>
        <v>0</v>
      </c>
      <c r="MZ153" s="14">
        <f t="shared" si="316"/>
        <v>0</v>
      </c>
      <c r="NA153" s="14">
        <f t="shared" si="317"/>
        <v>0</v>
      </c>
      <c r="NB153" s="14">
        <f t="shared" si="318"/>
        <v>0</v>
      </c>
    </row>
    <row r="154" ht="15.75" customHeight="1">
      <c r="A154" s="2">
        <v>710.0</v>
      </c>
      <c r="B154" s="2" t="s">
        <v>2955</v>
      </c>
      <c r="C154" s="2" t="s">
        <v>2956</v>
      </c>
      <c r="D154" s="2" t="s">
        <v>2957</v>
      </c>
      <c r="E154" s="2">
        <v>2022.0</v>
      </c>
      <c r="F154" s="2" t="s">
        <v>2834</v>
      </c>
      <c r="M154" s="2">
        <v>3.0</v>
      </c>
      <c r="N154" s="2" t="s">
        <v>2958</v>
      </c>
      <c r="O154" s="2" t="s">
        <v>2959</v>
      </c>
      <c r="P154" s="2" t="s">
        <v>2960</v>
      </c>
      <c r="Q154" s="2" t="s">
        <v>2961</v>
      </c>
      <c r="R154" s="2" t="s">
        <v>2962</v>
      </c>
      <c r="S154" s="2" t="s">
        <v>2963</v>
      </c>
      <c r="T154" s="2" t="s">
        <v>2964</v>
      </c>
      <c r="Y154" s="2" t="s">
        <v>2965</v>
      </c>
      <c r="AB154" s="2" t="s">
        <v>2311</v>
      </c>
      <c r="AG154" s="2" t="s">
        <v>2845</v>
      </c>
      <c r="AK154" s="2" t="s">
        <v>2846</v>
      </c>
      <c r="AL154" s="2" t="s">
        <v>2966</v>
      </c>
      <c r="AN154" s="2" t="s">
        <v>386</v>
      </c>
      <c r="AO154" s="2" t="s">
        <v>2967</v>
      </c>
      <c r="AP154" s="2" t="s">
        <v>386</v>
      </c>
      <c r="AQ154" s="2">
        <v>2812.0</v>
      </c>
      <c r="AR154" s="2" t="s">
        <v>2968</v>
      </c>
      <c r="AS154" s="2" t="b">
        <v>1</v>
      </c>
      <c r="AT154" s="3">
        <v>0.0</v>
      </c>
      <c r="AU154" s="4"/>
      <c r="AV154" s="4"/>
      <c r="AW154" s="5">
        <f t="shared" si="432"/>
        <v>0</v>
      </c>
      <c r="AX154" s="5">
        <f t="shared" si="4"/>
        <v>0</v>
      </c>
      <c r="AY154" s="5">
        <f t="shared" si="5"/>
        <v>0</v>
      </c>
      <c r="AZ154" s="5">
        <f t="shared" si="6"/>
        <v>1</v>
      </c>
      <c r="BA154" s="5">
        <f t="shared" si="7"/>
        <v>0</v>
      </c>
      <c r="BB154" s="5">
        <f t="shared" si="8"/>
        <v>0</v>
      </c>
      <c r="BC154" s="5">
        <f t="shared" si="9"/>
        <v>0</v>
      </c>
      <c r="BD154" s="5">
        <f t="shared" si="10"/>
        <v>0</v>
      </c>
      <c r="BE154" s="5">
        <f t="shared" si="11"/>
        <v>0</v>
      </c>
      <c r="BF154" s="5">
        <f t="shared" si="12"/>
        <v>0</v>
      </c>
      <c r="BG154" s="5">
        <f t="shared" si="13"/>
        <v>0</v>
      </c>
      <c r="BH154" s="5">
        <f t="shared" si="14"/>
        <v>0</v>
      </c>
      <c r="BI154" s="5">
        <f t="shared" si="15"/>
        <v>0</v>
      </c>
      <c r="BJ154" s="5">
        <f t="shared" si="16"/>
        <v>0</v>
      </c>
      <c r="BK154" s="5">
        <f t="shared" si="17"/>
        <v>0</v>
      </c>
      <c r="BL154" s="5">
        <f t="shared" si="18"/>
        <v>0</v>
      </c>
      <c r="BM154" s="5">
        <f t="shared" si="19"/>
        <v>0</v>
      </c>
      <c r="BN154" s="5">
        <f t="shared" si="20"/>
        <v>0</v>
      </c>
      <c r="BO154" s="5">
        <f t="shared" si="21"/>
        <v>0</v>
      </c>
      <c r="BP154" s="5">
        <f t="shared" si="22"/>
        <v>0</v>
      </c>
      <c r="BQ154" s="5">
        <f t="shared" si="23"/>
        <v>0</v>
      </c>
      <c r="BR154" s="5">
        <f t="shared" si="24"/>
        <v>0</v>
      </c>
      <c r="BS154" s="5">
        <f t="shared" si="25"/>
        <v>0</v>
      </c>
      <c r="BT154" s="5">
        <f t="shared" si="26"/>
        <v>0</v>
      </c>
      <c r="BU154" s="5">
        <f t="shared" si="27"/>
        <v>0</v>
      </c>
      <c r="BV154" s="5">
        <f t="shared" ref="BV154:BW154" si="661">IF(OR(ISNUMBER(SEARCH("grit",$D154)),ISNUMBER(SEARCH("grit",$T154)),ISNUMBER(SEARCH("grit",$R154)),ISNUMBER(SEARCH("grit",$S154)),
ISNUMBER(SEARCH("determination",$D154)),ISNUMBER(SEARCH("determination",$T154)),ISNUMBER(SEARCH("determination",$R154)),ISNUMBER(SEARCH("determination",$S154)),
ISNUMBER(SEARCH("tenacity",$D154)),ISNUMBER(SEARCH("tenacity",$T154)),ISNUMBER(SEARCH("tenacity",$R154)),ISNUMBER(SEARCH("tenacity",$S154)),
ISNUMBER(SEARCH("endurance",$D154)),ISNUMBER(SEARCH("endurance",$T154)),ISNUMBER(SEARCH("endurance",$R154)),ISNUMBER(SEARCH("endurance",$S154)),
ISNUMBER(SEARCH("fortitude",$D154)),ISNUMBER(SEARCH("fortitude",$T154)),ISNUMBER(SEARCH("fortitude",$R154)),ISNUMBER(SEARCH("fortitude",$S154)),
ISNUMBER(SEARCH("resolve",$D154)),ISNUMBER(SEARCH("resolve",$T154)),ISNUMBER(SEARCH("resolve",$R154)),ISNUMBER(SEARCH("resolve",$S154)),
ISNUMBER(SEARCH("stamina",$D154)),ISNUMBER(SEARCH("stamina",$T154)),ISNUMBER(SEARCH("stamina",$R154)),ISNUMBER(SEARCH("stamina",$S154)),
ISNUMBER(SEARCH("guts",$D154)),ISNUMBER(SEARCH("guts",$T154)),ISNUMBER(SEARCH("guts",$R154)),ISNUMBER(SEARCH("guts",$S154)),
ISNUMBER(SEARCH("spunk",$D154)),ISNUMBER(SEARCH("spunk",$T154)),ISNUMBER(SEARCH("spunk",$R154)),ISNUMBER(SEARCH("spunk",$S154))), 1, 0)</f>
        <v>0</v>
      </c>
      <c r="BW154" s="5">
        <f t="shared" si="661"/>
        <v>0</v>
      </c>
      <c r="BX154" s="5">
        <f t="shared" si="29"/>
        <v>0</v>
      </c>
      <c r="BY154" s="5">
        <f t="shared" si="30"/>
        <v>0</v>
      </c>
      <c r="BZ154" s="5">
        <f t="shared" si="31"/>
        <v>0</v>
      </c>
      <c r="CA154" s="5">
        <f t="shared" si="32"/>
        <v>0</v>
      </c>
      <c r="CB154" s="5">
        <f t="shared" si="33"/>
        <v>0</v>
      </c>
      <c r="CC154" s="5">
        <f t="shared" si="34"/>
        <v>0</v>
      </c>
      <c r="CD154" s="5">
        <f t="shared" si="35"/>
        <v>0</v>
      </c>
      <c r="CE154" s="5">
        <f t="shared" si="36"/>
        <v>0</v>
      </c>
      <c r="CF154" s="5">
        <f t="shared" si="37"/>
        <v>0</v>
      </c>
      <c r="CG154" s="5">
        <f t="shared" si="38"/>
        <v>0</v>
      </c>
      <c r="CH154" s="5">
        <f t="shared" si="39"/>
        <v>0</v>
      </c>
      <c r="CI154" s="5">
        <f t="shared" si="40"/>
        <v>0</v>
      </c>
      <c r="CJ154" s="5">
        <f t="shared" si="41"/>
        <v>0</v>
      </c>
      <c r="CK154" s="5">
        <f t="shared" si="42"/>
        <v>0</v>
      </c>
      <c r="CL154" s="5">
        <f t="shared" si="43"/>
        <v>0</v>
      </c>
      <c r="CM154" s="5">
        <f t="shared" si="44"/>
        <v>0</v>
      </c>
      <c r="CN154" s="5">
        <f t="shared" si="45"/>
        <v>0</v>
      </c>
      <c r="CO154" s="5">
        <f t="shared" si="46"/>
        <v>0</v>
      </c>
      <c r="CP154" s="6">
        <f t="shared" si="47"/>
        <v>0</v>
      </c>
      <c r="CQ154" s="6">
        <f t="shared" si="48"/>
        <v>0</v>
      </c>
      <c r="CR154" s="6">
        <f t="shared" si="49"/>
        <v>0</v>
      </c>
      <c r="CS154" s="6">
        <f t="shared" si="50"/>
        <v>0</v>
      </c>
      <c r="CT154" s="6">
        <f t="shared" si="584"/>
        <v>0</v>
      </c>
      <c r="CU154" s="6">
        <f t="shared" si="52"/>
        <v>0</v>
      </c>
      <c r="CV154" s="6">
        <f t="shared" si="53"/>
        <v>0</v>
      </c>
      <c r="CW154" s="6">
        <f t="shared" si="54"/>
        <v>0</v>
      </c>
      <c r="CX154" s="6">
        <f t="shared" si="55"/>
        <v>0</v>
      </c>
      <c r="CY154" s="6">
        <f t="shared" si="56"/>
        <v>0</v>
      </c>
      <c r="CZ154" s="6">
        <f t="shared" si="57"/>
        <v>0</v>
      </c>
      <c r="DA154" s="6">
        <f t="shared" si="58"/>
        <v>0</v>
      </c>
      <c r="DB154" s="6">
        <f t="shared" si="59"/>
        <v>0</v>
      </c>
      <c r="DC154" s="6">
        <f t="shared" si="60"/>
        <v>0</v>
      </c>
      <c r="DD154" s="6">
        <f t="shared" si="61"/>
        <v>0</v>
      </c>
      <c r="DE154" s="6">
        <f t="shared" si="62"/>
        <v>0</v>
      </c>
      <c r="DF154" s="6">
        <f t="shared" si="63"/>
        <v>0</v>
      </c>
      <c r="DG154" s="6">
        <f t="shared" si="64"/>
        <v>1</v>
      </c>
      <c r="DH154" s="6">
        <f t="shared" si="652"/>
        <v>0</v>
      </c>
      <c r="DI154" s="6">
        <f t="shared" si="66"/>
        <v>0</v>
      </c>
      <c r="DJ154" s="6">
        <f t="shared" si="653"/>
        <v>0</v>
      </c>
      <c r="DK154" s="7">
        <f t="shared" si="68"/>
        <v>0</v>
      </c>
      <c r="DL154" s="7">
        <f t="shared" si="498"/>
        <v>0</v>
      </c>
      <c r="DM154" s="7">
        <f t="shared" si="70"/>
        <v>0</v>
      </c>
      <c r="DN154" s="7">
        <f t="shared" si="71"/>
        <v>0</v>
      </c>
      <c r="DO154" s="7">
        <f t="shared" si="72"/>
        <v>1</v>
      </c>
      <c r="DP154" s="8">
        <f t="shared" si="73"/>
        <v>0</v>
      </c>
      <c r="DQ154" s="8">
        <f t="shared" si="74"/>
        <v>1</v>
      </c>
      <c r="DR154" s="7">
        <f t="shared" si="75"/>
        <v>0</v>
      </c>
      <c r="DS154" s="7">
        <f t="shared" si="76"/>
        <v>0</v>
      </c>
      <c r="DT154" s="7">
        <f t="shared" si="77"/>
        <v>0</v>
      </c>
      <c r="DU154" s="9">
        <f t="shared" si="78"/>
        <v>0</v>
      </c>
      <c r="DV154" s="9">
        <f t="shared" si="79"/>
        <v>0</v>
      </c>
      <c r="DW154" s="9">
        <f t="shared" si="80"/>
        <v>0</v>
      </c>
      <c r="DX154" s="9">
        <f t="shared" si="81"/>
        <v>0</v>
      </c>
      <c r="DY154" s="9">
        <f t="shared" si="82"/>
        <v>0</v>
      </c>
      <c r="DZ154" s="9">
        <f t="shared" si="83"/>
        <v>0</v>
      </c>
      <c r="EA154" s="9">
        <f t="shared" si="84"/>
        <v>0</v>
      </c>
      <c r="EB154" s="9">
        <f t="shared" si="85"/>
        <v>0</v>
      </c>
      <c r="EC154" s="9">
        <f t="shared" si="86"/>
        <v>0</v>
      </c>
      <c r="ED154" s="9">
        <f t="shared" si="87"/>
        <v>0</v>
      </c>
      <c r="EE154" s="9">
        <f t="shared" si="88"/>
        <v>0</v>
      </c>
      <c r="EF154" s="9">
        <f t="shared" si="89"/>
        <v>0</v>
      </c>
      <c r="EG154" s="9">
        <f t="shared" si="90"/>
        <v>0</v>
      </c>
      <c r="EH154" s="9">
        <f t="shared" si="91"/>
        <v>0</v>
      </c>
      <c r="EI154" s="9">
        <f t="shared" si="92"/>
        <v>1</v>
      </c>
      <c r="EJ154" s="10">
        <f t="shared" si="93"/>
        <v>1</v>
      </c>
      <c r="EK154" s="10">
        <f t="shared" si="94"/>
        <v>0</v>
      </c>
      <c r="EL154" s="10">
        <f t="shared" ref="EL154:EM154" si="662">IF(OR(ISNUMBER(SEARCH("ai software toolkit", $D154)), ISNUMBER(SEARCH("ai software toolkit", $T154)), ISNUMBER(SEARCH("ai software toolkit", $R154)), ISNUMBER(SEARCH("ai software toolkit", $S154))), 1, 0)</f>
        <v>0</v>
      </c>
      <c r="EM154" s="10">
        <f t="shared" si="662"/>
        <v>0</v>
      </c>
      <c r="EN154" s="10">
        <f t="shared" si="96"/>
        <v>0</v>
      </c>
      <c r="EO154" s="10">
        <f t="shared" si="97"/>
        <v>0</v>
      </c>
      <c r="EP154" s="10">
        <f t="shared" si="98"/>
        <v>0</v>
      </c>
      <c r="EQ154" s="10">
        <f t="shared" si="99"/>
        <v>0</v>
      </c>
      <c r="ER154" s="10">
        <f t="shared" si="100"/>
        <v>0</v>
      </c>
      <c r="ES154" s="10">
        <f t="shared" si="101"/>
        <v>0</v>
      </c>
      <c r="ET154" s="10">
        <f t="shared" si="102"/>
        <v>0</v>
      </c>
      <c r="EU154" s="10">
        <f t="shared" si="103"/>
        <v>0</v>
      </c>
      <c r="EV154" s="10">
        <f t="shared" si="104"/>
        <v>0</v>
      </c>
      <c r="EW154" s="10">
        <f t="shared" si="105"/>
        <v>0</v>
      </c>
      <c r="EX154" s="10">
        <f t="shared" si="106"/>
        <v>0</v>
      </c>
      <c r="EY154" s="10">
        <f t="shared" si="107"/>
        <v>0</v>
      </c>
      <c r="EZ154" s="10">
        <f t="shared" si="108"/>
        <v>0</v>
      </c>
      <c r="FA154" s="10">
        <f t="shared" si="109"/>
        <v>0</v>
      </c>
      <c r="FB154" s="10">
        <f t="shared" si="110"/>
        <v>0</v>
      </c>
      <c r="FC154" s="10">
        <f t="shared" si="111"/>
        <v>0</v>
      </c>
      <c r="FD154" s="10">
        <f t="shared" si="112"/>
        <v>0</v>
      </c>
      <c r="FE154" s="10">
        <f t="shared" si="113"/>
        <v>0</v>
      </c>
      <c r="FF154" s="10">
        <f t="shared" si="114"/>
        <v>0</v>
      </c>
      <c r="FG154" s="10">
        <f t="shared" si="115"/>
        <v>0</v>
      </c>
      <c r="FH154" s="10">
        <f t="shared" si="116"/>
        <v>0</v>
      </c>
      <c r="FI154" s="10">
        <f t="shared" si="117"/>
        <v>0</v>
      </c>
      <c r="FJ154" s="10">
        <f t="shared" si="118"/>
        <v>0</v>
      </c>
      <c r="FK154" s="10">
        <f t="shared" si="119"/>
        <v>0</v>
      </c>
      <c r="FL154" s="10">
        <f t="shared" si="120"/>
        <v>0</v>
      </c>
      <c r="FM154" s="10">
        <f t="shared" si="121"/>
        <v>0</v>
      </c>
      <c r="FN154" s="10">
        <f t="shared" si="122"/>
        <v>0</v>
      </c>
      <c r="FO154" s="10">
        <f t="shared" si="123"/>
        <v>0</v>
      </c>
      <c r="FP154" s="10">
        <f t="shared" si="124"/>
        <v>0</v>
      </c>
      <c r="FQ154" s="10">
        <f t="shared" si="125"/>
        <v>0</v>
      </c>
      <c r="FR154" s="11">
        <f t="shared" si="636"/>
        <v>0</v>
      </c>
      <c r="FS154" s="11">
        <f t="shared" si="127"/>
        <v>0</v>
      </c>
      <c r="FT154" s="11">
        <f t="shared" si="128"/>
        <v>0</v>
      </c>
      <c r="FU154" s="11">
        <f t="shared" si="129"/>
        <v>0</v>
      </c>
      <c r="FV154" s="11">
        <f t="shared" si="130"/>
        <v>0</v>
      </c>
      <c r="FW154" s="11">
        <f t="shared" si="131"/>
        <v>0</v>
      </c>
      <c r="FX154" s="11">
        <f t="shared" si="132"/>
        <v>0</v>
      </c>
      <c r="FY154" s="11">
        <f t="shared" si="133"/>
        <v>0</v>
      </c>
      <c r="FZ154" s="11">
        <f t="shared" si="134"/>
        <v>0</v>
      </c>
      <c r="GA154" s="11">
        <f t="shared" si="135"/>
        <v>0</v>
      </c>
      <c r="GB154" s="11">
        <f t="shared" si="136"/>
        <v>0</v>
      </c>
      <c r="GC154" s="11">
        <f t="shared" si="137"/>
        <v>0</v>
      </c>
      <c r="GD154" s="11">
        <f t="shared" si="138"/>
        <v>0</v>
      </c>
      <c r="GE154" s="11">
        <f t="shared" si="139"/>
        <v>0</v>
      </c>
      <c r="GF154" s="11">
        <f t="shared" si="140"/>
        <v>0</v>
      </c>
      <c r="GG154" s="11">
        <f t="shared" si="141"/>
        <v>0</v>
      </c>
      <c r="GH154" s="11">
        <f t="shared" si="142"/>
        <v>0</v>
      </c>
      <c r="GI154" s="11">
        <f t="shared" si="143"/>
        <v>0</v>
      </c>
      <c r="GJ154" s="11">
        <f t="shared" si="144"/>
        <v>0</v>
      </c>
      <c r="GK154" s="11">
        <f t="shared" si="145"/>
        <v>0</v>
      </c>
      <c r="GL154" s="11">
        <f t="shared" si="146"/>
        <v>0</v>
      </c>
      <c r="GM154" s="11">
        <f t="shared" si="147"/>
        <v>0</v>
      </c>
      <c r="GN154" s="11">
        <f t="shared" si="148"/>
        <v>0</v>
      </c>
      <c r="GO154" s="11">
        <f t="shared" si="149"/>
        <v>0</v>
      </c>
      <c r="GP154" s="11">
        <f t="shared" si="150"/>
        <v>0</v>
      </c>
      <c r="GQ154" s="11">
        <f t="shared" si="151"/>
        <v>0</v>
      </c>
      <c r="GR154" s="11">
        <f t="shared" si="152"/>
        <v>0</v>
      </c>
      <c r="GS154" s="11">
        <f t="shared" si="153"/>
        <v>0</v>
      </c>
      <c r="GT154" s="11">
        <f t="shared" si="154"/>
        <v>0</v>
      </c>
      <c r="GU154" s="12">
        <f t="shared" si="155"/>
        <v>0</v>
      </c>
      <c r="GV154" s="12">
        <f t="shared" si="156"/>
        <v>0</v>
      </c>
      <c r="GW154" s="12">
        <f t="shared" si="157"/>
        <v>0</v>
      </c>
      <c r="GX154" s="12">
        <f t="shared" si="158"/>
        <v>0</v>
      </c>
      <c r="GY154" s="12">
        <f t="shared" si="159"/>
        <v>0</v>
      </c>
      <c r="GZ154" s="12">
        <f t="shared" si="160"/>
        <v>0</v>
      </c>
      <c r="HA154" s="12">
        <f t="shared" si="161"/>
        <v>0</v>
      </c>
      <c r="HB154" s="12">
        <f t="shared" si="162"/>
        <v>0</v>
      </c>
      <c r="HC154" s="12">
        <f t="shared" si="163"/>
        <v>0</v>
      </c>
      <c r="HD154" s="12">
        <f t="shared" si="164"/>
        <v>0</v>
      </c>
      <c r="HE154" s="12">
        <f t="shared" si="165"/>
        <v>0</v>
      </c>
      <c r="HF154" s="12">
        <f t="shared" si="166"/>
        <v>0</v>
      </c>
      <c r="HG154" s="12">
        <f t="shared" si="167"/>
        <v>0</v>
      </c>
      <c r="HH154" s="12">
        <f t="shared" si="168"/>
        <v>0</v>
      </c>
      <c r="HI154" s="12">
        <f t="shared" si="169"/>
        <v>0</v>
      </c>
      <c r="HJ154" s="12">
        <f t="shared" si="170"/>
        <v>0</v>
      </c>
      <c r="HK154" s="12">
        <f t="shared" si="171"/>
        <v>0</v>
      </c>
      <c r="HL154" s="12">
        <f t="shared" si="172"/>
        <v>0</v>
      </c>
      <c r="HM154" s="12">
        <f t="shared" si="173"/>
        <v>0</v>
      </c>
      <c r="HN154" s="12">
        <f t="shared" si="174"/>
        <v>0</v>
      </c>
      <c r="HO154" s="12">
        <f t="shared" si="175"/>
        <v>0</v>
      </c>
      <c r="HP154" s="12">
        <f t="shared" si="176"/>
        <v>0</v>
      </c>
      <c r="HQ154" s="12">
        <f t="shared" si="177"/>
        <v>0</v>
      </c>
      <c r="HR154" s="12">
        <f t="shared" si="178"/>
        <v>0</v>
      </c>
      <c r="HS154" s="12">
        <f t="shared" si="179"/>
        <v>0</v>
      </c>
      <c r="HT154" s="12">
        <f t="shared" si="180"/>
        <v>0</v>
      </c>
      <c r="HU154" s="12">
        <f t="shared" si="181"/>
        <v>0</v>
      </c>
      <c r="HV154" s="12">
        <f t="shared" si="182"/>
        <v>0</v>
      </c>
      <c r="HW154" s="12">
        <f t="shared" si="183"/>
        <v>0</v>
      </c>
      <c r="HX154" s="12">
        <f t="shared" si="184"/>
        <v>0</v>
      </c>
      <c r="HY154" s="12">
        <f t="shared" si="185"/>
        <v>0</v>
      </c>
      <c r="HZ154" s="12">
        <f t="shared" si="186"/>
        <v>0</v>
      </c>
      <c r="IA154" s="12">
        <f t="shared" si="187"/>
        <v>0</v>
      </c>
      <c r="IB154" s="12">
        <f t="shared" si="188"/>
        <v>0</v>
      </c>
      <c r="IC154" s="12">
        <f t="shared" si="189"/>
        <v>0</v>
      </c>
      <c r="ID154" s="12">
        <f t="shared" si="190"/>
        <v>0</v>
      </c>
      <c r="IE154" s="12">
        <f t="shared" si="191"/>
        <v>0</v>
      </c>
      <c r="IF154" s="12">
        <f t="shared" si="192"/>
        <v>0</v>
      </c>
      <c r="IG154" s="12">
        <f t="shared" si="193"/>
        <v>0</v>
      </c>
      <c r="IH154" s="12">
        <f t="shared" si="194"/>
        <v>0</v>
      </c>
      <c r="II154" s="12">
        <f t="shared" si="195"/>
        <v>0</v>
      </c>
      <c r="IJ154" s="12">
        <f t="shared" si="196"/>
        <v>0</v>
      </c>
      <c r="IK154" s="12">
        <f t="shared" si="197"/>
        <v>0</v>
      </c>
      <c r="IL154" s="12">
        <f t="shared" si="198"/>
        <v>0</v>
      </c>
      <c r="IM154" s="12">
        <f t="shared" si="199"/>
        <v>0</v>
      </c>
      <c r="IN154" s="12">
        <f t="shared" si="200"/>
        <v>0</v>
      </c>
      <c r="IO154" s="12">
        <f t="shared" si="201"/>
        <v>0</v>
      </c>
      <c r="IP154" s="12">
        <f t="shared" si="202"/>
        <v>0</v>
      </c>
      <c r="IQ154" s="12">
        <f t="shared" si="203"/>
        <v>0</v>
      </c>
      <c r="IR154" s="12">
        <f t="shared" si="204"/>
        <v>0</v>
      </c>
      <c r="IS154" s="12">
        <f t="shared" si="205"/>
        <v>0</v>
      </c>
      <c r="IT154" s="12">
        <f t="shared" si="206"/>
        <v>0</v>
      </c>
      <c r="IU154" s="12">
        <f t="shared" si="207"/>
        <v>0</v>
      </c>
      <c r="IV154" s="12">
        <f t="shared" si="208"/>
        <v>0</v>
      </c>
      <c r="IW154" s="12">
        <f t="shared" si="209"/>
        <v>0</v>
      </c>
      <c r="IX154" s="12">
        <f t="shared" si="210"/>
        <v>0</v>
      </c>
      <c r="IY154" s="12">
        <f t="shared" si="211"/>
        <v>0</v>
      </c>
      <c r="IZ154" s="12">
        <f t="shared" si="212"/>
        <v>0</v>
      </c>
      <c r="JA154" s="13">
        <f t="shared" si="213"/>
        <v>0</v>
      </c>
      <c r="JB154" s="13">
        <f t="shared" si="214"/>
        <v>0</v>
      </c>
      <c r="JC154" s="13">
        <f t="shared" si="215"/>
        <v>0</v>
      </c>
      <c r="JD154" s="13">
        <f t="shared" si="216"/>
        <v>0</v>
      </c>
      <c r="JE154" s="13">
        <f t="shared" si="217"/>
        <v>0</v>
      </c>
      <c r="JF154" s="13">
        <f t="shared" si="218"/>
        <v>0</v>
      </c>
      <c r="JG154" s="13">
        <f t="shared" si="219"/>
        <v>0</v>
      </c>
      <c r="JH154" s="13">
        <f t="shared" si="220"/>
        <v>0</v>
      </c>
      <c r="JI154" s="13">
        <f t="shared" si="221"/>
        <v>0</v>
      </c>
      <c r="JJ154" s="13">
        <f t="shared" si="222"/>
        <v>0</v>
      </c>
      <c r="JK154" s="13">
        <f t="shared" si="223"/>
        <v>0</v>
      </c>
      <c r="JL154" s="13">
        <f t="shared" si="224"/>
        <v>0</v>
      </c>
      <c r="JM154" s="13">
        <f t="shared" si="225"/>
        <v>0</v>
      </c>
      <c r="JN154" s="13">
        <f t="shared" si="226"/>
        <v>0</v>
      </c>
      <c r="JO154" s="13">
        <f t="shared" si="227"/>
        <v>0</v>
      </c>
      <c r="JP154" s="13">
        <f t="shared" si="228"/>
        <v>0</v>
      </c>
      <c r="JQ154" s="13">
        <f t="shared" si="229"/>
        <v>0</v>
      </c>
      <c r="JR154" s="13">
        <f t="shared" si="230"/>
        <v>0</v>
      </c>
      <c r="JS154" s="13">
        <f t="shared" si="231"/>
        <v>0</v>
      </c>
      <c r="JT154" s="13">
        <f t="shared" si="232"/>
        <v>0</v>
      </c>
      <c r="JU154" s="13">
        <f t="shared" si="233"/>
        <v>0</v>
      </c>
      <c r="JV154" s="12">
        <f t="shared" si="234"/>
        <v>0</v>
      </c>
      <c r="JW154" s="12">
        <f t="shared" si="235"/>
        <v>0</v>
      </c>
      <c r="JX154" s="12">
        <f t="shared" si="236"/>
        <v>0</v>
      </c>
      <c r="JY154" s="12">
        <f t="shared" si="237"/>
        <v>0</v>
      </c>
      <c r="JZ154" s="12">
        <f t="shared" si="238"/>
        <v>0</v>
      </c>
      <c r="KA154" s="12">
        <f t="shared" si="239"/>
        <v>0</v>
      </c>
      <c r="KB154" s="12">
        <f t="shared" si="240"/>
        <v>0</v>
      </c>
      <c r="KC154" s="12">
        <f t="shared" si="241"/>
        <v>0</v>
      </c>
      <c r="KD154" s="12">
        <f t="shared" si="242"/>
        <v>0</v>
      </c>
      <c r="KE154" s="12">
        <f t="shared" si="243"/>
        <v>0</v>
      </c>
      <c r="KF154" s="12">
        <f t="shared" si="244"/>
        <v>0</v>
      </c>
      <c r="KG154" s="12">
        <f t="shared" si="245"/>
        <v>0</v>
      </c>
      <c r="KH154" s="12">
        <f t="shared" si="246"/>
        <v>0</v>
      </c>
      <c r="KI154" s="12">
        <f t="shared" si="247"/>
        <v>0</v>
      </c>
      <c r="KJ154" s="12">
        <f t="shared" si="248"/>
        <v>0</v>
      </c>
      <c r="KK154" s="12">
        <f t="shared" si="249"/>
        <v>0</v>
      </c>
      <c r="KL154" s="12">
        <f t="shared" si="250"/>
        <v>0</v>
      </c>
      <c r="KM154" s="12">
        <f t="shared" si="251"/>
        <v>0</v>
      </c>
      <c r="KN154" s="12">
        <f t="shared" si="252"/>
        <v>0</v>
      </c>
      <c r="KO154" s="12">
        <f t="shared" si="253"/>
        <v>0</v>
      </c>
      <c r="KP154" s="12">
        <f t="shared" si="254"/>
        <v>0</v>
      </c>
      <c r="KQ154" s="12">
        <f t="shared" si="255"/>
        <v>0</v>
      </c>
      <c r="KR154" s="12">
        <f t="shared" si="256"/>
        <v>0</v>
      </c>
      <c r="KS154" s="12">
        <f t="shared" si="257"/>
        <v>0</v>
      </c>
      <c r="KT154" s="12">
        <f t="shared" si="258"/>
        <v>0</v>
      </c>
      <c r="KU154" s="12">
        <f t="shared" si="259"/>
        <v>0</v>
      </c>
      <c r="KV154" s="12">
        <f t="shared" si="260"/>
        <v>0</v>
      </c>
      <c r="KW154" s="12">
        <f t="shared" si="261"/>
        <v>0</v>
      </c>
      <c r="KX154" s="12">
        <f t="shared" si="262"/>
        <v>0</v>
      </c>
      <c r="KY154" s="12">
        <f t="shared" si="263"/>
        <v>0</v>
      </c>
      <c r="KZ154" s="12">
        <f t="shared" si="264"/>
        <v>0</v>
      </c>
      <c r="LA154" s="12">
        <f t="shared" si="265"/>
        <v>0</v>
      </c>
      <c r="LB154" s="12">
        <f t="shared" si="266"/>
        <v>0</v>
      </c>
      <c r="LC154" s="12">
        <f t="shared" si="267"/>
        <v>0</v>
      </c>
      <c r="LD154" s="12">
        <f t="shared" si="268"/>
        <v>0</v>
      </c>
      <c r="LE154" s="12">
        <f t="shared" si="269"/>
        <v>0</v>
      </c>
      <c r="LF154" s="12">
        <f t="shared" si="270"/>
        <v>0</v>
      </c>
      <c r="LG154" s="12">
        <f t="shared" si="271"/>
        <v>0</v>
      </c>
      <c r="LH154" s="12">
        <f t="shared" si="272"/>
        <v>0</v>
      </c>
      <c r="LI154" s="12">
        <f t="shared" si="273"/>
        <v>0</v>
      </c>
      <c r="LJ154" s="12">
        <f t="shared" si="274"/>
        <v>0</v>
      </c>
      <c r="LK154" s="12">
        <f t="shared" si="275"/>
        <v>0</v>
      </c>
      <c r="LL154" s="12">
        <f t="shared" si="276"/>
        <v>0</v>
      </c>
      <c r="LM154" s="12">
        <f t="shared" si="277"/>
        <v>0</v>
      </c>
      <c r="LN154" s="12">
        <f t="shared" si="278"/>
        <v>0</v>
      </c>
      <c r="LO154" s="12">
        <f t="shared" si="279"/>
        <v>0</v>
      </c>
      <c r="LP154" s="12">
        <f t="shared" si="280"/>
        <v>0</v>
      </c>
      <c r="LQ154" s="12">
        <f t="shared" si="281"/>
        <v>0</v>
      </c>
      <c r="LR154" s="12">
        <f t="shared" si="282"/>
        <v>0</v>
      </c>
      <c r="LS154" s="12">
        <f t="shared" si="283"/>
        <v>0</v>
      </c>
      <c r="LT154" s="13">
        <f t="shared" si="284"/>
        <v>0</v>
      </c>
      <c r="LU154" s="13">
        <f t="shared" si="285"/>
        <v>0</v>
      </c>
      <c r="LV154" s="13">
        <f t="shared" si="286"/>
        <v>0</v>
      </c>
      <c r="LW154" s="13">
        <f t="shared" si="287"/>
        <v>0</v>
      </c>
      <c r="LX154" s="13">
        <f t="shared" si="288"/>
        <v>0</v>
      </c>
      <c r="LY154" s="13">
        <f t="shared" si="289"/>
        <v>0</v>
      </c>
      <c r="LZ154" s="13">
        <f t="shared" si="290"/>
        <v>0</v>
      </c>
      <c r="MA154" s="13">
        <f t="shared" si="291"/>
        <v>0</v>
      </c>
      <c r="MB154" s="13">
        <f t="shared" si="292"/>
        <v>0</v>
      </c>
      <c r="MC154" s="13">
        <f t="shared" si="293"/>
        <v>0</v>
      </c>
      <c r="MD154" s="13">
        <f t="shared" si="294"/>
        <v>0</v>
      </c>
      <c r="ME154" s="13">
        <f t="shared" si="295"/>
        <v>0</v>
      </c>
      <c r="MF154" s="13">
        <f t="shared" si="296"/>
        <v>0</v>
      </c>
      <c r="MG154" s="13">
        <f t="shared" si="297"/>
        <v>0</v>
      </c>
      <c r="MH154" s="13">
        <f t="shared" si="298"/>
        <v>0</v>
      </c>
      <c r="MI154" s="13">
        <f t="shared" si="299"/>
        <v>0</v>
      </c>
      <c r="MJ154" s="13">
        <f t="shared" si="300"/>
        <v>0</v>
      </c>
      <c r="MK154" s="13">
        <f t="shared" si="301"/>
        <v>0</v>
      </c>
      <c r="ML154" s="14">
        <f t="shared" si="302"/>
        <v>1</v>
      </c>
      <c r="MM154" s="14">
        <f t="shared" si="303"/>
        <v>0</v>
      </c>
      <c r="MN154" s="14">
        <f t="shared" si="304"/>
        <v>1</v>
      </c>
      <c r="MO154" s="14">
        <f t="shared" si="305"/>
        <v>1</v>
      </c>
      <c r="MP154" s="14">
        <f t="shared" si="306"/>
        <v>1</v>
      </c>
      <c r="MQ154" s="14">
        <f t="shared" si="307"/>
        <v>0</v>
      </c>
      <c r="MR154" s="14">
        <f t="shared" si="308"/>
        <v>0</v>
      </c>
      <c r="MS154" s="14">
        <f t="shared" si="309"/>
        <v>0</v>
      </c>
      <c r="MT154" s="14">
        <f t="shared" si="310"/>
        <v>0</v>
      </c>
      <c r="MU154" s="14">
        <f t="shared" si="311"/>
        <v>0</v>
      </c>
      <c r="MV154" s="14">
        <f t="shared" si="312"/>
        <v>0</v>
      </c>
      <c r="MW154" s="14">
        <f t="shared" si="313"/>
        <v>0</v>
      </c>
      <c r="MX154" s="14">
        <f t="shared" si="314"/>
        <v>0</v>
      </c>
      <c r="MY154" s="14">
        <f t="shared" si="315"/>
        <v>0</v>
      </c>
      <c r="MZ154" s="14">
        <f t="shared" si="316"/>
        <v>0</v>
      </c>
      <c r="NA154" s="14">
        <f t="shared" si="317"/>
        <v>0</v>
      </c>
      <c r="NB154" s="14">
        <f t="shared" si="318"/>
        <v>0</v>
      </c>
    </row>
    <row r="155" ht="15.75" customHeight="1">
      <c r="A155" s="2">
        <v>767.0</v>
      </c>
      <c r="B155" s="2" t="s">
        <v>2969</v>
      </c>
      <c r="C155" s="2" t="s">
        <v>2970</v>
      </c>
      <c r="D155" s="2" t="s">
        <v>2971</v>
      </c>
      <c r="E155" s="2">
        <v>2022.0</v>
      </c>
      <c r="F155" s="2" t="s">
        <v>2972</v>
      </c>
      <c r="G155" s="2">
        <v>41.0</v>
      </c>
      <c r="H155" s="2" t="s">
        <v>528</v>
      </c>
      <c r="J155" s="2" t="s">
        <v>2973</v>
      </c>
      <c r="K155" s="2" t="s">
        <v>2974</v>
      </c>
      <c r="M155" s="2">
        <v>3.0</v>
      </c>
      <c r="N155" s="2" t="s">
        <v>2975</v>
      </c>
      <c r="O155" s="2" t="s">
        <v>2976</v>
      </c>
      <c r="P155" s="2" t="s">
        <v>2977</v>
      </c>
      <c r="Q155" s="2" t="s">
        <v>2978</v>
      </c>
      <c r="R155" s="2" t="s">
        <v>2979</v>
      </c>
      <c r="S155" s="2" t="s">
        <v>2980</v>
      </c>
      <c r="T155" s="2" t="s">
        <v>2981</v>
      </c>
      <c r="Y155" s="2" t="s">
        <v>2982</v>
      </c>
      <c r="AB155" s="2" t="s">
        <v>1059</v>
      </c>
      <c r="AG155" s="2" t="s">
        <v>2983</v>
      </c>
      <c r="AI155" s="2" t="s">
        <v>2984</v>
      </c>
      <c r="AK155" s="2" t="s">
        <v>2985</v>
      </c>
      <c r="AL155" s="2" t="s">
        <v>384</v>
      </c>
      <c r="AN155" s="2" t="s">
        <v>386</v>
      </c>
      <c r="AO155" s="2" t="s">
        <v>2986</v>
      </c>
      <c r="AP155" s="2" t="s">
        <v>386</v>
      </c>
      <c r="AQ155" s="2">
        <v>2990.0</v>
      </c>
      <c r="AR155" s="2" t="s">
        <v>2971</v>
      </c>
      <c r="AS155" s="2" t="b">
        <v>1</v>
      </c>
      <c r="AT155" s="3">
        <v>0.0</v>
      </c>
      <c r="AU155" s="4"/>
      <c r="AV155" s="4"/>
      <c r="AW155" s="5">
        <f t="shared" si="432"/>
        <v>0</v>
      </c>
      <c r="AX155" s="5">
        <f t="shared" si="4"/>
        <v>0</v>
      </c>
      <c r="AY155" s="5">
        <f t="shared" si="5"/>
        <v>0</v>
      </c>
      <c r="AZ155" s="5">
        <f t="shared" si="6"/>
        <v>0</v>
      </c>
      <c r="BA155" s="5">
        <f t="shared" si="7"/>
        <v>0</v>
      </c>
      <c r="BB155" s="5">
        <f t="shared" si="8"/>
        <v>0</v>
      </c>
      <c r="BC155" s="5">
        <f t="shared" si="9"/>
        <v>0</v>
      </c>
      <c r="BD155" s="5">
        <f t="shared" si="10"/>
        <v>0</v>
      </c>
      <c r="BE155" s="5">
        <f t="shared" si="11"/>
        <v>0</v>
      </c>
      <c r="BF155" s="5">
        <f t="shared" si="12"/>
        <v>0</v>
      </c>
      <c r="BG155" s="5">
        <f t="shared" si="13"/>
        <v>0</v>
      </c>
      <c r="BH155" s="5">
        <f t="shared" si="14"/>
        <v>0</v>
      </c>
      <c r="BI155" s="5">
        <f t="shared" si="15"/>
        <v>0</v>
      </c>
      <c r="BJ155" s="5">
        <f t="shared" si="16"/>
        <v>0</v>
      </c>
      <c r="BK155" s="5">
        <f t="shared" si="17"/>
        <v>0</v>
      </c>
      <c r="BL155" s="5">
        <f t="shared" si="18"/>
        <v>0</v>
      </c>
      <c r="BM155" s="5">
        <f t="shared" si="19"/>
        <v>0</v>
      </c>
      <c r="BN155" s="5">
        <f t="shared" si="20"/>
        <v>0</v>
      </c>
      <c r="BO155" s="5">
        <f t="shared" si="21"/>
        <v>0</v>
      </c>
      <c r="BP155" s="5">
        <f t="shared" si="22"/>
        <v>0</v>
      </c>
      <c r="BQ155" s="5">
        <f t="shared" si="23"/>
        <v>0</v>
      </c>
      <c r="BR155" s="5">
        <f t="shared" si="24"/>
        <v>0</v>
      </c>
      <c r="BS155" s="5">
        <f t="shared" si="25"/>
        <v>1</v>
      </c>
      <c r="BT155" s="5">
        <f t="shared" si="26"/>
        <v>0</v>
      </c>
      <c r="BU155" s="5">
        <f t="shared" si="27"/>
        <v>0</v>
      </c>
      <c r="BV155" s="5">
        <f t="shared" ref="BV155:BW155" si="663">IF(OR(ISNUMBER(SEARCH("grit",$D155)),ISNUMBER(SEARCH("grit",$T155)),ISNUMBER(SEARCH("grit",$R155)),ISNUMBER(SEARCH("grit",$S155)),
ISNUMBER(SEARCH("determination",$D155)),ISNUMBER(SEARCH("determination",$T155)),ISNUMBER(SEARCH("determination",$R155)),ISNUMBER(SEARCH("determination",$S155)),
ISNUMBER(SEARCH("tenacity",$D155)),ISNUMBER(SEARCH("tenacity",$T155)),ISNUMBER(SEARCH("tenacity",$R155)),ISNUMBER(SEARCH("tenacity",$S155)),
ISNUMBER(SEARCH("endurance",$D155)),ISNUMBER(SEARCH("endurance",$T155)),ISNUMBER(SEARCH("endurance",$R155)),ISNUMBER(SEARCH("endurance",$S155)),
ISNUMBER(SEARCH("fortitude",$D155)),ISNUMBER(SEARCH("fortitude",$T155)),ISNUMBER(SEARCH("fortitude",$R155)),ISNUMBER(SEARCH("fortitude",$S155)),
ISNUMBER(SEARCH("resolve",$D155)),ISNUMBER(SEARCH("resolve",$T155)),ISNUMBER(SEARCH("resolve",$R155)),ISNUMBER(SEARCH("resolve",$S155)),
ISNUMBER(SEARCH("stamina",$D155)),ISNUMBER(SEARCH("stamina",$T155)),ISNUMBER(SEARCH("stamina",$R155)),ISNUMBER(SEARCH("stamina",$S155)),
ISNUMBER(SEARCH("guts",$D155)),ISNUMBER(SEARCH("guts",$T155)),ISNUMBER(SEARCH("guts",$R155)),ISNUMBER(SEARCH("guts",$S155)),
ISNUMBER(SEARCH("spunk",$D155)),ISNUMBER(SEARCH("spunk",$T155)),ISNUMBER(SEARCH("spunk",$R155)),ISNUMBER(SEARCH("spunk",$S155))), 1, 0)</f>
        <v>0</v>
      </c>
      <c r="BW155" s="5">
        <f t="shared" si="663"/>
        <v>0</v>
      </c>
      <c r="BX155" s="5">
        <f t="shared" si="29"/>
        <v>0</v>
      </c>
      <c r="BY155" s="5">
        <f t="shared" si="30"/>
        <v>0</v>
      </c>
      <c r="BZ155" s="5">
        <f t="shared" si="31"/>
        <v>0</v>
      </c>
      <c r="CA155" s="5">
        <f t="shared" si="32"/>
        <v>0</v>
      </c>
      <c r="CB155" s="5">
        <f t="shared" si="33"/>
        <v>0</v>
      </c>
      <c r="CC155" s="5">
        <f t="shared" si="34"/>
        <v>0</v>
      </c>
      <c r="CD155" s="5">
        <f t="shared" si="35"/>
        <v>1</v>
      </c>
      <c r="CE155" s="5">
        <f t="shared" si="36"/>
        <v>0</v>
      </c>
      <c r="CF155" s="5">
        <f t="shared" si="37"/>
        <v>0</v>
      </c>
      <c r="CG155" s="5">
        <f t="shared" si="38"/>
        <v>0</v>
      </c>
      <c r="CH155" s="5">
        <f t="shared" si="39"/>
        <v>0</v>
      </c>
      <c r="CI155" s="5">
        <f t="shared" si="40"/>
        <v>0</v>
      </c>
      <c r="CJ155" s="5">
        <f t="shared" si="41"/>
        <v>0</v>
      </c>
      <c r="CK155" s="5">
        <f t="shared" si="42"/>
        <v>0</v>
      </c>
      <c r="CL155" s="5">
        <f t="shared" si="43"/>
        <v>0</v>
      </c>
      <c r="CM155" s="5">
        <f t="shared" si="44"/>
        <v>0</v>
      </c>
      <c r="CN155" s="5">
        <f t="shared" si="45"/>
        <v>0</v>
      </c>
      <c r="CO155" s="5">
        <f t="shared" si="46"/>
        <v>0</v>
      </c>
      <c r="CP155" s="6">
        <f t="shared" si="47"/>
        <v>0</v>
      </c>
      <c r="CQ155" s="6">
        <f t="shared" si="48"/>
        <v>0</v>
      </c>
      <c r="CR155" s="6">
        <f t="shared" si="49"/>
        <v>1</v>
      </c>
      <c r="CS155" s="6">
        <f t="shared" si="50"/>
        <v>0</v>
      </c>
      <c r="CT155" s="6">
        <f t="shared" si="584"/>
        <v>0</v>
      </c>
      <c r="CU155" s="6">
        <f t="shared" si="52"/>
        <v>0</v>
      </c>
      <c r="CV155" s="6">
        <f t="shared" si="53"/>
        <v>0</v>
      </c>
      <c r="CW155" s="6">
        <f t="shared" si="54"/>
        <v>0</v>
      </c>
      <c r="CX155" s="6">
        <f t="shared" si="55"/>
        <v>0</v>
      </c>
      <c r="CY155" s="6">
        <f t="shared" si="56"/>
        <v>0</v>
      </c>
      <c r="CZ155" s="6">
        <f t="shared" si="57"/>
        <v>0</v>
      </c>
      <c r="DA155" s="6">
        <f t="shared" si="58"/>
        <v>0</v>
      </c>
      <c r="DB155" s="6">
        <f t="shared" si="59"/>
        <v>0</v>
      </c>
      <c r="DC155" s="6">
        <f t="shared" si="60"/>
        <v>0</v>
      </c>
      <c r="DD155" s="6">
        <f t="shared" si="61"/>
        <v>0</v>
      </c>
      <c r="DE155" s="6">
        <f t="shared" si="62"/>
        <v>0</v>
      </c>
      <c r="DF155" s="6">
        <f t="shared" si="63"/>
        <v>0</v>
      </c>
      <c r="DG155" s="6">
        <f t="shared" si="64"/>
        <v>0</v>
      </c>
      <c r="DH155" s="6">
        <f t="shared" si="652"/>
        <v>0</v>
      </c>
      <c r="DI155" s="6">
        <f t="shared" si="66"/>
        <v>0</v>
      </c>
      <c r="DJ155" s="6">
        <f t="shared" si="653"/>
        <v>0</v>
      </c>
      <c r="DK155" s="7">
        <f t="shared" si="68"/>
        <v>0</v>
      </c>
      <c r="DL155" s="7">
        <f t="shared" si="498"/>
        <v>0</v>
      </c>
      <c r="DM155" s="7">
        <f t="shared" si="70"/>
        <v>0</v>
      </c>
      <c r="DN155" s="7">
        <f t="shared" si="71"/>
        <v>0</v>
      </c>
      <c r="DO155" s="7">
        <f t="shared" si="72"/>
        <v>1</v>
      </c>
      <c r="DP155" s="8">
        <f t="shared" si="73"/>
        <v>0</v>
      </c>
      <c r="DQ155" s="8">
        <f t="shared" si="74"/>
        <v>1</v>
      </c>
      <c r="DR155" s="7">
        <f t="shared" si="75"/>
        <v>0</v>
      </c>
      <c r="DS155" s="7">
        <f t="shared" si="76"/>
        <v>0</v>
      </c>
      <c r="DT155" s="7">
        <f t="shared" si="77"/>
        <v>0</v>
      </c>
      <c r="DU155" s="9">
        <f t="shared" si="78"/>
        <v>0</v>
      </c>
      <c r="DV155" s="9">
        <f t="shared" si="79"/>
        <v>0</v>
      </c>
      <c r="DW155" s="9">
        <f t="shared" si="80"/>
        <v>0</v>
      </c>
      <c r="DX155" s="9">
        <f t="shared" si="81"/>
        <v>0</v>
      </c>
      <c r="DY155" s="9">
        <f t="shared" si="82"/>
        <v>0</v>
      </c>
      <c r="DZ155" s="9">
        <f t="shared" si="83"/>
        <v>0</v>
      </c>
      <c r="EA155" s="9">
        <f t="shared" si="84"/>
        <v>0</v>
      </c>
      <c r="EB155" s="9">
        <f t="shared" si="85"/>
        <v>0</v>
      </c>
      <c r="EC155" s="9">
        <f t="shared" si="86"/>
        <v>0</v>
      </c>
      <c r="ED155" s="9">
        <f t="shared" si="87"/>
        <v>0</v>
      </c>
      <c r="EE155" s="9">
        <f t="shared" si="88"/>
        <v>0</v>
      </c>
      <c r="EF155" s="9">
        <f t="shared" si="89"/>
        <v>0</v>
      </c>
      <c r="EG155" s="9">
        <f t="shared" si="90"/>
        <v>0</v>
      </c>
      <c r="EH155" s="9">
        <f t="shared" si="91"/>
        <v>0</v>
      </c>
      <c r="EI155" s="9">
        <f t="shared" si="92"/>
        <v>0</v>
      </c>
      <c r="EJ155" s="10">
        <f t="shared" si="93"/>
        <v>0</v>
      </c>
      <c r="EK155" s="10">
        <f t="shared" si="94"/>
        <v>0</v>
      </c>
      <c r="EL155" s="10">
        <f t="shared" ref="EL155:EM155" si="664">IF(OR(ISNUMBER(SEARCH("ai software toolkit", $D155)), ISNUMBER(SEARCH("ai software toolkit", $T155)), ISNUMBER(SEARCH("ai software toolkit", $R155)), ISNUMBER(SEARCH("ai software toolkit", $S155))), 1, 0)</f>
        <v>0</v>
      </c>
      <c r="EM155" s="10">
        <f t="shared" si="664"/>
        <v>0</v>
      </c>
      <c r="EN155" s="10">
        <f t="shared" si="96"/>
        <v>0</v>
      </c>
      <c r="EO155" s="10">
        <f t="shared" si="97"/>
        <v>0</v>
      </c>
      <c r="EP155" s="10">
        <f t="shared" si="98"/>
        <v>0</v>
      </c>
      <c r="EQ155" s="10">
        <f t="shared" si="99"/>
        <v>0</v>
      </c>
      <c r="ER155" s="10">
        <f t="shared" si="100"/>
        <v>0</v>
      </c>
      <c r="ES155" s="10">
        <f t="shared" si="101"/>
        <v>0</v>
      </c>
      <c r="ET155" s="10">
        <f t="shared" si="102"/>
        <v>0</v>
      </c>
      <c r="EU155" s="10">
        <f t="shared" si="103"/>
        <v>0</v>
      </c>
      <c r="EV155" s="10">
        <f t="shared" si="104"/>
        <v>0</v>
      </c>
      <c r="EW155" s="10">
        <f t="shared" si="105"/>
        <v>0</v>
      </c>
      <c r="EX155" s="10">
        <f t="shared" si="106"/>
        <v>0</v>
      </c>
      <c r="EY155" s="10">
        <f t="shared" si="107"/>
        <v>0</v>
      </c>
      <c r="EZ155" s="10">
        <f t="shared" si="108"/>
        <v>0</v>
      </c>
      <c r="FA155" s="10">
        <f t="shared" si="109"/>
        <v>0</v>
      </c>
      <c r="FB155" s="10">
        <f t="shared" si="110"/>
        <v>0</v>
      </c>
      <c r="FC155" s="10">
        <f t="shared" si="111"/>
        <v>0</v>
      </c>
      <c r="FD155" s="10">
        <f t="shared" si="112"/>
        <v>0</v>
      </c>
      <c r="FE155" s="10">
        <f t="shared" si="113"/>
        <v>0</v>
      </c>
      <c r="FF155" s="10">
        <f t="shared" si="114"/>
        <v>0</v>
      </c>
      <c r="FG155" s="10">
        <f t="shared" si="115"/>
        <v>0</v>
      </c>
      <c r="FH155" s="10">
        <f t="shared" si="116"/>
        <v>0</v>
      </c>
      <c r="FI155" s="10">
        <f t="shared" si="117"/>
        <v>0</v>
      </c>
      <c r="FJ155" s="10">
        <f t="shared" si="118"/>
        <v>0</v>
      </c>
      <c r="FK155" s="10">
        <f t="shared" si="119"/>
        <v>0</v>
      </c>
      <c r="FL155" s="10">
        <f t="shared" si="120"/>
        <v>0</v>
      </c>
      <c r="FM155" s="10">
        <f t="shared" si="121"/>
        <v>0</v>
      </c>
      <c r="FN155" s="10">
        <f t="shared" si="122"/>
        <v>0</v>
      </c>
      <c r="FO155" s="10">
        <f t="shared" si="123"/>
        <v>0</v>
      </c>
      <c r="FP155" s="10">
        <f t="shared" si="124"/>
        <v>0</v>
      </c>
      <c r="FQ155" s="10">
        <f t="shared" si="125"/>
        <v>0</v>
      </c>
      <c r="FR155" s="11">
        <f t="shared" si="636"/>
        <v>0</v>
      </c>
      <c r="FS155" s="11">
        <f t="shared" si="127"/>
        <v>0</v>
      </c>
      <c r="FT155" s="11">
        <f t="shared" si="128"/>
        <v>0</v>
      </c>
      <c r="FU155" s="11">
        <f t="shared" si="129"/>
        <v>0</v>
      </c>
      <c r="FV155" s="11">
        <f t="shared" si="130"/>
        <v>0</v>
      </c>
      <c r="FW155" s="11">
        <f t="shared" si="131"/>
        <v>0</v>
      </c>
      <c r="FX155" s="11">
        <f t="shared" si="132"/>
        <v>0</v>
      </c>
      <c r="FY155" s="11">
        <f t="shared" si="133"/>
        <v>0</v>
      </c>
      <c r="FZ155" s="11">
        <f t="shared" si="134"/>
        <v>0</v>
      </c>
      <c r="GA155" s="11">
        <f t="shared" si="135"/>
        <v>0</v>
      </c>
      <c r="GB155" s="11">
        <f t="shared" si="136"/>
        <v>0</v>
      </c>
      <c r="GC155" s="11">
        <f t="shared" si="137"/>
        <v>0</v>
      </c>
      <c r="GD155" s="11">
        <f t="shared" si="138"/>
        <v>0</v>
      </c>
      <c r="GE155" s="11">
        <f t="shared" si="139"/>
        <v>0</v>
      </c>
      <c r="GF155" s="11">
        <f t="shared" si="140"/>
        <v>0</v>
      </c>
      <c r="GG155" s="11">
        <f t="shared" si="141"/>
        <v>0</v>
      </c>
      <c r="GH155" s="11">
        <f t="shared" si="142"/>
        <v>0</v>
      </c>
      <c r="GI155" s="11">
        <f t="shared" si="143"/>
        <v>0</v>
      </c>
      <c r="GJ155" s="11">
        <f t="shared" si="144"/>
        <v>0</v>
      </c>
      <c r="GK155" s="11">
        <f t="shared" si="145"/>
        <v>0</v>
      </c>
      <c r="GL155" s="11">
        <f t="shared" si="146"/>
        <v>0</v>
      </c>
      <c r="GM155" s="11">
        <f t="shared" si="147"/>
        <v>0</v>
      </c>
      <c r="GN155" s="11">
        <f t="shared" si="148"/>
        <v>0</v>
      </c>
      <c r="GO155" s="11">
        <f t="shared" si="149"/>
        <v>0</v>
      </c>
      <c r="GP155" s="11">
        <f t="shared" si="150"/>
        <v>0</v>
      </c>
      <c r="GQ155" s="11">
        <f t="shared" si="151"/>
        <v>0</v>
      </c>
      <c r="GR155" s="11">
        <f t="shared" si="152"/>
        <v>0</v>
      </c>
      <c r="GS155" s="11">
        <f t="shared" si="153"/>
        <v>0</v>
      </c>
      <c r="GT155" s="11">
        <f t="shared" si="154"/>
        <v>0</v>
      </c>
      <c r="GU155" s="12">
        <f t="shared" si="155"/>
        <v>0</v>
      </c>
      <c r="GV155" s="12">
        <f t="shared" si="156"/>
        <v>0</v>
      </c>
      <c r="GW155" s="12">
        <f t="shared" si="157"/>
        <v>0</v>
      </c>
      <c r="GX155" s="12">
        <f t="shared" si="158"/>
        <v>0</v>
      </c>
      <c r="GY155" s="12">
        <f t="shared" si="159"/>
        <v>0</v>
      </c>
      <c r="GZ155" s="12">
        <f t="shared" si="160"/>
        <v>0</v>
      </c>
      <c r="HA155" s="12">
        <f t="shared" si="161"/>
        <v>0</v>
      </c>
      <c r="HB155" s="12">
        <f t="shared" si="162"/>
        <v>0</v>
      </c>
      <c r="HC155" s="12">
        <f t="shared" si="163"/>
        <v>0</v>
      </c>
      <c r="HD155" s="12">
        <f t="shared" si="164"/>
        <v>0</v>
      </c>
      <c r="HE155" s="12">
        <f t="shared" si="165"/>
        <v>0</v>
      </c>
      <c r="HF155" s="12">
        <f t="shared" si="166"/>
        <v>0</v>
      </c>
      <c r="HG155" s="12">
        <f t="shared" si="167"/>
        <v>0</v>
      </c>
      <c r="HH155" s="12">
        <f t="shared" si="168"/>
        <v>0</v>
      </c>
      <c r="HI155" s="12">
        <f t="shared" si="169"/>
        <v>0</v>
      </c>
      <c r="HJ155" s="12">
        <f t="shared" si="170"/>
        <v>0</v>
      </c>
      <c r="HK155" s="12">
        <f t="shared" si="171"/>
        <v>0</v>
      </c>
      <c r="HL155" s="12">
        <f t="shared" si="172"/>
        <v>0</v>
      </c>
      <c r="HM155" s="12">
        <f t="shared" si="173"/>
        <v>0</v>
      </c>
      <c r="HN155" s="12">
        <f t="shared" si="174"/>
        <v>0</v>
      </c>
      <c r="HO155" s="12">
        <f t="shared" si="175"/>
        <v>0</v>
      </c>
      <c r="HP155" s="12">
        <f t="shared" si="176"/>
        <v>0</v>
      </c>
      <c r="HQ155" s="12">
        <f t="shared" si="177"/>
        <v>0</v>
      </c>
      <c r="HR155" s="12">
        <f t="shared" si="178"/>
        <v>0</v>
      </c>
      <c r="HS155" s="12">
        <f t="shared" si="179"/>
        <v>0</v>
      </c>
      <c r="HT155" s="12">
        <f t="shared" si="180"/>
        <v>0</v>
      </c>
      <c r="HU155" s="12">
        <f t="shared" si="181"/>
        <v>0</v>
      </c>
      <c r="HV155" s="12">
        <f t="shared" si="182"/>
        <v>1</v>
      </c>
      <c r="HW155" s="12">
        <f t="shared" si="183"/>
        <v>0</v>
      </c>
      <c r="HX155" s="12">
        <f t="shared" si="184"/>
        <v>0</v>
      </c>
      <c r="HY155" s="12">
        <f t="shared" si="185"/>
        <v>0</v>
      </c>
      <c r="HZ155" s="12">
        <f t="shared" si="186"/>
        <v>0</v>
      </c>
      <c r="IA155" s="12">
        <f t="shared" si="187"/>
        <v>0</v>
      </c>
      <c r="IB155" s="12">
        <f t="shared" si="188"/>
        <v>0</v>
      </c>
      <c r="IC155" s="12">
        <f t="shared" si="189"/>
        <v>0</v>
      </c>
      <c r="ID155" s="12">
        <f t="shared" si="190"/>
        <v>0</v>
      </c>
      <c r="IE155" s="12">
        <f t="shared" si="191"/>
        <v>0</v>
      </c>
      <c r="IF155" s="12">
        <f t="shared" si="192"/>
        <v>0</v>
      </c>
      <c r="IG155" s="12">
        <f t="shared" si="193"/>
        <v>0</v>
      </c>
      <c r="IH155" s="12">
        <f t="shared" si="194"/>
        <v>0</v>
      </c>
      <c r="II155" s="12">
        <f t="shared" si="195"/>
        <v>0</v>
      </c>
      <c r="IJ155" s="12">
        <f t="shared" si="196"/>
        <v>0</v>
      </c>
      <c r="IK155" s="12">
        <f t="shared" si="197"/>
        <v>0</v>
      </c>
      <c r="IL155" s="12">
        <f t="shared" si="198"/>
        <v>0</v>
      </c>
      <c r="IM155" s="12">
        <f t="shared" si="199"/>
        <v>0</v>
      </c>
      <c r="IN155" s="12">
        <f t="shared" si="200"/>
        <v>0</v>
      </c>
      <c r="IO155" s="12">
        <f t="shared" si="201"/>
        <v>0</v>
      </c>
      <c r="IP155" s="12">
        <f t="shared" si="202"/>
        <v>0</v>
      </c>
      <c r="IQ155" s="12">
        <f t="shared" si="203"/>
        <v>0</v>
      </c>
      <c r="IR155" s="12">
        <f t="shared" si="204"/>
        <v>0</v>
      </c>
      <c r="IS155" s="12">
        <f t="shared" si="205"/>
        <v>0</v>
      </c>
      <c r="IT155" s="12">
        <f t="shared" si="206"/>
        <v>0</v>
      </c>
      <c r="IU155" s="12">
        <f t="shared" si="207"/>
        <v>0</v>
      </c>
      <c r="IV155" s="12">
        <f t="shared" si="208"/>
        <v>0</v>
      </c>
      <c r="IW155" s="12">
        <f t="shared" si="209"/>
        <v>0</v>
      </c>
      <c r="IX155" s="12">
        <f t="shared" si="210"/>
        <v>0</v>
      </c>
      <c r="IY155" s="12">
        <f t="shared" si="211"/>
        <v>0</v>
      </c>
      <c r="IZ155" s="12">
        <f t="shared" si="212"/>
        <v>1</v>
      </c>
      <c r="JA155" s="13">
        <f t="shared" si="213"/>
        <v>0</v>
      </c>
      <c r="JB155" s="13">
        <f t="shared" si="214"/>
        <v>0</v>
      </c>
      <c r="JC155" s="13">
        <f t="shared" si="215"/>
        <v>0</v>
      </c>
      <c r="JD155" s="13">
        <f t="shared" si="216"/>
        <v>0</v>
      </c>
      <c r="JE155" s="13">
        <f t="shared" si="217"/>
        <v>0</v>
      </c>
      <c r="JF155" s="13">
        <f t="shared" si="218"/>
        <v>0</v>
      </c>
      <c r="JG155" s="13">
        <f t="shared" si="219"/>
        <v>0</v>
      </c>
      <c r="JH155" s="13">
        <f t="shared" si="220"/>
        <v>0</v>
      </c>
      <c r="JI155" s="13">
        <f t="shared" si="221"/>
        <v>0</v>
      </c>
      <c r="JJ155" s="13">
        <f t="shared" si="222"/>
        <v>0</v>
      </c>
      <c r="JK155" s="13">
        <f t="shared" si="223"/>
        <v>0</v>
      </c>
      <c r="JL155" s="13">
        <f t="shared" si="224"/>
        <v>0</v>
      </c>
      <c r="JM155" s="13">
        <f t="shared" si="225"/>
        <v>0</v>
      </c>
      <c r="JN155" s="13">
        <f t="shared" si="226"/>
        <v>0</v>
      </c>
      <c r="JO155" s="13">
        <f t="shared" si="227"/>
        <v>0</v>
      </c>
      <c r="JP155" s="13">
        <f t="shared" si="228"/>
        <v>0</v>
      </c>
      <c r="JQ155" s="13">
        <f t="shared" si="229"/>
        <v>0</v>
      </c>
      <c r="JR155" s="13">
        <f t="shared" si="230"/>
        <v>0</v>
      </c>
      <c r="JS155" s="13">
        <f t="shared" si="231"/>
        <v>0</v>
      </c>
      <c r="JT155" s="13">
        <f t="shared" si="232"/>
        <v>0</v>
      </c>
      <c r="JU155" s="13">
        <f t="shared" si="233"/>
        <v>0</v>
      </c>
      <c r="JV155" s="12">
        <f t="shared" si="234"/>
        <v>0</v>
      </c>
      <c r="JW155" s="12">
        <f t="shared" si="235"/>
        <v>0</v>
      </c>
      <c r="JX155" s="12">
        <f t="shared" si="236"/>
        <v>0</v>
      </c>
      <c r="JY155" s="12">
        <f t="shared" si="237"/>
        <v>0</v>
      </c>
      <c r="JZ155" s="12">
        <f t="shared" si="238"/>
        <v>0</v>
      </c>
      <c r="KA155" s="12">
        <f t="shared" si="239"/>
        <v>0</v>
      </c>
      <c r="KB155" s="12">
        <f t="shared" si="240"/>
        <v>0</v>
      </c>
      <c r="KC155" s="12">
        <f t="shared" si="241"/>
        <v>0</v>
      </c>
      <c r="KD155" s="12">
        <f t="shared" si="242"/>
        <v>0</v>
      </c>
      <c r="KE155" s="12">
        <f t="shared" si="243"/>
        <v>0</v>
      </c>
      <c r="KF155" s="12">
        <f t="shared" si="244"/>
        <v>0</v>
      </c>
      <c r="KG155" s="12">
        <f t="shared" si="245"/>
        <v>0</v>
      </c>
      <c r="KH155" s="12">
        <f t="shared" si="246"/>
        <v>0</v>
      </c>
      <c r="KI155" s="12">
        <f t="shared" si="247"/>
        <v>0</v>
      </c>
      <c r="KJ155" s="12">
        <f t="shared" si="248"/>
        <v>0</v>
      </c>
      <c r="KK155" s="12">
        <f t="shared" si="249"/>
        <v>0</v>
      </c>
      <c r="KL155" s="12">
        <f t="shared" si="250"/>
        <v>0</v>
      </c>
      <c r="KM155" s="12">
        <f t="shared" si="251"/>
        <v>0</v>
      </c>
      <c r="KN155" s="12">
        <f t="shared" si="252"/>
        <v>0</v>
      </c>
      <c r="KO155" s="12">
        <f t="shared" si="253"/>
        <v>0</v>
      </c>
      <c r="KP155" s="12">
        <f t="shared" si="254"/>
        <v>0</v>
      </c>
      <c r="KQ155" s="12">
        <f t="shared" si="255"/>
        <v>0</v>
      </c>
      <c r="KR155" s="12">
        <f t="shared" si="256"/>
        <v>0</v>
      </c>
      <c r="KS155" s="12">
        <f t="shared" si="257"/>
        <v>0</v>
      </c>
      <c r="KT155" s="12">
        <f t="shared" si="258"/>
        <v>0</v>
      </c>
      <c r="KU155" s="12">
        <f t="shared" si="259"/>
        <v>0</v>
      </c>
      <c r="KV155" s="12">
        <f t="shared" si="260"/>
        <v>0</v>
      </c>
      <c r="KW155" s="12">
        <f t="shared" si="261"/>
        <v>0</v>
      </c>
      <c r="KX155" s="12">
        <f t="shared" si="262"/>
        <v>0</v>
      </c>
      <c r="KY155" s="12">
        <f t="shared" si="263"/>
        <v>0</v>
      </c>
      <c r="KZ155" s="12">
        <f t="shared" si="264"/>
        <v>0</v>
      </c>
      <c r="LA155" s="12">
        <f t="shared" si="265"/>
        <v>0</v>
      </c>
      <c r="LB155" s="12">
        <f t="shared" si="266"/>
        <v>0</v>
      </c>
      <c r="LC155" s="12">
        <f t="shared" si="267"/>
        <v>0</v>
      </c>
      <c r="LD155" s="12">
        <f t="shared" si="268"/>
        <v>0</v>
      </c>
      <c r="LE155" s="12">
        <f t="shared" si="269"/>
        <v>0</v>
      </c>
      <c r="LF155" s="12">
        <f t="shared" si="270"/>
        <v>0</v>
      </c>
      <c r="LG155" s="12">
        <f t="shared" si="271"/>
        <v>0</v>
      </c>
      <c r="LH155" s="12">
        <f t="shared" si="272"/>
        <v>0</v>
      </c>
      <c r="LI155" s="12">
        <f t="shared" si="273"/>
        <v>0</v>
      </c>
      <c r="LJ155" s="12">
        <f t="shared" si="274"/>
        <v>0</v>
      </c>
      <c r="LK155" s="12">
        <f t="shared" si="275"/>
        <v>0</v>
      </c>
      <c r="LL155" s="12">
        <f t="shared" si="276"/>
        <v>0</v>
      </c>
      <c r="LM155" s="12">
        <f t="shared" si="277"/>
        <v>0</v>
      </c>
      <c r="LN155" s="12">
        <f t="shared" si="278"/>
        <v>0</v>
      </c>
      <c r="LO155" s="12">
        <f t="shared" si="279"/>
        <v>0</v>
      </c>
      <c r="LP155" s="12">
        <f t="shared" si="280"/>
        <v>0</v>
      </c>
      <c r="LQ155" s="12">
        <f t="shared" si="281"/>
        <v>0</v>
      </c>
      <c r="LR155" s="12">
        <f t="shared" si="282"/>
        <v>0</v>
      </c>
      <c r="LS155" s="12">
        <f t="shared" si="283"/>
        <v>0</v>
      </c>
      <c r="LT155" s="13">
        <f t="shared" si="284"/>
        <v>0</v>
      </c>
      <c r="LU155" s="13">
        <f t="shared" si="285"/>
        <v>0</v>
      </c>
      <c r="LV155" s="13">
        <f t="shared" si="286"/>
        <v>0</v>
      </c>
      <c r="LW155" s="13">
        <f t="shared" si="287"/>
        <v>0</v>
      </c>
      <c r="LX155" s="13">
        <f t="shared" si="288"/>
        <v>0</v>
      </c>
      <c r="LY155" s="13">
        <f t="shared" si="289"/>
        <v>0</v>
      </c>
      <c r="LZ155" s="13">
        <f t="shared" si="290"/>
        <v>0</v>
      </c>
      <c r="MA155" s="13">
        <f t="shared" si="291"/>
        <v>0</v>
      </c>
      <c r="MB155" s="13">
        <f t="shared" si="292"/>
        <v>0</v>
      </c>
      <c r="MC155" s="13">
        <f t="shared" si="293"/>
        <v>0</v>
      </c>
      <c r="MD155" s="13">
        <f t="shared" si="294"/>
        <v>0</v>
      </c>
      <c r="ME155" s="13">
        <f t="shared" si="295"/>
        <v>0</v>
      </c>
      <c r="MF155" s="13">
        <f t="shared" si="296"/>
        <v>0</v>
      </c>
      <c r="MG155" s="13">
        <f t="shared" si="297"/>
        <v>0</v>
      </c>
      <c r="MH155" s="13">
        <f t="shared" si="298"/>
        <v>0</v>
      </c>
      <c r="MI155" s="13">
        <f t="shared" si="299"/>
        <v>0</v>
      </c>
      <c r="MJ155" s="13">
        <f t="shared" si="300"/>
        <v>0</v>
      </c>
      <c r="MK155" s="13">
        <f t="shared" si="301"/>
        <v>0</v>
      </c>
      <c r="ML155" s="14">
        <f t="shared" si="302"/>
        <v>0</v>
      </c>
      <c r="MM155" s="14">
        <f t="shared" si="303"/>
        <v>0</v>
      </c>
      <c r="MN155" s="14">
        <f t="shared" si="304"/>
        <v>0</v>
      </c>
      <c r="MO155" s="14">
        <f t="shared" si="305"/>
        <v>0</v>
      </c>
      <c r="MP155" s="14">
        <f t="shared" si="306"/>
        <v>0</v>
      </c>
      <c r="MQ155" s="14">
        <f t="shared" si="307"/>
        <v>0</v>
      </c>
      <c r="MR155" s="14">
        <f t="shared" si="308"/>
        <v>0</v>
      </c>
      <c r="MS155" s="14">
        <f t="shared" si="309"/>
        <v>0</v>
      </c>
      <c r="MT155" s="14">
        <f t="shared" si="310"/>
        <v>0</v>
      </c>
      <c r="MU155" s="14">
        <f t="shared" si="311"/>
        <v>0</v>
      </c>
      <c r="MV155" s="14">
        <f t="shared" si="312"/>
        <v>0</v>
      </c>
      <c r="MW155" s="14">
        <f t="shared" si="313"/>
        <v>0</v>
      </c>
      <c r="MX155" s="14">
        <f t="shared" si="314"/>
        <v>0</v>
      </c>
      <c r="MY155" s="14">
        <f t="shared" si="315"/>
        <v>0</v>
      </c>
      <c r="MZ155" s="14">
        <f t="shared" si="316"/>
        <v>0</v>
      </c>
      <c r="NA155" s="14">
        <f t="shared" si="317"/>
        <v>0</v>
      </c>
      <c r="NB155" s="14">
        <f t="shared" si="318"/>
        <v>0</v>
      </c>
    </row>
    <row r="156" ht="15.75" customHeight="1">
      <c r="A156" s="2">
        <v>413.0</v>
      </c>
      <c r="B156" s="2" t="s">
        <v>2987</v>
      </c>
      <c r="C156" s="2" t="s">
        <v>2988</v>
      </c>
      <c r="D156" s="2" t="s">
        <v>2989</v>
      </c>
      <c r="E156" s="2">
        <v>2022.0</v>
      </c>
      <c r="F156" s="2" t="s">
        <v>2551</v>
      </c>
      <c r="G156" s="2">
        <v>12.0</v>
      </c>
      <c r="I156" s="2" t="s">
        <v>2990</v>
      </c>
      <c r="M156" s="2">
        <v>3.0</v>
      </c>
      <c r="N156" s="2" t="s">
        <v>2991</v>
      </c>
      <c r="O156" s="2" t="s">
        <v>2992</v>
      </c>
      <c r="P156" s="2" t="s">
        <v>2993</v>
      </c>
      <c r="Q156" s="2" t="s">
        <v>2994</v>
      </c>
      <c r="R156" s="2" t="s">
        <v>2995</v>
      </c>
      <c r="S156" s="2" t="s">
        <v>2996</v>
      </c>
      <c r="T156" s="2" t="s">
        <v>2997</v>
      </c>
      <c r="Y156" s="2" t="s">
        <v>2998</v>
      </c>
      <c r="AB156" s="2" t="s">
        <v>1039</v>
      </c>
      <c r="AG156" s="2" t="s">
        <v>2561</v>
      </c>
      <c r="AK156" s="2" t="s">
        <v>2562</v>
      </c>
      <c r="AL156" s="2" t="s">
        <v>384</v>
      </c>
      <c r="AM156" s="2" t="s">
        <v>484</v>
      </c>
      <c r="AN156" s="2" t="s">
        <v>386</v>
      </c>
      <c r="AO156" s="2" t="s">
        <v>2999</v>
      </c>
      <c r="AP156" s="2" t="s">
        <v>386</v>
      </c>
      <c r="AQ156" s="2">
        <v>2659.0</v>
      </c>
      <c r="AR156" s="2" t="s">
        <v>3000</v>
      </c>
      <c r="AS156" s="2" t="b">
        <v>0</v>
      </c>
      <c r="AT156" s="3">
        <v>0.0</v>
      </c>
      <c r="AU156" s="4"/>
      <c r="AV156" s="4"/>
      <c r="AW156" s="5">
        <f t="shared" si="432"/>
        <v>0</v>
      </c>
      <c r="AX156" s="5">
        <f t="shared" si="4"/>
        <v>0</v>
      </c>
      <c r="AY156" s="5">
        <f t="shared" si="5"/>
        <v>0</v>
      </c>
      <c r="AZ156" s="5">
        <f t="shared" si="6"/>
        <v>0</v>
      </c>
      <c r="BA156" s="5">
        <f t="shared" si="7"/>
        <v>0</v>
      </c>
      <c r="BB156" s="5">
        <f t="shared" si="8"/>
        <v>1</v>
      </c>
      <c r="BC156" s="5">
        <f t="shared" si="9"/>
        <v>0</v>
      </c>
      <c r="BD156" s="5">
        <f t="shared" si="10"/>
        <v>0</v>
      </c>
      <c r="BE156" s="5">
        <f t="shared" si="11"/>
        <v>0</v>
      </c>
      <c r="BF156" s="5">
        <f t="shared" si="12"/>
        <v>0</v>
      </c>
      <c r="BG156" s="5">
        <f t="shared" si="13"/>
        <v>0</v>
      </c>
      <c r="BH156" s="5">
        <f t="shared" si="14"/>
        <v>0</v>
      </c>
      <c r="BI156" s="5">
        <f t="shared" si="15"/>
        <v>0</v>
      </c>
      <c r="BJ156" s="5">
        <f t="shared" si="16"/>
        <v>0</v>
      </c>
      <c r="BK156" s="5">
        <f t="shared" si="17"/>
        <v>0</v>
      </c>
      <c r="BL156" s="5">
        <f t="shared" si="18"/>
        <v>0</v>
      </c>
      <c r="BM156" s="5">
        <f t="shared" si="19"/>
        <v>0</v>
      </c>
      <c r="BN156" s="5">
        <f t="shared" si="20"/>
        <v>0</v>
      </c>
      <c r="BO156" s="5">
        <f t="shared" si="21"/>
        <v>0</v>
      </c>
      <c r="BP156" s="5">
        <f t="shared" si="22"/>
        <v>0</v>
      </c>
      <c r="BQ156" s="5">
        <f t="shared" si="23"/>
        <v>0</v>
      </c>
      <c r="BR156" s="5">
        <f t="shared" si="24"/>
        <v>0</v>
      </c>
      <c r="BS156" s="5">
        <f t="shared" si="25"/>
        <v>0</v>
      </c>
      <c r="BT156" s="5">
        <f t="shared" si="26"/>
        <v>0</v>
      </c>
      <c r="BU156" s="5">
        <f t="shared" si="27"/>
        <v>0</v>
      </c>
      <c r="BV156" s="5">
        <f t="shared" ref="BV156:BW156" si="665">IF(OR(ISNUMBER(SEARCH("grit",$D156)),ISNUMBER(SEARCH("grit",$T156)),ISNUMBER(SEARCH("grit",$R156)),ISNUMBER(SEARCH("grit",$S156)),
ISNUMBER(SEARCH("determination",$D156)),ISNUMBER(SEARCH("determination",$T156)),ISNUMBER(SEARCH("determination",$R156)),ISNUMBER(SEARCH("determination",$S156)),
ISNUMBER(SEARCH("tenacity",$D156)),ISNUMBER(SEARCH("tenacity",$T156)),ISNUMBER(SEARCH("tenacity",$R156)),ISNUMBER(SEARCH("tenacity",$S156)),
ISNUMBER(SEARCH("endurance",$D156)),ISNUMBER(SEARCH("endurance",$T156)),ISNUMBER(SEARCH("endurance",$R156)),ISNUMBER(SEARCH("endurance",$S156)),
ISNUMBER(SEARCH("fortitude",$D156)),ISNUMBER(SEARCH("fortitude",$T156)),ISNUMBER(SEARCH("fortitude",$R156)),ISNUMBER(SEARCH("fortitude",$S156)),
ISNUMBER(SEARCH("resolve",$D156)),ISNUMBER(SEARCH("resolve",$T156)),ISNUMBER(SEARCH("resolve",$R156)),ISNUMBER(SEARCH("resolve",$S156)),
ISNUMBER(SEARCH("stamina",$D156)),ISNUMBER(SEARCH("stamina",$T156)),ISNUMBER(SEARCH("stamina",$R156)),ISNUMBER(SEARCH("stamina",$S156)),
ISNUMBER(SEARCH("guts",$D156)),ISNUMBER(SEARCH("guts",$T156)),ISNUMBER(SEARCH("guts",$R156)),ISNUMBER(SEARCH("guts",$S156)),
ISNUMBER(SEARCH("spunk",$D156)),ISNUMBER(SEARCH("spunk",$T156)),ISNUMBER(SEARCH("spunk",$R156)),ISNUMBER(SEARCH("spunk",$S156))), 1, 0)</f>
        <v>0</v>
      </c>
      <c r="BW156" s="5">
        <f t="shared" si="665"/>
        <v>0</v>
      </c>
      <c r="BX156" s="5">
        <f t="shared" si="29"/>
        <v>0</v>
      </c>
      <c r="BY156" s="5">
        <f t="shared" si="30"/>
        <v>0</v>
      </c>
      <c r="BZ156" s="5">
        <f t="shared" si="31"/>
        <v>0</v>
      </c>
      <c r="CA156" s="5">
        <f t="shared" si="32"/>
        <v>0</v>
      </c>
      <c r="CB156" s="5">
        <f t="shared" si="33"/>
        <v>0</v>
      </c>
      <c r="CC156" s="5">
        <f t="shared" si="34"/>
        <v>0</v>
      </c>
      <c r="CD156" s="5">
        <f t="shared" si="35"/>
        <v>0</v>
      </c>
      <c r="CE156" s="5">
        <f t="shared" si="36"/>
        <v>0</v>
      </c>
      <c r="CF156" s="5">
        <f t="shared" si="37"/>
        <v>0</v>
      </c>
      <c r="CG156" s="5">
        <f t="shared" si="38"/>
        <v>0</v>
      </c>
      <c r="CH156" s="5">
        <f t="shared" si="39"/>
        <v>0</v>
      </c>
      <c r="CI156" s="5">
        <f t="shared" si="40"/>
        <v>0</v>
      </c>
      <c r="CJ156" s="5">
        <f t="shared" si="41"/>
        <v>0</v>
      </c>
      <c r="CK156" s="5">
        <f t="shared" si="42"/>
        <v>1</v>
      </c>
      <c r="CL156" s="5">
        <f t="shared" si="43"/>
        <v>0</v>
      </c>
      <c r="CM156" s="5">
        <f t="shared" si="44"/>
        <v>0</v>
      </c>
      <c r="CN156" s="5">
        <f t="shared" si="45"/>
        <v>0</v>
      </c>
      <c r="CO156" s="5">
        <f t="shared" si="46"/>
        <v>0</v>
      </c>
      <c r="CP156" s="6">
        <f t="shared" si="47"/>
        <v>0</v>
      </c>
      <c r="CQ156" s="6">
        <f t="shared" si="48"/>
        <v>0</v>
      </c>
      <c r="CR156" s="6">
        <f t="shared" si="49"/>
        <v>0</v>
      </c>
      <c r="CS156" s="6">
        <f t="shared" si="50"/>
        <v>0</v>
      </c>
      <c r="CT156" s="6">
        <f t="shared" si="584"/>
        <v>0</v>
      </c>
      <c r="CU156" s="6">
        <f t="shared" si="52"/>
        <v>0</v>
      </c>
      <c r="CV156" s="6">
        <f t="shared" si="53"/>
        <v>0</v>
      </c>
      <c r="CW156" s="6">
        <f t="shared" si="54"/>
        <v>0</v>
      </c>
      <c r="CX156" s="6">
        <f t="shared" si="55"/>
        <v>0</v>
      </c>
      <c r="CY156" s="6">
        <f t="shared" si="56"/>
        <v>0</v>
      </c>
      <c r="CZ156" s="6">
        <f t="shared" si="57"/>
        <v>0</v>
      </c>
      <c r="DA156" s="6">
        <f t="shared" si="58"/>
        <v>1</v>
      </c>
      <c r="DB156" s="6">
        <f t="shared" si="59"/>
        <v>0</v>
      </c>
      <c r="DC156" s="6">
        <f t="shared" si="60"/>
        <v>0</v>
      </c>
      <c r="DD156" s="6">
        <f t="shared" si="61"/>
        <v>0</v>
      </c>
      <c r="DE156" s="6">
        <f t="shared" si="62"/>
        <v>0</v>
      </c>
      <c r="DF156" s="6">
        <f t="shared" si="63"/>
        <v>0</v>
      </c>
      <c r="DG156" s="6">
        <f t="shared" si="64"/>
        <v>0</v>
      </c>
      <c r="DH156" s="6">
        <f t="shared" si="652"/>
        <v>0</v>
      </c>
      <c r="DI156" s="6">
        <f t="shared" si="66"/>
        <v>0</v>
      </c>
      <c r="DJ156" s="6">
        <f t="shared" si="653"/>
        <v>0</v>
      </c>
      <c r="DK156" s="7">
        <f t="shared" si="68"/>
        <v>0</v>
      </c>
      <c r="DL156" s="7">
        <f t="shared" si="498"/>
        <v>0</v>
      </c>
      <c r="DM156" s="7">
        <f t="shared" si="70"/>
        <v>0</v>
      </c>
      <c r="DN156" s="7">
        <f t="shared" si="71"/>
        <v>0</v>
      </c>
      <c r="DO156" s="7">
        <f t="shared" si="72"/>
        <v>1</v>
      </c>
      <c r="DP156" s="8">
        <f t="shared" si="73"/>
        <v>0</v>
      </c>
      <c r="DQ156" s="8">
        <f t="shared" si="74"/>
        <v>1</v>
      </c>
      <c r="DR156" s="7">
        <f t="shared" si="75"/>
        <v>0</v>
      </c>
      <c r="DS156" s="7">
        <f t="shared" si="76"/>
        <v>0</v>
      </c>
      <c r="DT156" s="7">
        <f t="shared" si="77"/>
        <v>0</v>
      </c>
      <c r="DU156" s="9">
        <f t="shared" si="78"/>
        <v>0</v>
      </c>
      <c r="DV156" s="9">
        <f t="shared" si="79"/>
        <v>0</v>
      </c>
      <c r="DW156" s="9">
        <f t="shared" si="80"/>
        <v>0</v>
      </c>
      <c r="DX156" s="9">
        <f t="shared" si="81"/>
        <v>0</v>
      </c>
      <c r="DY156" s="9">
        <f t="shared" si="82"/>
        <v>0</v>
      </c>
      <c r="DZ156" s="9">
        <f t="shared" si="83"/>
        <v>0</v>
      </c>
      <c r="EA156" s="9">
        <f t="shared" si="84"/>
        <v>0</v>
      </c>
      <c r="EB156" s="9">
        <f t="shared" si="85"/>
        <v>0</v>
      </c>
      <c r="EC156" s="9">
        <f t="shared" si="86"/>
        <v>0</v>
      </c>
      <c r="ED156" s="9">
        <f t="shared" si="87"/>
        <v>0</v>
      </c>
      <c r="EE156" s="9">
        <f t="shared" si="88"/>
        <v>0</v>
      </c>
      <c r="EF156" s="9">
        <f t="shared" si="89"/>
        <v>0</v>
      </c>
      <c r="EG156" s="9">
        <f t="shared" si="90"/>
        <v>0</v>
      </c>
      <c r="EH156" s="9">
        <f t="shared" si="91"/>
        <v>0</v>
      </c>
      <c r="EI156" s="9">
        <f t="shared" si="92"/>
        <v>0</v>
      </c>
      <c r="EJ156" s="10">
        <f t="shared" si="93"/>
        <v>0</v>
      </c>
      <c r="EK156" s="10">
        <f t="shared" si="94"/>
        <v>0</v>
      </c>
      <c r="EL156" s="10">
        <f t="shared" ref="EL156:EM156" si="666">IF(OR(ISNUMBER(SEARCH("ai software toolkit", $D156)), ISNUMBER(SEARCH("ai software toolkit", $T156)), ISNUMBER(SEARCH("ai software toolkit", $R156)), ISNUMBER(SEARCH("ai software toolkit", $S156))), 1, 0)</f>
        <v>0</v>
      </c>
      <c r="EM156" s="10">
        <f t="shared" si="666"/>
        <v>0</v>
      </c>
      <c r="EN156" s="10">
        <f t="shared" si="96"/>
        <v>0</v>
      </c>
      <c r="EO156" s="10">
        <f t="shared" si="97"/>
        <v>0</v>
      </c>
      <c r="EP156" s="10">
        <f t="shared" si="98"/>
        <v>0</v>
      </c>
      <c r="EQ156" s="10">
        <f t="shared" si="99"/>
        <v>0</v>
      </c>
      <c r="ER156" s="10">
        <f t="shared" si="100"/>
        <v>0</v>
      </c>
      <c r="ES156" s="10">
        <f t="shared" si="101"/>
        <v>0</v>
      </c>
      <c r="ET156" s="10">
        <f t="shared" si="102"/>
        <v>0</v>
      </c>
      <c r="EU156" s="10">
        <f t="shared" si="103"/>
        <v>0</v>
      </c>
      <c r="EV156" s="10">
        <f t="shared" si="104"/>
        <v>0</v>
      </c>
      <c r="EW156" s="10">
        <f t="shared" si="105"/>
        <v>0</v>
      </c>
      <c r="EX156" s="10">
        <f t="shared" si="106"/>
        <v>0</v>
      </c>
      <c r="EY156" s="10">
        <f t="shared" si="107"/>
        <v>0</v>
      </c>
      <c r="EZ156" s="10">
        <f t="shared" si="108"/>
        <v>0</v>
      </c>
      <c r="FA156" s="10">
        <f t="shared" si="109"/>
        <v>0</v>
      </c>
      <c r="FB156" s="10">
        <f t="shared" si="110"/>
        <v>0</v>
      </c>
      <c r="FC156" s="10">
        <f t="shared" si="111"/>
        <v>0</v>
      </c>
      <c r="FD156" s="10">
        <f t="shared" si="112"/>
        <v>0</v>
      </c>
      <c r="FE156" s="10">
        <f t="shared" si="113"/>
        <v>1</v>
      </c>
      <c r="FF156" s="10">
        <f t="shared" si="114"/>
        <v>0</v>
      </c>
      <c r="FG156" s="10">
        <f t="shared" si="115"/>
        <v>0</v>
      </c>
      <c r="FH156" s="10">
        <f t="shared" si="116"/>
        <v>0</v>
      </c>
      <c r="FI156" s="10">
        <f t="shared" si="117"/>
        <v>0</v>
      </c>
      <c r="FJ156" s="10">
        <f t="shared" si="118"/>
        <v>0</v>
      </c>
      <c r="FK156" s="10">
        <f t="shared" si="119"/>
        <v>0</v>
      </c>
      <c r="FL156" s="10">
        <f t="shared" si="120"/>
        <v>0</v>
      </c>
      <c r="FM156" s="10">
        <f t="shared" si="121"/>
        <v>0</v>
      </c>
      <c r="FN156" s="10">
        <f t="shared" si="122"/>
        <v>0</v>
      </c>
      <c r="FO156" s="10">
        <f t="shared" si="123"/>
        <v>0</v>
      </c>
      <c r="FP156" s="10">
        <f t="shared" si="124"/>
        <v>0</v>
      </c>
      <c r="FQ156" s="10">
        <f t="shared" si="125"/>
        <v>0</v>
      </c>
      <c r="FR156" s="11">
        <f t="shared" si="636"/>
        <v>0</v>
      </c>
      <c r="FS156" s="11">
        <f t="shared" si="127"/>
        <v>0</v>
      </c>
      <c r="FT156" s="11">
        <f t="shared" si="128"/>
        <v>0</v>
      </c>
      <c r="FU156" s="11">
        <f t="shared" si="129"/>
        <v>0</v>
      </c>
      <c r="FV156" s="11">
        <f t="shared" si="130"/>
        <v>0</v>
      </c>
      <c r="FW156" s="11">
        <f t="shared" si="131"/>
        <v>0</v>
      </c>
      <c r="FX156" s="11">
        <f t="shared" si="132"/>
        <v>0</v>
      </c>
      <c r="FY156" s="11">
        <f t="shared" si="133"/>
        <v>0</v>
      </c>
      <c r="FZ156" s="11">
        <f t="shared" si="134"/>
        <v>0</v>
      </c>
      <c r="GA156" s="11">
        <f t="shared" si="135"/>
        <v>0</v>
      </c>
      <c r="GB156" s="11">
        <f t="shared" si="136"/>
        <v>0</v>
      </c>
      <c r="GC156" s="11">
        <f t="shared" si="137"/>
        <v>0</v>
      </c>
      <c r="GD156" s="11">
        <f t="shared" si="138"/>
        <v>0</v>
      </c>
      <c r="GE156" s="11">
        <f t="shared" si="139"/>
        <v>0</v>
      </c>
      <c r="GF156" s="11">
        <f t="shared" si="140"/>
        <v>0</v>
      </c>
      <c r="GG156" s="11">
        <f t="shared" si="141"/>
        <v>0</v>
      </c>
      <c r="GH156" s="11">
        <f t="shared" si="142"/>
        <v>0</v>
      </c>
      <c r="GI156" s="11">
        <f t="shared" si="143"/>
        <v>0</v>
      </c>
      <c r="GJ156" s="11">
        <f t="shared" si="144"/>
        <v>0</v>
      </c>
      <c r="GK156" s="11">
        <f t="shared" si="145"/>
        <v>0</v>
      </c>
      <c r="GL156" s="11">
        <f t="shared" si="146"/>
        <v>0</v>
      </c>
      <c r="GM156" s="11">
        <f t="shared" si="147"/>
        <v>0</v>
      </c>
      <c r="GN156" s="11">
        <f t="shared" si="148"/>
        <v>0</v>
      </c>
      <c r="GO156" s="11">
        <f t="shared" si="149"/>
        <v>0</v>
      </c>
      <c r="GP156" s="11">
        <f t="shared" si="150"/>
        <v>0</v>
      </c>
      <c r="GQ156" s="11">
        <f t="shared" si="151"/>
        <v>0</v>
      </c>
      <c r="GR156" s="11">
        <f t="shared" si="152"/>
        <v>0</v>
      </c>
      <c r="GS156" s="11">
        <f t="shared" si="153"/>
        <v>0</v>
      </c>
      <c r="GT156" s="11">
        <f t="shared" si="154"/>
        <v>0</v>
      </c>
      <c r="GU156" s="12">
        <f t="shared" si="155"/>
        <v>0</v>
      </c>
      <c r="GV156" s="12">
        <f t="shared" si="156"/>
        <v>0</v>
      </c>
      <c r="GW156" s="12">
        <f t="shared" si="157"/>
        <v>0</v>
      </c>
      <c r="GX156" s="12">
        <f t="shared" si="158"/>
        <v>0</v>
      </c>
      <c r="GY156" s="12">
        <f t="shared" si="159"/>
        <v>0</v>
      </c>
      <c r="GZ156" s="12">
        <f t="shared" si="160"/>
        <v>0</v>
      </c>
      <c r="HA156" s="12">
        <f t="shared" si="161"/>
        <v>0</v>
      </c>
      <c r="HB156" s="12">
        <f t="shared" si="162"/>
        <v>0</v>
      </c>
      <c r="HC156" s="12">
        <f t="shared" si="163"/>
        <v>0</v>
      </c>
      <c r="HD156" s="12">
        <f t="shared" si="164"/>
        <v>0</v>
      </c>
      <c r="HE156" s="12">
        <f t="shared" si="165"/>
        <v>0</v>
      </c>
      <c r="HF156" s="12">
        <f t="shared" si="166"/>
        <v>0</v>
      </c>
      <c r="HG156" s="12">
        <f t="shared" si="167"/>
        <v>0</v>
      </c>
      <c r="HH156" s="12">
        <f t="shared" si="168"/>
        <v>0</v>
      </c>
      <c r="HI156" s="12">
        <f t="shared" si="169"/>
        <v>0</v>
      </c>
      <c r="HJ156" s="12">
        <f t="shared" si="170"/>
        <v>0</v>
      </c>
      <c r="HK156" s="12">
        <f t="shared" si="171"/>
        <v>0</v>
      </c>
      <c r="HL156" s="12">
        <f t="shared" si="172"/>
        <v>0</v>
      </c>
      <c r="HM156" s="12">
        <f t="shared" si="173"/>
        <v>0</v>
      </c>
      <c r="HN156" s="12">
        <f t="shared" si="174"/>
        <v>0</v>
      </c>
      <c r="HO156" s="12">
        <f t="shared" si="175"/>
        <v>0</v>
      </c>
      <c r="HP156" s="12">
        <f t="shared" si="176"/>
        <v>0</v>
      </c>
      <c r="HQ156" s="12">
        <f t="shared" si="177"/>
        <v>0</v>
      </c>
      <c r="HR156" s="12">
        <f t="shared" si="178"/>
        <v>0</v>
      </c>
      <c r="HS156" s="12">
        <f t="shared" si="179"/>
        <v>0</v>
      </c>
      <c r="HT156" s="12">
        <f t="shared" si="180"/>
        <v>0</v>
      </c>
      <c r="HU156" s="12">
        <f t="shared" si="181"/>
        <v>0</v>
      </c>
      <c r="HV156" s="12">
        <f t="shared" si="182"/>
        <v>0</v>
      </c>
      <c r="HW156" s="12">
        <f t="shared" si="183"/>
        <v>0</v>
      </c>
      <c r="HX156" s="12">
        <f t="shared" si="184"/>
        <v>0</v>
      </c>
      <c r="HY156" s="12">
        <f t="shared" si="185"/>
        <v>0</v>
      </c>
      <c r="HZ156" s="12">
        <f t="shared" si="186"/>
        <v>0</v>
      </c>
      <c r="IA156" s="12">
        <f t="shared" si="187"/>
        <v>0</v>
      </c>
      <c r="IB156" s="12">
        <f t="shared" si="188"/>
        <v>0</v>
      </c>
      <c r="IC156" s="12">
        <f t="shared" si="189"/>
        <v>0</v>
      </c>
      <c r="ID156" s="12">
        <f t="shared" si="190"/>
        <v>0</v>
      </c>
      <c r="IE156" s="12">
        <f t="shared" si="191"/>
        <v>0</v>
      </c>
      <c r="IF156" s="12">
        <f t="shared" si="192"/>
        <v>0</v>
      </c>
      <c r="IG156" s="12">
        <f t="shared" si="193"/>
        <v>0</v>
      </c>
      <c r="IH156" s="12">
        <f t="shared" si="194"/>
        <v>0</v>
      </c>
      <c r="II156" s="12">
        <f t="shared" si="195"/>
        <v>0</v>
      </c>
      <c r="IJ156" s="12">
        <f t="shared" si="196"/>
        <v>0</v>
      </c>
      <c r="IK156" s="12">
        <f t="shared" si="197"/>
        <v>0</v>
      </c>
      <c r="IL156" s="12">
        <f t="shared" si="198"/>
        <v>0</v>
      </c>
      <c r="IM156" s="12">
        <f t="shared" si="199"/>
        <v>0</v>
      </c>
      <c r="IN156" s="12">
        <f t="shared" si="200"/>
        <v>0</v>
      </c>
      <c r="IO156" s="12">
        <f t="shared" si="201"/>
        <v>0</v>
      </c>
      <c r="IP156" s="12">
        <f t="shared" si="202"/>
        <v>0</v>
      </c>
      <c r="IQ156" s="12">
        <f t="shared" si="203"/>
        <v>0</v>
      </c>
      <c r="IR156" s="12">
        <f t="shared" si="204"/>
        <v>0</v>
      </c>
      <c r="IS156" s="12">
        <f t="shared" si="205"/>
        <v>0</v>
      </c>
      <c r="IT156" s="12">
        <f t="shared" si="206"/>
        <v>0</v>
      </c>
      <c r="IU156" s="12">
        <f t="shared" si="207"/>
        <v>0</v>
      </c>
      <c r="IV156" s="12">
        <f t="shared" si="208"/>
        <v>0</v>
      </c>
      <c r="IW156" s="12">
        <f t="shared" si="209"/>
        <v>0</v>
      </c>
      <c r="IX156" s="12">
        <f t="shared" si="210"/>
        <v>0</v>
      </c>
      <c r="IY156" s="12">
        <f t="shared" si="211"/>
        <v>0</v>
      </c>
      <c r="IZ156" s="12">
        <f t="shared" si="212"/>
        <v>1</v>
      </c>
      <c r="JA156" s="13">
        <f t="shared" si="213"/>
        <v>0</v>
      </c>
      <c r="JB156" s="13">
        <f t="shared" si="214"/>
        <v>0</v>
      </c>
      <c r="JC156" s="13">
        <f t="shared" si="215"/>
        <v>0</v>
      </c>
      <c r="JD156" s="13">
        <f t="shared" si="216"/>
        <v>0</v>
      </c>
      <c r="JE156" s="13">
        <f t="shared" si="217"/>
        <v>0</v>
      </c>
      <c r="JF156" s="13">
        <f t="shared" si="218"/>
        <v>0</v>
      </c>
      <c r="JG156" s="13">
        <f t="shared" si="219"/>
        <v>0</v>
      </c>
      <c r="JH156" s="13">
        <f t="shared" si="220"/>
        <v>0</v>
      </c>
      <c r="JI156" s="13">
        <f t="shared" si="221"/>
        <v>0</v>
      </c>
      <c r="JJ156" s="13">
        <f t="shared" si="222"/>
        <v>0</v>
      </c>
      <c r="JK156" s="13">
        <f t="shared" si="223"/>
        <v>0</v>
      </c>
      <c r="JL156" s="13">
        <f t="shared" si="224"/>
        <v>0</v>
      </c>
      <c r="JM156" s="13">
        <f t="shared" si="225"/>
        <v>0</v>
      </c>
      <c r="JN156" s="13">
        <f t="shared" si="226"/>
        <v>0</v>
      </c>
      <c r="JO156" s="13">
        <f t="shared" si="227"/>
        <v>0</v>
      </c>
      <c r="JP156" s="13">
        <f t="shared" si="228"/>
        <v>0</v>
      </c>
      <c r="JQ156" s="13">
        <f t="shared" si="229"/>
        <v>0</v>
      </c>
      <c r="JR156" s="13">
        <f t="shared" si="230"/>
        <v>0</v>
      </c>
      <c r="JS156" s="13">
        <f t="shared" si="231"/>
        <v>0</v>
      </c>
      <c r="JT156" s="13">
        <f t="shared" si="232"/>
        <v>0</v>
      </c>
      <c r="JU156" s="13">
        <f t="shared" si="233"/>
        <v>0</v>
      </c>
      <c r="JV156" s="12">
        <f t="shared" si="234"/>
        <v>0</v>
      </c>
      <c r="JW156" s="12">
        <f t="shared" si="235"/>
        <v>0</v>
      </c>
      <c r="JX156" s="12">
        <f t="shared" si="236"/>
        <v>0</v>
      </c>
      <c r="JY156" s="12">
        <f t="shared" si="237"/>
        <v>0</v>
      </c>
      <c r="JZ156" s="12">
        <f t="shared" si="238"/>
        <v>0</v>
      </c>
      <c r="KA156" s="12">
        <f t="shared" si="239"/>
        <v>0</v>
      </c>
      <c r="KB156" s="12">
        <f t="shared" si="240"/>
        <v>0</v>
      </c>
      <c r="KC156" s="12">
        <f t="shared" si="241"/>
        <v>0</v>
      </c>
      <c r="KD156" s="12">
        <f t="shared" si="242"/>
        <v>0</v>
      </c>
      <c r="KE156" s="12">
        <f t="shared" si="243"/>
        <v>0</v>
      </c>
      <c r="KF156" s="12">
        <f t="shared" si="244"/>
        <v>0</v>
      </c>
      <c r="KG156" s="12">
        <f t="shared" si="245"/>
        <v>0</v>
      </c>
      <c r="KH156" s="12">
        <f t="shared" si="246"/>
        <v>0</v>
      </c>
      <c r="KI156" s="12">
        <f t="shared" si="247"/>
        <v>0</v>
      </c>
      <c r="KJ156" s="12">
        <f t="shared" si="248"/>
        <v>0</v>
      </c>
      <c r="KK156" s="12">
        <f t="shared" si="249"/>
        <v>0</v>
      </c>
      <c r="KL156" s="12">
        <f t="shared" si="250"/>
        <v>0</v>
      </c>
      <c r="KM156" s="12">
        <f t="shared" si="251"/>
        <v>0</v>
      </c>
      <c r="KN156" s="12">
        <f t="shared" si="252"/>
        <v>0</v>
      </c>
      <c r="KO156" s="12">
        <f t="shared" si="253"/>
        <v>0</v>
      </c>
      <c r="KP156" s="12">
        <f t="shared" si="254"/>
        <v>0</v>
      </c>
      <c r="KQ156" s="12">
        <f t="shared" si="255"/>
        <v>0</v>
      </c>
      <c r="KR156" s="12">
        <f t="shared" si="256"/>
        <v>0</v>
      </c>
      <c r="KS156" s="12">
        <f t="shared" si="257"/>
        <v>0</v>
      </c>
      <c r="KT156" s="12">
        <f t="shared" si="258"/>
        <v>0</v>
      </c>
      <c r="KU156" s="12">
        <f t="shared" si="259"/>
        <v>0</v>
      </c>
      <c r="KV156" s="12">
        <f t="shared" si="260"/>
        <v>0</v>
      </c>
      <c r="KW156" s="12">
        <f t="shared" si="261"/>
        <v>0</v>
      </c>
      <c r="KX156" s="12">
        <f t="shared" si="262"/>
        <v>0</v>
      </c>
      <c r="KY156" s="12">
        <f t="shared" si="263"/>
        <v>0</v>
      </c>
      <c r="KZ156" s="12">
        <f t="shared" si="264"/>
        <v>0</v>
      </c>
      <c r="LA156" s="12">
        <f t="shared" si="265"/>
        <v>0</v>
      </c>
      <c r="LB156" s="12">
        <f t="shared" si="266"/>
        <v>0</v>
      </c>
      <c r="LC156" s="12">
        <f t="shared" si="267"/>
        <v>0</v>
      </c>
      <c r="LD156" s="12">
        <f t="shared" si="268"/>
        <v>0</v>
      </c>
      <c r="LE156" s="12">
        <f t="shared" si="269"/>
        <v>0</v>
      </c>
      <c r="LF156" s="12">
        <f t="shared" si="270"/>
        <v>0</v>
      </c>
      <c r="LG156" s="12">
        <f t="shared" si="271"/>
        <v>0</v>
      </c>
      <c r="LH156" s="12">
        <f t="shared" si="272"/>
        <v>0</v>
      </c>
      <c r="LI156" s="12">
        <f t="shared" si="273"/>
        <v>0</v>
      </c>
      <c r="LJ156" s="12">
        <f t="shared" si="274"/>
        <v>0</v>
      </c>
      <c r="LK156" s="12">
        <f t="shared" si="275"/>
        <v>0</v>
      </c>
      <c r="LL156" s="12">
        <f t="shared" si="276"/>
        <v>0</v>
      </c>
      <c r="LM156" s="12">
        <f t="shared" si="277"/>
        <v>0</v>
      </c>
      <c r="LN156" s="12">
        <f t="shared" si="278"/>
        <v>0</v>
      </c>
      <c r="LO156" s="12">
        <f t="shared" si="279"/>
        <v>0</v>
      </c>
      <c r="LP156" s="12">
        <f t="shared" si="280"/>
        <v>0</v>
      </c>
      <c r="LQ156" s="12">
        <f t="shared" si="281"/>
        <v>0</v>
      </c>
      <c r="LR156" s="12">
        <f t="shared" si="282"/>
        <v>0</v>
      </c>
      <c r="LS156" s="12">
        <f t="shared" si="283"/>
        <v>0</v>
      </c>
      <c r="LT156" s="13">
        <f t="shared" si="284"/>
        <v>0</v>
      </c>
      <c r="LU156" s="13">
        <f t="shared" si="285"/>
        <v>0</v>
      </c>
      <c r="LV156" s="13">
        <f t="shared" si="286"/>
        <v>0</v>
      </c>
      <c r="LW156" s="13">
        <f t="shared" si="287"/>
        <v>0</v>
      </c>
      <c r="LX156" s="13">
        <f t="shared" si="288"/>
        <v>0</v>
      </c>
      <c r="LY156" s="13">
        <f t="shared" si="289"/>
        <v>0</v>
      </c>
      <c r="LZ156" s="13">
        <f t="shared" si="290"/>
        <v>0</v>
      </c>
      <c r="MA156" s="13">
        <f t="shared" si="291"/>
        <v>0</v>
      </c>
      <c r="MB156" s="13">
        <f t="shared" si="292"/>
        <v>0</v>
      </c>
      <c r="MC156" s="13">
        <f t="shared" si="293"/>
        <v>0</v>
      </c>
      <c r="MD156" s="13">
        <f t="shared" si="294"/>
        <v>0</v>
      </c>
      <c r="ME156" s="13">
        <f t="shared" si="295"/>
        <v>0</v>
      </c>
      <c r="MF156" s="13">
        <f t="shared" si="296"/>
        <v>0</v>
      </c>
      <c r="MG156" s="13">
        <f t="shared" si="297"/>
        <v>0</v>
      </c>
      <c r="MH156" s="13">
        <f t="shared" si="298"/>
        <v>0</v>
      </c>
      <c r="MI156" s="13">
        <f t="shared" si="299"/>
        <v>0</v>
      </c>
      <c r="MJ156" s="13">
        <f t="shared" si="300"/>
        <v>0</v>
      </c>
      <c r="MK156" s="13">
        <f t="shared" si="301"/>
        <v>0</v>
      </c>
      <c r="ML156" s="14">
        <f t="shared" si="302"/>
        <v>0</v>
      </c>
      <c r="MM156" s="14">
        <f t="shared" si="303"/>
        <v>0</v>
      </c>
      <c r="MN156" s="14">
        <f t="shared" si="304"/>
        <v>0</v>
      </c>
      <c r="MO156" s="14">
        <f t="shared" si="305"/>
        <v>0</v>
      </c>
      <c r="MP156" s="14">
        <f t="shared" si="306"/>
        <v>0</v>
      </c>
      <c r="MQ156" s="14">
        <f t="shared" si="307"/>
        <v>0</v>
      </c>
      <c r="MR156" s="14">
        <f t="shared" si="308"/>
        <v>0</v>
      </c>
      <c r="MS156" s="14">
        <f t="shared" si="309"/>
        <v>0</v>
      </c>
      <c r="MT156" s="14">
        <f t="shared" si="310"/>
        <v>0</v>
      </c>
      <c r="MU156" s="14">
        <f t="shared" si="311"/>
        <v>0</v>
      </c>
      <c r="MV156" s="14">
        <f t="shared" si="312"/>
        <v>0</v>
      </c>
      <c r="MW156" s="14">
        <f t="shared" si="313"/>
        <v>0</v>
      </c>
      <c r="MX156" s="14">
        <f t="shared" si="314"/>
        <v>0</v>
      </c>
      <c r="MY156" s="14">
        <f t="shared" si="315"/>
        <v>0</v>
      </c>
      <c r="MZ156" s="14">
        <f t="shared" si="316"/>
        <v>0</v>
      </c>
      <c r="NA156" s="14">
        <f t="shared" si="317"/>
        <v>0</v>
      </c>
      <c r="NB156" s="14">
        <f t="shared" si="318"/>
        <v>0</v>
      </c>
    </row>
    <row r="157" ht="15.75" customHeight="1">
      <c r="A157" s="2">
        <v>123.0</v>
      </c>
      <c r="B157" s="2" t="s">
        <v>3001</v>
      </c>
      <c r="C157" s="2" t="s">
        <v>3002</v>
      </c>
      <c r="D157" s="2" t="s">
        <v>3003</v>
      </c>
      <c r="E157" s="2">
        <v>2021.0</v>
      </c>
      <c r="F157" s="2" t="s">
        <v>3004</v>
      </c>
      <c r="G157" s="2" t="s">
        <v>3005</v>
      </c>
      <c r="J157" s="2" t="s">
        <v>3006</v>
      </c>
      <c r="K157" s="2" t="s">
        <v>3007</v>
      </c>
      <c r="M157" s="2">
        <v>3.0</v>
      </c>
      <c r="O157" s="2" t="s">
        <v>3008</v>
      </c>
      <c r="P157" s="2" t="s">
        <v>3009</v>
      </c>
      <c r="Q157" s="2" t="s">
        <v>3010</v>
      </c>
      <c r="R157" s="2" t="s">
        <v>3011</v>
      </c>
      <c r="T157" s="2" t="s">
        <v>3012</v>
      </c>
      <c r="AB157" s="2" t="s">
        <v>1151</v>
      </c>
      <c r="AG157" s="2" t="s">
        <v>3013</v>
      </c>
      <c r="AJ157" s="2">
        <v>3.5026811E7</v>
      </c>
      <c r="AK157" s="2" t="s">
        <v>3014</v>
      </c>
      <c r="AL157" s="2" t="s">
        <v>384</v>
      </c>
      <c r="AN157" s="2" t="s">
        <v>386</v>
      </c>
      <c r="AO157" s="2" t="s">
        <v>3015</v>
      </c>
      <c r="AP157" s="2" t="s">
        <v>386</v>
      </c>
      <c r="AQ157" s="2">
        <v>408.0</v>
      </c>
      <c r="AR157" s="2" t="s">
        <v>3016</v>
      </c>
      <c r="AS157" s="2" t="b">
        <v>0</v>
      </c>
      <c r="AT157" s="3">
        <v>0.0</v>
      </c>
      <c r="AU157" s="4"/>
      <c r="AV157" s="4"/>
      <c r="AW157" s="5">
        <f t="shared" si="432"/>
        <v>0</v>
      </c>
      <c r="AX157" s="5">
        <f t="shared" si="4"/>
        <v>0</v>
      </c>
      <c r="AY157" s="5">
        <f t="shared" si="5"/>
        <v>0</v>
      </c>
      <c r="AZ157" s="5">
        <f t="shared" si="6"/>
        <v>0</v>
      </c>
      <c r="BA157" s="5">
        <f t="shared" si="7"/>
        <v>0</v>
      </c>
      <c r="BB157" s="5">
        <f t="shared" si="8"/>
        <v>0</v>
      </c>
      <c r="BC157" s="5">
        <f t="shared" si="9"/>
        <v>0</v>
      </c>
      <c r="BD157" s="5">
        <f t="shared" si="10"/>
        <v>0</v>
      </c>
      <c r="BE157" s="5">
        <f t="shared" si="11"/>
        <v>0</v>
      </c>
      <c r="BF157" s="5">
        <f t="shared" si="12"/>
        <v>0</v>
      </c>
      <c r="BG157" s="5">
        <f t="shared" si="13"/>
        <v>0</v>
      </c>
      <c r="BH157" s="5">
        <f t="shared" si="14"/>
        <v>0</v>
      </c>
      <c r="BI157" s="5">
        <f t="shared" si="15"/>
        <v>0</v>
      </c>
      <c r="BJ157" s="5">
        <f t="shared" si="16"/>
        <v>0</v>
      </c>
      <c r="BK157" s="5">
        <f t="shared" si="17"/>
        <v>0</v>
      </c>
      <c r="BL157" s="5">
        <f t="shared" si="18"/>
        <v>0</v>
      </c>
      <c r="BM157" s="5">
        <f t="shared" si="19"/>
        <v>0</v>
      </c>
      <c r="BN157" s="5">
        <f t="shared" si="20"/>
        <v>0</v>
      </c>
      <c r="BO157" s="5">
        <f t="shared" si="21"/>
        <v>0</v>
      </c>
      <c r="BP157" s="5">
        <f t="shared" si="22"/>
        <v>0</v>
      </c>
      <c r="BQ157" s="5">
        <f t="shared" si="23"/>
        <v>0</v>
      </c>
      <c r="BR157" s="5">
        <f t="shared" si="24"/>
        <v>0</v>
      </c>
      <c r="BS157" s="5">
        <f t="shared" si="25"/>
        <v>0</v>
      </c>
      <c r="BT157" s="5">
        <f t="shared" si="26"/>
        <v>0</v>
      </c>
      <c r="BU157" s="5">
        <f t="shared" si="27"/>
        <v>0</v>
      </c>
      <c r="BV157" s="5">
        <f t="shared" ref="BV157:BW157" si="667">IF(OR(ISNUMBER(SEARCH("grit",$D157)),ISNUMBER(SEARCH("grit",$T157)),ISNUMBER(SEARCH("grit",$R157)),ISNUMBER(SEARCH("grit",$S157)),
ISNUMBER(SEARCH("determination",$D157)),ISNUMBER(SEARCH("determination",$T157)),ISNUMBER(SEARCH("determination",$R157)),ISNUMBER(SEARCH("determination",$S157)),
ISNUMBER(SEARCH("tenacity",$D157)),ISNUMBER(SEARCH("tenacity",$T157)),ISNUMBER(SEARCH("tenacity",$R157)),ISNUMBER(SEARCH("tenacity",$S157)),
ISNUMBER(SEARCH("endurance",$D157)),ISNUMBER(SEARCH("endurance",$T157)),ISNUMBER(SEARCH("endurance",$R157)),ISNUMBER(SEARCH("endurance",$S157)),
ISNUMBER(SEARCH("fortitude",$D157)),ISNUMBER(SEARCH("fortitude",$T157)),ISNUMBER(SEARCH("fortitude",$R157)),ISNUMBER(SEARCH("fortitude",$S157)),
ISNUMBER(SEARCH("resolve",$D157)),ISNUMBER(SEARCH("resolve",$T157)),ISNUMBER(SEARCH("resolve",$R157)),ISNUMBER(SEARCH("resolve",$S157)),
ISNUMBER(SEARCH("stamina",$D157)),ISNUMBER(SEARCH("stamina",$T157)),ISNUMBER(SEARCH("stamina",$R157)),ISNUMBER(SEARCH("stamina",$S157)),
ISNUMBER(SEARCH("guts",$D157)),ISNUMBER(SEARCH("guts",$T157)),ISNUMBER(SEARCH("guts",$R157)),ISNUMBER(SEARCH("guts",$S157)),
ISNUMBER(SEARCH("spunk",$D157)),ISNUMBER(SEARCH("spunk",$T157)),ISNUMBER(SEARCH("spunk",$R157)),ISNUMBER(SEARCH("spunk",$S157))), 1, 0)</f>
        <v>1</v>
      </c>
      <c r="BW157" s="5">
        <f t="shared" si="667"/>
        <v>1</v>
      </c>
      <c r="BX157" s="5">
        <f t="shared" si="29"/>
        <v>0</v>
      </c>
      <c r="BY157" s="5">
        <f t="shared" si="30"/>
        <v>0</v>
      </c>
      <c r="BZ157" s="5">
        <f t="shared" si="31"/>
        <v>0</v>
      </c>
      <c r="CA157" s="5">
        <f t="shared" si="32"/>
        <v>0</v>
      </c>
      <c r="CB157" s="5">
        <f t="shared" si="33"/>
        <v>0</v>
      </c>
      <c r="CC157" s="5">
        <f t="shared" si="34"/>
        <v>0</v>
      </c>
      <c r="CD157" s="5">
        <f t="shared" si="35"/>
        <v>0</v>
      </c>
      <c r="CE157" s="5">
        <f t="shared" si="36"/>
        <v>0</v>
      </c>
      <c r="CF157" s="5">
        <f t="shared" si="37"/>
        <v>0</v>
      </c>
      <c r="CG157" s="5">
        <f t="shared" si="38"/>
        <v>0</v>
      </c>
      <c r="CH157" s="5">
        <f t="shared" si="39"/>
        <v>1</v>
      </c>
      <c r="CI157" s="5">
        <f t="shared" si="40"/>
        <v>0</v>
      </c>
      <c r="CJ157" s="5">
        <f t="shared" si="41"/>
        <v>0</v>
      </c>
      <c r="CK157" s="5">
        <f t="shared" si="42"/>
        <v>0</v>
      </c>
      <c r="CL157" s="5">
        <f t="shared" si="43"/>
        <v>0</v>
      </c>
      <c r="CM157" s="5">
        <f t="shared" si="44"/>
        <v>0</v>
      </c>
      <c r="CN157" s="5">
        <f t="shared" si="45"/>
        <v>0</v>
      </c>
      <c r="CO157" s="5">
        <f t="shared" si="46"/>
        <v>0</v>
      </c>
      <c r="CP157" s="6">
        <f t="shared" si="47"/>
        <v>0</v>
      </c>
      <c r="CQ157" s="6">
        <f t="shared" si="48"/>
        <v>0</v>
      </c>
      <c r="CR157" s="6">
        <f t="shared" si="49"/>
        <v>0</v>
      </c>
      <c r="CS157" s="6">
        <f t="shared" si="50"/>
        <v>0</v>
      </c>
      <c r="CT157" s="6">
        <f t="shared" si="584"/>
        <v>0</v>
      </c>
      <c r="CU157" s="6">
        <f t="shared" si="52"/>
        <v>0</v>
      </c>
      <c r="CV157" s="6">
        <f t="shared" si="53"/>
        <v>0</v>
      </c>
      <c r="CW157" s="6">
        <f t="shared" si="54"/>
        <v>0</v>
      </c>
      <c r="CX157" s="6">
        <f t="shared" si="55"/>
        <v>0</v>
      </c>
      <c r="CY157" s="6">
        <f t="shared" si="56"/>
        <v>0</v>
      </c>
      <c r="CZ157" s="6">
        <f t="shared" si="57"/>
        <v>0</v>
      </c>
      <c r="DA157" s="6">
        <f t="shared" si="58"/>
        <v>0</v>
      </c>
      <c r="DB157" s="6">
        <f t="shared" si="59"/>
        <v>0</v>
      </c>
      <c r="DC157" s="6">
        <f t="shared" si="60"/>
        <v>0</v>
      </c>
      <c r="DD157" s="6">
        <f t="shared" si="61"/>
        <v>0</v>
      </c>
      <c r="DE157" s="6">
        <f t="shared" si="62"/>
        <v>0</v>
      </c>
      <c r="DF157" s="6">
        <f t="shared" si="63"/>
        <v>0</v>
      </c>
      <c r="DG157" s="6">
        <f t="shared" si="64"/>
        <v>0</v>
      </c>
      <c r="DH157" s="6">
        <f t="shared" si="652"/>
        <v>0</v>
      </c>
      <c r="DI157" s="6">
        <f t="shared" si="66"/>
        <v>0</v>
      </c>
      <c r="DJ157" s="6">
        <f t="shared" si="653"/>
        <v>0</v>
      </c>
      <c r="DK157" s="7">
        <f t="shared" si="68"/>
        <v>0</v>
      </c>
      <c r="DL157" s="7">
        <f t="shared" si="498"/>
        <v>0</v>
      </c>
      <c r="DM157" s="7">
        <f t="shared" si="70"/>
        <v>0</v>
      </c>
      <c r="DN157" s="7">
        <f t="shared" si="71"/>
        <v>0</v>
      </c>
      <c r="DO157" s="7">
        <f t="shared" si="72"/>
        <v>0</v>
      </c>
      <c r="DP157" s="8">
        <f t="shared" si="73"/>
        <v>0</v>
      </c>
      <c r="DQ157" s="8">
        <f t="shared" si="74"/>
        <v>1</v>
      </c>
      <c r="DR157" s="7">
        <f t="shared" si="75"/>
        <v>0</v>
      </c>
      <c r="DS157" s="7">
        <f t="shared" si="76"/>
        <v>0</v>
      </c>
      <c r="DT157" s="7">
        <f t="shared" si="77"/>
        <v>0</v>
      </c>
      <c r="DU157" s="9">
        <f t="shared" si="78"/>
        <v>0</v>
      </c>
      <c r="DV157" s="9">
        <f t="shared" si="79"/>
        <v>0</v>
      </c>
      <c r="DW157" s="9">
        <f t="shared" si="80"/>
        <v>0</v>
      </c>
      <c r="DX157" s="9">
        <f t="shared" si="81"/>
        <v>0</v>
      </c>
      <c r="DY157" s="9">
        <f t="shared" si="82"/>
        <v>0</v>
      </c>
      <c r="DZ157" s="9">
        <f t="shared" si="83"/>
        <v>0</v>
      </c>
      <c r="EA157" s="9">
        <f t="shared" si="84"/>
        <v>0</v>
      </c>
      <c r="EB157" s="9">
        <f t="shared" si="85"/>
        <v>0</v>
      </c>
      <c r="EC157" s="9">
        <f t="shared" si="86"/>
        <v>0</v>
      </c>
      <c r="ED157" s="9">
        <f t="shared" si="87"/>
        <v>0</v>
      </c>
      <c r="EE157" s="9">
        <f t="shared" si="88"/>
        <v>0</v>
      </c>
      <c r="EF157" s="9">
        <f t="shared" si="89"/>
        <v>0</v>
      </c>
      <c r="EG157" s="9">
        <f t="shared" si="90"/>
        <v>0</v>
      </c>
      <c r="EH157" s="9">
        <f t="shared" si="91"/>
        <v>0</v>
      </c>
      <c r="EI157" s="9">
        <f t="shared" si="92"/>
        <v>0</v>
      </c>
      <c r="EJ157" s="10">
        <f t="shared" si="93"/>
        <v>0</v>
      </c>
      <c r="EK157" s="10">
        <f t="shared" si="94"/>
        <v>0</v>
      </c>
      <c r="EL157" s="10">
        <f t="shared" ref="EL157:EM157" si="668">IF(OR(ISNUMBER(SEARCH("ai software toolkit", $D157)), ISNUMBER(SEARCH("ai software toolkit", $T157)), ISNUMBER(SEARCH("ai software toolkit", $R157)), ISNUMBER(SEARCH("ai software toolkit", $S157))), 1, 0)</f>
        <v>0</v>
      </c>
      <c r="EM157" s="10">
        <f t="shared" si="668"/>
        <v>0</v>
      </c>
      <c r="EN157" s="10">
        <f t="shared" si="96"/>
        <v>0</v>
      </c>
      <c r="EO157" s="10">
        <f t="shared" si="97"/>
        <v>0</v>
      </c>
      <c r="EP157" s="10">
        <f t="shared" si="98"/>
        <v>0</v>
      </c>
      <c r="EQ157" s="10">
        <f t="shared" si="99"/>
        <v>0</v>
      </c>
      <c r="ER157" s="10">
        <f t="shared" si="100"/>
        <v>0</v>
      </c>
      <c r="ES157" s="10">
        <f t="shared" si="101"/>
        <v>0</v>
      </c>
      <c r="ET157" s="10">
        <f t="shared" si="102"/>
        <v>0</v>
      </c>
      <c r="EU157" s="10">
        <f t="shared" si="103"/>
        <v>0</v>
      </c>
      <c r="EV157" s="10">
        <f t="shared" si="104"/>
        <v>0</v>
      </c>
      <c r="EW157" s="10">
        <f t="shared" si="105"/>
        <v>0</v>
      </c>
      <c r="EX157" s="10">
        <f t="shared" si="106"/>
        <v>0</v>
      </c>
      <c r="EY157" s="10">
        <f t="shared" si="107"/>
        <v>0</v>
      </c>
      <c r="EZ157" s="10">
        <f t="shared" si="108"/>
        <v>0</v>
      </c>
      <c r="FA157" s="10">
        <f t="shared" si="109"/>
        <v>0</v>
      </c>
      <c r="FB157" s="10">
        <f t="shared" si="110"/>
        <v>0</v>
      </c>
      <c r="FC157" s="10">
        <f t="shared" si="111"/>
        <v>0</v>
      </c>
      <c r="FD157" s="10">
        <f t="shared" si="112"/>
        <v>0</v>
      </c>
      <c r="FE157" s="10">
        <f t="shared" si="113"/>
        <v>0</v>
      </c>
      <c r="FF157" s="10">
        <f t="shared" si="114"/>
        <v>0</v>
      </c>
      <c r="FG157" s="10">
        <f t="shared" si="115"/>
        <v>0</v>
      </c>
      <c r="FH157" s="10">
        <f t="shared" si="116"/>
        <v>0</v>
      </c>
      <c r="FI157" s="10">
        <f t="shared" si="117"/>
        <v>0</v>
      </c>
      <c r="FJ157" s="10">
        <f t="shared" si="118"/>
        <v>0</v>
      </c>
      <c r="FK157" s="10">
        <f t="shared" si="119"/>
        <v>0</v>
      </c>
      <c r="FL157" s="10">
        <f t="shared" si="120"/>
        <v>0</v>
      </c>
      <c r="FM157" s="10">
        <f t="shared" si="121"/>
        <v>0</v>
      </c>
      <c r="FN157" s="10">
        <f t="shared" si="122"/>
        <v>0</v>
      </c>
      <c r="FO157" s="10">
        <f t="shared" si="123"/>
        <v>0</v>
      </c>
      <c r="FP157" s="10">
        <f t="shared" si="124"/>
        <v>0</v>
      </c>
      <c r="FQ157" s="10">
        <f t="shared" si="125"/>
        <v>0</v>
      </c>
      <c r="FR157" s="11">
        <f t="shared" si="636"/>
        <v>0</v>
      </c>
      <c r="FS157" s="11">
        <f t="shared" si="127"/>
        <v>0</v>
      </c>
      <c r="FT157" s="11">
        <f t="shared" si="128"/>
        <v>0</v>
      </c>
      <c r="FU157" s="11">
        <f t="shared" si="129"/>
        <v>0</v>
      </c>
      <c r="FV157" s="11">
        <f t="shared" si="130"/>
        <v>0</v>
      </c>
      <c r="FW157" s="11">
        <f t="shared" si="131"/>
        <v>0</v>
      </c>
      <c r="FX157" s="11">
        <f t="shared" si="132"/>
        <v>0</v>
      </c>
      <c r="FY157" s="11">
        <f t="shared" si="133"/>
        <v>0</v>
      </c>
      <c r="FZ157" s="11">
        <f t="shared" si="134"/>
        <v>0</v>
      </c>
      <c r="GA157" s="11">
        <f t="shared" si="135"/>
        <v>0</v>
      </c>
      <c r="GB157" s="11">
        <f t="shared" si="136"/>
        <v>0</v>
      </c>
      <c r="GC157" s="11">
        <f t="shared" si="137"/>
        <v>0</v>
      </c>
      <c r="GD157" s="11">
        <f t="shared" si="138"/>
        <v>0</v>
      </c>
      <c r="GE157" s="11">
        <f t="shared" si="139"/>
        <v>0</v>
      </c>
      <c r="GF157" s="11">
        <f t="shared" si="140"/>
        <v>0</v>
      </c>
      <c r="GG157" s="11">
        <f t="shared" si="141"/>
        <v>0</v>
      </c>
      <c r="GH157" s="11">
        <f t="shared" si="142"/>
        <v>0</v>
      </c>
      <c r="GI157" s="11">
        <f t="shared" si="143"/>
        <v>0</v>
      </c>
      <c r="GJ157" s="11">
        <f t="shared" si="144"/>
        <v>0</v>
      </c>
      <c r="GK157" s="11">
        <f t="shared" si="145"/>
        <v>0</v>
      </c>
      <c r="GL157" s="11">
        <f t="shared" si="146"/>
        <v>0</v>
      </c>
      <c r="GM157" s="11">
        <f t="shared" si="147"/>
        <v>0</v>
      </c>
      <c r="GN157" s="11">
        <f t="shared" si="148"/>
        <v>0</v>
      </c>
      <c r="GO157" s="11">
        <f t="shared" si="149"/>
        <v>0</v>
      </c>
      <c r="GP157" s="11">
        <f t="shared" si="150"/>
        <v>0</v>
      </c>
      <c r="GQ157" s="11">
        <f t="shared" si="151"/>
        <v>0</v>
      </c>
      <c r="GR157" s="11">
        <f t="shared" si="152"/>
        <v>0</v>
      </c>
      <c r="GS157" s="11">
        <f t="shared" si="153"/>
        <v>0</v>
      </c>
      <c r="GT157" s="11">
        <f t="shared" si="154"/>
        <v>0</v>
      </c>
      <c r="GU157" s="12">
        <f t="shared" si="155"/>
        <v>0</v>
      </c>
      <c r="GV157" s="12">
        <f t="shared" si="156"/>
        <v>0</v>
      </c>
      <c r="GW157" s="12">
        <f t="shared" si="157"/>
        <v>0</v>
      </c>
      <c r="GX157" s="12">
        <f t="shared" si="158"/>
        <v>0</v>
      </c>
      <c r="GY157" s="12">
        <f t="shared" si="159"/>
        <v>0</v>
      </c>
      <c r="GZ157" s="12">
        <f t="shared" si="160"/>
        <v>0</v>
      </c>
      <c r="HA157" s="12">
        <f t="shared" si="161"/>
        <v>0</v>
      </c>
      <c r="HB157" s="12">
        <f t="shared" si="162"/>
        <v>0</v>
      </c>
      <c r="HC157" s="12">
        <f t="shared" si="163"/>
        <v>0</v>
      </c>
      <c r="HD157" s="12">
        <f t="shared" si="164"/>
        <v>0</v>
      </c>
      <c r="HE157" s="12">
        <f t="shared" si="165"/>
        <v>0</v>
      </c>
      <c r="HF157" s="12">
        <f t="shared" si="166"/>
        <v>0</v>
      </c>
      <c r="HG157" s="12">
        <f t="shared" si="167"/>
        <v>0</v>
      </c>
      <c r="HH157" s="12">
        <f t="shared" si="168"/>
        <v>0</v>
      </c>
      <c r="HI157" s="12">
        <f t="shared" si="169"/>
        <v>0</v>
      </c>
      <c r="HJ157" s="12">
        <f t="shared" si="170"/>
        <v>0</v>
      </c>
      <c r="HK157" s="12">
        <f t="shared" si="171"/>
        <v>0</v>
      </c>
      <c r="HL157" s="12">
        <f t="shared" si="172"/>
        <v>0</v>
      </c>
      <c r="HM157" s="12">
        <f t="shared" si="173"/>
        <v>0</v>
      </c>
      <c r="HN157" s="12">
        <f t="shared" si="174"/>
        <v>0</v>
      </c>
      <c r="HO157" s="12">
        <f t="shared" si="175"/>
        <v>0</v>
      </c>
      <c r="HP157" s="12">
        <f t="shared" si="176"/>
        <v>0</v>
      </c>
      <c r="HQ157" s="12">
        <f t="shared" si="177"/>
        <v>0</v>
      </c>
      <c r="HR157" s="12">
        <f t="shared" si="178"/>
        <v>0</v>
      </c>
      <c r="HS157" s="12">
        <f t="shared" si="179"/>
        <v>0</v>
      </c>
      <c r="HT157" s="12">
        <f t="shared" si="180"/>
        <v>0</v>
      </c>
      <c r="HU157" s="12">
        <f t="shared" si="181"/>
        <v>0</v>
      </c>
      <c r="HV157" s="12">
        <f t="shared" si="182"/>
        <v>0</v>
      </c>
      <c r="HW157" s="12">
        <f t="shared" si="183"/>
        <v>0</v>
      </c>
      <c r="HX157" s="12">
        <f t="shared" si="184"/>
        <v>0</v>
      </c>
      <c r="HY157" s="12">
        <f t="shared" si="185"/>
        <v>0</v>
      </c>
      <c r="HZ157" s="12">
        <f t="shared" si="186"/>
        <v>0</v>
      </c>
      <c r="IA157" s="12">
        <f t="shared" si="187"/>
        <v>0</v>
      </c>
      <c r="IB157" s="12">
        <f t="shared" si="188"/>
        <v>0</v>
      </c>
      <c r="IC157" s="12">
        <f t="shared" si="189"/>
        <v>0</v>
      </c>
      <c r="ID157" s="12">
        <f t="shared" si="190"/>
        <v>0</v>
      </c>
      <c r="IE157" s="12">
        <f t="shared" si="191"/>
        <v>0</v>
      </c>
      <c r="IF157" s="12">
        <f t="shared" si="192"/>
        <v>0</v>
      </c>
      <c r="IG157" s="12">
        <f t="shared" si="193"/>
        <v>0</v>
      </c>
      <c r="IH157" s="12">
        <f t="shared" si="194"/>
        <v>0</v>
      </c>
      <c r="II157" s="12">
        <f t="shared" si="195"/>
        <v>0</v>
      </c>
      <c r="IJ157" s="12">
        <f t="shared" si="196"/>
        <v>0</v>
      </c>
      <c r="IK157" s="12">
        <f t="shared" si="197"/>
        <v>0</v>
      </c>
      <c r="IL157" s="12">
        <f t="shared" si="198"/>
        <v>0</v>
      </c>
      <c r="IM157" s="12">
        <f t="shared" si="199"/>
        <v>0</v>
      </c>
      <c r="IN157" s="12">
        <f t="shared" si="200"/>
        <v>0</v>
      </c>
      <c r="IO157" s="12">
        <f t="shared" si="201"/>
        <v>0</v>
      </c>
      <c r="IP157" s="12">
        <f t="shared" si="202"/>
        <v>0</v>
      </c>
      <c r="IQ157" s="12">
        <f t="shared" si="203"/>
        <v>0</v>
      </c>
      <c r="IR157" s="12">
        <f t="shared" si="204"/>
        <v>0</v>
      </c>
      <c r="IS157" s="12">
        <f t="shared" si="205"/>
        <v>0</v>
      </c>
      <c r="IT157" s="12">
        <f t="shared" si="206"/>
        <v>0</v>
      </c>
      <c r="IU157" s="12">
        <f t="shared" si="207"/>
        <v>0</v>
      </c>
      <c r="IV157" s="12">
        <f t="shared" si="208"/>
        <v>0</v>
      </c>
      <c r="IW157" s="12">
        <f t="shared" si="209"/>
        <v>0</v>
      </c>
      <c r="IX157" s="12">
        <f t="shared" si="210"/>
        <v>0</v>
      </c>
      <c r="IY157" s="12">
        <f t="shared" si="211"/>
        <v>0</v>
      </c>
      <c r="IZ157" s="12">
        <f t="shared" si="212"/>
        <v>1</v>
      </c>
      <c r="JA157" s="13">
        <f t="shared" si="213"/>
        <v>0</v>
      </c>
      <c r="JB157" s="13">
        <f t="shared" si="214"/>
        <v>0</v>
      </c>
      <c r="JC157" s="13">
        <f t="shared" si="215"/>
        <v>0</v>
      </c>
      <c r="JD157" s="13">
        <f t="shared" si="216"/>
        <v>0</v>
      </c>
      <c r="JE157" s="13">
        <f t="shared" si="217"/>
        <v>0</v>
      </c>
      <c r="JF157" s="13">
        <f t="shared" si="218"/>
        <v>0</v>
      </c>
      <c r="JG157" s="13">
        <f t="shared" si="219"/>
        <v>0</v>
      </c>
      <c r="JH157" s="13">
        <f t="shared" si="220"/>
        <v>0</v>
      </c>
      <c r="JI157" s="13">
        <f t="shared" si="221"/>
        <v>0</v>
      </c>
      <c r="JJ157" s="13">
        <f t="shared" si="222"/>
        <v>0</v>
      </c>
      <c r="JK157" s="13">
        <f t="shared" si="223"/>
        <v>0</v>
      </c>
      <c r="JL157" s="13">
        <f t="shared" si="224"/>
        <v>0</v>
      </c>
      <c r="JM157" s="13">
        <f t="shared" si="225"/>
        <v>0</v>
      </c>
      <c r="JN157" s="13">
        <f t="shared" si="226"/>
        <v>0</v>
      </c>
      <c r="JO157" s="13">
        <f t="shared" si="227"/>
        <v>0</v>
      </c>
      <c r="JP157" s="13">
        <f t="shared" si="228"/>
        <v>0</v>
      </c>
      <c r="JQ157" s="13">
        <f t="shared" si="229"/>
        <v>0</v>
      </c>
      <c r="JR157" s="13">
        <f t="shared" si="230"/>
        <v>0</v>
      </c>
      <c r="JS157" s="13">
        <f t="shared" si="231"/>
        <v>0</v>
      </c>
      <c r="JT157" s="13">
        <f t="shared" si="232"/>
        <v>0</v>
      </c>
      <c r="JU157" s="13">
        <f t="shared" si="233"/>
        <v>0</v>
      </c>
      <c r="JV157" s="12">
        <f t="shared" si="234"/>
        <v>0</v>
      </c>
      <c r="JW157" s="12">
        <f t="shared" si="235"/>
        <v>0</v>
      </c>
      <c r="JX157" s="12">
        <f t="shared" si="236"/>
        <v>0</v>
      </c>
      <c r="JY157" s="12">
        <f t="shared" si="237"/>
        <v>0</v>
      </c>
      <c r="JZ157" s="12">
        <f t="shared" si="238"/>
        <v>0</v>
      </c>
      <c r="KA157" s="12">
        <f t="shared" si="239"/>
        <v>0</v>
      </c>
      <c r="KB157" s="12">
        <f t="shared" si="240"/>
        <v>0</v>
      </c>
      <c r="KC157" s="12">
        <f t="shared" si="241"/>
        <v>0</v>
      </c>
      <c r="KD157" s="12">
        <f t="shared" si="242"/>
        <v>0</v>
      </c>
      <c r="KE157" s="12">
        <f t="shared" si="243"/>
        <v>0</v>
      </c>
      <c r="KF157" s="12">
        <f t="shared" si="244"/>
        <v>0</v>
      </c>
      <c r="KG157" s="12">
        <f t="shared" si="245"/>
        <v>0</v>
      </c>
      <c r="KH157" s="12">
        <f t="shared" si="246"/>
        <v>0</v>
      </c>
      <c r="KI157" s="12">
        <f t="shared" si="247"/>
        <v>0</v>
      </c>
      <c r="KJ157" s="12">
        <f t="shared" si="248"/>
        <v>0</v>
      </c>
      <c r="KK157" s="12">
        <f t="shared" si="249"/>
        <v>0</v>
      </c>
      <c r="KL157" s="12">
        <f t="shared" si="250"/>
        <v>0</v>
      </c>
      <c r="KM157" s="12">
        <f t="shared" si="251"/>
        <v>0</v>
      </c>
      <c r="KN157" s="12">
        <f t="shared" si="252"/>
        <v>0</v>
      </c>
      <c r="KO157" s="12">
        <f t="shared" si="253"/>
        <v>0</v>
      </c>
      <c r="KP157" s="12">
        <f t="shared" si="254"/>
        <v>0</v>
      </c>
      <c r="KQ157" s="12">
        <f t="shared" si="255"/>
        <v>0</v>
      </c>
      <c r="KR157" s="12">
        <f t="shared" si="256"/>
        <v>0</v>
      </c>
      <c r="KS157" s="12">
        <f t="shared" si="257"/>
        <v>0</v>
      </c>
      <c r="KT157" s="12">
        <f t="shared" si="258"/>
        <v>0</v>
      </c>
      <c r="KU157" s="12">
        <f t="shared" si="259"/>
        <v>0</v>
      </c>
      <c r="KV157" s="12">
        <f t="shared" si="260"/>
        <v>0</v>
      </c>
      <c r="KW157" s="12">
        <f t="shared" si="261"/>
        <v>0</v>
      </c>
      <c r="KX157" s="12">
        <f t="shared" si="262"/>
        <v>0</v>
      </c>
      <c r="KY157" s="12">
        <f t="shared" si="263"/>
        <v>0</v>
      </c>
      <c r="KZ157" s="12">
        <f t="shared" si="264"/>
        <v>0</v>
      </c>
      <c r="LA157" s="12">
        <f t="shared" si="265"/>
        <v>0</v>
      </c>
      <c r="LB157" s="12">
        <f t="shared" si="266"/>
        <v>0</v>
      </c>
      <c r="LC157" s="12">
        <f t="shared" si="267"/>
        <v>0</v>
      </c>
      <c r="LD157" s="12">
        <f t="shared" si="268"/>
        <v>0</v>
      </c>
      <c r="LE157" s="12">
        <f t="shared" si="269"/>
        <v>0</v>
      </c>
      <c r="LF157" s="12">
        <f t="shared" si="270"/>
        <v>0</v>
      </c>
      <c r="LG157" s="12">
        <f t="shared" si="271"/>
        <v>0</v>
      </c>
      <c r="LH157" s="12">
        <f t="shared" si="272"/>
        <v>0</v>
      </c>
      <c r="LI157" s="12">
        <f t="shared" si="273"/>
        <v>0</v>
      </c>
      <c r="LJ157" s="12">
        <f t="shared" si="274"/>
        <v>0</v>
      </c>
      <c r="LK157" s="12">
        <f t="shared" si="275"/>
        <v>0</v>
      </c>
      <c r="LL157" s="12">
        <f t="shared" si="276"/>
        <v>0</v>
      </c>
      <c r="LM157" s="12">
        <f t="shared" si="277"/>
        <v>0</v>
      </c>
      <c r="LN157" s="12">
        <f t="shared" si="278"/>
        <v>0</v>
      </c>
      <c r="LO157" s="12">
        <f t="shared" si="279"/>
        <v>0</v>
      </c>
      <c r="LP157" s="12">
        <f t="shared" si="280"/>
        <v>0</v>
      </c>
      <c r="LQ157" s="12">
        <f t="shared" si="281"/>
        <v>0</v>
      </c>
      <c r="LR157" s="12">
        <f t="shared" si="282"/>
        <v>0</v>
      </c>
      <c r="LS157" s="12">
        <f t="shared" si="283"/>
        <v>0</v>
      </c>
      <c r="LT157" s="13">
        <f t="shared" si="284"/>
        <v>0</v>
      </c>
      <c r="LU157" s="13">
        <f t="shared" si="285"/>
        <v>0</v>
      </c>
      <c r="LV157" s="13">
        <f t="shared" si="286"/>
        <v>1</v>
      </c>
      <c r="LW157" s="13">
        <f t="shared" si="287"/>
        <v>1</v>
      </c>
      <c r="LX157" s="13">
        <f t="shared" si="288"/>
        <v>0</v>
      </c>
      <c r="LY157" s="13">
        <f t="shared" si="289"/>
        <v>0</v>
      </c>
      <c r="LZ157" s="13">
        <f t="shared" si="290"/>
        <v>0</v>
      </c>
      <c r="MA157" s="13">
        <f t="shared" si="291"/>
        <v>0</v>
      </c>
      <c r="MB157" s="13">
        <f t="shared" si="292"/>
        <v>0</v>
      </c>
      <c r="MC157" s="13">
        <f t="shared" si="293"/>
        <v>0</v>
      </c>
      <c r="MD157" s="13">
        <f t="shared" si="294"/>
        <v>0</v>
      </c>
      <c r="ME157" s="13">
        <f t="shared" si="295"/>
        <v>0</v>
      </c>
      <c r="MF157" s="13">
        <f t="shared" si="296"/>
        <v>0</v>
      </c>
      <c r="MG157" s="13">
        <f t="shared" si="297"/>
        <v>0</v>
      </c>
      <c r="MH157" s="13">
        <f t="shared" si="298"/>
        <v>0</v>
      </c>
      <c r="MI157" s="13">
        <f t="shared" si="299"/>
        <v>0</v>
      </c>
      <c r="MJ157" s="13">
        <f t="shared" si="300"/>
        <v>0</v>
      </c>
      <c r="MK157" s="13">
        <f t="shared" si="301"/>
        <v>0</v>
      </c>
      <c r="ML157" s="14">
        <f t="shared" si="302"/>
        <v>0</v>
      </c>
      <c r="MM157" s="14">
        <f t="shared" si="303"/>
        <v>0</v>
      </c>
      <c r="MN157" s="14">
        <f t="shared" si="304"/>
        <v>0</v>
      </c>
      <c r="MO157" s="14">
        <f t="shared" si="305"/>
        <v>0</v>
      </c>
      <c r="MP157" s="14">
        <f t="shared" si="306"/>
        <v>0</v>
      </c>
      <c r="MQ157" s="14">
        <f t="shared" si="307"/>
        <v>0</v>
      </c>
      <c r="MR157" s="14">
        <f t="shared" si="308"/>
        <v>0</v>
      </c>
      <c r="MS157" s="14">
        <f t="shared" si="309"/>
        <v>0</v>
      </c>
      <c r="MT157" s="14">
        <f t="shared" si="310"/>
        <v>0</v>
      </c>
      <c r="MU157" s="14">
        <f t="shared" si="311"/>
        <v>0</v>
      </c>
      <c r="MV157" s="14">
        <f t="shared" si="312"/>
        <v>0</v>
      </c>
      <c r="MW157" s="14">
        <f t="shared" si="313"/>
        <v>0</v>
      </c>
      <c r="MX157" s="14">
        <f t="shared" si="314"/>
        <v>0</v>
      </c>
      <c r="MY157" s="14">
        <f t="shared" si="315"/>
        <v>0</v>
      </c>
      <c r="MZ157" s="14">
        <f t="shared" si="316"/>
        <v>0</v>
      </c>
      <c r="NA157" s="14">
        <f t="shared" si="317"/>
        <v>0</v>
      </c>
      <c r="NB157" s="14">
        <f t="shared" si="318"/>
        <v>0</v>
      </c>
    </row>
    <row r="158" ht="15.75" customHeight="1">
      <c r="A158" s="2">
        <v>394.0</v>
      </c>
      <c r="B158" s="2" t="s">
        <v>3017</v>
      </c>
      <c r="C158" s="2" t="s">
        <v>3018</v>
      </c>
      <c r="D158" s="2" t="s">
        <v>3019</v>
      </c>
      <c r="E158" s="2">
        <v>2022.0</v>
      </c>
      <c r="F158" s="2" t="s">
        <v>3020</v>
      </c>
      <c r="G158" s="2">
        <v>13.0</v>
      </c>
      <c r="H158" s="2" t="s">
        <v>471</v>
      </c>
      <c r="I158" s="2" t="s">
        <v>3021</v>
      </c>
      <c r="M158" s="2">
        <v>3.0</v>
      </c>
      <c r="N158" s="2" t="s">
        <v>3022</v>
      </c>
      <c r="O158" s="2" t="s">
        <v>3023</v>
      </c>
      <c r="P158" s="2" t="s">
        <v>3024</v>
      </c>
      <c r="Q158" s="2" t="s">
        <v>3025</v>
      </c>
      <c r="R158" s="2" t="s">
        <v>3026</v>
      </c>
      <c r="S158" s="2" t="s">
        <v>3027</v>
      </c>
      <c r="T158" s="2" t="s">
        <v>3028</v>
      </c>
      <c r="Y158" s="2" t="s">
        <v>3029</v>
      </c>
      <c r="AB158" s="2" t="s">
        <v>1303</v>
      </c>
      <c r="AG158" s="2" t="s">
        <v>3030</v>
      </c>
      <c r="AK158" s="2" t="s">
        <v>3020</v>
      </c>
      <c r="AL158" s="2" t="s">
        <v>384</v>
      </c>
      <c r="AM158" s="2" t="s">
        <v>1306</v>
      </c>
      <c r="AN158" s="2" t="s">
        <v>386</v>
      </c>
      <c r="AO158" s="2" t="s">
        <v>3031</v>
      </c>
      <c r="AP158" s="2" t="s">
        <v>386</v>
      </c>
      <c r="AQ158" s="2">
        <v>2542.0</v>
      </c>
      <c r="AR158" s="2" t="s">
        <v>3032</v>
      </c>
      <c r="AS158" s="2" t="b">
        <v>0</v>
      </c>
      <c r="AT158" s="3">
        <v>0.0</v>
      </c>
      <c r="AU158" s="4"/>
      <c r="AV158" s="4"/>
      <c r="AW158" s="5">
        <f t="shared" si="432"/>
        <v>0</v>
      </c>
      <c r="AX158" s="5">
        <f t="shared" si="4"/>
        <v>0</v>
      </c>
      <c r="AY158" s="5">
        <f t="shared" si="5"/>
        <v>0</v>
      </c>
      <c r="AZ158" s="5">
        <f t="shared" si="6"/>
        <v>0</v>
      </c>
      <c r="BA158" s="5">
        <f t="shared" si="7"/>
        <v>0</v>
      </c>
      <c r="BB158" s="5">
        <f t="shared" si="8"/>
        <v>1</v>
      </c>
      <c r="BC158" s="5">
        <f t="shared" si="9"/>
        <v>0</v>
      </c>
      <c r="BD158" s="5">
        <f t="shared" si="10"/>
        <v>0</v>
      </c>
      <c r="BE158" s="5">
        <f t="shared" si="11"/>
        <v>0</v>
      </c>
      <c r="BF158" s="5">
        <f t="shared" si="12"/>
        <v>0</v>
      </c>
      <c r="BG158" s="5">
        <f t="shared" si="13"/>
        <v>0</v>
      </c>
      <c r="BH158" s="5">
        <f t="shared" si="14"/>
        <v>0</v>
      </c>
      <c r="BI158" s="5">
        <f t="shared" si="15"/>
        <v>0</v>
      </c>
      <c r="BJ158" s="5">
        <f t="shared" si="16"/>
        <v>0</v>
      </c>
      <c r="BK158" s="5">
        <f t="shared" si="17"/>
        <v>0</v>
      </c>
      <c r="BL158" s="5">
        <f t="shared" si="18"/>
        <v>0</v>
      </c>
      <c r="BM158" s="5">
        <f t="shared" si="19"/>
        <v>0</v>
      </c>
      <c r="BN158" s="5">
        <f t="shared" si="20"/>
        <v>0</v>
      </c>
      <c r="BO158" s="5">
        <f t="shared" si="21"/>
        <v>0</v>
      </c>
      <c r="BP158" s="5">
        <f t="shared" si="22"/>
        <v>0</v>
      </c>
      <c r="BQ158" s="5">
        <f t="shared" si="23"/>
        <v>0</v>
      </c>
      <c r="BR158" s="5">
        <f t="shared" si="24"/>
        <v>0</v>
      </c>
      <c r="BS158" s="5">
        <f t="shared" si="25"/>
        <v>0</v>
      </c>
      <c r="BT158" s="5">
        <f t="shared" si="26"/>
        <v>0</v>
      </c>
      <c r="BU158" s="5">
        <f t="shared" si="27"/>
        <v>0</v>
      </c>
      <c r="BV158" s="5">
        <f t="shared" ref="BV158:BW158" si="669">IF(OR(ISNUMBER(SEARCH("grit",$D158)),ISNUMBER(SEARCH("grit",$T158)),ISNUMBER(SEARCH("grit",$R158)),ISNUMBER(SEARCH("grit",$S158)),
ISNUMBER(SEARCH("determination",$D158)),ISNUMBER(SEARCH("determination",$T158)),ISNUMBER(SEARCH("determination",$R158)),ISNUMBER(SEARCH("determination",$S158)),
ISNUMBER(SEARCH("tenacity",$D158)),ISNUMBER(SEARCH("tenacity",$T158)),ISNUMBER(SEARCH("tenacity",$R158)),ISNUMBER(SEARCH("tenacity",$S158)),
ISNUMBER(SEARCH("endurance",$D158)),ISNUMBER(SEARCH("endurance",$T158)),ISNUMBER(SEARCH("endurance",$R158)),ISNUMBER(SEARCH("endurance",$S158)),
ISNUMBER(SEARCH("fortitude",$D158)),ISNUMBER(SEARCH("fortitude",$T158)),ISNUMBER(SEARCH("fortitude",$R158)),ISNUMBER(SEARCH("fortitude",$S158)),
ISNUMBER(SEARCH("resolve",$D158)),ISNUMBER(SEARCH("resolve",$T158)),ISNUMBER(SEARCH("resolve",$R158)),ISNUMBER(SEARCH("resolve",$S158)),
ISNUMBER(SEARCH("stamina",$D158)),ISNUMBER(SEARCH("stamina",$T158)),ISNUMBER(SEARCH("stamina",$R158)),ISNUMBER(SEARCH("stamina",$S158)),
ISNUMBER(SEARCH("guts",$D158)),ISNUMBER(SEARCH("guts",$T158)),ISNUMBER(SEARCH("guts",$R158)),ISNUMBER(SEARCH("guts",$S158)),
ISNUMBER(SEARCH("spunk",$D158)),ISNUMBER(SEARCH("spunk",$T158)),ISNUMBER(SEARCH("spunk",$R158)),ISNUMBER(SEARCH("spunk",$S158))), 1, 0)</f>
        <v>0</v>
      </c>
      <c r="BW158" s="5">
        <f t="shared" si="669"/>
        <v>0</v>
      </c>
      <c r="BX158" s="5">
        <f t="shared" si="29"/>
        <v>0</v>
      </c>
      <c r="BY158" s="5">
        <f t="shared" si="30"/>
        <v>0</v>
      </c>
      <c r="BZ158" s="5">
        <f t="shared" si="31"/>
        <v>0</v>
      </c>
      <c r="CA158" s="5">
        <f t="shared" si="32"/>
        <v>0</v>
      </c>
      <c r="CB158" s="5">
        <f t="shared" si="33"/>
        <v>0</v>
      </c>
      <c r="CC158" s="5">
        <f t="shared" si="34"/>
        <v>0</v>
      </c>
      <c r="CD158" s="5">
        <f t="shared" si="35"/>
        <v>0</v>
      </c>
      <c r="CE158" s="5">
        <f t="shared" si="36"/>
        <v>0</v>
      </c>
      <c r="CF158" s="5">
        <f t="shared" si="37"/>
        <v>0</v>
      </c>
      <c r="CG158" s="5">
        <f t="shared" si="38"/>
        <v>0</v>
      </c>
      <c r="CH158" s="5">
        <f t="shared" si="39"/>
        <v>0</v>
      </c>
      <c r="CI158" s="5">
        <f t="shared" si="40"/>
        <v>0</v>
      </c>
      <c r="CJ158" s="5">
        <f t="shared" si="41"/>
        <v>0</v>
      </c>
      <c r="CK158" s="5">
        <f t="shared" si="42"/>
        <v>1</v>
      </c>
      <c r="CL158" s="5">
        <f t="shared" si="43"/>
        <v>0</v>
      </c>
      <c r="CM158" s="5">
        <f t="shared" si="44"/>
        <v>0</v>
      </c>
      <c r="CN158" s="5">
        <f t="shared" si="45"/>
        <v>0</v>
      </c>
      <c r="CO158" s="5">
        <f t="shared" si="46"/>
        <v>0</v>
      </c>
      <c r="CP158" s="6">
        <f t="shared" si="47"/>
        <v>0</v>
      </c>
      <c r="CQ158" s="6">
        <f t="shared" si="48"/>
        <v>0</v>
      </c>
      <c r="CR158" s="6">
        <f t="shared" si="49"/>
        <v>0</v>
      </c>
      <c r="CS158" s="6">
        <f t="shared" si="50"/>
        <v>0</v>
      </c>
      <c r="CT158" s="6">
        <f t="shared" si="584"/>
        <v>0</v>
      </c>
      <c r="CU158" s="6">
        <f t="shared" si="52"/>
        <v>0</v>
      </c>
      <c r="CV158" s="6">
        <f t="shared" si="53"/>
        <v>0</v>
      </c>
      <c r="CW158" s="6">
        <f t="shared" si="54"/>
        <v>0</v>
      </c>
      <c r="CX158" s="6">
        <f t="shared" si="55"/>
        <v>0</v>
      </c>
      <c r="CY158" s="6">
        <f t="shared" si="56"/>
        <v>0</v>
      </c>
      <c r="CZ158" s="6">
        <f t="shared" si="57"/>
        <v>0</v>
      </c>
      <c r="DA158" s="6">
        <f t="shared" si="58"/>
        <v>1</v>
      </c>
      <c r="DB158" s="6">
        <f t="shared" si="59"/>
        <v>0</v>
      </c>
      <c r="DC158" s="6">
        <f t="shared" si="60"/>
        <v>0</v>
      </c>
      <c r="DD158" s="6">
        <f t="shared" si="61"/>
        <v>0</v>
      </c>
      <c r="DE158" s="6">
        <f t="shared" si="62"/>
        <v>0</v>
      </c>
      <c r="DF158" s="6">
        <f t="shared" si="63"/>
        <v>0</v>
      </c>
      <c r="DG158" s="6">
        <f t="shared" si="64"/>
        <v>0</v>
      </c>
      <c r="DH158" s="6">
        <f t="shared" si="652"/>
        <v>0</v>
      </c>
      <c r="DI158" s="6">
        <f t="shared" si="66"/>
        <v>0</v>
      </c>
      <c r="DJ158" s="6">
        <f t="shared" si="653"/>
        <v>0</v>
      </c>
      <c r="DK158" s="7">
        <f t="shared" si="68"/>
        <v>0</v>
      </c>
      <c r="DL158" s="7">
        <f t="shared" si="498"/>
        <v>0</v>
      </c>
      <c r="DM158" s="7">
        <f t="shared" si="70"/>
        <v>0</v>
      </c>
      <c r="DN158" s="7">
        <f t="shared" si="71"/>
        <v>0</v>
      </c>
      <c r="DO158" s="7">
        <f t="shared" si="72"/>
        <v>0</v>
      </c>
      <c r="DP158" s="8">
        <f t="shared" si="73"/>
        <v>0</v>
      </c>
      <c r="DQ158" s="8">
        <f t="shared" si="74"/>
        <v>1</v>
      </c>
      <c r="DR158" s="7">
        <f t="shared" si="75"/>
        <v>1</v>
      </c>
      <c r="DS158" s="7">
        <f t="shared" si="76"/>
        <v>0</v>
      </c>
      <c r="DT158" s="7">
        <f t="shared" si="77"/>
        <v>0</v>
      </c>
      <c r="DU158" s="9">
        <f t="shared" si="78"/>
        <v>0</v>
      </c>
      <c r="DV158" s="9">
        <f t="shared" si="79"/>
        <v>0</v>
      </c>
      <c r="DW158" s="9">
        <f t="shared" si="80"/>
        <v>0</v>
      </c>
      <c r="DX158" s="9">
        <f t="shared" si="81"/>
        <v>0</v>
      </c>
      <c r="DY158" s="9">
        <f t="shared" si="82"/>
        <v>0</v>
      </c>
      <c r="DZ158" s="9">
        <f t="shared" si="83"/>
        <v>0</v>
      </c>
      <c r="EA158" s="9">
        <f t="shared" si="84"/>
        <v>0</v>
      </c>
      <c r="EB158" s="9">
        <f t="shared" si="85"/>
        <v>0</v>
      </c>
      <c r="EC158" s="9">
        <f t="shared" si="86"/>
        <v>0</v>
      </c>
      <c r="ED158" s="9">
        <f t="shared" si="87"/>
        <v>0</v>
      </c>
      <c r="EE158" s="9">
        <f t="shared" si="88"/>
        <v>0</v>
      </c>
      <c r="EF158" s="9">
        <f t="shared" si="89"/>
        <v>0</v>
      </c>
      <c r="EG158" s="9">
        <f t="shared" si="90"/>
        <v>0</v>
      </c>
      <c r="EH158" s="9">
        <f t="shared" si="91"/>
        <v>0</v>
      </c>
      <c r="EI158" s="9">
        <f t="shared" si="92"/>
        <v>0</v>
      </c>
      <c r="EJ158" s="10">
        <f t="shared" si="93"/>
        <v>0</v>
      </c>
      <c r="EK158" s="10">
        <f t="shared" si="94"/>
        <v>0</v>
      </c>
      <c r="EL158" s="10">
        <f t="shared" ref="EL158:EM158" si="670">IF(OR(ISNUMBER(SEARCH("ai software toolkit", $D158)), ISNUMBER(SEARCH("ai software toolkit", $T158)), ISNUMBER(SEARCH("ai software toolkit", $R158)), ISNUMBER(SEARCH("ai software toolkit", $S158))), 1, 0)</f>
        <v>0</v>
      </c>
      <c r="EM158" s="10">
        <f t="shared" si="670"/>
        <v>0</v>
      </c>
      <c r="EN158" s="10">
        <f t="shared" si="96"/>
        <v>0</v>
      </c>
      <c r="EO158" s="10">
        <f t="shared" si="97"/>
        <v>0</v>
      </c>
      <c r="EP158" s="10">
        <f t="shared" si="98"/>
        <v>0</v>
      </c>
      <c r="EQ158" s="10">
        <f t="shared" si="99"/>
        <v>0</v>
      </c>
      <c r="ER158" s="10">
        <f t="shared" si="100"/>
        <v>0</v>
      </c>
      <c r="ES158" s="10">
        <f t="shared" si="101"/>
        <v>0</v>
      </c>
      <c r="ET158" s="10">
        <f t="shared" si="102"/>
        <v>0</v>
      </c>
      <c r="EU158" s="10">
        <f t="shared" si="103"/>
        <v>0</v>
      </c>
      <c r="EV158" s="10">
        <f t="shared" si="104"/>
        <v>0</v>
      </c>
      <c r="EW158" s="10">
        <f t="shared" si="105"/>
        <v>0</v>
      </c>
      <c r="EX158" s="10">
        <f t="shared" si="106"/>
        <v>0</v>
      </c>
      <c r="EY158" s="10">
        <f t="shared" si="107"/>
        <v>0</v>
      </c>
      <c r="EZ158" s="10">
        <f t="shared" si="108"/>
        <v>0</v>
      </c>
      <c r="FA158" s="10">
        <f t="shared" si="109"/>
        <v>0</v>
      </c>
      <c r="FB158" s="10">
        <f t="shared" si="110"/>
        <v>0</v>
      </c>
      <c r="FC158" s="10">
        <f t="shared" si="111"/>
        <v>0</v>
      </c>
      <c r="FD158" s="10">
        <f t="shared" si="112"/>
        <v>0</v>
      </c>
      <c r="FE158" s="10">
        <f t="shared" si="113"/>
        <v>1</v>
      </c>
      <c r="FF158" s="10">
        <f t="shared" si="114"/>
        <v>0</v>
      </c>
      <c r="FG158" s="10">
        <f t="shared" si="115"/>
        <v>0</v>
      </c>
      <c r="FH158" s="10">
        <f t="shared" si="116"/>
        <v>0</v>
      </c>
      <c r="FI158" s="10">
        <f t="shared" si="117"/>
        <v>0</v>
      </c>
      <c r="FJ158" s="10">
        <f t="shared" si="118"/>
        <v>0</v>
      </c>
      <c r="FK158" s="10">
        <f t="shared" si="119"/>
        <v>0</v>
      </c>
      <c r="FL158" s="10">
        <f t="shared" si="120"/>
        <v>0</v>
      </c>
      <c r="FM158" s="10">
        <f t="shared" si="121"/>
        <v>0</v>
      </c>
      <c r="FN158" s="10">
        <f t="shared" si="122"/>
        <v>0</v>
      </c>
      <c r="FO158" s="10">
        <f t="shared" si="123"/>
        <v>0</v>
      </c>
      <c r="FP158" s="10">
        <f t="shared" si="124"/>
        <v>0</v>
      </c>
      <c r="FQ158" s="10">
        <f t="shared" si="125"/>
        <v>0</v>
      </c>
      <c r="FR158" s="11">
        <f t="shared" si="636"/>
        <v>0</v>
      </c>
      <c r="FS158" s="11">
        <f t="shared" si="127"/>
        <v>0</v>
      </c>
      <c r="FT158" s="11">
        <f t="shared" si="128"/>
        <v>0</v>
      </c>
      <c r="FU158" s="11">
        <f t="shared" si="129"/>
        <v>0</v>
      </c>
      <c r="FV158" s="11">
        <f t="shared" si="130"/>
        <v>0</v>
      </c>
      <c r="FW158" s="11">
        <f t="shared" si="131"/>
        <v>1</v>
      </c>
      <c r="FX158" s="11">
        <f t="shared" si="132"/>
        <v>0</v>
      </c>
      <c r="FY158" s="11">
        <f t="shared" si="133"/>
        <v>0</v>
      </c>
      <c r="FZ158" s="11">
        <f t="shared" si="134"/>
        <v>0</v>
      </c>
      <c r="GA158" s="11">
        <f t="shared" si="135"/>
        <v>0</v>
      </c>
      <c r="GB158" s="11">
        <f t="shared" si="136"/>
        <v>0</v>
      </c>
      <c r="GC158" s="11">
        <f t="shared" si="137"/>
        <v>0</v>
      </c>
      <c r="GD158" s="11">
        <f t="shared" si="138"/>
        <v>0</v>
      </c>
      <c r="GE158" s="11">
        <f t="shared" si="139"/>
        <v>0</v>
      </c>
      <c r="GF158" s="11">
        <f t="shared" si="140"/>
        <v>0</v>
      </c>
      <c r="GG158" s="11">
        <f t="shared" si="141"/>
        <v>0</v>
      </c>
      <c r="GH158" s="11">
        <f t="shared" si="142"/>
        <v>0</v>
      </c>
      <c r="GI158" s="11">
        <f t="shared" si="143"/>
        <v>0</v>
      </c>
      <c r="GJ158" s="11">
        <f t="shared" si="144"/>
        <v>0</v>
      </c>
      <c r="GK158" s="11">
        <f t="shared" si="145"/>
        <v>0</v>
      </c>
      <c r="GL158" s="11">
        <f t="shared" si="146"/>
        <v>0</v>
      </c>
      <c r="GM158" s="11">
        <f t="shared" si="147"/>
        <v>0</v>
      </c>
      <c r="GN158" s="11">
        <f t="shared" si="148"/>
        <v>0</v>
      </c>
      <c r="GO158" s="11">
        <f t="shared" si="149"/>
        <v>0</v>
      </c>
      <c r="GP158" s="11">
        <f t="shared" si="150"/>
        <v>0</v>
      </c>
      <c r="GQ158" s="11">
        <f t="shared" si="151"/>
        <v>0</v>
      </c>
      <c r="GR158" s="11">
        <f t="shared" si="152"/>
        <v>0</v>
      </c>
      <c r="GS158" s="11">
        <f t="shared" si="153"/>
        <v>0</v>
      </c>
      <c r="GT158" s="11">
        <f t="shared" si="154"/>
        <v>0</v>
      </c>
      <c r="GU158" s="12">
        <f t="shared" si="155"/>
        <v>0</v>
      </c>
      <c r="GV158" s="12">
        <f t="shared" si="156"/>
        <v>0</v>
      </c>
      <c r="GW158" s="12">
        <f t="shared" si="157"/>
        <v>0</v>
      </c>
      <c r="GX158" s="12">
        <f t="shared" si="158"/>
        <v>0</v>
      </c>
      <c r="GY158" s="12">
        <f t="shared" si="159"/>
        <v>0</v>
      </c>
      <c r="GZ158" s="12">
        <f t="shared" si="160"/>
        <v>0</v>
      </c>
      <c r="HA158" s="12">
        <f t="shared" si="161"/>
        <v>0</v>
      </c>
      <c r="HB158" s="12">
        <f t="shared" si="162"/>
        <v>0</v>
      </c>
      <c r="HC158" s="12">
        <f t="shared" si="163"/>
        <v>0</v>
      </c>
      <c r="HD158" s="12">
        <f t="shared" si="164"/>
        <v>0</v>
      </c>
      <c r="HE158" s="12">
        <f t="shared" si="165"/>
        <v>0</v>
      </c>
      <c r="HF158" s="12">
        <f t="shared" si="166"/>
        <v>0</v>
      </c>
      <c r="HG158" s="12">
        <f t="shared" si="167"/>
        <v>0</v>
      </c>
      <c r="HH158" s="12">
        <f t="shared" si="168"/>
        <v>0</v>
      </c>
      <c r="HI158" s="12">
        <f t="shared" si="169"/>
        <v>0</v>
      </c>
      <c r="HJ158" s="12">
        <f t="shared" si="170"/>
        <v>0</v>
      </c>
      <c r="HK158" s="12">
        <f t="shared" si="171"/>
        <v>0</v>
      </c>
      <c r="HL158" s="12">
        <f t="shared" si="172"/>
        <v>0</v>
      </c>
      <c r="HM158" s="12">
        <f t="shared" si="173"/>
        <v>0</v>
      </c>
      <c r="HN158" s="12">
        <f t="shared" si="174"/>
        <v>0</v>
      </c>
      <c r="HO158" s="12">
        <f t="shared" si="175"/>
        <v>0</v>
      </c>
      <c r="HP158" s="12">
        <f t="shared" si="176"/>
        <v>0</v>
      </c>
      <c r="HQ158" s="12">
        <f t="shared" si="177"/>
        <v>0</v>
      </c>
      <c r="HR158" s="12">
        <f t="shared" si="178"/>
        <v>0</v>
      </c>
      <c r="HS158" s="12">
        <f t="shared" si="179"/>
        <v>0</v>
      </c>
      <c r="HT158" s="12">
        <f t="shared" si="180"/>
        <v>0</v>
      </c>
      <c r="HU158" s="12">
        <f t="shared" si="181"/>
        <v>0</v>
      </c>
      <c r="HV158" s="12">
        <f t="shared" si="182"/>
        <v>0</v>
      </c>
      <c r="HW158" s="12">
        <f t="shared" si="183"/>
        <v>0</v>
      </c>
      <c r="HX158" s="12">
        <f t="shared" si="184"/>
        <v>0</v>
      </c>
      <c r="HY158" s="12">
        <f t="shared" si="185"/>
        <v>0</v>
      </c>
      <c r="HZ158" s="12">
        <f t="shared" si="186"/>
        <v>0</v>
      </c>
      <c r="IA158" s="12">
        <f t="shared" si="187"/>
        <v>0</v>
      </c>
      <c r="IB158" s="12">
        <f t="shared" si="188"/>
        <v>0</v>
      </c>
      <c r="IC158" s="12">
        <f t="shared" si="189"/>
        <v>0</v>
      </c>
      <c r="ID158" s="12">
        <f t="shared" si="190"/>
        <v>0</v>
      </c>
      <c r="IE158" s="12">
        <f t="shared" si="191"/>
        <v>0</v>
      </c>
      <c r="IF158" s="12">
        <f t="shared" si="192"/>
        <v>0</v>
      </c>
      <c r="IG158" s="12">
        <f t="shared" si="193"/>
        <v>0</v>
      </c>
      <c r="IH158" s="12">
        <f t="shared" si="194"/>
        <v>0</v>
      </c>
      <c r="II158" s="12">
        <f t="shared" si="195"/>
        <v>0</v>
      </c>
      <c r="IJ158" s="12">
        <f t="shared" si="196"/>
        <v>0</v>
      </c>
      <c r="IK158" s="12">
        <f t="shared" si="197"/>
        <v>0</v>
      </c>
      <c r="IL158" s="12">
        <f t="shared" si="198"/>
        <v>0</v>
      </c>
      <c r="IM158" s="12">
        <f t="shared" si="199"/>
        <v>0</v>
      </c>
      <c r="IN158" s="12">
        <f t="shared" si="200"/>
        <v>0</v>
      </c>
      <c r="IO158" s="12">
        <f t="shared" si="201"/>
        <v>0</v>
      </c>
      <c r="IP158" s="12">
        <f t="shared" si="202"/>
        <v>0</v>
      </c>
      <c r="IQ158" s="12">
        <f t="shared" si="203"/>
        <v>0</v>
      </c>
      <c r="IR158" s="12">
        <f t="shared" si="204"/>
        <v>0</v>
      </c>
      <c r="IS158" s="12">
        <f t="shared" si="205"/>
        <v>0</v>
      </c>
      <c r="IT158" s="12">
        <f t="shared" si="206"/>
        <v>0</v>
      </c>
      <c r="IU158" s="12">
        <f t="shared" si="207"/>
        <v>0</v>
      </c>
      <c r="IV158" s="12">
        <f t="shared" si="208"/>
        <v>0</v>
      </c>
      <c r="IW158" s="12">
        <f t="shared" si="209"/>
        <v>0</v>
      </c>
      <c r="IX158" s="12">
        <f t="shared" si="210"/>
        <v>0</v>
      </c>
      <c r="IY158" s="12">
        <f t="shared" si="211"/>
        <v>0</v>
      </c>
      <c r="IZ158" s="12">
        <f t="shared" si="212"/>
        <v>1</v>
      </c>
      <c r="JA158" s="13">
        <f t="shared" si="213"/>
        <v>0</v>
      </c>
      <c r="JB158" s="13">
        <f t="shared" si="214"/>
        <v>0</v>
      </c>
      <c r="JC158" s="13">
        <f t="shared" si="215"/>
        <v>0</v>
      </c>
      <c r="JD158" s="13">
        <f t="shared" si="216"/>
        <v>0</v>
      </c>
      <c r="JE158" s="13">
        <f t="shared" si="217"/>
        <v>0</v>
      </c>
      <c r="JF158" s="13">
        <f t="shared" si="218"/>
        <v>0</v>
      </c>
      <c r="JG158" s="13">
        <f t="shared" si="219"/>
        <v>0</v>
      </c>
      <c r="JH158" s="13">
        <f t="shared" si="220"/>
        <v>0</v>
      </c>
      <c r="JI158" s="13">
        <f t="shared" si="221"/>
        <v>0</v>
      </c>
      <c r="JJ158" s="13">
        <f t="shared" si="222"/>
        <v>0</v>
      </c>
      <c r="JK158" s="13">
        <f t="shared" si="223"/>
        <v>0</v>
      </c>
      <c r="JL158" s="13">
        <f t="shared" si="224"/>
        <v>0</v>
      </c>
      <c r="JM158" s="13">
        <f t="shared" si="225"/>
        <v>0</v>
      </c>
      <c r="JN158" s="13">
        <f t="shared" si="226"/>
        <v>0</v>
      </c>
      <c r="JO158" s="13">
        <f t="shared" si="227"/>
        <v>0</v>
      </c>
      <c r="JP158" s="13">
        <f t="shared" si="228"/>
        <v>0</v>
      </c>
      <c r="JQ158" s="13">
        <f t="shared" si="229"/>
        <v>0</v>
      </c>
      <c r="JR158" s="13">
        <f t="shared" si="230"/>
        <v>0</v>
      </c>
      <c r="JS158" s="13">
        <f t="shared" si="231"/>
        <v>0</v>
      </c>
      <c r="JT158" s="13">
        <f t="shared" si="232"/>
        <v>0</v>
      </c>
      <c r="JU158" s="13">
        <f t="shared" si="233"/>
        <v>0</v>
      </c>
      <c r="JV158" s="12">
        <f t="shared" si="234"/>
        <v>0</v>
      </c>
      <c r="JW158" s="12">
        <f t="shared" si="235"/>
        <v>0</v>
      </c>
      <c r="JX158" s="12">
        <f t="shared" si="236"/>
        <v>0</v>
      </c>
      <c r="JY158" s="12">
        <f t="shared" si="237"/>
        <v>0</v>
      </c>
      <c r="JZ158" s="12">
        <f t="shared" si="238"/>
        <v>0</v>
      </c>
      <c r="KA158" s="12">
        <f t="shared" si="239"/>
        <v>0</v>
      </c>
      <c r="KB158" s="12">
        <f t="shared" si="240"/>
        <v>0</v>
      </c>
      <c r="KC158" s="12">
        <f t="shared" si="241"/>
        <v>0</v>
      </c>
      <c r="KD158" s="12">
        <f t="shared" si="242"/>
        <v>0</v>
      </c>
      <c r="KE158" s="12">
        <f t="shared" si="243"/>
        <v>0</v>
      </c>
      <c r="KF158" s="12">
        <f t="shared" si="244"/>
        <v>0</v>
      </c>
      <c r="KG158" s="12">
        <f t="shared" si="245"/>
        <v>0</v>
      </c>
      <c r="KH158" s="12">
        <f t="shared" si="246"/>
        <v>0</v>
      </c>
      <c r="KI158" s="12">
        <f t="shared" si="247"/>
        <v>0</v>
      </c>
      <c r="KJ158" s="12">
        <f t="shared" si="248"/>
        <v>0</v>
      </c>
      <c r="KK158" s="12">
        <f t="shared" si="249"/>
        <v>0</v>
      </c>
      <c r="KL158" s="12">
        <f t="shared" si="250"/>
        <v>0</v>
      </c>
      <c r="KM158" s="12">
        <f t="shared" si="251"/>
        <v>0</v>
      </c>
      <c r="KN158" s="12">
        <f t="shared" si="252"/>
        <v>0</v>
      </c>
      <c r="KO158" s="12">
        <f t="shared" si="253"/>
        <v>0</v>
      </c>
      <c r="KP158" s="12">
        <f t="shared" si="254"/>
        <v>0</v>
      </c>
      <c r="KQ158" s="12">
        <f t="shared" si="255"/>
        <v>0</v>
      </c>
      <c r="KR158" s="12">
        <f t="shared" si="256"/>
        <v>0</v>
      </c>
      <c r="KS158" s="12">
        <f t="shared" si="257"/>
        <v>0</v>
      </c>
      <c r="KT158" s="12">
        <f t="shared" si="258"/>
        <v>0</v>
      </c>
      <c r="KU158" s="12">
        <f t="shared" si="259"/>
        <v>0</v>
      </c>
      <c r="KV158" s="12">
        <f t="shared" si="260"/>
        <v>0</v>
      </c>
      <c r="KW158" s="12">
        <f t="shared" si="261"/>
        <v>0</v>
      </c>
      <c r="KX158" s="12">
        <f t="shared" si="262"/>
        <v>0</v>
      </c>
      <c r="KY158" s="12">
        <f t="shared" si="263"/>
        <v>0</v>
      </c>
      <c r="KZ158" s="12">
        <f t="shared" si="264"/>
        <v>0</v>
      </c>
      <c r="LA158" s="12">
        <f t="shared" si="265"/>
        <v>0</v>
      </c>
      <c r="LB158" s="12">
        <f t="shared" si="266"/>
        <v>0</v>
      </c>
      <c r="LC158" s="12">
        <f t="shared" si="267"/>
        <v>0</v>
      </c>
      <c r="LD158" s="12">
        <f t="shared" si="268"/>
        <v>0</v>
      </c>
      <c r="LE158" s="12">
        <f t="shared" si="269"/>
        <v>0</v>
      </c>
      <c r="LF158" s="12">
        <f t="shared" si="270"/>
        <v>0</v>
      </c>
      <c r="LG158" s="12">
        <f t="shared" si="271"/>
        <v>0</v>
      </c>
      <c r="LH158" s="12">
        <f t="shared" si="272"/>
        <v>0</v>
      </c>
      <c r="LI158" s="12">
        <f t="shared" si="273"/>
        <v>0</v>
      </c>
      <c r="LJ158" s="12">
        <f t="shared" si="274"/>
        <v>0</v>
      </c>
      <c r="LK158" s="12">
        <f t="shared" si="275"/>
        <v>0</v>
      </c>
      <c r="LL158" s="12">
        <f t="shared" si="276"/>
        <v>0</v>
      </c>
      <c r="LM158" s="12">
        <f t="shared" si="277"/>
        <v>0</v>
      </c>
      <c r="LN158" s="12">
        <f t="shared" si="278"/>
        <v>0</v>
      </c>
      <c r="LO158" s="12">
        <f t="shared" si="279"/>
        <v>0</v>
      </c>
      <c r="LP158" s="12">
        <f t="shared" si="280"/>
        <v>0</v>
      </c>
      <c r="LQ158" s="12">
        <f t="shared" si="281"/>
        <v>0</v>
      </c>
      <c r="LR158" s="12">
        <f t="shared" si="282"/>
        <v>0</v>
      </c>
      <c r="LS158" s="12">
        <f t="shared" si="283"/>
        <v>0</v>
      </c>
      <c r="LT158" s="13">
        <f t="shared" si="284"/>
        <v>0</v>
      </c>
      <c r="LU158" s="13">
        <f t="shared" si="285"/>
        <v>0</v>
      </c>
      <c r="LV158" s="13">
        <f t="shared" si="286"/>
        <v>0</v>
      </c>
      <c r="LW158" s="13">
        <f t="shared" si="287"/>
        <v>0</v>
      </c>
      <c r="LX158" s="13">
        <f t="shared" si="288"/>
        <v>0</v>
      </c>
      <c r="LY158" s="13">
        <f t="shared" si="289"/>
        <v>0</v>
      </c>
      <c r="LZ158" s="13">
        <f t="shared" si="290"/>
        <v>0</v>
      </c>
      <c r="MA158" s="13">
        <f t="shared" si="291"/>
        <v>0</v>
      </c>
      <c r="MB158" s="13">
        <f t="shared" si="292"/>
        <v>0</v>
      </c>
      <c r="MC158" s="13">
        <f t="shared" si="293"/>
        <v>0</v>
      </c>
      <c r="MD158" s="13">
        <f t="shared" si="294"/>
        <v>0</v>
      </c>
      <c r="ME158" s="13">
        <f t="shared" si="295"/>
        <v>0</v>
      </c>
      <c r="MF158" s="13">
        <f t="shared" si="296"/>
        <v>0</v>
      </c>
      <c r="MG158" s="13">
        <f t="shared" si="297"/>
        <v>0</v>
      </c>
      <c r="MH158" s="13">
        <f t="shared" si="298"/>
        <v>0</v>
      </c>
      <c r="MI158" s="13">
        <f t="shared" si="299"/>
        <v>0</v>
      </c>
      <c r="MJ158" s="13">
        <f t="shared" si="300"/>
        <v>0</v>
      </c>
      <c r="MK158" s="13">
        <f t="shared" si="301"/>
        <v>0</v>
      </c>
      <c r="ML158" s="14">
        <f t="shared" si="302"/>
        <v>0</v>
      </c>
      <c r="MM158" s="14">
        <f t="shared" si="303"/>
        <v>0</v>
      </c>
      <c r="MN158" s="14">
        <f t="shared" si="304"/>
        <v>0</v>
      </c>
      <c r="MO158" s="14">
        <f t="shared" si="305"/>
        <v>0</v>
      </c>
      <c r="MP158" s="14">
        <f t="shared" si="306"/>
        <v>0</v>
      </c>
      <c r="MQ158" s="14">
        <f t="shared" si="307"/>
        <v>0</v>
      </c>
      <c r="MR158" s="14">
        <f t="shared" si="308"/>
        <v>0</v>
      </c>
      <c r="MS158" s="14">
        <f t="shared" si="309"/>
        <v>0</v>
      </c>
      <c r="MT158" s="14">
        <f t="shared" si="310"/>
        <v>0</v>
      </c>
      <c r="MU158" s="14">
        <f t="shared" si="311"/>
        <v>0</v>
      </c>
      <c r="MV158" s="14">
        <f t="shared" si="312"/>
        <v>0</v>
      </c>
      <c r="MW158" s="14">
        <f t="shared" si="313"/>
        <v>0</v>
      </c>
      <c r="MX158" s="14">
        <f t="shared" si="314"/>
        <v>0</v>
      </c>
      <c r="MY158" s="14">
        <f t="shared" si="315"/>
        <v>0</v>
      </c>
      <c r="MZ158" s="14">
        <f t="shared" si="316"/>
        <v>0</v>
      </c>
      <c r="NA158" s="14">
        <f t="shared" si="317"/>
        <v>0</v>
      </c>
      <c r="NB158" s="14">
        <f t="shared" si="318"/>
        <v>0</v>
      </c>
    </row>
    <row r="159" ht="15.75" customHeight="1">
      <c r="A159" s="2">
        <v>388.0</v>
      </c>
      <c r="B159" s="2" t="s">
        <v>3033</v>
      </c>
      <c r="C159" s="2" t="s">
        <v>3034</v>
      </c>
      <c r="D159" s="2" t="s">
        <v>3035</v>
      </c>
      <c r="E159" s="2">
        <v>2015.0</v>
      </c>
      <c r="F159" s="2" t="s">
        <v>3036</v>
      </c>
      <c r="G159" s="2" t="s">
        <v>471</v>
      </c>
      <c r="H159" s="2" t="s">
        <v>510</v>
      </c>
      <c r="I159" s="2" t="s">
        <v>3037</v>
      </c>
      <c r="M159" s="2">
        <v>3.0</v>
      </c>
      <c r="N159" s="2" t="s">
        <v>3038</v>
      </c>
      <c r="O159" s="2" t="s">
        <v>3039</v>
      </c>
      <c r="P159" s="2" t="s">
        <v>3040</v>
      </c>
      <c r="Q159" s="2" t="s">
        <v>3041</v>
      </c>
      <c r="R159" s="2" t="s">
        <v>3042</v>
      </c>
      <c r="S159" s="2" t="s">
        <v>3043</v>
      </c>
      <c r="T159" s="2" t="s">
        <v>3044</v>
      </c>
      <c r="Y159" s="2" t="s">
        <v>3045</v>
      </c>
      <c r="AB159" s="2" t="s">
        <v>3046</v>
      </c>
      <c r="AG159" s="2" t="s">
        <v>3047</v>
      </c>
      <c r="AK159" s="2" t="s">
        <v>3048</v>
      </c>
      <c r="AL159" s="2" t="s">
        <v>384</v>
      </c>
      <c r="AN159" s="2" t="s">
        <v>386</v>
      </c>
      <c r="AO159" s="2" t="s">
        <v>3049</v>
      </c>
      <c r="AP159" s="2" t="s">
        <v>386</v>
      </c>
      <c r="AQ159" s="2">
        <v>1532.0</v>
      </c>
      <c r="AR159" s="2" t="s">
        <v>3035</v>
      </c>
      <c r="AS159" s="2" t="b">
        <v>0</v>
      </c>
      <c r="AT159" s="3">
        <v>0.0</v>
      </c>
      <c r="AU159" s="4"/>
      <c r="AV159" s="4"/>
      <c r="AW159" s="5">
        <f t="shared" si="432"/>
        <v>0</v>
      </c>
      <c r="AX159" s="5">
        <f t="shared" si="4"/>
        <v>0</v>
      </c>
      <c r="AY159" s="5">
        <f t="shared" si="5"/>
        <v>0</v>
      </c>
      <c r="AZ159" s="5">
        <f t="shared" si="6"/>
        <v>0</v>
      </c>
      <c r="BA159" s="5">
        <f t="shared" si="7"/>
        <v>0</v>
      </c>
      <c r="BB159" s="5">
        <f t="shared" si="8"/>
        <v>0</v>
      </c>
      <c r="BC159" s="5">
        <f t="shared" si="9"/>
        <v>0</v>
      </c>
      <c r="BD159" s="5">
        <f t="shared" si="10"/>
        <v>0</v>
      </c>
      <c r="BE159" s="5">
        <f t="shared" si="11"/>
        <v>0</v>
      </c>
      <c r="BF159" s="5">
        <f t="shared" si="12"/>
        <v>0</v>
      </c>
      <c r="BG159" s="5">
        <f t="shared" si="13"/>
        <v>0</v>
      </c>
      <c r="BH159" s="5">
        <f t="shared" si="14"/>
        <v>0</v>
      </c>
      <c r="BI159" s="5">
        <f t="shared" si="15"/>
        <v>0</v>
      </c>
      <c r="BJ159" s="5">
        <f t="shared" si="16"/>
        <v>0</v>
      </c>
      <c r="BK159" s="5">
        <f t="shared" si="17"/>
        <v>0</v>
      </c>
      <c r="BL159" s="5">
        <f t="shared" si="18"/>
        <v>0</v>
      </c>
      <c r="BM159" s="5">
        <f t="shared" si="19"/>
        <v>0</v>
      </c>
      <c r="BN159" s="5">
        <f t="shared" si="20"/>
        <v>0</v>
      </c>
      <c r="BO159" s="5">
        <f t="shared" si="21"/>
        <v>0</v>
      </c>
      <c r="BP159" s="5">
        <f t="shared" si="22"/>
        <v>0</v>
      </c>
      <c r="BQ159" s="5">
        <f t="shared" si="23"/>
        <v>0</v>
      </c>
      <c r="BR159" s="5">
        <f t="shared" si="24"/>
        <v>0</v>
      </c>
      <c r="BS159" s="5">
        <f t="shared" si="25"/>
        <v>1</v>
      </c>
      <c r="BT159" s="5">
        <f t="shared" si="26"/>
        <v>0</v>
      </c>
      <c r="BU159" s="5">
        <f t="shared" si="27"/>
        <v>0</v>
      </c>
      <c r="BV159" s="5">
        <f t="shared" ref="BV159:BW159" si="671">IF(OR(ISNUMBER(SEARCH("grit",$D159)),ISNUMBER(SEARCH("grit",$T159)),ISNUMBER(SEARCH("grit",$R159)),ISNUMBER(SEARCH("grit",$S159)),
ISNUMBER(SEARCH("determination",$D159)),ISNUMBER(SEARCH("determination",$T159)),ISNUMBER(SEARCH("determination",$R159)),ISNUMBER(SEARCH("determination",$S159)),
ISNUMBER(SEARCH("tenacity",$D159)),ISNUMBER(SEARCH("tenacity",$T159)),ISNUMBER(SEARCH("tenacity",$R159)),ISNUMBER(SEARCH("tenacity",$S159)),
ISNUMBER(SEARCH("endurance",$D159)),ISNUMBER(SEARCH("endurance",$T159)),ISNUMBER(SEARCH("endurance",$R159)),ISNUMBER(SEARCH("endurance",$S159)),
ISNUMBER(SEARCH("fortitude",$D159)),ISNUMBER(SEARCH("fortitude",$T159)),ISNUMBER(SEARCH("fortitude",$R159)),ISNUMBER(SEARCH("fortitude",$S159)),
ISNUMBER(SEARCH("resolve",$D159)),ISNUMBER(SEARCH("resolve",$T159)),ISNUMBER(SEARCH("resolve",$R159)),ISNUMBER(SEARCH("resolve",$S159)),
ISNUMBER(SEARCH("stamina",$D159)),ISNUMBER(SEARCH("stamina",$T159)),ISNUMBER(SEARCH("stamina",$R159)),ISNUMBER(SEARCH("stamina",$S159)),
ISNUMBER(SEARCH("guts",$D159)),ISNUMBER(SEARCH("guts",$T159)),ISNUMBER(SEARCH("guts",$R159)),ISNUMBER(SEARCH("guts",$S159)),
ISNUMBER(SEARCH("spunk",$D159)),ISNUMBER(SEARCH("spunk",$T159)),ISNUMBER(SEARCH("spunk",$R159)),ISNUMBER(SEARCH("spunk",$S159))), 1, 0)</f>
        <v>0</v>
      </c>
      <c r="BW159" s="5">
        <f t="shared" si="671"/>
        <v>0</v>
      </c>
      <c r="BX159" s="5">
        <f t="shared" si="29"/>
        <v>0</v>
      </c>
      <c r="BY159" s="5">
        <f t="shared" si="30"/>
        <v>0</v>
      </c>
      <c r="BZ159" s="5">
        <f t="shared" si="31"/>
        <v>0</v>
      </c>
      <c r="CA159" s="5">
        <f t="shared" si="32"/>
        <v>0</v>
      </c>
      <c r="CB159" s="5">
        <f t="shared" si="33"/>
        <v>0</v>
      </c>
      <c r="CC159" s="5">
        <f t="shared" si="34"/>
        <v>0</v>
      </c>
      <c r="CD159" s="5">
        <f t="shared" si="35"/>
        <v>0</v>
      </c>
      <c r="CE159" s="5">
        <f t="shared" si="36"/>
        <v>0</v>
      </c>
      <c r="CF159" s="5">
        <f t="shared" si="37"/>
        <v>0</v>
      </c>
      <c r="CG159" s="5">
        <f t="shared" si="38"/>
        <v>0</v>
      </c>
      <c r="CH159" s="5">
        <f t="shared" si="39"/>
        <v>0</v>
      </c>
      <c r="CI159" s="5">
        <f t="shared" si="40"/>
        <v>0</v>
      </c>
      <c r="CJ159" s="5">
        <f t="shared" si="41"/>
        <v>0</v>
      </c>
      <c r="CK159" s="5">
        <f t="shared" si="42"/>
        <v>0</v>
      </c>
      <c r="CL159" s="5">
        <f t="shared" si="43"/>
        <v>0</v>
      </c>
      <c r="CM159" s="5">
        <f t="shared" si="44"/>
        <v>0</v>
      </c>
      <c r="CN159" s="5">
        <f t="shared" si="45"/>
        <v>0</v>
      </c>
      <c r="CO159" s="5">
        <f t="shared" si="46"/>
        <v>0</v>
      </c>
      <c r="CP159" s="6">
        <f t="shared" si="47"/>
        <v>0</v>
      </c>
      <c r="CQ159" s="6">
        <f t="shared" si="48"/>
        <v>0</v>
      </c>
      <c r="CR159" s="6">
        <f t="shared" si="49"/>
        <v>0</v>
      </c>
      <c r="CS159" s="6">
        <f t="shared" si="50"/>
        <v>0</v>
      </c>
      <c r="CT159" s="6">
        <f t="shared" si="584"/>
        <v>0</v>
      </c>
      <c r="CU159" s="6">
        <f t="shared" si="52"/>
        <v>0</v>
      </c>
      <c r="CV159" s="6">
        <f t="shared" si="53"/>
        <v>0</v>
      </c>
      <c r="CW159" s="6">
        <f t="shared" si="54"/>
        <v>0</v>
      </c>
      <c r="CX159" s="6">
        <f t="shared" si="55"/>
        <v>0</v>
      </c>
      <c r="CY159" s="6">
        <f t="shared" si="56"/>
        <v>0</v>
      </c>
      <c r="CZ159" s="6">
        <f t="shared" si="57"/>
        <v>0</v>
      </c>
      <c r="DA159" s="6">
        <f t="shared" si="58"/>
        <v>0</v>
      </c>
      <c r="DB159" s="6">
        <f t="shared" si="59"/>
        <v>0</v>
      </c>
      <c r="DC159" s="6">
        <f t="shared" si="60"/>
        <v>0</v>
      </c>
      <c r="DD159" s="6">
        <f t="shared" si="61"/>
        <v>0</v>
      </c>
      <c r="DE159" s="6">
        <f t="shared" si="62"/>
        <v>0</v>
      </c>
      <c r="DF159" s="6">
        <f t="shared" si="63"/>
        <v>0</v>
      </c>
      <c r="DG159" s="6">
        <f t="shared" si="64"/>
        <v>0</v>
      </c>
      <c r="DH159" s="6">
        <f t="shared" si="652"/>
        <v>0</v>
      </c>
      <c r="DI159" s="6">
        <f t="shared" si="66"/>
        <v>0</v>
      </c>
      <c r="DJ159" s="6">
        <f t="shared" si="653"/>
        <v>0</v>
      </c>
      <c r="DK159" s="7">
        <f t="shared" si="68"/>
        <v>0</v>
      </c>
      <c r="DL159" s="7">
        <f t="shared" si="498"/>
        <v>0</v>
      </c>
      <c r="DM159" s="7">
        <f t="shared" si="70"/>
        <v>0</v>
      </c>
      <c r="DN159" s="7">
        <f t="shared" si="71"/>
        <v>0</v>
      </c>
      <c r="DO159" s="7">
        <f t="shared" si="72"/>
        <v>1</v>
      </c>
      <c r="DP159" s="8">
        <f t="shared" si="73"/>
        <v>0</v>
      </c>
      <c r="DQ159" s="8">
        <f t="shared" si="74"/>
        <v>0</v>
      </c>
      <c r="DR159" s="7">
        <f t="shared" si="75"/>
        <v>0</v>
      </c>
      <c r="DS159" s="7">
        <f t="shared" si="76"/>
        <v>0</v>
      </c>
      <c r="DT159" s="7">
        <f t="shared" si="77"/>
        <v>0</v>
      </c>
      <c r="DU159" s="9">
        <f t="shared" si="78"/>
        <v>0</v>
      </c>
      <c r="DV159" s="9">
        <f t="shared" si="79"/>
        <v>0</v>
      </c>
      <c r="DW159" s="9">
        <f t="shared" si="80"/>
        <v>0</v>
      </c>
      <c r="DX159" s="9">
        <f t="shared" si="81"/>
        <v>0</v>
      </c>
      <c r="DY159" s="9">
        <f t="shared" si="82"/>
        <v>1</v>
      </c>
      <c r="DZ159" s="9">
        <f t="shared" si="83"/>
        <v>0</v>
      </c>
      <c r="EA159" s="9">
        <f t="shared" si="84"/>
        <v>0</v>
      </c>
      <c r="EB159" s="9">
        <f t="shared" si="85"/>
        <v>0</v>
      </c>
      <c r="EC159" s="9">
        <f t="shared" si="86"/>
        <v>0</v>
      </c>
      <c r="ED159" s="9">
        <f t="shared" si="87"/>
        <v>0</v>
      </c>
      <c r="EE159" s="9">
        <f t="shared" si="88"/>
        <v>0</v>
      </c>
      <c r="EF159" s="9">
        <f t="shared" si="89"/>
        <v>0</v>
      </c>
      <c r="EG159" s="9">
        <f t="shared" si="90"/>
        <v>0</v>
      </c>
      <c r="EH159" s="9">
        <f t="shared" si="91"/>
        <v>0</v>
      </c>
      <c r="EI159" s="9">
        <f t="shared" si="92"/>
        <v>0</v>
      </c>
      <c r="EJ159" s="10">
        <f t="shared" si="93"/>
        <v>0</v>
      </c>
      <c r="EK159" s="10">
        <f t="shared" si="94"/>
        <v>0</v>
      </c>
      <c r="EL159" s="10">
        <f t="shared" ref="EL159:EM159" si="672">IF(OR(ISNUMBER(SEARCH("ai software toolkit", $D159)), ISNUMBER(SEARCH("ai software toolkit", $T159)), ISNUMBER(SEARCH("ai software toolkit", $R159)), ISNUMBER(SEARCH("ai software toolkit", $S159))), 1, 0)</f>
        <v>0</v>
      </c>
      <c r="EM159" s="10">
        <f t="shared" si="672"/>
        <v>0</v>
      </c>
      <c r="EN159" s="10">
        <f t="shared" si="96"/>
        <v>0</v>
      </c>
      <c r="EO159" s="10">
        <f t="shared" si="97"/>
        <v>0</v>
      </c>
      <c r="EP159" s="10">
        <f t="shared" si="98"/>
        <v>0</v>
      </c>
      <c r="EQ159" s="10">
        <f t="shared" si="99"/>
        <v>0</v>
      </c>
      <c r="ER159" s="10">
        <f t="shared" si="100"/>
        <v>0</v>
      </c>
      <c r="ES159" s="10">
        <f t="shared" si="101"/>
        <v>0</v>
      </c>
      <c r="ET159" s="10">
        <f t="shared" si="102"/>
        <v>0</v>
      </c>
      <c r="EU159" s="10">
        <f t="shared" si="103"/>
        <v>0</v>
      </c>
      <c r="EV159" s="10">
        <f t="shared" si="104"/>
        <v>0</v>
      </c>
      <c r="EW159" s="10">
        <f t="shared" si="105"/>
        <v>0</v>
      </c>
      <c r="EX159" s="10">
        <f t="shared" si="106"/>
        <v>0</v>
      </c>
      <c r="EY159" s="10">
        <f t="shared" si="107"/>
        <v>0</v>
      </c>
      <c r="EZ159" s="10">
        <f t="shared" si="108"/>
        <v>0</v>
      </c>
      <c r="FA159" s="10">
        <f t="shared" si="109"/>
        <v>0</v>
      </c>
      <c r="FB159" s="10">
        <f t="shared" si="110"/>
        <v>0</v>
      </c>
      <c r="FC159" s="10">
        <f t="shared" si="111"/>
        <v>0</v>
      </c>
      <c r="FD159" s="10">
        <f t="shared" si="112"/>
        <v>0</v>
      </c>
      <c r="FE159" s="10">
        <f t="shared" si="113"/>
        <v>0</v>
      </c>
      <c r="FF159" s="10">
        <f t="shared" si="114"/>
        <v>0</v>
      </c>
      <c r="FG159" s="10">
        <f t="shared" si="115"/>
        <v>0</v>
      </c>
      <c r="FH159" s="10">
        <f t="shared" si="116"/>
        <v>0</v>
      </c>
      <c r="FI159" s="10">
        <f t="shared" si="117"/>
        <v>0</v>
      </c>
      <c r="FJ159" s="10">
        <f t="shared" si="118"/>
        <v>0</v>
      </c>
      <c r="FK159" s="10">
        <f t="shared" si="119"/>
        <v>0</v>
      </c>
      <c r="FL159" s="10">
        <f t="shared" si="120"/>
        <v>0</v>
      </c>
      <c r="FM159" s="10">
        <f t="shared" si="121"/>
        <v>0</v>
      </c>
      <c r="FN159" s="10">
        <f t="shared" si="122"/>
        <v>0</v>
      </c>
      <c r="FO159" s="10">
        <f t="shared" si="123"/>
        <v>0</v>
      </c>
      <c r="FP159" s="10">
        <f t="shared" si="124"/>
        <v>0</v>
      </c>
      <c r="FQ159" s="10">
        <f t="shared" si="125"/>
        <v>0</v>
      </c>
      <c r="FR159" s="11">
        <f t="shared" si="636"/>
        <v>0</v>
      </c>
      <c r="FS159" s="11">
        <f t="shared" si="127"/>
        <v>0</v>
      </c>
      <c r="FT159" s="11">
        <f t="shared" si="128"/>
        <v>0</v>
      </c>
      <c r="FU159" s="11">
        <f t="shared" si="129"/>
        <v>0</v>
      </c>
      <c r="FV159" s="11">
        <f t="shared" si="130"/>
        <v>0</v>
      </c>
      <c r="FW159" s="11">
        <f t="shared" si="131"/>
        <v>0</v>
      </c>
      <c r="FX159" s="11">
        <f t="shared" si="132"/>
        <v>0</v>
      </c>
      <c r="FY159" s="11">
        <f t="shared" si="133"/>
        <v>0</v>
      </c>
      <c r="FZ159" s="11">
        <f t="shared" si="134"/>
        <v>0</v>
      </c>
      <c r="GA159" s="11">
        <f t="shared" si="135"/>
        <v>0</v>
      </c>
      <c r="GB159" s="11">
        <f t="shared" si="136"/>
        <v>0</v>
      </c>
      <c r="GC159" s="11">
        <f t="shared" si="137"/>
        <v>0</v>
      </c>
      <c r="GD159" s="11">
        <f t="shared" si="138"/>
        <v>0</v>
      </c>
      <c r="GE159" s="11">
        <f t="shared" si="139"/>
        <v>0</v>
      </c>
      <c r="GF159" s="11">
        <f t="shared" si="140"/>
        <v>0</v>
      </c>
      <c r="GG159" s="11">
        <f t="shared" si="141"/>
        <v>0</v>
      </c>
      <c r="GH159" s="11">
        <f t="shared" si="142"/>
        <v>0</v>
      </c>
      <c r="GI159" s="11">
        <f t="shared" si="143"/>
        <v>0</v>
      </c>
      <c r="GJ159" s="11">
        <f t="shared" si="144"/>
        <v>0</v>
      </c>
      <c r="GK159" s="11">
        <f t="shared" si="145"/>
        <v>0</v>
      </c>
      <c r="GL159" s="11">
        <f t="shared" si="146"/>
        <v>0</v>
      </c>
      <c r="GM159" s="11">
        <f t="shared" si="147"/>
        <v>0</v>
      </c>
      <c r="GN159" s="11">
        <f t="shared" si="148"/>
        <v>0</v>
      </c>
      <c r="GO159" s="11">
        <f t="shared" si="149"/>
        <v>0</v>
      </c>
      <c r="GP159" s="11">
        <f t="shared" si="150"/>
        <v>0</v>
      </c>
      <c r="GQ159" s="11">
        <f t="shared" si="151"/>
        <v>0</v>
      </c>
      <c r="GR159" s="11">
        <f t="shared" si="152"/>
        <v>0</v>
      </c>
      <c r="GS159" s="11">
        <f t="shared" si="153"/>
        <v>0</v>
      </c>
      <c r="GT159" s="11">
        <f t="shared" si="154"/>
        <v>0</v>
      </c>
      <c r="GU159" s="12">
        <f t="shared" si="155"/>
        <v>0</v>
      </c>
      <c r="GV159" s="12">
        <f t="shared" si="156"/>
        <v>0</v>
      </c>
      <c r="GW159" s="12">
        <f t="shared" si="157"/>
        <v>0</v>
      </c>
      <c r="GX159" s="12">
        <f t="shared" si="158"/>
        <v>0</v>
      </c>
      <c r="GY159" s="12">
        <f t="shared" si="159"/>
        <v>0</v>
      </c>
      <c r="GZ159" s="12">
        <f t="shared" si="160"/>
        <v>0</v>
      </c>
      <c r="HA159" s="12">
        <f t="shared" si="161"/>
        <v>0</v>
      </c>
      <c r="HB159" s="12">
        <f t="shared" si="162"/>
        <v>0</v>
      </c>
      <c r="HC159" s="12">
        <f t="shared" si="163"/>
        <v>0</v>
      </c>
      <c r="HD159" s="12">
        <f t="shared" si="164"/>
        <v>0</v>
      </c>
      <c r="HE159" s="12">
        <f t="shared" si="165"/>
        <v>0</v>
      </c>
      <c r="HF159" s="12">
        <f t="shared" si="166"/>
        <v>0</v>
      </c>
      <c r="HG159" s="12">
        <f t="shared" si="167"/>
        <v>0</v>
      </c>
      <c r="HH159" s="12">
        <f t="shared" si="168"/>
        <v>0</v>
      </c>
      <c r="HI159" s="12">
        <f t="shared" si="169"/>
        <v>0</v>
      </c>
      <c r="HJ159" s="12">
        <f t="shared" si="170"/>
        <v>0</v>
      </c>
      <c r="HK159" s="12">
        <f t="shared" si="171"/>
        <v>0</v>
      </c>
      <c r="HL159" s="12">
        <f t="shared" si="172"/>
        <v>0</v>
      </c>
      <c r="HM159" s="12">
        <f t="shared" si="173"/>
        <v>0</v>
      </c>
      <c r="HN159" s="12">
        <f t="shared" si="174"/>
        <v>0</v>
      </c>
      <c r="HO159" s="12">
        <f t="shared" si="175"/>
        <v>0</v>
      </c>
      <c r="HP159" s="12">
        <f t="shared" si="176"/>
        <v>0</v>
      </c>
      <c r="HQ159" s="12">
        <f t="shared" si="177"/>
        <v>0</v>
      </c>
      <c r="HR159" s="12">
        <f t="shared" si="178"/>
        <v>0</v>
      </c>
      <c r="HS159" s="12">
        <f t="shared" si="179"/>
        <v>0</v>
      </c>
      <c r="HT159" s="12">
        <f t="shared" si="180"/>
        <v>0</v>
      </c>
      <c r="HU159" s="12">
        <f t="shared" si="181"/>
        <v>0</v>
      </c>
      <c r="HV159" s="12">
        <f t="shared" si="182"/>
        <v>1</v>
      </c>
      <c r="HW159" s="12">
        <f t="shared" si="183"/>
        <v>0</v>
      </c>
      <c r="HX159" s="12">
        <f t="shared" si="184"/>
        <v>0</v>
      </c>
      <c r="HY159" s="12">
        <f t="shared" si="185"/>
        <v>0</v>
      </c>
      <c r="HZ159" s="12">
        <f t="shared" si="186"/>
        <v>0</v>
      </c>
      <c r="IA159" s="12">
        <f t="shared" si="187"/>
        <v>0</v>
      </c>
      <c r="IB159" s="12">
        <f t="shared" si="188"/>
        <v>0</v>
      </c>
      <c r="IC159" s="12">
        <f t="shared" si="189"/>
        <v>0</v>
      </c>
      <c r="ID159" s="12">
        <f t="shared" si="190"/>
        <v>0</v>
      </c>
      <c r="IE159" s="12">
        <f t="shared" si="191"/>
        <v>0</v>
      </c>
      <c r="IF159" s="12">
        <f t="shared" si="192"/>
        <v>0</v>
      </c>
      <c r="IG159" s="12">
        <f t="shared" si="193"/>
        <v>0</v>
      </c>
      <c r="IH159" s="12">
        <f t="shared" si="194"/>
        <v>0</v>
      </c>
      <c r="II159" s="12">
        <f t="shared" si="195"/>
        <v>0</v>
      </c>
      <c r="IJ159" s="12">
        <f t="shared" si="196"/>
        <v>0</v>
      </c>
      <c r="IK159" s="12">
        <f t="shared" si="197"/>
        <v>0</v>
      </c>
      <c r="IL159" s="12">
        <f t="shared" si="198"/>
        <v>0</v>
      </c>
      <c r="IM159" s="12">
        <f t="shared" si="199"/>
        <v>0</v>
      </c>
      <c r="IN159" s="12">
        <f t="shared" si="200"/>
        <v>0</v>
      </c>
      <c r="IO159" s="12">
        <f t="shared" si="201"/>
        <v>0</v>
      </c>
      <c r="IP159" s="12">
        <f t="shared" si="202"/>
        <v>0</v>
      </c>
      <c r="IQ159" s="12">
        <f t="shared" si="203"/>
        <v>0</v>
      </c>
      <c r="IR159" s="12">
        <f t="shared" si="204"/>
        <v>0</v>
      </c>
      <c r="IS159" s="12">
        <f t="shared" si="205"/>
        <v>0</v>
      </c>
      <c r="IT159" s="12">
        <f t="shared" si="206"/>
        <v>0</v>
      </c>
      <c r="IU159" s="12">
        <f t="shared" si="207"/>
        <v>0</v>
      </c>
      <c r="IV159" s="12">
        <f t="shared" si="208"/>
        <v>0</v>
      </c>
      <c r="IW159" s="12">
        <f t="shared" si="209"/>
        <v>0</v>
      </c>
      <c r="IX159" s="12">
        <f t="shared" si="210"/>
        <v>0</v>
      </c>
      <c r="IY159" s="12">
        <f t="shared" si="211"/>
        <v>0</v>
      </c>
      <c r="IZ159" s="12">
        <f t="shared" si="212"/>
        <v>0</v>
      </c>
      <c r="JA159" s="13">
        <f t="shared" si="213"/>
        <v>0</v>
      </c>
      <c r="JB159" s="13">
        <f t="shared" si="214"/>
        <v>0</v>
      </c>
      <c r="JC159" s="13">
        <f t="shared" si="215"/>
        <v>0</v>
      </c>
      <c r="JD159" s="13">
        <f t="shared" si="216"/>
        <v>0</v>
      </c>
      <c r="JE159" s="13">
        <f t="shared" si="217"/>
        <v>0</v>
      </c>
      <c r="JF159" s="13">
        <f t="shared" si="218"/>
        <v>0</v>
      </c>
      <c r="JG159" s="13">
        <f t="shared" si="219"/>
        <v>0</v>
      </c>
      <c r="JH159" s="13">
        <f t="shared" si="220"/>
        <v>0</v>
      </c>
      <c r="JI159" s="13">
        <f t="shared" si="221"/>
        <v>0</v>
      </c>
      <c r="JJ159" s="13">
        <f t="shared" si="222"/>
        <v>0</v>
      </c>
      <c r="JK159" s="13">
        <f t="shared" si="223"/>
        <v>0</v>
      </c>
      <c r="JL159" s="13">
        <f t="shared" si="224"/>
        <v>0</v>
      </c>
      <c r="JM159" s="13">
        <f t="shared" si="225"/>
        <v>0</v>
      </c>
      <c r="JN159" s="13">
        <f t="shared" si="226"/>
        <v>0</v>
      </c>
      <c r="JO159" s="13">
        <f t="shared" si="227"/>
        <v>0</v>
      </c>
      <c r="JP159" s="13">
        <f t="shared" si="228"/>
        <v>0</v>
      </c>
      <c r="JQ159" s="13">
        <f t="shared" si="229"/>
        <v>0</v>
      </c>
      <c r="JR159" s="13">
        <f t="shared" si="230"/>
        <v>0</v>
      </c>
      <c r="JS159" s="13">
        <f t="shared" si="231"/>
        <v>0</v>
      </c>
      <c r="JT159" s="13">
        <f t="shared" si="232"/>
        <v>0</v>
      </c>
      <c r="JU159" s="13">
        <f t="shared" si="233"/>
        <v>0</v>
      </c>
      <c r="JV159" s="12">
        <f t="shared" si="234"/>
        <v>0</v>
      </c>
      <c r="JW159" s="12">
        <f t="shared" si="235"/>
        <v>0</v>
      </c>
      <c r="JX159" s="12">
        <f t="shared" si="236"/>
        <v>0</v>
      </c>
      <c r="JY159" s="12">
        <f t="shared" si="237"/>
        <v>0</v>
      </c>
      <c r="JZ159" s="12">
        <f t="shared" si="238"/>
        <v>0</v>
      </c>
      <c r="KA159" s="12">
        <f t="shared" si="239"/>
        <v>0</v>
      </c>
      <c r="KB159" s="12">
        <f t="shared" si="240"/>
        <v>0</v>
      </c>
      <c r="KC159" s="12">
        <f t="shared" si="241"/>
        <v>0</v>
      </c>
      <c r="KD159" s="12">
        <f t="shared" si="242"/>
        <v>0</v>
      </c>
      <c r="KE159" s="12">
        <f t="shared" si="243"/>
        <v>0</v>
      </c>
      <c r="KF159" s="12">
        <f t="shared" si="244"/>
        <v>0</v>
      </c>
      <c r="KG159" s="12">
        <f t="shared" si="245"/>
        <v>0</v>
      </c>
      <c r="KH159" s="12">
        <f t="shared" si="246"/>
        <v>0</v>
      </c>
      <c r="KI159" s="12">
        <f t="shared" si="247"/>
        <v>0</v>
      </c>
      <c r="KJ159" s="12">
        <f t="shared" si="248"/>
        <v>0</v>
      </c>
      <c r="KK159" s="12">
        <f t="shared" si="249"/>
        <v>0</v>
      </c>
      <c r="KL159" s="12">
        <f t="shared" si="250"/>
        <v>0</v>
      </c>
      <c r="KM159" s="12">
        <f t="shared" si="251"/>
        <v>0</v>
      </c>
      <c r="KN159" s="12">
        <f t="shared" si="252"/>
        <v>0</v>
      </c>
      <c r="KO159" s="12">
        <f t="shared" si="253"/>
        <v>0</v>
      </c>
      <c r="KP159" s="12">
        <f t="shared" si="254"/>
        <v>0</v>
      </c>
      <c r="KQ159" s="12">
        <f t="shared" si="255"/>
        <v>0</v>
      </c>
      <c r="KR159" s="12">
        <f t="shared" si="256"/>
        <v>0</v>
      </c>
      <c r="KS159" s="12">
        <f t="shared" si="257"/>
        <v>0</v>
      </c>
      <c r="KT159" s="12">
        <f t="shared" si="258"/>
        <v>0</v>
      </c>
      <c r="KU159" s="12">
        <f t="shared" si="259"/>
        <v>0</v>
      </c>
      <c r="KV159" s="12">
        <f t="shared" si="260"/>
        <v>0</v>
      </c>
      <c r="KW159" s="12">
        <f t="shared" si="261"/>
        <v>0</v>
      </c>
      <c r="KX159" s="12">
        <f t="shared" si="262"/>
        <v>0</v>
      </c>
      <c r="KY159" s="12">
        <f t="shared" si="263"/>
        <v>0</v>
      </c>
      <c r="KZ159" s="12">
        <f t="shared" si="264"/>
        <v>0</v>
      </c>
      <c r="LA159" s="12">
        <f t="shared" si="265"/>
        <v>0</v>
      </c>
      <c r="LB159" s="12">
        <f t="shared" si="266"/>
        <v>0</v>
      </c>
      <c r="LC159" s="12">
        <f t="shared" si="267"/>
        <v>0</v>
      </c>
      <c r="LD159" s="12">
        <f t="shared" si="268"/>
        <v>0</v>
      </c>
      <c r="LE159" s="12">
        <f t="shared" si="269"/>
        <v>0</v>
      </c>
      <c r="LF159" s="12">
        <f t="shared" si="270"/>
        <v>0</v>
      </c>
      <c r="LG159" s="12">
        <f t="shared" si="271"/>
        <v>0</v>
      </c>
      <c r="LH159" s="12">
        <f t="shared" si="272"/>
        <v>0</v>
      </c>
      <c r="LI159" s="12">
        <f t="shared" si="273"/>
        <v>0</v>
      </c>
      <c r="LJ159" s="12">
        <f t="shared" si="274"/>
        <v>0</v>
      </c>
      <c r="LK159" s="12">
        <f t="shared" si="275"/>
        <v>0</v>
      </c>
      <c r="LL159" s="12">
        <f t="shared" si="276"/>
        <v>0</v>
      </c>
      <c r="LM159" s="12">
        <f t="shared" si="277"/>
        <v>0</v>
      </c>
      <c r="LN159" s="12">
        <f t="shared" si="278"/>
        <v>0</v>
      </c>
      <c r="LO159" s="12">
        <f t="shared" si="279"/>
        <v>0</v>
      </c>
      <c r="LP159" s="12">
        <f t="shared" si="280"/>
        <v>0</v>
      </c>
      <c r="LQ159" s="12">
        <f t="shared" si="281"/>
        <v>0</v>
      </c>
      <c r="LR159" s="12">
        <f t="shared" si="282"/>
        <v>0</v>
      </c>
      <c r="LS159" s="12">
        <f t="shared" si="283"/>
        <v>0</v>
      </c>
      <c r="LT159" s="13">
        <f t="shared" si="284"/>
        <v>0</v>
      </c>
      <c r="LU159" s="13">
        <f t="shared" si="285"/>
        <v>0</v>
      </c>
      <c r="LV159" s="13">
        <f t="shared" si="286"/>
        <v>0</v>
      </c>
      <c r="LW159" s="13">
        <f t="shared" si="287"/>
        <v>0</v>
      </c>
      <c r="LX159" s="13">
        <f t="shared" si="288"/>
        <v>0</v>
      </c>
      <c r="LY159" s="13">
        <f t="shared" si="289"/>
        <v>0</v>
      </c>
      <c r="LZ159" s="13">
        <f t="shared" si="290"/>
        <v>0</v>
      </c>
      <c r="MA159" s="13">
        <f t="shared" si="291"/>
        <v>0</v>
      </c>
      <c r="MB159" s="13">
        <f t="shared" si="292"/>
        <v>0</v>
      </c>
      <c r="MC159" s="13">
        <f t="shared" si="293"/>
        <v>0</v>
      </c>
      <c r="MD159" s="13">
        <f t="shared" si="294"/>
        <v>0</v>
      </c>
      <c r="ME159" s="13">
        <f t="shared" si="295"/>
        <v>0</v>
      </c>
      <c r="MF159" s="13">
        <f t="shared" si="296"/>
        <v>0</v>
      </c>
      <c r="MG159" s="13">
        <f t="shared" si="297"/>
        <v>0</v>
      </c>
      <c r="MH159" s="13">
        <f t="shared" si="298"/>
        <v>0</v>
      </c>
      <c r="MI159" s="13">
        <f t="shared" si="299"/>
        <v>0</v>
      </c>
      <c r="MJ159" s="13">
        <f t="shared" si="300"/>
        <v>0</v>
      </c>
      <c r="MK159" s="13">
        <f t="shared" si="301"/>
        <v>0</v>
      </c>
      <c r="ML159" s="14">
        <f t="shared" si="302"/>
        <v>0</v>
      </c>
      <c r="MM159" s="14">
        <f t="shared" si="303"/>
        <v>0</v>
      </c>
      <c r="MN159" s="14">
        <f t="shared" si="304"/>
        <v>0</v>
      </c>
      <c r="MO159" s="14">
        <f t="shared" si="305"/>
        <v>0</v>
      </c>
      <c r="MP159" s="14">
        <f t="shared" si="306"/>
        <v>0</v>
      </c>
      <c r="MQ159" s="14">
        <f t="shared" si="307"/>
        <v>0</v>
      </c>
      <c r="MR159" s="14">
        <f t="shared" si="308"/>
        <v>0</v>
      </c>
      <c r="MS159" s="14">
        <f t="shared" si="309"/>
        <v>0</v>
      </c>
      <c r="MT159" s="14">
        <f t="shared" si="310"/>
        <v>0</v>
      </c>
      <c r="MU159" s="14">
        <f t="shared" si="311"/>
        <v>0</v>
      </c>
      <c r="MV159" s="14">
        <f t="shared" si="312"/>
        <v>0</v>
      </c>
      <c r="MW159" s="14">
        <f t="shared" si="313"/>
        <v>0</v>
      </c>
      <c r="MX159" s="14">
        <f t="shared" si="314"/>
        <v>0</v>
      </c>
      <c r="MY159" s="14">
        <f t="shared" si="315"/>
        <v>0</v>
      </c>
      <c r="MZ159" s="14">
        <f t="shared" si="316"/>
        <v>0</v>
      </c>
      <c r="NA159" s="14">
        <f t="shared" si="317"/>
        <v>0</v>
      </c>
      <c r="NB159" s="14">
        <f t="shared" si="318"/>
        <v>0</v>
      </c>
    </row>
    <row r="160" ht="15.75" customHeight="1">
      <c r="A160" s="2">
        <v>660.0</v>
      </c>
      <c r="B160" s="2" t="s">
        <v>3050</v>
      </c>
      <c r="C160" s="2" t="s">
        <v>3051</v>
      </c>
      <c r="D160" s="2" t="s">
        <v>3052</v>
      </c>
      <c r="E160" s="2">
        <v>2022.0</v>
      </c>
      <c r="F160" s="2" t="s">
        <v>3053</v>
      </c>
      <c r="G160" s="2">
        <v>13.0</v>
      </c>
      <c r="H160" s="2" t="s">
        <v>510</v>
      </c>
      <c r="I160" s="2" t="s">
        <v>3054</v>
      </c>
      <c r="M160" s="2">
        <v>3.0</v>
      </c>
      <c r="N160" s="2" t="s">
        <v>3055</v>
      </c>
      <c r="O160" s="2" t="s">
        <v>3056</v>
      </c>
      <c r="P160" s="2" t="s">
        <v>3057</v>
      </c>
      <c r="Q160" s="2" t="s">
        <v>3058</v>
      </c>
      <c r="R160" s="2" t="s">
        <v>3059</v>
      </c>
      <c r="S160" s="2" t="s">
        <v>3060</v>
      </c>
      <c r="T160" s="2" t="s">
        <v>3061</v>
      </c>
      <c r="Y160" s="2" t="s">
        <v>3062</v>
      </c>
      <c r="AB160" s="2" t="s">
        <v>3063</v>
      </c>
      <c r="AG160" s="2" t="s">
        <v>3064</v>
      </c>
      <c r="AK160" s="2" t="s">
        <v>3065</v>
      </c>
      <c r="AL160" s="2" t="s">
        <v>384</v>
      </c>
      <c r="AM160" s="2" t="s">
        <v>1306</v>
      </c>
      <c r="AN160" s="2" t="s">
        <v>386</v>
      </c>
      <c r="AO160" s="2" t="s">
        <v>3066</v>
      </c>
      <c r="AP160" s="2" t="s">
        <v>386</v>
      </c>
      <c r="AQ160" s="2">
        <v>2602.0</v>
      </c>
      <c r="AR160" s="2" t="s">
        <v>3067</v>
      </c>
      <c r="AS160" s="2" t="b">
        <v>1</v>
      </c>
      <c r="AT160" s="3">
        <v>0.0</v>
      </c>
      <c r="AU160" s="4"/>
      <c r="AV160" s="4"/>
      <c r="AW160" s="5">
        <f t="shared" si="432"/>
        <v>0</v>
      </c>
      <c r="AX160" s="5">
        <f t="shared" si="4"/>
        <v>0</v>
      </c>
      <c r="AY160" s="5">
        <f t="shared" si="5"/>
        <v>0</v>
      </c>
      <c r="AZ160" s="5">
        <f t="shared" si="6"/>
        <v>0</v>
      </c>
      <c r="BA160" s="5">
        <f t="shared" si="7"/>
        <v>0</v>
      </c>
      <c r="BB160" s="5">
        <f t="shared" si="8"/>
        <v>0</v>
      </c>
      <c r="BC160" s="5">
        <f t="shared" si="9"/>
        <v>0</v>
      </c>
      <c r="BD160" s="5">
        <f t="shared" si="10"/>
        <v>0</v>
      </c>
      <c r="BE160" s="5">
        <f t="shared" si="11"/>
        <v>0</v>
      </c>
      <c r="BF160" s="5">
        <f t="shared" si="12"/>
        <v>0</v>
      </c>
      <c r="BG160" s="5">
        <f t="shared" si="13"/>
        <v>0</v>
      </c>
      <c r="BH160" s="5">
        <f t="shared" si="14"/>
        <v>0</v>
      </c>
      <c r="BI160" s="5">
        <f t="shared" si="15"/>
        <v>0</v>
      </c>
      <c r="BJ160" s="5">
        <f t="shared" si="16"/>
        <v>0</v>
      </c>
      <c r="BK160" s="5">
        <f t="shared" si="17"/>
        <v>0</v>
      </c>
      <c r="BL160" s="5">
        <f t="shared" si="18"/>
        <v>0</v>
      </c>
      <c r="BM160" s="5">
        <f t="shared" si="19"/>
        <v>0</v>
      </c>
      <c r="BN160" s="5">
        <f t="shared" si="20"/>
        <v>0</v>
      </c>
      <c r="BO160" s="5">
        <f t="shared" si="21"/>
        <v>0</v>
      </c>
      <c r="BP160" s="5">
        <f t="shared" si="22"/>
        <v>0</v>
      </c>
      <c r="BQ160" s="5">
        <f t="shared" si="23"/>
        <v>0</v>
      </c>
      <c r="BR160" s="5">
        <f t="shared" si="24"/>
        <v>0</v>
      </c>
      <c r="BS160" s="5">
        <f t="shared" si="25"/>
        <v>0</v>
      </c>
      <c r="BT160" s="5">
        <f t="shared" si="26"/>
        <v>0</v>
      </c>
      <c r="BU160" s="5">
        <f t="shared" si="27"/>
        <v>0</v>
      </c>
      <c r="BV160" s="5">
        <f t="shared" ref="BV160:BW160" si="673">IF(OR(ISNUMBER(SEARCH("grit",$D160)),ISNUMBER(SEARCH("grit",$T160)),ISNUMBER(SEARCH("grit",$R160)),ISNUMBER(SEARCH("grit",$S160)),
ISNUMBER(SEARCH("determination",$D160)),ISNUMBER(SEARCH("determination",$T160)),ISNUMBER(SEARCH("determination",$R160)),ISNUMBER(SEARCH("determination",$S160)),
ISNUMBER(SEARCH("tenacity",$D160)),ISNUMBER(SEARCH("tenacity",$T160)),ISNUMBER(SEARCH("tenacity",$R160)),ISNUMBER(SEARCH("tenacity",$S160)),
ISNUMBER(SEARCH("endurance",$D160)),ISNUMBER(SEARCH("endurance",$T160)),ISNUMBER(SEARCH("endurance",$R160)),ISNUMBER(SEARCH("endurance",$S160)),
ISNUMBER(SEARCH("fortitude",$D160)),ISNUMBER(SEARCH("fortitude",$T160)),ISNUMBER(SEARCH("fortitude",$R160)),ISNUMBER(SEARCH("fortitude",$S160)),
ISNUMBER(SEARCH("resolve",$D160)),ISNUMBER(SEARCH("resolve",$T160)),ISNUMBER(SEARCH("resolve",$R160)),ISNUMBER(SEARCH("resolve",$S160)),
ISNUMBER(SEARCH("stamina",$D160)),ISNUMBER(SEARCH("stamina",$T160)),ISNUMBER(SEARCH("stamina",$R160)),ISNUMBER(SEARCH("stamina",$S160)),
ISNUMBER(SEARCH("guts",$D160)),ISNUMBER(SEARCH("guts",$T160)),ISNUMBER(SEARCH("guts",$R160)),ISNUMBER(SEARCH("guts",$S160)),
ISNUMBER(SEARCH("spunk",$D160)),ISNUMBER(SEARCH("spunk",$T160)),ISNUMBER(SEARCH("spunk",$R160)),ISNUMBER(SEARCH("spunk",$S160))), 1, 0)</f>
        <v>0</v>
      </c>
      <c r="BW160" s="5">
        <f t="shared" si="673"/>
        <v>0</v>
      </c>
      <c r="BX160" s="5">
        <f t="shared" si="29"/>
        <v>0</v>
      </c>
      <c r="BY160" s="5">
        <f t="shared" si="30"/>
        <v>0</v>
      </c>
      <c r="BZ160" s="5">
        <f t="shared" si="31"/>
        <v>0</v>
      </c>
      <c r="CA160" s="5">
        <f t="shared" si="32"/>
        <v>0</v>
      </c>
      <c r="CB160" s="5">
        <f t="shared" si="33"/>
        <v>0</v>
      </c>
      <c r="CC160" s="5">
        <f t="shared" si="34"/>
        <v>0</v>
      </c>
      <c r="CD160" s="5">
        <f t="shared" si="35"/>
        <v>0</v>
      </c>
      <c r="CE160" s="5">
        <f t="shared" si="36"/>
        <v>0</v>
      </c>
      <c r="CF160" s="5">
        <f t="shared" si="37"/>
        <v>0</v>
      </c>
      <c r="CG160" s="5">
        <f t="shared" si="38"/>
        <v>0</v>
      </c>
      <c r="CH160" s="5">
        <f t="shared" si="39"/>
        <v>0</v>
      </c>
      <c r="CI160" s="5">
        <f t="shared" si="40"/>
        <v>0</v>
      </c>
      <c r="CJ160" s="5">
        <f t="shared" si="41"/>
        <v>0</v>
      </c>
      <c r="CK160" s="5">
        <f t="shared" si="42"/>
        <v>0</v>
      </c>
      <c r="CL160" s="5">
        <f t="shared" si="43"/>
        <v>0</v>
      </c>
      <c r="CM160" s="5">
        <f t="shared" si="44"/>
        <v>0</v>
      </c>
      <c r="CN160" s="5">
        <f t="shared" si="45"/>
        <v>0</v>
      </c>
      <c r="CO160" s="5">
        <f t="shared" si="46"/>
        <v>0</v>
      </c>
      <c r="CP160" s="6">
        <f t="shared" si="47"/>
        <v>0</v>
      </c>
      <c r="CQ160" s="6">
        <f t="shared" si="48"/>
        <v>0</v>
      </c>
      <c r="CR160" s="6">
        <f t="shared" si="49"/>
        <v>0</v>
      </c>
      <c r="CS160" s="6">
        <f t="shared" si="50"/>
        <v>0</v>
      </c>
      <c r="CT160" s="6">
        <f t="shared" si="584"/>
        <v>0</v>
      </c>
      <c r="CU160" s="6">
        <f t="shared" si="52"/>
        <v>0</v>
      </c>
      <c r="CV160" s="6">
        <f t="shared" si="53"/>
        <v>0</v>
      </c>
      <c r="CW160" s="6">
        <f t="shared" si="54"/>
        <v>0</v>
      </c>
      <c r="CX160" s="6">
        <f t="shared" si="55"/>
        <v>0</v>
      </c>
      <c r="CY160" s="6">
        <f t="shared" si="56"/>
        <v>0</v>
      </c>
      <c r="CZ160" s="6">
        <f t="shared" si="57"/>
        <v>0</v>
      </c>
      <c r="DA160" s="6">
        <f t="shared" si="58"/>
        <v>0</v>
      </c>
      <c r="DB160" s="6">
        <f t="shared" si="59"/>
        <v>0</v>
      </c>
      <c r="DC160" s="6">
        <f t="shared" si="60"/>
        <v>0</v>
      </c>
      <c r="DD160" s="6">
        <f t="shared" si="61"/>
        <v>0</v>
      </c>
      <c r="DE160" s="6">
        <f t="shared" si="62"/>
        <v>0</v>
      </c>
      <c r="DF160" s="6">
        <f t="shared" si="63"/>
        <v>0</v>
      </c>
      <c r="DG160" s="6">
        <f t="shared" si="64"/>
        <v>0</v>
      </c>
      <c r="DH160" s="6">
        <f t="shared" si="652"/>
        <v>0</v>
      </c>
      <c r="DI160" s="6">
        <f t="shared" si="66"/>
        <v>0</v>
      </c>
      <c r="DJ160" s="6">
        <f t="shared" si="653"/>
        <v>0</v>
      </c>
      <c r="DK160" s="7">
        <f t="shared" si="68"/>
        <v>0</v>
      </c>
      <c r="DL160" s="7">
        <f t="shared" si="498"/>
        <v>0</v>
      </c>
      <c r="DM160" s="7">
        <f t="shared" si="70"/>
        <v>0</v>
      </c>
      <c r="DN160" s="7">
        <f t="shared" si="71"/>
        <v>0</v>
      </c>
      <c r="DO160" s="7">
        <f t="shared" si="72"/>
        <v>0</v>
      </c>
      <c r="DP160" s="8">
        <f t="shared" si="73"/>
        <v>0</v>
      </c>
      <c r="DQ160" s="8">
        <f t="shared" si="74"/>
        <v>0</v>
      </c>
      <c r="DR160" s="7">
        <f t="shared" si="75"/>
        <v>0</v>
      </c>
      <c r="DS160" s="7">
        <f t="shared" si="76"/>
        <v>0</v>
      </c>
      <c r="DT160" s="7">
        <f t="shared" si="77"/>
        <v>0</v>
      </c>
      <c r="DU160" s="9">
        <f t="shared" si="78"/>
        <v>0</v>
      </c>
      <c r="DV160" s="9">
        <f t="shared" si="79"/>
        <v>0</v>
      </c>
      <c r="DW160" s="9">
        <f t="shared" si="80"/>
        <v>0</v>
      </c>
      <c r="DX160" s="9">
        <f t="shared" si="81"/>
        <v>0</v>
      </c>
      <c r="DY160" s="9">
        <f t="shared" si="82"/>
        <v>0</v>
      </c>
      <c r="DZ160" s="9">
        <f t="shared" si="83"/>
        <v>0</v>
      </c>
      <c r="EA160" s="9">
        <f t="shared" si="84"/>
        <v>0</v>
      </c>
      <c r="EB160" s="9">
        <f t="shared" si="85"/>
        <v>0</v>
      </c>
      <c r="EC160" s="9">
        <f t="shared" si="86"/>
        <v>0</v>
      </c>
      <c r="ED160" s="9">
        <f t="shared" si="87"/>
        <v>0</v>
      </c>
      <c r="EE160" s="9">
        <f t="shared" si="88"/>
        <v>0</v>
      </c>
      <c r="EF160" s="9">
        <f t="shared" si="89"/>
        <v>0</v>
      </c>
      <c r="EG160" s="9">
        <f t="shared" si="90"/>
        <v>0</v>
      </c>
      <c r="EH160" s="9">
        <f t="shared" si="91"/>
        <v>0</v>
      </c>
      <c r="EI160" s="9">
        <f t="shared" si="92"/>
        <v>0</v>
      </c>
      <c r="EJ160" s="10">
        <f t="shared" si="93"/>
        <v>0</v>
      </c>
      <c r="EK160" s="10">
        <f t="shared" si="94"/>
        <v>0</v>
      </c>
      <c r="EL160" s="10">
        <f t="shared" ref="EL160:EM160" si="674">IF(OR(ISNUMBER(SEARCH("ai software toolkit", $D160)), ISNUMBER(SEARCH("ai software toolkit", $T160)), ISNUMBER(SEARCH("ai software toolkit", $R160)), ISNUMBER(SEARCH("ai software toolkit", $S160))), 1, 0)</f>
        <v>0</v>
      </c>
      <c r="EM160" s="10">
        <f t="shared" si="674"/>
        <v>0</v>
      </c>
      <c r="EN160" s="10">
        <f t="shared" si="96"/>
        <v>0</v>
      </c>
      <c r="EO160" s="10">
        <f t="shared" si="97"/>
        <v>1</v>
      </c>
      <c r="EP160" s="10">
        <f t="shared" si="98"/>
        <v>0</v>
      </c>
      <c r="EQ160" s="10">
        <f t="shared" si="99"/>
        <v>0</v>
      </c>
      <c r="ER160" s="10">
        <f t="shared" si="100"/>
        <v>0</v>
      </c>
      <c r="ES160" s="10">
        <f t="shared" si="101"/>
        <v>0</v>
      </c>
      <c r="ET160" s="10">
        <f t="shared" si="102"/>
        <v>0</v>
      </c>
      <c r="EU160" s="10">
        <f t="shared" si="103"/>
        <v>0</v>
      </c>
      <c r="EV160" s="10">
        <f t="shared" si="104"/>
        <v>0</v>
      </c>
      <c r="EW160" s="10">
        <f t="shared" si="105"/>
        <v>0</v>
      </c>
      <c r="EX160" s="10">
        <f t="shared" si="106"/>
        <v>0</v>
      </c>
      <c r="EY160" s="10">
        <f t="shared" si="107"/>
        <v>0</v>
      </c>
      <c r="EZ160" s="10">
        <f t="shared" si="108"/>
        <v>0</v>
      </c>
      <c r="FA160" s="10">
        <f t="shared" si="109"/>
        <v>0</v>
      </c>
      <c r="FB160" s="10">
        <f t="shared" si="110"/>
        <v>0</v>
      </c>
      <c r="FC160" s="10">
        <f t="shared" si="111"/>
        <v>0</v>
      </c>
      <c r="FD160" s="10">
        <f t="shared" si="112"/>
        <v>0</v>
      </c>
      <c r="FE160" s="10">
        <f t="shared" si="113"/>
        <v>0</v>
      </c>
      <c r="FF160" s="10">
        <f t="shared" si="114"/>
        <v>0</v>
      </c>
      <c r="FG160" s="10">
        <f t="shared" si="115"/>
        <v>0</v>
      </c>
      <c r="FH160" s="10">
        <f t="shared" si="116"/>
        <v>0</v>
      </c>
      <c r="FI160" s="10">
        <f t="shared" si="117"/>
        <v>0</v>
      </c>
      <c r="FJ160" s="10">
        <f t="shared" si="118"/>
        <v>0</v>
      </c>
      <c r="FK160" s="10">
        <f t="shared" si="119"/>
        <v>0</v>
      </c>
      <c r="FL160" s="10">
        <f t="shared" si="120"/>
        <v>0</v>
      </c>
      <c r="FM160" s="10">
        <f t="shared" si="121"/>
        <v>0</v>
      </c>
      <c r="FN160" s="10">
        <f t="shared" si="122"/>
        <v>0</v>
      </c>
      <c r="FO160" s="10">
        <f t="shared" si="123"/>
        <v>0</v>
      </c>
      <c r="FP160" s="10">
        <f t="shared" si="124"/>
        <v>0</v>
      </c>
      <c r="FQ160" s="10">
        <f t="shared" si="125"/>
        <v>0</v>
      </c>
      <c r="FR160" s="11">
        <f t="shared" si="636"/>
        <v>0</v>
      </c>
      <c r="FS160" s="11">
        <f t="shared" si="127"/>
        <v>0</v>
      </c>
      <c r="FT160" s="11">
        <f t="shared" si="128"/>
        <v>0</v>
      </c>
      <c r="FU160" s="11">
        <f t="shared" si="129"/>
        <v>0</v>
      </c>
      <c r="FV160" s="11">
        <f t="shared" si="130"/>
        <v>0</v>
      </c>
      <c r="FW160" s="11">
        <f t="shared" si="131"/>
        <v>0</v>
      </c>
      <c r="FX160" s="11">
        <f t="shared" si="132"/>
        <v>0</v>
      </c>
      <c r="FY160" s="11">
        <f t="shared" si="133"/>
        <v>0</v>
      </c>
      <c r="FZ160" s="11">
        <f t="shared" si="134"/>
        <v>0</v>
      </c>
      <c r="GA160" s="11">
        <f t="shared" si="135"/>
        <v>0</v>
      </c>
      <c r="GB160" s="11">
        <f t="shared" si="136"/>
        <v>0</v>
      </c>
      <c r="GC160" s="11">
        <f t="shared" si="137"/>
        <v>0</v>
      </c>
      <c r="GD160" s="11">
        <f t="shared" si="138"/>
        <v>0</v>
      </c>
      <c r="GE160" s="11">
        <f t="shared" si="139"/>
        <v>0</v>
      </c>
      <c r="GF160" s="11">
        <f t="shared" si="140"/>
        <v>0</v>
      </c>
      <c r="GG160" s="11">
        <f t="shared" si="141"/>
        <v>0</v>
      </c>
      <c r="GH160" s="11">
        <f t="shared" si="142"/>
        <v>0</v>
      </c>
      <c r="GI160" s="11">
        <f t="shared" si="143"/>
        <v>0</v>
      </c>
      <c r="GJ160" s="11">
        <f t="shared" si="144"/>
        <v>0</v>
      </c>
      <c r="GK160" s="11">
        <f t="shared" si="145"/>
        <v>0</v>
      </c>
      <c r="GL160" s="11">
        <f t="shared" si="146"/>
        <v>0</v>
      </c>
      <c r="GM160" s="11">
        <f t="shared" si="147"/>
        <v>0</v>
      </c>
      <c r="GN160" s="11">
        <f t="shared" si="148"/>
        <v>0</v>
      </c>
      <c r="GO160" s="11">
        <f t="shared" si="149"/>
        <v>0</v>
      </c>
      <c r="GP160" s="11">
        <f t="shared" si="150"/>
        <v>0</v>
      </c>
      <c r="GQ160" s="11">
        <f t="shared" si="151"/>
        <v>0</v>
      </c>
      <c r="GR160" s="11">
        <f t="shared" si="152"/>
        <v>0</v>
      </c>
      <c r="GS160" s="11">
        <f t="shared" si="153"/>
        <v>0</v>
      </c>
      <c r="GT160" s="11">
        <f t="shared" si="154"/>
        <v>0</v>
      </c>
      <c r="GU160" s="12">
        <f t="shared" si="155"/>
        <v>0</v>
      </c>
      <c r="GV160" s="12">
        <f t="shared" si="156"/>
        <v>0</v>
      </c>
      <c r="GW160" s="12">
        <f t="shared" si="157"/>
        <v>0</v>
      </c>
      <c r="GX160" s="12">
        <f t="shared" si="158"/>
        <v>0</v>
      </c>
      <c r="GY160" s="12">
        <f t="shared" si="159"/>
        <v>0</v>
      </c>
      <c r="GZ160" s="12">
        <f t="shared" si="160"/>
        <v>0</v>
      </c>
      <c r="HA160" s="12">
        <f t="shared" si="161"/>
        <v>0</v>
      </c>
      <c r="HB160" s="12">
        <f t="shared" si="162"/>
        <v>0</v>
      </c>
      <c r="HC160" s="12">
        <f t="shared" si="163"/>
        <v>0</v>
      </c>
      <c r="HD160" s="12">
        <f t="shared" si="164"/>
        <v>0</v>
      </c>
      <c r="HE160" s="12">
        <f t="shared" si="165"/>
        <v>0</v>
      </c>
      <c r="HF160" s="12">
        <f t="shared" si="166"/>
        <v>0</v>
      </c>
      <c r="HG160" s="12">
        <f t="shared" si="167"/>
        <v>0</v>
      </c>
      <c r="HH160" s="12">
        <f t="shared" si="168"/>
        <v>0</v>
      </c>
      <c r="HI160" s="12">
        <f t="shared" si="169"/>
        <v>0</v>
      </c>
      <c r="HJ160" s="12">
        <f t="shared" si="170"/>
        <v>0</v>
      </c>
      <c r="HK160" s="12">
        <f t="shared" si="171"/>
        <v>0</v>
      </c>
      <c r="HL160" s="12">
        <f t="shared" si="172"/>
        <v>0</v>
      </c>
      <c r="HM160" s="12">
        <f t="shared" si="173"/>
        <v>0</v>
      </c>
      <c r="HN160" s="12">
        <f t="shared" si="174"/>
        <v>0</v>
      </c>
      <c r="HO160" s="12">
        <f t="shared" si="175"/>
        <v>0</v>
      </c>
      <c r="HP160" s="12">
        <f t="shared" si="176"/>
        <v>0</v>
      </c>
      <c r="HQ160" s="12">
        <f t="shared" si="177"/>
        <v>0</v>
      </c>
      <c r="HR160" s="12">
        <f t="shared" si="178"/>
        <v>0</v>
      </c>
      <c r="HS160" s="12">
        <f t="shared" si="179"/>
        <v>0</v>
      </c>
      <c r="HT160" s="12">
        <f t="shared" si="180"/>
        <v>0</v>
      </c>
      <c r="HU160" s="12">
        <f t="shared" si="181"/>
        <v>0</v>
      </c>
      <c r="HV160" s="12">
        <f t="shared" si="182"/>
        <v>0</v>
      </c>
      <c r="HW160" s="12">
        <f t="shared" si="183"/>
        <v>0</v>
      </c>
      <c r="HX160" s="12">
        <f t="shared" si="184"/>
        <v>0</v>
      </c>
      <c r="HY160" s="12">
        <f t="shared" si="185"/>
        <v>0</v>
      </c>
      <c r="HZ160" s="12">
        <f t="shared" si="186"/>
        <v>0</v>
      </c>
      <c r="IA160" s="12">
        <f t="shared" si="187"/>
        <v>0</v>
      </c>
      <c r="IB160" s="12">
        <f t="shared" si="188"/>
        <v>0</v>
      </c>
      <c r="IC160" s="12">
        <f t="shared" si="189"/>
        <v>0</v>
      </c>
      <c r="ID160" s="12">
        <f t="shared" si="190"/>
        <v>0</v>
      </c>
      <c r="IE160" s="12">
        <f t="shared" si="191"/>
        <v>0</v>
      </c>
      <c r="IF160" s="12">
        <f t="shared" si="192"/>
        <v>0</v>
      </c>
      <c r="IG160" s="12">
        <f t="shared" si="193"/>
        <v>0</v>
      </c>
      <c r="IH160" s="12">
        <f t="shared" si="194"/>
        <v>0</v>
      </c>
      <c r="II160" s="12">
        <f t="shared" si="195"/>
        <v>0</v>
      </c>
      <c r="IJ160" s="12">
        <f t="shared" si="196"/>
        <v>0</v>
      </c>
      <c r="IK160" s="12">
        <f t="shared" si="197"/>
        <v>0</v>
      </c>
      <c r="IL160" s="12">
        <f t="shared" si="198"/>
        <v>0</v>
      </c>
      <c r="IM160" s="12">
        <f t="shared" si="199"/>
        <v>0</v>
      </c>
      <c r="IN160" s="12">
        <f t="shared" si="200"/>
        <v>0</v>
      </c>
      <c r="IO160" s="12">
        <f t="shared" si="201"/>
        <v>0</v>
      </c>
      <c r="IP160" s="12">
        <f t="shared" si="202"/>
        <v>0</v>
      </c>
      <c r="IQ160" s="12">
        <f t="shared" si="203"/>
        <v>0</v>
      </c>
      <c r="IR160" s="12">
        <f t="shared" si="204"/>
        <v>0</v>
      </c>
      <c r="IS160" s="12">
        <f t="shared" si="205"/>
        <v>0</v>
      </c>
      <c r="IT160" s="12">
        <f t="shared" si="206"/>
        <v>0</v>
      </c>
      <c r="IU160" s="12">
        <f t="shared" si="207"/>
        <v>0</v>
      </c>
      <c r="IV160" s="12">
        <f t="shared" si="208"/>
        <v>0</v>
      </c>
      <c r="IW160" s="12">
        <f t="shared" si="209"/>
        <v>0</v>
      </c>
      <c r="IX160" s="12">
        <f t="shared" si="210"/>
        <v>0</v>
      </c>
      <c r="IY160" s="12">
        <f t="shared" si="211"/>
        <v>0</v>
      </c>
      <c r="IZ160" s="12">
        <f t="shared" si="212"/>
        <v>0</v>
      </c>
      <c r="JA160" s="13">
        <f t="shared" si="213"/>
        <v>0</v>
      </c>
      <c r="JB160" s="13">
        <f t="shared" si="214"/>
        <v>0</v>
      </c>
      <c r="JC160" s="13">
        <f t="shared" si="215"/>
        <v>0</v>
      </c>
      <c r="JD160" s="13">
        <f t="shared" si="216"/>
        <v>0</v>
      </c>
      <c r="JE160" s="13">
        <f t="shared" si="217"/>
        <v>0</v>
      </c>
      <c r="JF160" s="13">
        <f t="shared" si="218"/>
        <v>0</v>
      </c>
      <c r="JG160" s="13">
        <f t="shared" si="219"/>
        <v>0</v>
      </c>
      <c r="JH160" s="13">
        <f t="shared" si="220"/>
        <v>0</v>
      </c>
      <c r="JI160" s="13">
        <f t="shared" si="221"/>
        <v>0</v>
      </c>
      <c r="JJ160" s="13">
        <f t="shared" si="222"/>
        <v>0</v>
      </c>
      <c r="JK160" s="13">
        <f t="shared" si="223"/>
        <v>0</v>
      </c>
      <c r="JL160" s="13">
        <f t="shared" si="224"/>
        <v>0</v>
      </c>
      <c r="JM160" s="13">
        <f t="shared" si="225"/>
        <v>0</v>
      </c>
      <c r="JN160" s="13">
        <f t="shared" si="226"/>
        <v>0</v>
      </c>
      <c r="JO160" s="13">
        <f t="shared" si="227"/>
        <v>0</v>
      </c>
      <c r="JP160" s="13">
        <f t="shared" si="228"/>
        <v>0</v>
      </c>
      <c r="JQ160" s="13">
        <f t="shared" si="229"/>
        <v>0</v>
      </c>
      <c r="JR160" s="13">
        <f t="shared" si="230"/>
        <v>0</v>
      </c>
      <c r="JS160" s="13">
        <f t="shared" si="231"/>
        <v>0</v>
      </c>
      <c r="JT160" s="13">
        <f t="shared" si="232"/>
        <v>0</v>
      </c>
      <c r="JU160" s="13">
        <f t="shared" si="233"/>
        <v>0</v>
      </c>
      <c r="JV160" s="12">
        <f t="shared" si="234"/>
        <v>0</v>
      </c>
      <c r="JW160" s="12">
        <f t="shared" si="235"/>
        <v>0</v>
      </c>
      <c r="JX160" s="12">
        <f t="shared" si="236"/>
        <v>0</v>
      </c>
      <c r="JY160" s="12">
        <f t="shared" si="237"/>
        <v>0</v>
      </c>
      <c r="JZ160" s="12">
        <f t="shared" si="238"/>
        <v>0</v>
      </c>
      <c r="KA160" s="12">
        <f t="shared" si="239"/>
        <v>0</v>
      </c>
      <c r="KB160" s="12">
        <f t="shared" si="240"/>
        <v>0</v>
      </c>
      <c r="KC160" s="12">
        <f t="shared" si="241"/>
        <v>0</v>
      </c>
      <c r="KD160" s="12">
        <f t="shared" si="242"/>
        <v>0</v>
      </c>
      <c r="KE160" s="12">
        <f t="shared" si="243"/>
        <v>0</v>
      </c>
      <c r="KF160" s="12">
        <f t="shared" si="244"/>
        <v>0</v>
      </c>
      <c r="KG160" s="12">
        <f t="shared" si="245"/>
        <v>0</v>
      </c>
      <c r="KH160" s="12">
        <f t="shared" si="246"/>
        <v>0</v>
      </c>
      <c r="KI160" s="12">
        <f t="shared" si="247"/>
        <v>0</v>
      </c>
      <c r="KJ160" s="12">
        <f t="shared" si="248"/>
        <v>0</v>
      </c>
      <c r="KK160" s="12">
        <f t="shared" si="249"/>
        <v>0</v>
      </c>
      <c r="KL160" s="12">
        <f t="shared" si="250"/>
        <v>0</v>
      </c>
      <c r="KM160" s="12">
        <f t="shared" si="251"/>
        <v>0</v>
      </c>
      <c r="KN160" s="12">
        <f t="shared" si="252"/>
        <v>0</v>
      </c>
      <c r="KO160" s="12">
        <f t="shared" si="253"/>
        <v>0</v>
      </c>
      <c r="KP160" s="12">
        <f t="shared" si="254"/>
        <v>0</v>
      </c>
      <c r="KQ160" s="12">
        <f t="shared" si="255"/>
        <v>0</v>
      </c>
      <c r="KR160" s="12">
        <f t="shared" si="256"/>
        <v>0</v>
      </c>
      <c r="KS160" s="12">
        <f t="shared" si="257"/>
        <v>0</v>
      </c>
      <c r="KT160" s="12">
        <f t="shared" si="258"/>
        <v>0</v>
      </c>
      <c r="KU160" s="12">
        <f t="shared" si="259"/>
        <v>0</v>
      </c>
      <c r="KV160" s="12">
        <f t="shared" si="260"/>
        <v>0</v>
      </c>
      <c r="KW160" s="12">
        <f t="shared" si="261"/>
        <v>0</v>
      </c>
      <c r="KX160" s="12">
        <f t="shared" si="262"/>
        <v>0</v>
      </c>
      <c r="KY160" s="12">
        <f t="shared" si="263"/>
        <v>0</v>
      </c>
      <c r="KZ160" s="12">
        <f t="shared" si="264"/>
        <v>0</v>
      </c>
      <c r="LA160" s="12">
        <f t="shared" si="265"/>
        <v>0</v>
      </c>
      <c r="LB160" s="12">
        <f t="shared" si="266"/>
        <v>0</v>
      </c>
      <c r="LC160" s="12">
        <f t="shared" si="267"/>
        <v>0</v>
      </c>
      <c r="LD160" s="12">
        <f t="shared" si="268"/>
        <v>0</v>
      </c>
      <c r="LE160" s="12">
        <f t="shared" si="269"/>
        <v>0</v>
      </c>
      <c r="LF160" s="12">
        <f t="shared" si="270"/>
        <v>0</v>
      </c>
      <c r="LG160" s="12">
        <f t="shared" si="271"/>
        <v>0</v>
      </c>
      <c r="LH160" s="12">
        <f t="shared" si="272"/>
        <v>0</v>
      </c>
      <c r="LI160" s="12">
        <f t="shared" si="273"/>
        <v>0</v>
      </c>
      <c r="LJ160" s="12">
        <f t="shared" si="274"/>
        <v>0</v>
      </c>
      <c r="LK160" s="12">
        <f t="shared" si="275"/>
        <v>0</v>
      </c>
      <c r="LL160" s="12">
        <f t="shared" si="276"/>
        <v>0</v>
      </c>
      <c r="LM160" s="12">
        <f t="shared" si="277"/>
        <v>0</v>
      </c>
      <c r="LN160" s="12">
        <f t="shared" si="278"/>
        <v>0</v>
      </c>
      <c r="LO160" s="12">
        <f t="shared" si="279"/>
        <v>0</v>
      </c>
      <c r="LP160" s="12">
        <f t="shared" si="280"/>
        <v>0</v>
      </c>
      <c r="LQ160" s="12">
        <f t="shared" si="281"/>
        <v>0</v>
      </c>
      <c r="LR160" s="12">
        <f t="shared" si="282"/>
        <v>0</v>
      </c>
      <c r="LS160" s="12">
        <f t="shared" si="283"/>
        <v>0</v>
      </c>
      <c r="LT160" s="13">
        <f t="shared" si="284"/>
        <v>0</v>
      </c>
      <c r="LU160" s="13">
        <f t="shared" si="285"/>
        <v>0</v>
      </c>
      <c r="LV160" s="13">
        <f t="shared" si="286"/>
        <v>0</v>
      </c>
      <c r="LW160" s="13">
        <f t="shared" si="287"/>
        <v>0</v>
      </c>
      <c r="LX160" s="13">
        <f t="shared" si="288"/>
        <v>0</v>
      </c>
      <c r="LY160" s="13">
        <f t="shared" si="289"/>
        <v>0</v>
      </c>
      <c r="LZ160" s="13">
        <f t="shared" si="290"/>
        <v>0</v>
      </c>
      <c r="MA160" s="13">
        <f t="shared" si="291"/>
        <v>0</v>
      </c>
      <c r="MB160" s="13">
        <f t="shared" si="292"/>
        <v>0</v>
      </c>
      <c r="MC160" s="13">
        <f t="shared" si="293"/>
        <v>0</v>
      </c>
      <c r="MD160" s="13">
        <f t="shared" si="294"/>
        <v>0</v>
      </c>
      <c r="ME160" s="13">
        <f t="shared" si="295"/>
        <v>0</v>
      </c>
      <c r="MF160" s="13">
        <f t="shared" si="296"/>
        <v>0</v>
      </c>
      <c r="MG160" s="13">
        <f t="shared" si="297"/>
        <v>0</v>
      </c>
      <c r="MH160" s="13">
        <f t="shared" si="298"/>
        <v>0</v>
      </c>
      <c r="MI160" s="13">
        <f t="shared" si="299"/>
        <v>0</v>
      </c>
      <c r="MJ160" s="13">
        <f t="shared" si="300"/>
        <v>0</v>
      </c>
      <c r="MK160" s="13">
        <f t="shared" si="301"/>
        <v>0</v>
      </c>
      <c r="ML160" s="14">
        <f t="shared" si="302"/>
        <v>0</v>
      </c>
      <c r="MM160" s="14">
        <f t="shared" si="303"/>
        <v>0</v>
      </c>
      <c r="MN160" s="14">
        <f t="shared" si="304"/>
        <v>0</v>
      </c>
      <c r="MO160" s="14">
        <f t="shared" si="305"/>
        <v>0</v>
      </c>
      <c r="MP160" s="14">
        <f t="shared" si="306"/>
        <v>1</v>
      </c>
      <c r="MQ160" s="14">
        <f t="shared" si="307"/>
        <v>0</v>
      </c>
      <c r="MR160" s="14">
        <f t="shared" si="308"/>
        <v>0</v>
      </c>
      <c r="MS160" s="14">
        <f t="shared" si="309"/>
        <v>0</v>
      </c>
      <c r="MT160" s="14">
        <f t="shared" si="310"/>
        <v>0</v>
      </c>
      <c r="MU160" s="14">
        <f t="shared" si="311"/>
        <v>0</v>
      </c>
      <c r="MV160" s="14">
        <f t="shared" si="312"/>
        <v>0</v>
      </c>
      <c r="MW160" s="14">
        <f t="shared" si="313"/>
        <v>0</v>
      </c>
      <c r="MX160" s="14">
        <f t="shared" si="314"/>
        <v>0</v>
      </c>
      <c r="MY160" s="14">
        <f t="shared" si="315"/>
        <v>0</v>
      </c>
      <c r="MZ160" s="14">
        <f t="shared" si="316"/>
        <v>1</v>
      </c>
      <c r="NA160" s="14">
        <f t="shared" si="317"/>
        <v>0</v>
      </c>
      <c r="NB160" s="14">
        <f t="shared" si="318"/>
        <v>0</v>
      </c>
    </row>
    <row r="161" ht="15.75" customHeight="1">
      <c r="A161" s="2">
        <v>434.0</v>
      </c>
      <c r="B161" s="2" t="s">
        <v>3068</v>
      </c>
      <c r="C161" s="2" t="s">
        <v>3069</v>
      </c>
      <c r="D161" s="2" t="s">
        <v>3070</v>
      </c>
      <c r="E161" s="2">
        <v>2009.0</v>
      </c>
      <c r="F161" s="2" t="s">
        <v>3071</v>
      </c>
      <c r="G161" s="2" t="s">
        <v>392</v>
      </c>
      <c r="H161" s="2" t="s">
        <v>3072</v>
      </c>
      <c r="J161" s="2" t="s">
        <v>3073</v>
      </c>
      <c r="K161" s="2" t="s">
        <v>3074</v>
      </c>
      <c r="M161" s="2">
        <v>3.0</v>
      </c>
      <c r="N161" s="2" t="s">
        <v>3075</v>
      </c>
      <c r="O161" s="2" t="s">
        <v>3076</v>
      </c>
      <c r="P161" s="2" t="s">
        <v>3077</v>
      </c>
      <c r="Q161" s="2" t="s">
        <v>3078</v>
      </c>
      <c r="R161" s="2" t="s">
        <v>3079</v>
      </c>
      <c r="S161" s="2" t="s">
        <v>3080</v>
      </c>
      <c r="Y161" s="2" t="s">
        <v>3081</v>
      </c>
      <c r="AG161" s="2" t="s">
        <v>3082</v>
      </c>
      <c r="AK161" s="2" t="s">
        <v>3083</v>
      </c>
      <c r="AL161" s="2" t="s">
        <v>384</v>
      </c>
      <c r="AN161" s="2" t="s">
        <v>386</v>
      </c>
      <c r="AO161" s="2" t="s">
        <v>3084</v>
      </c>
      <c r="AP161" s="2" t="s">
        <v>386</v>
      </c>
      <c r="AQ161" s="2">
        <v>1710.0</v>
      </c>
      <c r="AR161" s="2" t="s">
        <v>3070</v>
      </c>
      <c r="AS161" s="2" t="b">
        <v>0</v>
      </c>
      <c r="AT161" s="3">
        <v>0.0</v>
      </c>
      <c r="AU161" s="4"/>
      <c r="AV161" s="4">
        <v>1.0</v>
      </c>
      <c r="AW161" s="5">
        <f t="shared" si="432"/>
        <v>0</v>
      </c>
      <c r="AX161" s="5">
        <f t="shared" si="4"/>
        <v>0</v>
      </c>
      <c r="AY161" s="5">
        <f t="shared" si="5"/>
        <v>0</v>
      </c>
      <c r="AZ161" s="5">
        <f t="shared" si="6"/>
        <v>0</v>
      </c>
      <c r="BA161" s="5">
        <f t="shared" si="7"/>
        <v>0</v>
      </c>
      <c r="BB161" s="5">
        <f t="shared" si="8"/>
        <v>0</v>
      </c>
      <c r="BC161" s="5">
        <f t="shared" si="9"/>
        <v>0</v>
      </c>
      <c r="BD161" s="5">
        <f t="shared" si="10"/>
        <v>0</v>
      </c>
      <c r="BE161" s="5">
        <f t="shared" si="11"/>
        <v>0</v>
      </c>
      <c r="BF161" s="5">
        <f t="shared" si="12"/>
        <v>0</v>
      </c>
      <c r="BG161" s="5">
        <f t="shared" si="13"/>
        <v>0</v>
      </c>
      <c r="BH161" s="5">
        <f t="shared" si="14"/>
        <v>0</v>
      </c>
      <c r="BI161" s="5">
        <f t="shared" si="15"/>
        <v>0</v>
      </c>
      <c r="BJ161" s="5">
        <f t="shared" si="16"/>
        <v>0</v>
      </c>
      <c r="BK161" s="5">
        <f t="shared" si="17"/>
        <v>0</v>
      </c>
      <c r="BL161" s="5">
        <f t="shared" si="18"/>
        <v>0</v>
      </c>
      <c r="BM161" s="5">
        <f t="shared" si="19"/>
        <v>0</v>
      </c>
      <c r="BN161" s="5">
        <f t="shared" si="20"/>
        <v>0</v>
      </c>
      <c r="BO161" s="5">
        <f t="shared" si="21"/>
        <v>0</v>
      </c>
      <c r="BP161" s="5">
        <f t="shared" si="22"/>
        <v>0</v>
      </c>
      <c r="BQ161" s="5">
        <f t="shared" si="23"/>
        <v>0</v>
      </c>
      <c r="BR161" s="5">
        <f t="shared" si="24"/>
        <v>0</v>
      </c>
      <c r="BS161" s="5">
        <f t="shared" si="25"/>
        <v>1</v>
      </c>
      <c r="BT161" s="5">
        <f t="shared" si="26"/>
        <v>0</v>
      </c>
      <c r="BU161" s="5">
        <f t="shared" si="27"/>
        <v>0</v>
      </c>
      <c r="BV161" s="5">
        <f t="shared" ref="BV161:BW161" si="675">IF(OR(ISNUMBER(SEARCH("grit",$D161)),ISNUMBER(SEARCH("grit",$T161)),ISNUMBER(SEARCH("grit",$R161)),ISNUMBER(SEARCH("grit",$S161)),
ISNUMBER(SEARCH("determination",$D161)),ISNUMBER(SEARCH("determination",$T161)),ISNUMBER(SEARCH("determination",$R161)),ISNUMBER(SEARCH("determination",$S161)),
ISNUMBER(SEARCH("tenacity",$D161)),ISNUMBER(SEARCH("tenacity",$T161)),ISNUMBER(SEARCH("tenacity",$R161)),ISNUMBER(SEARCH("tenacity",$S161)),
ISNUMBER(SEARCH("endurance",$D161)),ISNUMBER(SEARCH("endurance",$T161)),ISNUMBER(SEARCH("endurance",$R161)),ISNUMBER(SEARCH("endurance",$S161)),
ISNUMBER(SEARCH("fortitude",$D161)),ISNUMBER(SEARCH("fortitude",$T161)),ISNUMBER(SEARCH("fortitude",$R161)),ISNUMBER(SEARCH("fortitude",$S161)),
ISNUMBER(SEARCH("resolve",$D161)),ISNUMBER(SEARCH("resolve",$T161)),ISNUMBER(SEARCH("resolve",$R161)),ISNUMBER(SEARCH("resolve",$S161)),
ISNUMBER(SEARCH("stamina",$D161)),ISNUMBER(SEARCH("stamina",$T161)),ISNUMBER(SEARCH("stamina",$R161)),ISNUMBER(SEARCH("stamina",$S161)),
ISNUMBER(SEARCH("guts",$D161)),ISNUMBER(SEARCH("guts",$T161)),ISNUMBER(SEARCH("guts",$R161)),ISNUMBER(SEARCH("guts",$S161)),
ISNUMBER(SEARCH("spunk",$D161)),ISNUMBER(SEARCH("spunk",$T161)),ISNUMBER(SEARCH("spunk",$R161)),ISNUMBER(SEARCH("spunk",$S161))), 1, 0)</f>
        <v>0</v>
      </c>
      <c r="BW161" s="5">
        <f t="shared" si="675"/>
        <v>0</v>
      </c>
      <c r="BX161" s="5">
        <f t="shared" si="29"/>
        <v>0</v>
      </c>
      <c r="BY161" s="5">
        <f t="shared" si="30"/>
        <v>0</v>
      </c>
      <c r="BZ161" s="5">
        <f t="shared" si="31"/>
        <v>0</v>
      </c>
      <c r="CA161" s="5">
        <f t="shared" si="32"/>
        <v>0</v>
      </c>
      <c r="CB161" s="5">
        <f t="shared" si="33"/>
        <v>0</v>
      </c>
      <c r="CC161" s="5">
        <f t="shared" si="34"/>
        <v>0</v>
      </c>
      <c r="CD161" s="5">
        <f t="shared" si="35"/>
        <v>0</v>
      </c>
      <c r="CE161" s="5">
        <f t="shared" si="36"/>
        <v>0</v>
      </c>
      <c r="CF161" s="5">
        <f t="shared" si="37"/>
        <v>0</v>
      </c>
      <c r="CG161" s="5">
        <f t="shared" si="38"/>
        <v>0</v>
      </c>
      <c r="CH161" s="5">
        <f t="shared" si="39"/>
        <v>0</v>
      </c>
      <c r="CI161" s="5">
        <f t="shared" si="40"/>
        <v>0</v>
      </c>
      <c r="CJ161" s="5">
        <f t="shared" si="41"/>
        <v>0</v>
      </c>
      <c r="CK161" s="5">
        <f t="shared" si="42"/>
        <v>0</v>
      </c>
      <c r="CL161" s="5">
        <f t="shared" si="43"/>
        <v>0</v>
      </c>
      <c r="CM161" s="5">
        <f t="shared" si="44"/>
        <v>0</v>
      </c>
      <c r="CN161" s="5">
        <f t="shared" si="45"/>
        <v>0</v>
      </c>
      <c r="CO161" s="5">
        <f t="shared" si="46"/>
        <v>0</v>
      </c>
      <c r="CP161" s="6">
        <f t="shared" si="47"/>
        <v>0</v>
      </c>
      <c r="CQ161" s="6">
        <f t="shared" si="48"/>
        <v>0</v>
      </c>
      <c r="CR161" s="6">
        <f t="shared" si="49"/>
        <v>0</v>
      </c>
      <c r="CS161" s="6">
        <f t="shared" si="50"/>
        <v>0</v>
      </c>
      <c r="CT161" s="6">
        <f t="shared" si="584"/>
        <v>0</v>
      </c>
      <c r="CU161" s="6">
        <f t="shared" si="52"/>
        <v>0</v>
      </c>
      <c r="CV161" s="6">
        <f t="shared" si="53"/>
        <v>0</v>
      </c>
      <c r="CW161" s="6">
        <f t="shared" si="54"/>
        <v>0</v>
      </c>
      <c r="CX161" s="6">
        <f t="shared" si="55"/>
        <v>0</v>
      </c>
      <c r="CY161" s="6">
        <f t="shared" si="56"/>
        <v>0</v>
      </c>
      <c r="CZ161" s="6">
        <f t="shared" si="57"/>
        <v>0</v>
      </c>
      <c r="DA161" s="6">
        <f t="shared" si="58"/>
        <v>0</v>
      </c>
      <c r="DB161" s="6">
        <f t="shared" si="59"/>
        <v>0</v>
      </c>
      <c r="DC161" s="6">
        <f t="shared" si="60"/>
        <v>0</v>
      </c>
      <c r="DD161" s="6">
        <f t="shared" si="61"/>
        <v>0</v>
      </c>
      <c r="DE161" s="6">
        <f t="shared" si="62"/>
        <v>0</v>
      </c>
      <c r="DF161" s="6">
        <f t="shared" si="63"/>
        <v>0</v>
      </c>
      <c r="DG161" s="6">
        <f t="shared" si="64"/>
        <v>1</v>
      </c>
      <c r="DH161" s="6">
        <f t="shared" si="652"/>
        <v>0</v>
      </c>
      <c r="DI161" s="6">
        <f t="shared" si="66"/>
        <v>0</v>
      </c>
      <c r="DJ161" s="6">
        <f t="shared" si="653"/>
        <v>0</v>
      </c>
      <c r="DK161" s="7">
        <f t="shared" si="68"/>
        <v>0</v>
      </c>
      <c r="DL161" s="7">
        <f t="shared" si="498"/>
        <v>0</v>
      </c>
      <c r="DM161" s="7">
        <f t="shared" si="70"/>
        <v>0</v>
      </c>
      <c r="DN161" s="7">
        <f t="shared" si="71"/>
        <v>0</v>
      </c>
      <c r="DO161" s="7">
        <f t="shared" si="72"/>
        <v>0</v>
      </c>
      <c r="DP161" s="8">
        <f t="shared" si="73"/>
        <v>0</v>
      </c>
      <c r="DQ161" s="8">
        <f t="shared" si="74"/>
        <v>0</v>
      </c>
      <c r="DR161" s="7">
        <f t="shared" si="75"/>
        <v>0</v>
      </c>
      <c r="DS161" s="7">
        <f t="shared" si="76"/>
        <v>0</v>
      </c>
      <c r="DT161" s="7">
        <f t="shared" si="77"/>
        <v>0</v>
      </c>
      <c r="DU161" s="9">
        <f t="shared" si="78"/>
        <v>0</v>
      </c>
      <c r="DV161" s="9">
        <f t="shared" si="79"/>
        <v>0</v>
      </c>
      <c r="DW161" s="9">
        <f t="shared" si="80"/>
        <v>0</v>
      </c>
      <c r="DX161" s="9">
        <f t="shared" si="81"/>
        <v>0</v>
      </c>
      <c r="DY161" s="9">
        <f t="shared" si="82"/>
        <v>1</v>
      </c>
      <c r="DZ161" s="9">
        <f t="shared" si="83"/>
        <v>0</v>
      </c>
      <c r="EA161" s="9">
        <f t="shared" si="84"/>
        <v>0</v>
      </c>
      <c r="EB161" s="9">
        <f t="shared" si="85"/>
        <v>0</v>
      </c>
      <c r="EC161" s="9">
        <f t="shared" si="86"/>
        <v>0</v>
      </c>
      <c r="ED161" s="9">
        <f t="shared" si="87"/>
        <v>0</v>
      </c>
      <c r="EE161" s="9">
        <f t="shared" si="88"/>
        <v>0</v>
      </c>
      <c r="EF161" s="9">
        <f t="shared" si="89"/>
        <v>0</v>
      </c>
      <c r="EG161" s="9">
        <f t="shared" si="90"/>
        <v>0</v>
      </c>
      <c r="EH161" s="9">
        <f t="shared" si="91"/>
        <v>0</v>
      </c>
      <c r="EI161" s="9">
        <f t="shared" si="92"/>
        <v>0</v>
      </c>
      <c r="EJ161" s="10">
        <f t="shared" si="93"/>
        <v>0</v>
      </c>
      <c r="EK161" s="10">
        <f t="shared" si="94"/>
        <v>0</v>
      </c>
      <c r="EL161" s="10">
        <f t="shared" ref="EL161:EM161" si="676">IF(OR(ISNUMBER(SEARCH("ai software toolkit", $D161)), ISNUMBER(SEARCH("ai software toolkit", $T161)), ISNUMBER(SEARCH("ai software toolkit", $R161)), ISNUMBER(SEARCH("ai software toolkit", $S161))), 1, 0)</f>
        <v>0</v>
      </c>
      <c r="EM161" s="10">
        <f t="shared" si="676"/>
        <v>0</v>
      </c>
      <c r="EN161" s="10">
        <f t="shared" si="96"/>
        <v>0</v>
      </c>
      <c r="EO161" s="10">
        <f t="shared" si="97"/>
        <v>0</v>
      </c>
      <c r="EP161" s="10">
        <f t="shared" si="98"/>
        <v>0</v>
      </c>
      <c r="EQ161" s="10">
        <f t="shared" si="99"/>
        <v>0</v>
      </c>
      <c r="ER161" s="10">
        <f t="shared" si="100"/>
        <v>0</v>
      </c>
      <c r="ES161" s="10">
        <f t="shared" si="101"/>
        <v>0</v>
      </c>
      <c r="ET161" s="10">
        <f t="shared" si="102"/>
        <v>0</v>
      </c>
      <c r="EU161" s="10">
        <f t="shared" si="103"/>
        <v>0</v>
      </c>
      <c r="EV161" s="10">
        <f t="shared" si="104"/>
        <v>1</v>
      </c>
      <c r="EW161" s="10">
        <f t="shared" si="105"/>
        <v>0</v>
      </c>
      <c r="EX161" s="10">
        <f t="shared" si="106"/>
        <v>0</v>
      </c>
      <c r="EY161" s="10">
        <f t="shared" si="107"/>
        <v>0</v>
      </c>
      <c r="EZ161" s="10">
        <f t="shared" si="108"/>
        <v>0</v>
      </c>
      <c r="FA161" s="10">
        <f t="shared" si="109"/>
        <v>0</v>
      </c>
      <c r="FB161" s="10">
        <f t="shared" si="110"/>
        <v>0</v>
      </c>
      <c r="FC161" s="10">
        <f t="shared" si="111"/>
        <v>0</v>
      </c>
      <c r="FD161" s="10">
        <f t="shared" si="112"/>
        <v>0</v>
      </c>
      <c r="FE161" s="10">
        <f t="shared" si="113"/>
        <v>0</v>
      </c>
      <c r="FF161" s="10">
        <f t="shared" si="114"/>
        <v>0</v>
      </c>
      <c r="FG161" s="10">
        <f t="shared" si="115"/>
        <v>0</v>
      </c>
      <c r="FH161" s="10">
        <f t="shared" si="116"/>
        <v>0</v>
      </c>
      <c r="FI161" s="10">
        <f t="shared" si="117"/>
        <v>0</v>
      </c>
      <c r="FJ161" s="10">
        <f t="shared" si="118"/>
        <v>0</v>
      </c>
      <c r="FK161" s="10">
        <f t="shared" si="119"/>
        <v>0</v>
      </c>
      <c r="FL161" s="10">
        <f t="shared" si="120"/>
        <v>0</v>
      </c>
      <c r="FM161" s="10">
        <f t="shared" si="121"/>
        <v>0</v>
      </c>
      <c r="FN161" s="10">
        <f t="shared" si="122"/>
        <v>0</v>
      </c>
      <c r="FO161" s="10">
        <f t="shared" si="123"/>
        <v>0</v>
      </c>
      <c r="FP161" s="10">
        <f t="shared" si="124"/>
        <v>0</v>
      </c>
      <c r="FQ161" s="10">
        <f t="shared" si="125"/>
        <v>0</v>
      </c>
      <c r="FR161" s="11">
        <f t="shared" si="636"/>
        <v>0</v>
      </c>
      <c r="FS161" s="11">
        <f t="shared" si="127"/>
        <v>0</v>
      </c>
      <c r="FT161" s="11">
        <f t="shared" si="128"/>
        <v>0</v>
      </c>
      <c r="FU161" s="11">
        <f t="shared" si="129"/>
        <v>0</v>
      </c>
      <c r="FV161" s="11">
        <f t="shared" si="130"/>
        <v>0</v>
      </c>
      <c r="FW161" s="11">
        <f t="shared" si="131"/>
        <v>0</v>
      </c>
      <c r="FX161" s="11">
        <f t="shared" si="132"/>
        <v>0</v>
      </c>
      <c r="FY161" s="11">
        <f t="shared" si="133"/>
        <v>0</v>
      </c>
      <c r="FZ161" s="11">
        <f t="shared" si="134"/>
        <v>0</v>
      </c>
      <c r="GA161" s="11">
        <f t="shared" si="135"/>
        <v>0</v>
      </c>
      <c r="GB161" s="11">
        <f t="shared" si="136"/>
        <v>0</v>
      </c>
      <c r="GC161" s="11">
        <f t="shared" si="137"/>
        <v>0</v>
      </c>
      <c r="GD161" s="11">
        <f t="shared" si="138"/>
        <v>0</v>
      </c>
      <c r="GE161" s="11">
        <f t="shared" si="139"/>
        <v>0</v>
      </c>
      <c r="GF161" s="11">
        <f t="shared" si="140"/>
        <v>0</v>
      </c>
      <c r="GG161" s="11">
        <f t="shared" si="141"/>
        <v>0</v>
      </c>
      <c r="GH161" s="11">
        <f t="shared" si="142"/>
        <v>0</v>
      </c>
      <c r="GI161" s="11">
        <f t="shared" si="143"/>
        <v>0</v>
      </c>
      <c r="GJ161" s="11">
        <f t="shared" si="144"/>
        <v>0</v>
      </c>
      <c r="GK161" s="11">
        <f t="shared" si="145"/>
        <v>0</v>
      </c>
      <c r="GL161" s="11">
        <f t="shared" si="146"/>
        <v>0</v>
      </c>
      <c r="GM161" s="11">
        <f t="shared" si="147"/>
        <v>0</v>
      </c>
      <c r="GN161" s="11">
        <f t="shared" si="148"/>
        <v>0</v>
      </c>
      <c r="GO161" s="11">
        <f t="shared" si="149"/>
        <v>0</v>
      </c>
      <c r="GP161" s="11">
        <f t="shared" si="150"/>
        <v>0</v>
      </c>
      <c r="GQ161" s="11">
        <f t="shared" si="151"/>
        <v>0</v>
      </c>
      <c r="GR161" s="11">
        <f t="shared" si="152"/>
        <v>0</v>
      </c>
      <c r="GS161" s="11">
        <f t="shared" si="153"/>
        <v>0</v>
      </c>
      <c r="GT161" s="11">
        <f t="shared" si="154"/>
        <v>0</v>
      </c>
      <c r="GU161" s="12">
        <f t="shared" si="155"/>
        <v>0</v>
      </c>
      <c r="GV161" s="12">
        <f t="shared" si="156"/>
        <v>0</v>
      </c>
      <c r="GW161" s="12">
        <f t="shared" si="157"/>
        <v>0</v>
      </c>
      <c r="GX161" s="12">
        <f t="shared" si="158"/>
        <v>0</v>
      </c>
      <c r="GY161" s="12">
        <f t="shared" si="159"/>
        <v>0</v>
      </c>
      <c r="GZ161" s="12">
        <f t="shared" si="160"/>
        <v>0</v>
      </c>
      <c r="HA161" s="12">
        <f t="shared" si="161"/>
        <v>0</v>
      </c>
      <c r="HB161" s="12">
        <f t="shared" si="162"/>
        <v>0</v>
      </c>
      <c r="HC161" s="12">
        <f t="shared" si="163"/>
        <v>0</v>
      </c>
      <c r="HD161" s="12">
        <f t="shared" si="164"/>
        <v>0</v>
      </c>
      <c r="HE161" s="12">
        <f t="shared" si="165"/>
        <v>0</v>
      </c>
      <c r="HF161" s="12">
        <f t="shared" si="166"/>
        <v>0</v>
      </c>
      <c r="HG161" s="12">
        <f t="shared" si="167"/>
        <v>0</v>
      </c>
      <c r="HH161" s="12">
        <f t="shared" si="168"/>
        <v>0</v>
      </c>
      <c r="HI161" s="12">
        <f t="shared" si="169"/>
        <v>0</v>
      </c>
      <c r="HJ161" s="12">
        <f t="shared" si="170"/>
        <v>0</v>
      </c>
      <c r="HK161" s="12">
        <f t="shared" si="171"/>
        <v>0</v>
      </c>
      <c r="HL161" s="12">
        <f t="shared" si="172"/>
        <v>0</v>
      </c>
      <c r="HM161" s="12">
        <f t="shared" si="173"/>
        <v>0</v>
      </c>
      <c r="HN161" s="12">
        <f t="shared" si="174"/>
        <v>0</v>
      </c>
      <c r="HO161" s="12">
        <f t="shared" si="175"/>
        <v>0</v>
      </c>
      <c r="HP161" s="12">
        <f t="shared" si="176"/>
        <v>0</v>
      </c>
      <c r="HQ161" s="12">
        <f t="shared" si="177"/>
        <v>0</v>
      </c>
      <c r="HR161" s="12">
        <f t="shared" si="178"/>
        <v>0</v>
      </c>
      <c r="HS161" s="12">
        <f t="shared" si="179"/>
        <v>0</v>
      </c>
      <c r="HT161" s="12">
        <f t="shared" si="180"/>
        <v>0</v>
      </c>
      <c r="HU161" s="12">
        <f t="shared" si="181"/>
        <v>0</v>
      </c>
      <c r="HV161" s="12">
        <f t="shared" si="182"/>
        <v>1</v>
      </c>
      <c r="HW161" s="12">
        <f t="shared" si="183"/>
        <v>0</v>
      </c>
      <c r="HX161" s="12">
        <f t="shared" si="184"/>
        <v>0</v>
      </c>
      <c r="HY161" s="12">
        <f t="shared" si="185"/>
        <v>0</v>
      </c>
      <c r="HZ161" s="12">
        <f t="shared" si="186"/>
        <v>0</v>
      </c>
      <c r="IA161" s="12">
        <f t="shared" si="187"/>
        <v>0</v>
      </c>
      <c r="IB161" s="12">
        <f t="shared" si="188"/>
        <v>0</v>
      </c>
      <c r="IC161" s="12">
        <f t="shared" si="189"/>
        <v>0</v>
      </c>
      <c r="ID161" s="12">
        <f t="shared" si="190"/>
        <v>0</v>
      </c>
      <c r="IE161" s="12">
        <f t="shared" si="191"/>
        <v>0</v>
      </c>
      <c r="IF161" s="12">
        <f t="shared" si="192"/>
        <v>0</v>
      </c>
      <c r="IG161" s="12">
        <f t="shared" si="193"/>
        <v>0</v>
      </c>
      <c r="IH161" s="12">
        <f t="shared" si="194"/>
        <v>0</v>
      </c>
      <c r="II161" s="12">
        <f t="shared" si="195"/>
        <v>0</v>
      </c>
      <c r="IJ161" s="12">
        <f t="shared" si="196"/>
        <v>0</v>
      </c>
      <c r="IK161" s="12">
        <f t="shared" si="197"/>
        <v>0</v>
      </c>
      <c r="IL161" s="12">
        <f t="shared" si="198"/>
        <v>0</v>
      </c>
      <c r="IM161" s="12">
        <f t="shared" si="199"/>
        <v>0</v>
      </c>
      <c r="IN161" s="12">
        <f t="shared" si="200"/>
        <v>0</v>
      </c>
      <c r="IO161" s="12">
        <f t="shared" si="201"/>
        <v>0</v>
      </c>
      <c r="IP161" s="12">
        <f t="shared" si="202"/>
        <v>0</v>
      </c>
      <c r="IQ161" s="12">
        <f t="shared" si="203"/>
        <v>0</v>
      </c>
      <c r="IR161" s="12">
        <f t="shared" si="204"/>
        <v>0</v>
      </c>
      <c r="IS161" s="12">
        <f t="shared" si="205"/>
        <v>0</v>
      </c>
      <c r="IT161" s="12">
        <f t="shared" si="206"/>
        <v>0</v>
      </c>
      <c r="IU161" s="12">
        <f t="shared" si="207"/>
        <v>0</v>
      </c>
      <c r="IV161" s="12">
        <f t="shared" si="208"/>
        <v>0</v>
      </c>
      <c r="IW161" s="12">
        <f t="shared" si="209"/>
        <v>0</v>
      </c>
      <c r="IX161" s="12">
        <f t="shared" si="210"/>
        <v>0</v>
      </c>
      <c r="IY161" s="12">
        <f t="shared" si="211"/>
        <v>0</v>
      </c>
      <c r="IZ161" s="12">
        <f t="shared" si="212"/>
        <v>0</v>
      </c>
      <c r="JA161" s="13">
        <f t="shared" si="213"/>
        <v>0</v>
      </c>
      <c r="JB161" s="13">
        <f t="shared" si="214"/>
        <v>0</v>
      </c>
      <c r="JC161" s="13">
        <f t="shared" si="215"/>
        <v>0</v>
      </c>
      <c r="JD161" s="13">
        <f t="shared" si="216"/>
        <v>0</v>
      </c>
      <c r="JE161" s="13">
        <f t="shared" si="217"/>
        <v>0</v>
      </c>
      <c r="JF161" s="13">
        <f t="shared" si="218"/>
        <v>0</v>
      </c>
      <c r="JG161" s="13">
        <f t="shared" si="219"/>
        <v>0</v>
      </c>
      <c r="JH161" s="13">
        <f t="shared" si="220"/>
        <v>0</v>
      </c>
      <c r="JI161" s="13">
        <f t="shared" si="221"/>
        <v>0</v>
      </c>
      <c r="JJ161" s="13">
        <f t="shared" si="222"/>
        <v>0</v>
      </c>
      <c r="JK161" s="13">
        <f t="shared" si="223"/>
        <v>0</v>
      </c>
      <c r="JL161" s="13">
        <f t="shared" si="224"/>
        <v>0</v>
      </c>
      <c r="JM161" s="13">
        <f t="shared" si="225"/>
        <v>0</v>
      </c>
      <c r="JN161" s="13">
        <f t="shared" si="226"/>
        <v>0</v>
      </c>
      <c r="JO161" s="13">
        <f t="shared" si="227"/>
        <v>0</v>
      </c>
      <c r="JP161" s="13">
        <f t="shared" si="228"/>
        <v>0</v>
      </c>
      <c r="JQ161" s="13">
        <f t="shared" si="229"/>
        <v>0</v>
      </c>
      <c r="JR161" s="13">
        <f t="shared" si="230"/>
        <v>0</v>
      </c>
      <c r="JS161" s="13">
        <f t="shared" si="231"/>
        <v>0</v>
      </c>
      <c r="JT161" s="13">
        <f t="shared" si="232"/>
        <v>0</v>
      </c>
      <c r="JU161" s="13">
        <f t="shared" si="233"/>
        <v>0</v>
      </c>
      <c r="JV161" s="12">
        <f t="shared" si="234"/>
        <v>0</v>
      </c>
      <c r="JW161" s="12">
        <f t="shared" si="235"/>
        <v>0</v>
      </c>
      <c r="JX161" s="12">
        <f t="shared" si="236"/>
        <v>0</v>
      </c>
      <c r="JY161" s="12">
        <f t="shared" si="237"/>
        <v>0</v>
      </c>
      <c r="JZ161" s="12">
        <f t="shared" si="238"/>
        <v>0</v>
      </c>
      <c r="KA161" s="12">
        <f t="shared" si="239"/>
        <v>0</v>
      </c>
      <c r="KB161" s="12">
        <f t="shared" si="240"/>
        <v>0</v>
      </c>
      <c r="KC161" s="12">
        <f t="shared" si="241"/>
        <v>0</v>
      </c>
      <c r="KD161" s="12">
        <f t="shared" si="242"/>
        <v>0</v>
      </c>
      <c r="KE161" s="12">
        <f t="shared" si="243"/>
        <v>0</v>
      </c>
      <c r="KF161" s="12">
        <f t="shared" si="244"/>
        <v>0</v>
      </c>
      <c r="KG161" s="12">
        <f t="shared" si="245"/>
        <v>0</v>
      </c>
      <c r="KH161" s="12">
        <f t="shared" si="246"/>
        <v>0</v>
      </c>
      <c r="KI161" s="12">
        <f t="shared" si="247"/>
        <v>0</v>
      </c>
      <c r="KJ161" s="12">
        <f t="shared" si="248"/>
        <v>0</v>
      </c>
      <c r="KK161" s="12">
        <f t="shared" si="249"/>
        <v>0</v>
      </c>
      <c r="KL161" s="12">
        <f t="shared" si="250"/>
        <v>0</v>
      </c>
      <c r="KM161" s="12">
        <f t="shared" si="251"/>
        <v>0</v>
      </c>
      <c r="KN161" s="12">
        <f t="shared" si="252"/>
        <v>0</v>
      </c>
      <c r="KO161" s="12">
        <f t="shared" si="253"/>
        <v>0</v>
      </c>
      <c r="KP161" s="12">
        <f t="shared" si="254"/>
        <v>0</v>
      </c>
      <c r="KQ161" s="12">
        <f t="shared" si="255"/>
        <v>0</v>
      </c>
      <c r="KR161" s="12">
        <f t="shared" si="256"/>
        <v>0</v>
      </c>
      <c r="KS161" s="12">
        <f t="shared" si="257"/>
        <v>0</v>
      </c>
      <c r="KT161" s="12">
        <f t="shared" si="258"/>
        <v>0</v>
      </c>
      <c r="KU161" s="12">
        <f t="shared" si="259"/>
        <v>0</v>
      </c>
      <c r="KV161" s="12">
        <f t="shared" si="260"/>
        <v>0</v>
      </c>
      <c r="KW161" s="12">
        <f t="shared" si="261"/>
        <v>0</v>
      </c>
      <c r="KX161" s="12">
        <f t="shared" si="262"/>
        <v>0</v>
      </c>
      <c r="KY161" s="12">
        <f t="shared" si="263"/>
        <v>0</v>
      </c>
      <c r="KZ161" s="12">
        <f t="shared" si="264"/>
        <v>0</v>
      </c>
      <c r="LA161" s="12">
        <f t="shared" si="265"/>
        <v>0</v>
      </c>
      <c r="LB161" s="12">
        <f t="shared" si="266"/>
        <v>0</v>
      </c>
      <c r="LC161" s="12">
        <f t="shared" si="267"/>
        <v>0</v>
      </c>
      <c r="LD161" s="12">
        <f t="shared" si="268"/>
        <v>0</v>
      </c>
      <c r="LE161" s="12">
        <f t="shared" si="269"/>
        <v>0</v>
      </c>
      <c r="LF161" s="12">
        <f t="shared" si="270"/>
        <v>0</v>
      </c>
      <c r="LG161" s="12">
        <f t="shared" si="271"/>
        <v>0</v>
      </c>
      <c r="LH161" s="12">
        <f t="shared" si="272"/>
        <v>0</v>
      </c>
      <c r="LI161" s="12">
        <f t="shared" si="273"/>
        <v>0</v>
      </c>
      <c r="LJ161" s="12">
        <f t="shared" si="274"/>
        <v>0</v>
      </c>
      <c r="LK161" s="12">
        <f t="shared" si="275"/>
        <v>0</v>
      </c>
      <c r="LL161" s="12">
        <f t="shared" si="276"/>
        <v>0</v>
      </c>
      <c r="LM161" s="12">
        <f t="shared" si="277"/>
        <v>0</v>
      </c>
      <c r="LN161" s="12">
        <f t="shared" si="278"/>
        <v>0</v>
      </c>
      <c r="LO161" s="12">
        <f t="shared" si="279"/>
        <v>0</v>
      </c>
      <c r="LP161" s="12">
        <f t="shared" si="280"/>
        <v>0</v>
      </c>
      <c r="LQ161" s="12">
        <f t="shared" si="281"/>
        <v>0</v>
      </c>
      <c r="LR161" s="12">
        <f t="shared" si="282"/>
        <v>0</v>
      </c>
      <c r="LS161" s="12">
        <f t="shared" si="283"/>
        <v>0</v>
      </c>
      <c r="LT161" s="13">
        <f t="shared" si="284"/>
        <v>0</v>
      </c>
      <c r="LU161" s="13">
        <f t="shared" si="285"/>
        <v>0</v>
      </c>
      <c r="LV161" s="13">
        <f t="shared" si="286"/>
        <v>0</v>
      </c>
      <c r="LW161" s="13">
        <f t="shared" si="287"/>
        <v>0</v>
      </c>
      <c r="LX161" s="13">
        <f t="shared" si="288"/>
        <v>0</v>
      </c>
      <c r="LY161" s="13">
        <f t="shared" si="289"/>
        <v>0</v>
      </c>
      <c r="LZ161" s="13">
        <f t="shared" si="290"/>
        <v>0</v>
      </c>
      <c r="MA161" s="13">
        <f t="shared" si="291"/>
        <v>0</v>
      </c>
      <c r="MB161" s="13">
        <f t="shared" si="292"/>
        <v>0</v>
      </c>
      <c r="MC161" s="13">
        <f t="shared" si="293"/>
        <v>0</v>
      </c>
      <c r="MD161" s="13">
        <f t="shared" si="294"/>
        <v>0</v>
      </c>
      <c r="ME161" s="13">
        <f t="shared" si="295"/>
        <v>0</v>
      </c>
      <c r="MF161" s="13">
        <f t="shared" si="296"/>
        <v>0</v>
      </c>
      <c r="MG161" s="13">
        <f t="shared" si="297"/>
        <v>0</v>
      </c>
      <c r="MH161" s="13">
        <f t="shared" si="298"/>
        <v>0</v>
      </c>
      <c r="MI161" s="13">
        <f t="shared" si="299"/>
        <v>0</v>
      </c>
      <c r="MJ161" s="13">
        <f t="shared" si="300"/>
        <v>0</v>
      </c>
      <c r="MK161" s="13">
        <f t="shared" si="301"/>
        <v>0</v>
      </c>
      <c r="ML161" s="14">
        <f t="shared" si="302"/>
        <v>0</v>
      </c>
      <c r="MM161" s="14">
        <f t="shared" si="303"/>
        <v>0</v>
      </c>
      <c r="MN161" s="14">
        <f t="shared" si="304"/>
        <v>0</v>
      </c>
      <c r="MO161" s="14">
        <f t="shared" si="305"/>
        <v>0</v>
      </c>
      <c r="MP161" s="14">
        <f t="shared" si="306"/>
        <v>0</v>
      </c>
      <c r="MQ161" s="14">
        <f t="shared" si="307"/>
        <v>0</v>
      </c>
      <c r="MR161" s="14">
        <f t="shared" si="308"/>
        <v>0</v>
      </c>
      <c r="MS161" s="14">
        <f t="shared" si="309"/>
        <v>0</v>
      </c>
      <c r="MT161" s="14">
        <f t="shared" si="310"/>
        <v>0</v>
      </c>
      <c r="MU161" s="14">
        <f t="shared" si="311"/>
        <v>0</v>
      </c>
      <c r="MV161" s="14">
        <f t="shared" si="312"/>
        <v>0</v>
      </c>
      <c r="MW161" s="14">
        <f t="shared" si="313"/>
        <v>0</v>
      </c>
      <c r="MX161" s="14">
        <f t="shared" si="314"/>
        <v>0</v>
      </c>
      <c r="MY161" s="14">
        <f t="shared" si="315"/>
        <v>0</v>
      </c>
      <c r="MZ161" s="14">
        <f t="shared" si="316"/>
        <v>0</v>
      </c>
      <c r="NA161" s="14">
        <f t="shared" si="317"/>
        <v>0</v>
      </c>
      <c r="NB161" s="14">
        <f t="shared" si="318"/>
        <v>0</v>
      </c>
    </row>
    <row r="162" ht="15.75" customHeight="1">
      <c r="A162" s="2">
        <v>442.0</v>
      </c>
      <c r="B162" s="2" t="s">
        <v>3085</v>
      </c>
      <c r="C162" s="2" t="s">
        <v>3086</v>
      </c>
      <c r="D162" s="2" t="s">
        <v>3087</v>
      </c>
      <c r="E162" s="2">
        <v>2006.0</v>
      </c>
      <c r="F162" s="2" t="s">
        <v>3088</v>
      </c>
      <c r="G162" s="2" t="s">
        <v>603</v>
      </c>
      <c r="H162" s="2" t="s">
        <v>392</v>
      </c>
      <c r="J162" s="2" t="s">
        <v>2798</v>
      </c>
      <c r="K162" s="2" t="s">
        <v>3089</v>
      </c>
      <c r="M162" s="2">
        <v>3.0</v>
      </c>
      <c r="N162" s="2" t="s">
        <v>3090</v>
      </c>
      <c r="O162" s="2" t="s">
        <v>3091</v>
      </c>
      <c r="P162" s="2" t="s">
        <v>3092</v>
      </c>
      <c r="Q162" s="2" t="s">
        <v>3093</v>
      </c>
      <c r="R162" s="2" t="s">
        <v>3094</v>
      </c>
      <c r="S162" s="2" t="s">
        <v>3095</v>
      </c>
      <c r="T162" s="2" t="s">
        <v>3096</v>
      </c>
      <c r="Y162" s="2" t="s">
        <v>3097</v>
      </c>
      <c r="AG162" s="2" t="s">
        <v>3098</v>
      </c>
      <c r="AK162" s="2" t="s">
        <v>3099</v>
      </c>
      <c r="AL162" s="2" t="s">
        <v>384</v>
      </c>
      <c r="AN162" s="2" t="s">
        <v>386</v>
      </c>
      <c r="AO162" s="2" t="s">
        <v>3100</v>
      </c>
      <c r="AP162" s="2" t="s">
        <v>386</v>
      </c>
      <c r="AQ162" s="2">
        <v>1734.0</v>
      </c>
      <c r="AR162" s="2" t="s">
        <v>3087</v>
      </c>
      <c r="AS162" s="2" t="b">
        <v>0</v>
      </c>
      <c r="AT162" s="3">
        <v>0.0</v>
      </c>
      <c r="AU162" s="4"/>
      <c r="AV162" s="4"/>
      <c r="AW162" s="5">
        <f t="shared" si="432"/>
        <v>0</v>
      </c>
      <c r="AX162" s="5">
        <f t="shared" si="4"/>
        <v>0</v>
      </c>
      <c r="AY162" s="5">
        <f t="shared" si="5"/>
        <v>0</v>
      </c>
      <c r="AZ162" s="5">
        <f t="shared" si="6"/>
        <v>0</v>
      </c>
      <c r="BA162" s="5">
        <f t="shared" si="7"/>
        <v>0</v>
      </c>
      <c r="BB162" s="5">
        <f t="shared" si="8"/>
        <v>0</v>
      </c>
      <c r="BC162" s="5">
        <f t="shared" si="9"/>
        <v>0</v>
      </c>
      <c r="BD162" s="5">
        <f t="shared" si="10"/>
        <v>0</v>
      </c>
      <c r="BE162" s="5">
        <f t="shared" si="11"/>
        <v>0</v>
      </c>
      <c r="BF162" s="5">
        <f t="shared" si="12"/>
        <v>0</v>
      </c>
      <c r="BG162" s="5">
        <f t="shared" si="13"/>
        <v>0</v>
      </c>
      <c r="BH162" s="5">
        <f t="shared" si="14"/>
        <v>0</v>
      </c>
      <c r="BI162" s="5">
        <f t="shared" si="15"/>
        <v>0</v>
      </c>
      <c r="BJ162" s="5">
        <f t="shared" si="16"/>
        <v>0</v>
      </c>
      <c r="BK162" s="5">
        <f t="shared" si="17"/>
        <v>0</v>
      </c>
      <c r="BL162" s="5">
        <f t="shared" si="18"/>
        <v>0</v>
      </c>
      <c r="BM162" s="5">
        <f t="shared" si="19"/>
        <v>0</v>
      </c>
      <c r="BN162" s="5">
        <f t="shared" si="20"/>
        <v>0</v>
      </c>
      <c r="BO162" s="5">
        <f t="shared" si="21"/>
        <v>0</v>
      </c>
      <c r="BP162" s="5">
        <f t="shared" si="22"/>
        <v>0</v>
      </c>
      <c r="BQ162" s="5">
        <f t="shared" si="23"/>
        <v>0</v>
      </c>
      <c r="BR162" s="5">
        <f t="shared" si="24"/>
        <v>0</v>
      </c>
      <c r="BS162" s="5">
        <f t="shared" si="25"/>
        <v>1</v>
      </c>
      <c r="BT162" s="5">
        <f t="shared" si="26"/>
        <v>0</v>
      </c>
      <c r="BU162" s="5">
        <f t="shared" si="27"/>
        <v>0</v>
      </c>
      <c r="BV162" s="5">
        <f t="shared" ref="BV162:BW162" si="677">IF(OR(ISNUMBER(SEARCH("grit",$D162)),ISNUMBER(SEARCH("grit",$T162)),ISNUMBER(SEARCH("grit",$R162)),ISNUMBER(SEARCH("grit",$S162)),
ISNUMBER(SEARCH("determination",$D162)),ISNUMBER(SEARCH("determination",$T162)),ISNUMBER(SEARCH("determination",$R162)),ISNUMBER(SEARCH("determination",$S162)),
ISNUMBER(SEARCH("tenacity",$D162)),ISNUMBER(SEARCH("tenacity",$T162)),ISNUMBER(SEARCH("tenacity",$R162)),ISNUMBER(SEARCH("tenacity",$S162)),
ISNUMBER(SEARCH("endurance",$D162)),ISNUMBER(SEARCH("endurance",$T162)),ISNUMBER(SEARCH("endurance",$R162)),ISNUMBER(SEARCH("endurance",$S162)),
ISNUMBER(SEARCH("fortitude",$D162)),ISNUMBER(SEARCH("fortitude",$T162)),ISNUMBER(SEARCH("fortitude",$R162)),ISNUMBER(SEARCH("fortitude",$S162)),
ISNUMBER(SEARCH("resolve",$D162)),ISNUMBER(SEARCH("resolve",$T162)),ISNUMBER(SEARCH("resolve",$R162)),ISNUMBER(SEARCH("resolve",$S162)),
ISNUMBER(SEARCH("stamina",$D162)),ISNUMBER(SEARCH("stamina",$T162)),ISNUMBER(SEARCH("stamina",$R162)),ISNUMBER(SEARCH("stamina",$S162)),
ISNUMBER(SEARCH("guts",$D162)),ISNUMBER(SEARCH("guts",$T162)),ISNUMBER(SEARCH("guts",$R162)),ISNUMBER(SEARCH("guts",$S162)),
ISNUMBER(SEARCH("spunk",$D162)),ISNUMBER(SEARCH("spunk",$T162)),ISNUMBER(SEARCH("spunk",$R162)),ISNUMBER(SEARCH("spunk",$S162))), 1, 0)</f>
        <v>0</v>
      </c>
      <c r="BW162" s="5">
        <f t="shared" si="677"/>
        <v>0</v>
      </c>
      <c r="BX162" s="5">
        <f t="shared" si="29"/>
        <v>0</v>
      </c>
      <c r="BY162" s="5">
        <f t="shared" si="30"/>
        <v>0</v>
      </c>
      <c r="BZ162" s="5">
        <f t="shared" si="31"/>
        <v>0</v>
      </c>
      <c r="CA162" s="5">
        <f t="shared" si="32"/>
        <v>0</v>
      </c>
      <c r="CB162" s="5">
        <f t="shared" si="33"/>
        <v>0</v>
      </c>
      <c r="CC162" s="5">
        <f t="shared" si="34"/>
        <v>0</v>
      </c>
      <c r="CD162" s="5">
        <f t="shared" si="35"/>
        <v>0</v>
      </c>
      <c r="CE162" s="5">
        <f t="shared" si="36"/>
        <v>0</v>
      </c>
      <c r="CF162" s="5">
        <f t="shared" si="37"/>
        <v>0</v>
      </c>
      <c r="CG162" s="5">
        <f t="shared" si="38"/>
        <v>0</v>
      </c>
      <c r="CH162" s="5">
        <f t="shared" si="39"/>
        <v>0</v>
      </c>
      <c r="CI162" s="5">
        <f t="shared" si="40"/>
        <v>0</v>
      </c>
      <c r="CJ162" s="5">
        <f t="shared" si="41"/>
        <v>0</v>
      </c>
      <c r="CK162" s="5">
        <f t="shared" si="42"/>
        <v>0</v>
      </c>
      <c r="CL162" s="5">
        <f t="shared" si="43"/>
        <v>0</v>
      </c>
      <c r="CM162" s="5">
        <f t="shared" si="44"/>
        <v>0</v>
      </c>
      <c r="CN162" s="5">
        <f t="shared" si="45"/>
        <v>0</v>
      </c>
      <c r="CO162" s="5">
        <f t="shared" si="46"/>
        <v>0</v>
      </c>
      <c r="CP162" s="6">
        <f t="shared" si="47"/>
        <v>0</v>
      </c>
      <c r="CQ162" s="6">
        <f t="shared" si="48"/>
        <v>0</v>
      </c>
      <c r="CR162" s="6">
        <f t="shared" si="49"/>
        <v>0</v>
      </c>
      <c r="CS162" s="6">
        <f t="shared" si="50"/>
        <v>0</v>
      </c>
      <c r="CT162" s="6">
        <f t="shared" si="584"/>
        <v>0</v>
      </c>
      <c r="CU162" s="6">
        <f t="shared" si="52"/>
        <v>0</v>
      </c>
      <c r="CV162" s="6">
        <f t="shared" si="53"/>
        <v>0</v>
      </c>
      <c r="CW162" s="6">
        <f t="shared" si="54"/>
        <v>0</v>
      </c>
      <c r="CX162" s="6">
        <f t="shared" si="55"/>
        <v>0</v>
      </c>
      <c r="CY162" s="6">
        <f t="shared" si="56"/>
        <v>0</v>
      </c>
      <c r="CZ162" s="6">
        <f t="shared" si="57"/>
        <v>0</v>
      </c>
      <c r="DA162" s="6">
        <f t="shared" si="58"/>
        <v>0</v>
      </c>
      <c r="DB162" s="6">
        <f t="shared" si="59"/>
        <v>0</v>
      </c>
      <c r="DC162" s="6">
        <f t="shared" si="60"/>
        <v>0</v>
      </c>
      <c r="DD162" s="6">
        <f t="shared" si="61"/>
        <v>0</v>
      </c>
      <c r="DE162" s="6">
        <f t="shared" si="62"/>
        <v>0</v>
      </c>
      <c r="DF162" s="6">
        <f t="shared" si="63"/>
        <v>0</v>
      </c>
      <c r="DG162" s="6">
        <f t="shared" si="64"/>
        <v>0</v>
      </c>
      <c r="DH162" s="6">
        <f t="shared" si="652"/>
        <v>0</v>
      </c>
      <c r="DI162" s="6">
        <f t="shared" si="66"/>
        <v>0</v>
      </c>
      <c r="DJ162" s="6">
        <f t="shared" si="653"/>
        <v>0</v>
      </c>
      <c r="DK162" s="7">
        <f t="shared" si="68"/>
        <v>0</v>
      </c>
      <c r="DL162" s="7">
        <f t="shared" si="498"/>
        <v>0</v>
      </c>
      <c r="DM162" s="7">
        <f t="shared" si="70"/>
        <v>0</v>
      </c>
      <c r="DN162" s="7">
        <f t="shared" si="71"/>
        <v>0</v>
      </c>
      <c r="DO162" s="7">
        <f t="shared" si="72"/>
        <v>0</v>
      </c>
      <c r="DP162" s="8">
        <f t="shared" si="73"/>
        <v>0</v>
      </c>
      <c r="DQ162" s="8">
        <f t="shared" si="74"/>
        <v>0</v>
      </c>
      <c r="DR162" s="7">
        <f t="shared" si="75"/>
        <v>0</v>
      </c>
      <c r="DS162" s="7">
        <f t="shared" si="76"/>
        <v>0</v>
      </c>
      <c r="DT162" s="7">
        <f t="shared" si="77"/>
        <v>0</v>
      </c>
      <c r="DU162" s="9">
        <f t="shared" si="78"/>
        <v>0</v>
      </c>
      <c r="DV162" s="9">
        <f t="shared" si="79"/>
        <v>0</v>
      </c>
      <c r="DW162" s="9">
        <f t="shared" si="80"/>
        <v>0</v>
      </c>
      <c r="DX162" s="9">
        <f t="shared" si="81"/>
        <v>0</v>
      </c>
      <c r="DY162" s="9">
        <f t="shared" si="82"/>
        <v>1</v>
      </c>
      <c r="DZ162" s="9">
        <f t="shared" si="83"/>
        <v>0</v>
      </c>
      <c r="EA162" s="9">
        <f t="shared" si="84"/>
        <v>0</v>
      </c>
      <c r="EB162" s="9">
        <f t="shared" si="85"/>
        <v>0</v>
      </c>
      <c r="EC162" s="9">
        <f t="shared" si="86"/>
        <v>0</v>
      </c>
      <c r="ED162" s="9">
        <f t="shared" si="87"/>
        <v>0</v>
      </c>
      <c r="EE162" s="9">
        <f t="shared" si="88"/>
        <v>0</v>
      </c>
      <c r="EF162" s="9">
        <f t="shared" si="89"/>
        <v>0</v>
      </c>
      <c r="EG162" s="9">
        <f t="shared" si="90"/>
        <v>0</v>
      </c>
      <c r="EH162" s="9">
        <f t="shared" si="91"/>
        <v>0</v>
      </c>
      <c r="EI162" s="9">
        <f t="shared" si="92"/>
        <v>0</v>
      </c>
      <c r="EJ162" s="10">
        <f t="shared" si="93"/>
        <v>0</v>
      </c>
      <c r="EK162" s="10">
        <f t="shared" si="94"/>
        <v>0</v>
      </c>
      <c r="EL162" s="10">
        <f t="shared" ref="EL162:EM162" si="678">IF(OR(ISNUMBER(SEARCH("ai software toolkit", $D162)), ISNUMBER(SEARCH("ai software toolkit", $T162)), ISNUMBER(SEARCH("ai software toolkit", $R162)), ISNUMBER(SEARCH("ai software toolkit", $S162))), 1, 0)</f>
        <v>0</v>
      </c>
      <c r="EM162" s="10">
        <f t="shared" si="678"/>
        <v>0</v>
      </c>
      <c r="EN162" s="10">
        <f t="shared" si="96"/>
        <v>0</v>
      </c>
      <c r="EO162" s="10">
        <f t="shared" si="97"/>
        <v>0</v>
      </c>
      <c r="EP162" s="10">
        <f t="shared" si="98"/>
        <v>0</v>
      </c>
      <c r="EQ162" s="10">
        <f t="shared" si="99"/>
        <v>0</v>
      </c>
      <c r="ER162" s="10">
        <f t="shared" si="100"/>
        <v>0</v>
      </c>
      <c r="ES162" s="10">
        <f t="shared" si="101"/>
        <v>0</v>
      </c>
      <c r="ET162" s="10">
        <f t="shared" si="102"/>
        <v>0</v>
      </c>
      <c r="EU162" s="10">
        <f t="shared" si="103"/>
        <v>0</v>
      </c>
      <c r="EV162" s="10">
        <f t="shared" si="104"/>
        <v>1</v>
      </c>
      <c r="EW162" s="10">
        <f t="shared" si="105"/>
        <v>0</v>
      </c>
      <c r="EX162" s="10">
        <f t="shared" si="106"/>
        <v>0</v>
      </c>
      <c r="EY162" s="10">
        <f t="shared" si="107"/>
        <v>0</v>
      </c>
      <c r="EZ162" s="10">
        <f t="shared" si="108"/>
        <v>0</v>
      </c>
      <c r="FA162" s="10">
        <f t="shared" si="109"/>
        <v>0</v>
      </c>
      <c r="FB162" s="10">
        <f t="shared" si="110"/>
        <v>0</v>
      </c>
      <c r="FC162" s="10">
        <f t="shared" si="111"/>
        <v>0</v>
      </c>
      <c r="FD162" s="10">
        <f t="shared" si="112"/>
        <v>0</v>
      </c>
      <c r="FE162" s="10">
        <f t="shared" si="113"/>
        <v>0</v>
      </c>
      <c r="FF162" s="10">
        <f t="shared" si="114"/>
        <v>0</v>
      </c>
      <c r="FG162" s="10">
        <f t="shared" si="115"/>
        <v>0</v>
      </c>
      <c r="FH162" s="10">
        <f t="shared" si="116"/>
        <v>0</v>
      </c>
      <c r="FI162" s="10">
        <f t="shared" si="117"/>
        <v>0</v>
      </c>
      <c r="FJ162" s="10">
        <f t="shared" si="118"/>
        <v>0</v>
      </c>
      <c r="FK162" s="10">
        <f t="shared" si="119"/>
        <v>0</v>
      </c>
      <c r="FL162" s="10">
        <f t="shared" si="120"/>
        <v>0</v>
      </c>
      <c r="FM162" s="10">
        <f t="shared" si="121"/>
        <v>0</v>
      </c>
      <c r="FN162" s="10">
        <f t="shared" si="122"/>
        <v>0</v>
      </c>
      <c r="FO162" s="10">
        <f t="shared" si="123"/>
        <v>0</v>
      </c>
      <c r="FP162" s="10">
        <f t="shared" si="124"/>
        <v>0</v>
      </c>
      <c r="FQ162" s="10">
        <f t="shared" si="125"/>
        <v>0</v>
      </c>
      <c r="FR162" s="11">
        <f>IF(
OR(
ISNUMBER(SEARCH("chatbot",$D162)),ISNUMBER(SEARCH("chatbot",$T162)),ISNUMBER(SEARCH("chatbot",$R160)),ISNUMBER(SEARCH("chatbot",$S162)),
ISNUMBER(SEARCH("virtual assistance",$D162)),ISNUMBER(SEARCH("virtual assistance",$T162)),ISNUMBER(SEARCH("virtual assistance",$R162)),ISNUMBER(SEARCH("virtual assistance",$S162))), 1, 0)</f>
        <v>0</v>
      </c>
      <c r="FS162" s="11">
        <f t="shared" si="127"/>
        <v>0</v>
      </c>
      <c r="FT162" s="11">
        <f t="shared" si="128"/>
        <v>0</v>
      </c>
      <c r="FU162" s="11">
        <f t="shared" si="129"/>
        <v>0</v>
      </c>
      <c r="FV162" s="11">
        <f t="shared" si="130"/>
        <v>0</v>
      </c>
      <c r="FW162" s="11">
        <f t="shared" si="131"/>
        <v>0</v>
      </c>
      <c r="FX162" s="11">
        <f t="shared" si="132"/>
        <v>0</v>
      </c>
      <c r="FY162" s="11">
        <f t="shared" si="133"/>
        <v>0</v>
      </c>
      <c r="FZ162" s="11">
        <f t="shared" si="134"/>
        <v>0</v>
      </c>
      <c r="GA162" s="11">
        <f t="shared" si="135"/>
        <v>0</v>
      </c>
      <c r="GB162" s="11">
        <f t="shared" si="136"/>
        <v>0</v>
      </c>
      <c r="GC162" s="11">
        <f t="shared" si="137"/>
        <v>0</v>
      </c>
      <c r="GD162" s="11">
        <f t="shared" si="138"/>
        <v>0</v>
      </c>
      <c r="GE162" s="11">
        <f t="shared" si="139"/>
        <v>0</v>
      </c>
      <c r="GF162" s="11">
        <f t="shared" si="140"/>
        <v>0</v>
      </c>
      <c r="GG162" s="11">
        <f t="shared" si="141"/>
        <v>0</v>
      </c>
      <c r="GH162" s="11">
        <f t="shared" si="142"/>
        <v>0</v>
      </c>
      <c r="GI162" s="11">
        <f t="shared" si="143"/>
        <v>0</v>
      </c>
      <c r="GJ162" s="11">
        <f t="shared" si="144"/>
        <v>0</v>
      </c>
      <c r="GK162" s="11">
        <f t="shared" si="145"/>
        <v>0</v>
      </c>
      <c r="GL162" s="11">
        <f t="shared" si="146"/>
        <v>0</v>
      </c>
      <c r="GM162" s="11">
        <f t="shared" si="147"/>
        <v>0</v>
      </c>
      <c r="GN162" s="11">
        <f t="shared" si="148"/>
        <v>0</v>
      </c>
      <c r="GO162" s="11">
        <f t="shared" si="149"/>
        <v>0</v>
      </c>
      <c r="GP162" s="11">
        <f t="shared" si="150"/>
        <v>0</v>
      </c>
      <c r="GQ162" s="11">
        <f t="shared" si="151"/>
        <v>0</v>
      </c>
      <c r="GR162" s="11">
        <f t="shared" si="152"/>
        <v>0</v>
      </c>
      <c r="GS162" s="11">
        <f t="shared" si="153"/>
        <v>0</v>
      </c>
      <c r="GT162" s="11">
        <f t="shared" si="154"/>
        <v>0</v>
      </c>
      <c r="GU162" s="12">
        <f t="shared" si="155"/>
        <v>0</v>
      </c>
      <c r="GV162" s="12">
        <f t="shared" si="156"/>
        <v>0</v>
      </c>
      <c r="GW162" s="12">
        <f t="shared" si="157"/>
        <v>0</v>
      </c>
      <c r="GX162" s="12">
        <f t="shared" si="158"/>
        <v>0</v>
      </c>
      <c r="GY162" s="12">
        <f t="shared" si="159"/>
        <v>0</v>
      </c>
      <c r="GZ162" s="12">
        <f t="shared" si="160"/>
        <v>0</v>
      </c>
      <c r="HA162" s="12">
        <f t="shared" si="161"/>
        <v>0</v>
      </c>
      <c r="HB162" s="12">
        <f t="shared" si="162"/>
        <v>0</v>
      </c>
      <c r="HC162" s="12">
        <f t="shared" si="163"/>
        <v>0</v>
      </c>
      <c r="HD162" s="12">
        <f t="shared" si="164"/>
        <v>0</v>
      </c>
      <c r="HE162" s="12">
        <f t="shared" si="165"/>
        <v>0</v>
      </c>
      <c r="HF162" s="12">
        <f t="shared" si="166"/>
        <v>0</v>
      </c>
      <c r="HG162" s="12">
        <f t="shared" si="167"/>
        <v>0</v>
      </c>
      <c r="HH162" s="12">
        <f t="shared" si="168"/>
        <v>0</v>
      </c>
      <c r="HI162" s="12">
        <f t="shared" si="169"/>
        <v>0</v>
      </c>
      <c r="HJ162" s="12">
        <f t="shared" si="170"/>
        <v>0</v>
      </c>
      <c r="HK162" s="12">
        <f t="shared" si="171"/>
        <v>0</v>
      </c>
      <c r="HL162" s="12">
        <f t="shared" si="172"/>
        <v>0</v>
      </c>
      <c r="HM162" s="12">
        <f t="shared" si="173"/>
        <v>0</v>
      </c>
      <c r="HN162" s="12">
        <f t="shared" si="174"/>
        <v>0</v>
      </c>
      <c r="HO162" s="12">
        <f t="shared" si="175"/>
        <v>0</v>
      </c>
      <c r="HP162" s="12">
        <f t="shared" si="176"/>
        <v>0</v>
      </c>
      <c r="HQ162" s="12">
        <f t="shared" si="177"/>
        <v>0</v>
      </c>
      <c r="HR162" s="12">
        <f t="shared" si="178"/>
        <v>0</v>
      </c>
      <c r="HS162" s="12">
        <f t="shared" si="179"/>
        <v>0</v>
      </c>
      <c r="HT162" s="12">
        <f t="shared" si="180"/>
        <v>0</v>
      </c>
      <c r="HU162" s="12">
        <f t="shared" si="181"/>
        <v>0</v>
      </c>
      <c r="HV162" s="12">
        <f t="shared" si="182"/>
        <v>1</v>
      </c>
      <c r="HW162" s="12">
        <f t="shared" si="183"/>
        <v>0</v>
      </c>
      <c r="HX162" s="12">
        <f t="shared" si="184"/>
        <v>0</v>
      </c>
      <c r="HY162" s="12">
        <f t="shared" si="185"/>
        <v>0</v>
      </c>
      <c r="HZ162" s="12">
        <f t="shared" si="186"/>
        <v>0</v>
      </c>
      <c r="IA162" s="12">
        <f t="shared" si="187"/>
        <v>0</v>
      </c>
      <c r="IB162" s="12">
        <f t="shared" si="188"/>
        <v>0</v>
      </c>
      <c r="IC162" s="12">
        <f t="shared" si="189"/>
        <v>0</v>
      </c>
      <c r="ID162" s="12">
        <f t="shared" si="190"/>
        <v>0</v>
      </c>
      <c r="IE162" s="12">
        <f t="shared" si="191"/>
        <v>0</v>
      </c>
      <c r="IF162" s="12">
        <f t="shared" si="192"/>
        <v>0</v>
      </c>
      <c r="IG162" s="12">
        <f t="shared" si="193"/>
        <v>0</v>
      </c>
      <c r="IH162" s="12">
        <f t="shared" si="194"/>
        <v>0</v>
      </c>
      <c r="II162" s="12">
        <f t="shared" si="195"/>
        <v>0</v>
      </c>
      <c r="IJ162" s="12">
        <f t="shared" si="196"/>
        <v>0</v>
      </c>
      <c r="IK162" s="12">
        <f t="shared" si="197"/>
        <v>0</v>
      </c>
      <c r="IL162" s="12">
        <f t="shared" si="198"/>
        <v>0</v>
      </c>
      <c r="IM162" s="12">
        <f t="shared" si="199"/>
        <v>0</v>
      </c>
      <c r="IN162" s="12">
        <f t="shared" si="200"/>
        <v>0</v>
      </c>
      <c r="IO162" s="12">
        <f t="shared" si="201"/>
        <v>0</v>
      </c>
      <c r="IP162" s="12">
        <f t="shared" si="202"/>
        <v>0</v>
      </c>
      <c r="IQ162" s="12">
        <f t="shared" si="203"/>
        <v>0</v>
      </c>
      <c r="IR162" s="12">
        <f t="shared" si="204"/>
        <v>0</v>
      </c>
      <c r="IS162" s="12">
        <f t="shared" si="205"/>
        <v>0</v>
      </c>
      <c r="IT162" s="12">
        <f t="shared" si="206"/>
        <v>0</v>
      </c>
      <c r="IU162" s="12">
        <f t="shared" si="207"/>
        <v>0</v>
      </c>
      <c r="IV162" s="12">
        <f t="shared" si="208"/>
        <v>0</v>
      </c>
      <c r="IW162" s="12">
        <f t="shared" si="209"/>
        <v>0</v>
      </c>
      <c r="IX162" s="12">
        <f t="shared" si="210"/>
        <v>0</v>
      </c>
      <c r="IY162" s="12">
        <f t="shared" si="211"/>
        <v>0</v>
      </c>
      <c r="IZ162" s="12">
        <f t="shared" si="212"/>
        <v>1</v>
      </c>
      <c r="JA162" s="13">
        <f t="shared" si="213"/>
        <v>0</v>
      </c>
      <c r="JB162" s="13">
        <f t="shared" si="214"/>
        <v>0</v>
      </c>
      <c r="JC162" s="13">
        <f t="shared" si="215"/>
        <v>0</v>
      </c>
      <c r="JD162" s="13">
        <f t="shared" si="216"/>
        <v>0</v>
      </c>
      <c r="JE162" s="13">
        <f t="shared" si="217"/>
        <v>0</v>
      </c>
      <c r="JF162" s="13">
        <f t="shared" si="218"/>
        <v>0</v>
      </c>
      <c r="JG162" s="13">
        <f t="shared" si="219"/>
        <v>0</v>
      </c>
      <c r="JH162" s="13">
        <f t="shared" si="220"/>
        <v>0</v>
      </c>
      <c r="JI162" s="13">
        <f t="shared" si="221"/>
        <v>0</v>
      </c>
      <c r="JJ162" s="13">
        <f t="shared" si="222"/>
        <v>0</v>
      </c>
      <c r="JK162" s="13">
        <f t="shared" si="223"/>
        <v>0</v>
      </c>
      <c r="JL162" s="13">
        <f t="shared" si="224"/>
        <v>0</v>
      </c>
      <c r="JM162" s="13">
        <f t="shared" si="225"/>
        <v>0</v>
      </c>
      <c r="JN162" s="13">
        <f t="shared" si="226"/>
        <v>0</v>
      </c>
      <c r="JO162" s="13">
        <f t="shared" si="227"/>
        <v>0</v>
      </c>
      <c r="JP162" s="13">
        <f t="shared" si="228"/>
        <v>0</v>
      </c>
      <c r="JQ162" s="13">
        <f t="shared" si="229"/>
        <v>0</v>
      </c>
      <c r="JR162" s="13">
        <f t="shared" si="230"/>
        <v>0</v>
      </c>
      <c r="JS162" s="13">
        <f t="shared" si="231"/>
        <v>0</v>
      </c>
      <c r="JT162" s="13">
        <f t="shared" si="232"/>
        <v>0</v>
      </c>
      <c r="JU162" s="13">
        <f t="shared" si="233"/>
        <v>0</v>
      </c>
      <c r="JV162" s="12">
        <f t="shared" si="234"/>
        <v>0</v>
      </c>
      <c r="JW162" s="12">
        <f t="shared" si="235"/>
        <v>0</v>
      </c>
      <c r="JX162" s="12">
        <f t="shared" si="236"/>
        <v>0</v>
      </c>
      <c r="JY162" s="12">
        <f t="shared" si="237"/>
        <v>0</v>
      </c>
      <c r="JZ162" s="12">
        <f t="shared" si="238"/>
        <v>0</v>
      </c>
      <c r="KA162" s="12">
        <f t="shared" si="239"/>
        <v>0</v>
      </c>
      <c r="KB162" s="12">
        <f t="shared" si="240"/>
        <v>0</v>
      </c>
      <c r="KC162" s="12">
        <f t="shared" si="241"/>
        <v>0</v>
      </c>
      <c r="KD162" s="12">
        <f t="shared" si="242"/>
        <v>0</v>
      </c>
      <c r="KE162" s="12">
        <f t="shared" si="243"/>
        <v>0</v>
      </c>
      <c r="KF162" s="12">
        <f t="shared" si="244"/>
        <v>0</v>
      </c>
      <c r="KG162" s="12">
        <f t="shared" si="245"/>
        <v>0</v>
      </c>
      <c r="KH162" s="12">
        <f t="shared" si="246"/>
        <v>0</v>
      </c>
      <c r="KI162" s="12">
        <f t="shared" si="247"/>
        <v>0</v>
      </c>
      <c r="KJ162" s="12">
        <f t="shared" si="248"/>
        <v>0</v>
      </c>
      <c r="KK162" s="12">
        <f t="shared" si="249"/>
        <v>0</v>
      </c>
      <c r="KL162" s="12">
        <f t="shared" si="250"/>
        <v>0</v>
      </c>
      <c r="KM162" s="12">
        <f t="shared" si="251"/>
        <v>0</v>
      </c>
      <c r="KN162" s="12">
        <f t="shared" si="252"/>
        <v>0</v>
      </c>
      <c r="KO162" s="12">
        <f t="shared" si="253"/>
        <v>0</v>
      </c>
      <c r="KP162" s="12">
        <f t="shared" si="254"/>
        <v>0</v>
      </c>
      <c r="KQ162" s="12">
        <f t="shared" si="255"/>
        <v>0</v>
      </c>
      <c r="KR162" s="12">
        <f t="shared" si="256"/>
        <v>0</v>
      </c>
      <c r="KS162" s="12">
        <f t="shared" si="257"/>
        <v>0</v>
      </c>
      <c r="KT162" s="12">
        <f t="shared" si="258"/>
        <v>0</v>
      </c>
      <c r="KU162" s="12">
        <f t="shared" si="259"/>
        <v>0</v>
      </c>
      <c r="KV162" s="12">
        <f t="shared" si="260"/>
        <v>0</v>
      </c>
      <c r="KW162" s="12">
        <f t="shared" si="261"/>
        <v>0</v>
      </c>
      <c r="KX162" s="12">
        <f t="shared" si="262"/>
        <v>0</v>
      </c>
      <c r="KY162" s="12">
        <f t="shared" si="263"/>
        <v>0</v>
      </c>
      <c r="KZ162" s="12">
        <f t="shared" si="264"/>
        <v>0</v>
      </c>
      <c r="LA162" s="12">
        <f t="shared" si="265"/>
        <v>0</v>
      </c>
      <c r="LB162" s="12">
        <f t="shared" si="266"/>
        <v>0</v>
      </c>
      <c r="LC162" s="12">
        <f t="shared" si="267"/>
        <v>0</v>
      </c>
      <c r="LD162" s="12">
        <f t="shared" si="268"/>
        <v>0</v>
      </c>
      <c r="LE162" s="12">
        <f t="shared" si="269"/>
        <v>0</v>
      </c>
      <c r="LF162" s="12">
        <f t="shared" si="270"/>
        <v>0</v>
      </c>
      <c r="LG162" s="12">
        <f t="shared" si="271"/>
        <v>0</v>
      </c>
      <c r="LH162" s="12">
        <f t="shared" si="272"/>
        <v>0</v>
      </c>
      <c r="LI162" s="12">
        <f t="shared" si="273"/>
        <v>0</v>
      </c>
      <c r="LJ162" s="12">
        <f t="shared" si="274"/>
        <v>0</v>
      </c>
      <c r="LK162" s="12">
        <f t="shared" si="275"/>
        <v>0</v>
      </c>
      <c r="LL162" s="12">
        <f t="shared" si="276"/>
        <v>0</v>
      </c>
      <c r="LM162" s="12">
        <f t="shared" si="277"/>
        <v>0</v>
      </c>
      <c r="LN162" s="12">
        <f t="shared" si="278"/>
        <v>0</v>
      </c>
      <c r="LO162" s="12">
        <f t="shared" si="279"/>
        <v>0</v>
      </c>
      <c r="LP162" s="12">
        <f t="shared" si="280"/>
        <v>0</v>
      </c>
      <c r="LQ162" s="12">
        <f t="shared" si="281"/>
        <v>0</v>
      </c>
      <c r="LR162" s="12">
        <f t="shared" si="282"/>
        <v>0</v>
      </c>
      <c r="LS162" s="12">
        <f t="shared" si="283"/>
        <v>0</v>
      </c>
      <c r="LT162" s="13">
        <f t="shared" si="284"/>
        <v>0</v>
      </c>
      <c r="LU162" s="13">
        <f t="shared" si="285"/>
        <v>0</v>
      </c>
      <c r="LV162" s="13">
        <f t="shared" si="286"/>
        <v>0</v>
      </c>
      <c r="LW162" s="13">
        <f t="shared" si="287"/>
        <v>0</v>
      </c>
      <c r="LX162" s="13">
        <f t="shared" si="288"/>
        <v>0</v>
      </c>
      <c r="LY162" s="13">
        <f t="shared" si="289"/>
        <v>0</v>
      </c>
      <c r="LZ162" s="13">
        <f t="shared" si="290"/>
        <v>0</v>
      </c>
      <c r="MA162" s="13">
        <f t="shared" si="291"/>
        <v>0</v>
      </c>
      <c r="MB162" s="13">
        <f t="shared" si="292"/>
        <v>0</v>
      </c>
      <c r="MC162" s="13">
        <f t="shared" si="293"/>
        <v>0</v>
      </c>
      <c r="MD162" s="13">
        <f t="shared" si="294"/>
        <v>0</v>
      </c>
      <c r="ME162" s="13">
        <f t="shared" si="295"/>
        <v>0</v>
      </c>
      <c r="MF162" s="13">
        <f t="shared" si="296"/>
        <v>0</v>
      </c>
      <c r="MG162" s="13">
        <f t="shared" si="297"/>
        <v>0</v>
      </c>
      <c r="MH162" s="13">
        <f t="shared" si="298"/>
        <v>0</v>
      </c>
      <c r="MI162" s="13">
        <f t="shared" si="299"/>
        <v>0</v>
      </c>
      <c r="MJ162" s="13">
        <f t="shared" si="300"/>
        <v>0</v>
      </c>
      <c r="MK162" s="13">
        <f t="shared" si="301"/>
        <v>0</v>
      </c>
      <c r="ML162" s="14">
        <f t="shared" si="302"/>
        <v>0</v>
      </c>
      <c r="MM162" s="14">
        <f t="shared" si="303"/>
        <v>0</v>
      </c>
      <c r="MN162" s="14">
        <f t="shared" si="304"/>
        <v>0</v>
      </c>
      <c r="MO162" s="14">
        <f t="shared" si="305"/>
        <v>0</v>
      </c>
      <c r="MP162" s="14">
        <f t="shared" si="306"/>
        <v>0</v>
      </c>
      <c r="MQ162" s="14">
        <f t="shared" si="307"/>
        <v>0</v>
      </c>
      <c r="MR162" s="14">
        <f t="shared" si="308"/>
        <v>0</v>
      </c>
      <c r="MS162" s="14">
        <f t="shared" si="309"/>
        <v>0</v>
      </c>
      <c r="MT162" s="14">
        <f t="shared" si="310"/>
        <v>0</v>
      </c>
      <c r="MU162" s="14">
        <f t="shared" si="311"/>
        <v>0</v>
      </c>
      <c r="MV162" s="14">
        <f t="shared" si="312"/>
        <v>0</v>
      </c>
      <c r="MW162" s="14">
        <f t="shared" si="313"/>
        <v>0</v>
      </c>
      <c r="MX162" s="14">
        <f t="shared" si="314"/>
        <v>0</v>
      </c>
      <c r="MY162" s="14">
        <f t="shared" si="315"/>
        <v>0</v>
      </c>
      <c r="MZ162" s="14">
        <f t="shared" si="316"/>
        <v>0</v>
      </c>
      <c r="NA162" s="14">
        <f t="shared" si="317"/>
        <v>0</v>
      </c>
      <c r="NB162" s="14">
        <f t="shared" si="318"/>
        <v>0</v>
      </c>
    </row>
    <row r="163" ht="15.75" customHeight="1">
      <c r="A163" s="2">
        <v>184.0</v>
      </c>
      <c r="B163" s="2" t="s">
        <v>3101</v>
      </c>
      <c r="C163" s="2" t="s">
        <v>3102</v>
      </c>
      <c r="D163" s="2" t="s">
        <v>3103</v>
      </c>
      <c r="E163" s="2">
        <v>2020.0</v>
      </c>
      <c r="F163" s="2" t="s">
        <v>3104</v>
      </c>
      <c r="G163" s="2" t="s">
        <v>510</v>
      </c>
      <c r="H163" s="2" t="s">
        <v>510</v>
      </c>
      <c r="J163" s="2" t="s">
        <v>3105</v>
      </c>
      <c r="K163" s="2" t="s">
        <v>3106</v>
      </c>
      <c r="M163" s="2">
        <v>2.0</v>
      </c>
      <c r="N163" s="2" t="s">
        <v>3107</v>
      </c>
      <c r="O163" s="2" t="s">
        <v>3108</v>
      </c>
      <c r="Q163" s="2" t="s">
        <v>3109</v>
      </c>
      <c r="R163" s="2" t="s">
        <v>3110</v>
      </c>
      <c r="S163" s="2" t="s">
        <v>3111</v>
      </c>
      <c r="Y163" s="2" t="s">
        <v>3112</v>
      </c>
      <c r="AB163" s="2" t="s">
        <v>2214</v>
      </c>
      <c r="AG163" s="2" t="s">
        <v>3113</v>
      </c>
      <c r="AK163" s="2" t="s">
        <v>3114</v>
      </c>
      <c r="AL163" s="2" t="s">
        <v>384</v>
      </c>
      <c r="AM163" s="2" t="s">
        <v>1306</v>
      </c>
      <c r="AN163" s="2" t="s">
        <v>386</v>
      </c>
      <c r="AO163" s="2" t="s">
        <v>3115</v>
      </c>
      <c r="AP163" s="2" t="s">
        <v>386</v>
      </c>
      <c r="AQ163" s="2">
        <v>732.0</v>
      </c>
      <c r="AR163" s="2" t="s">
        <v>3116</v>
      </c>
      <c r="AS163" s="2" t="b">
        <v>0</v>
      </c>
      <c r="AT163" s="3">
        <v>0.0</v>
      </c>
      <c r="AU163" s="4"/>
      <c r="AV163" s="4"/>
      <c r="AW163" s="5">
        <f t="shared" si="432"/>
        <v>0</v>
      </c>
      <c r="AX163" s="5">
        <f t="shared" si="4"/>
        <v>0</v>
      </c>
      <c r="AY163" s="5">
        <f t="shared" si="5"/>
        <v>0</v>
      </c>
      <c r="AZ163" s="5">
        <f t="shared" si="6"/>
        <v>0</v>
      </c>
      <c r="BA163" s="5">
        <f t="shared" si="7"/>
        <v>0</v>
      </c>
      <c r="BB163" s="5">
        <f t="shared" si="8"/>
        <v>0</v>
      </c>
      <c r="BC163" s="5">
        <f t="shared" si="9"/>
        <v>0</v>
      </c>
      <c r="BD163" s="5">
        <f t="shared" si="10"/>
        <v>0</v>
      </c>
      <c r="BE163" s="5">
        <f t="shared" si="11"/>
        <v>0</v>
      </c>
      <c r="BF163" s="5">
        <f t="shared" si="12"/>
        <v>0</v>
      </c>
      <c r="BG163" s="5">
        <f t="shared" si="13"/>
        <v>0</v>
      </c>
      <c r="BH163" s="5">
        <f t="shared" si="14"/>
        <v>0</v>
      </c>
      <c r="BI163" s="5">
        <f t="shared" si="15"/>
        <v>0</v>
      </c>
      <c r="BJ163" s="5">
        <f t="shared" si="16"/>
        <v>0</v>
      </c>
      <c r="BK163" s="5">
        <f t="shared" si="17"/>
        <v>0</v>
      </c>
      <c r="BL163" s="5">
        <f t="shared" si="18"/>
        <v>0</v>
      </c>
      <c r="BM163" s="5">
        <f t="shared" si="19"/>
        <v>0</v>
      </c>
      <c r="BN163" s="5">
        <f t="shared" si="20"/>
        <v>0</v>
      </c>
      <c r="BO163" s="5">
        <f t="shared" si="21"/>
        <v>0</v>
      </c>
      <c r="BP163" s="5">
        <f t="shared" si="22"/>
        <v>0</v>
      </c>
      <c r="BQ163" s="5">
        <f t="shared" si="23"/>
        <v>0</v>
      </c>
      <c r="BR163" s="5">
        <f t="shared" si="24"/>
        <v>0</v>
      </c>
      <c r="BS163" s="5">
        <f t="shared" si="25"/>
        <v>0</v>
      </c>
      <c r="BT163" s="5">
        <f t="shared" si="26"/>
        <v>0</v>
      </c>
      <c r="BU163" s="5">
        <f t="shared" si="27"/>
        <v>0</v>
      </c>
      <c r="BV163" s="5">
        <f t="shared" ref="BV163:BW163" si="679">IF(OR(ISNUMBER(SEARCH("grit",$D163)),ISNUMBER(SEARCH("grit",$T163)),ISNUMBER(SEARCH("grit",$R163)),ISNUMBER(SEARCH("grit",$S163)),
ISNUMBER(SEARCH("determination",$D163)),ISNUMBER(SEARCH("determination",$T163)),ISNUMBER(SEARCH("determination",$R163)),ISNUMBER(SEARCH("determination",$S163)),
ISNUMBER(SEARCH("tenacity",$D163)),ISNUMBER(SEARCH("tenacity",$T163)),ISNUMBER(SEARCH("tenacity",$R163)),ISNUMBER(SEARCH("tenacity",$S163)),
ISNUMBER(SEARCH("endurance",$D163)),ISNUMBER(SEARCH("endurance",$T163)),ISNUMBER(SEARCH("endurance",$R163)),ISNUMBER(SEARCH("endurance",$S163)),
ISNUMBER(SEARCH("fortitude",$D163)),ISNUMBER(SEARCH("fortitude",$T163)),ISNUMBER(SEARCH("fortitude",$R163)),ISNUMBER(SEARCH("fortitude",$S163)),
ISNUMBER(SEARCH("resolve",$D163)),ISNUMBER(SEARCH("resolve",$T163)),ISNUMBER(SEARCH("resolve",$R163)),ISNUMBER(SEARCH("resolve",$S163)),
ISNUMBER(SEARCH("stamina",$D163)),ISNUMBER(SEARCH("stamina",$T163)),ISNUMBER(SEARCH("stamina",$R163)),ISNUMBER(SEARCH("stamina",$S163)),
ISNUMBER(SEARCH("guts",$D163)),ISNUMBER(SEARCH("guts",$T163)),ISNUMBER(SEARCH("guts",$R163)),ISNUMBER(SEARCH("guts",$S163)),
ISNUMBER(SEARCH("spunk",$D163)),ISNUMBER(SEARCH("spunk",$T163)),ISNUMBER(SEARCH("spunk",$R163)),ISNUMBER(SEARCH("spunk",$S163))), 1, 0)</f>
        <v>0</v>
      </c>
      <c r="BW163" s="5">
        <f t="shared" si="679"/>
        <v>0</v>
      </c>
      <c r="BX163" s="5">
        <f t="shared" si="29"/>
        <v>0</v>
      </c>
      <c r="BY163" s="5">
        <f t="shared" si="30"/>
        <v>0</v>
      </c>
      <c r="BZ163" s="5">
        <f t="shared" si="31"/>
        <v>0</v>
      </c>
      <c r="CA163" s="5">
        <f t="shared" si="32"/>
        <v>0</v>
      </c>
      <c r="CB163" s="5">
        <f t="shared" si="33"/>
        <v>0</v>
      </c>
      <c r="CC163" s="5">
        <f t="shared" si="34"/>
        <v>0</v>
      </c>
      <c r="CD163" s="5">
        <f t="shared" si="35"/>
        <v>0</v>
      </c>
      <c r="CE163" s="5">
        <f t="shared" si="36"/>
        <v>0</v>
      </c>
      <c r="CF163" s="5">
        <f t="shared" si="37"/>
        <v>0</v>
      </c>
      <c r="CG163" s="5">
        <f t="shared" si="38"/>
        <v>0</v>
      </c>
      <c r="CH163" s="5">
        <f t="shared" si="39"/>
        <v>0</v>
      </c>
      <c r="CI163" s="5">
        <f t="shared" si="40"/>
        <v>0</v>
      </c>
      <c r="CJ163" s="5">
        <f t="shared" si="41"/>
        <v>0</v>
      </c>
      <c r="CK163" s="5">
        <f t="shared" si="42"/>
        <v>0</v>
      </c>
      <c r="CL163" s="5">
        <f t="shared" si="43"/>
        <v>0</v>
      </c>
      <c r="CM163" s="5">
        <f t="shared" si="44"/>
        <v>0</v>
      </c>
      <c r="CN163" s="5">
        <f t="shared" si="45"/>
        <v>0</v>
      </c>
      <c r="CO163" s="5">
        <f t="shared" si="46"/>
        <v>0</v>
      </c>
      <c r="CP163" s="6">
        <f t="shared" si="47"/>
        <v>0</v>
      </c>
      <c r="CQ163" s="6">
        <f t="shared" si="48"/>
        <v>0</v>
      </c>
      <c r="CR163" s="6">
        <f t="shared" si="49"/>
        <v>0</v>
      </c>
      <c r="CS163" s="6">
        <f t="shared" si="50"/>
        <v>0</v>
      </c>
      <c r="CT163" s="6">
        <f t="shared" si="584"/>
        <v>0</v>
      </c>
      <c r="CU163" s="6">
        <f t="shared" si="52"/>
        <v>0</v>
      </c>
      <c r="CV163" s="6">
        <f t="shared" si="53"/>
        <v>0</v>
      </c>
      <c r="CW163" s="6">
        <f t="shared" si="54"/>
        <v>0</v>
      </c>
      <c r="CX163" s="6">
        <f t="shared" si="55"/>
        <v>0</v>
      </c>
      <c r="CY163" s="6">
        <f t="shared" si="56"/>
        <v>0</v>
      </c>
      <c r="CZ163" s="6">
        <f t="shared" si="57"/>
        <v>0</v>
      </c>
      <c r="DA163" s="6">
        <f t="shared" si="58"/>
        <v>0</v>
      </c>
      <c r="DB163" s="6">
        <f t="shared" si="59"/>
        <v>0</v>
      </c>
      <c r="DC163" s="6">
        <f t="shared" si="60"/>
        <v>0</v>
      </c>
      <c r="DD163" s="6">
        <f t="shared" si="61"/>
        <v>0</v>
      </c>
      <c r="DE163" s="6">
        <f t="shared" si="62"/>
        <v>0</v>
      </c>
      <c r="DF163" s="6">
        <f t="shared" si="63"/>
        <v>0</v>
      </c>
      <c r="DG163" s="6">
        <f t="shared" si="64"/>
        <v>0</v>
      </c>
      <c r="DH163" s="6">
        <f t="shared" si="652"/>
        <v>0</v>
      </c>
      <c r="DI163" s="6">
        <f t="shared" si="66"/>
        <v>0</v>
      </c>
      <c r="DJ163" s="6">
        <f t="shared" si="653"/>
        <v>0</v>
      </c>
      <c r="DK163" s="7">
        <f t="shared" si="68"/>
        <v>0</v>
      </c>
      <c r="DL163" s="7">
        <f t="shared" si="498"/>
        <v>0</v>
      </c>
      <c r="DM163" s="7">
        <f t="shared" si="70"/>
        <v>0</v>
      </c>
      <c r="DN163" s="7">
        <f t="shared" si="71"/>
        <v>0</v>
      </c>
      <c r="DO163" s="7">
        <f t="shared" si="72"/>
        <v>0</v>
      </c>
      <c r="DP163" s="8">
        <f t="shared" si="73"/>
        <v>0</v>
      </c>
      <c r="DQ163" s="8">
        <f t="shared" si="74"/>
        <v>1</v>
      </c>
      <c r="DR163" s="7">
        <f t="shared" si="75"/>
        <v>0</v>
      </c>
      <c r="DS163" s="7">
        <f t="shared" si="76"/>
        <v>0</v>
      </c>
      <c r="DT163" s="7">
        <f t="shared" si="77"/>
        <v>0</v>
      </c>
      <c r="DU163" s="9">
        <f t="shared" si="78"/>
        <v>0</v>
      </c>
      <c r="DV163" s="9">
        <f t="shared" si="79"/>
        <v>0</v>
      </c>
      <c r="DW163" s="9">
        <f t="shared" si="80"/>
        <v>0</v>
      </c>
      <c r="DX163" s="9">
        <f t="shared" si="81"/>
        <v>0</v>
      </c>
      <c r="DY163" s="9">
        <f t="shared" si="82"/>
        <v>0</v>
      </c>
      <c r="DZ163" s="9">
        <f t="shared" si="83"/>
        <v>0</v>
      </c>
      <c r="EA163" s="9">
        <f t="shared" si="84"/>
        <v>0</v>
      </c>
      <c r="EB163" s="9">
        <f t="shared" si="85"/>
        <v>0</v>
      </c>
      <c r="EC163" s="9">
        <f t="shared" si="86"/>
        <v>0</v>
      </c>
      <c r="ED163" s="9">
        <f t="shared" si="87"/>
        <v>0</v>
      </c>
      <c r="EE163" s="9">
        <f t="shared" si="88"/>
        <v>0</v>
      </c>
      <c r="EF163" s="9">
        <f t="shared" si="89"/>
        <v>0</v>
      </c>
      <c r="EG163" s="9">
        <f t="shared" si="90"/>
        <v>0</v>
      </c>
      <c r="EH163" s="9">
        <f t="shared" si="91"/>
        <v>0</v>
      </c>
      <c r="EI163" s="9">
        <f t="shared" si="92"/>
        <v>0</v>
      </c>
      <c r="EJ163" s="10">
        <f t="shared" si="93"/>
        <v>0</v>
      </c>
      <c r="EK163" s="10">
        <f t="shared" si="94"/>
        <v>0</v>
      </c>
      <c r="EL163" s="10">
        <f t="shared" ref="EL163:EM163" si="680">IF(OR(ISNUMBER(SEARCH("ai software toolkit", $D163)), ISNUMBER(SEARCH("ai software toolkit", $T163)), ISNUMBER(SEARCH("ai software toolkit", $R163)), ISNUMBER(SEARCH("ai software toolkit", $S163))), 1, 0)</f>
        <v>0</v>
      </c>
      <c r="EM163" s="10">
        <f t="shared" si="680"/>
        <v>0</v>
      </c>
      <c r="EN163" s="10">
        <f t="shared" si="96"/>
        <v>0</v>
      </c>
      <c r="EO163" s="10">
        <f t="shared" si="97"/>
        <v>0</v>
      </c>
      <c r="EP163" s="10">
        <f t="shared" si="98"/>
        <v>0</v>
      </c>
      <c r="EQ163" s="10">
        <f t="shared" si="99"/>
        <v>0</v>
      </c>
      <c r="ER163" s="10">
        <f t="shared" si="100"/>
        <v>0</v>
      </c>
      <c r="ES163" s="10">
        <f t="shared" si="101"/>
        <v>0</v>
      </c>
      <c r="ET163" s="10">
        <f t="shared" si="102"/>
        <v>0</v>
      </c>
      <c r="EU163" s="10">
        <f t="shared" si="103"/>
        <v>0</v>
      </c>
      <c r="EV163" s="10">
        <f t="shared" si="104"/>
        <v>0</v>
      </c>
      <c r="EW163" s="10">
        <f t="shared" si="105"/>
        <v>0</v>
      </c>
      <c r="EX163" s="10">
        <f t="shared" si="106"/>
        <v>0</v>
      </c>
      <c r="EY163" s="10">
        <f t="shared" si="107"/>
        <v>0</v>
      </c>
      <c r="EZ163" s="10">
        <f t="shared" si="108"/>
        <v>0</v>
      </c>
      <c r="FA163" s="10">
        <f t="shared" si="109"/>
        <v>0</v>
      </c>
      <c r="FB163" s="10">
        <f t="shared" si="110"/>
        <v>0</v>
      </c>
      <c r="FC163" s="10">
        <f t="shared" si="111"/>
        <v>0</v>
      </c>
      <c r="FD163" s="10">
        <f t="shared" si="112"/>
        <v>0</v>
      </c>
      <c r="FE163" s="10">
        <f t="shared" si="113"/>
        <v>0</v>
      </c>
      <c r="FF163" s="10">
        <f t="shared" si="114"/>
        <v>0</v>
      </c>
      <c r="FG163" s="10">
        <f t="shared" si="115"/>
        <v>0</v>
      </c>
      <c r="FH163" s="10">
        <f t="shared" si="116"/>
        <v>0</v>
      </c>
      <c r="FI163" s="10">
        <f t="shared" si="117"/>
        <v>0</v>
      </c>
      <c r="FJ163" s="10">
        <f t="shared" si="118"/>
        <v>0</v>
      </c>
      <c r="FK163" s="10">
        <f t="shared" si="119"/>
        <v>0</v>
      </c>
      <c r="FL163" s="10">
        <f t="shared" si="120"/>
        <v>0</v>
      </c>
      <c r="FM163" s="10">
        <f t="shared" si="121"/>
        <v>0</v>
      </c>
      <c r="FN163" s="10">
        <f t="shared" si="122"/>
        <v>0</v>
      </c>
      <c r="FO163" s="10">
        <f t="shared" si="123"/>
        <v>0</v>
      </c>
      <c r="FP163" s="10">
        <f t="shared" si="124"/>
        <v>0</v>
      </c>
      <c r="FQ163" s="10">
        <f t="shared" si="125"/>
        <v>0</v>
      </c>
      <c r="FR163" s="11">
        <f t="shared" ref="FR163:FR173" si="683">IF(
OR(
ISNUMBER(SEARCH("chatbot",$D163)),ISNUMBER(SEARCH("chatbot",$T163)),ISNUMBER(SEARCH("chatbot",#REF!)),ISNUMBER(SEARCH("chatbot",$S163)),
ISNUMBER(SEARCH("virtual assistance",$D163)),ISNUMBER(SEARCH("virtual assistance",$T163)),ISNUMBER(SEARCH("virtual assistance",$R163)),ISNUMBER(SEARCH("virtual assistance",$S163))), 1, 0)</f>
        <v>0</v>
      </c>
      <c r="FS163" s="11">
        <f t="shared" si="127"/>
        <v>0</v>
      </c>
      <c r="FT163" s="11">
        <f t="shared" si="128"/>
        <v>0</v>
      </c>
      <c r="FU163" s="11">
        <f t="shared" si="129"/>
        <v>0</v>
      </c>
      <c r="FV163" s="11">
        <f t="shared" si="130"/>
        <v>0</v>
      </c>
      <c r="FW163" s="11">
        <f t="shared" si="131"/>
        <v>0</v>
      </c>
      <c r="FX163" s="11">
        <f t="shared" si="132"/>
        <v>0</v>
      </c>
      <c r="FY163" s="11">
        <f t="shared" si="133"/>
        <v>0</v>
      </c>
      <c r="FZ163" s="11">
        <f t="shared" si="134"/>
        <v>0</v>
      </c>
      <c r="GA163" s="11">
        <f t="shared" si="135"/>
        <v>0</v>
      </c>
      <c r="GB163" s="11">
        <f t="shared" si="136"/>
        <v>0</v>
      </c>
      <c r="GC163" s="11">
        <f t="shared" si="137"/>
        <v>0</v>
      </c>
      <c r="GD163" s="11">
        <f t="shared" si="138"/>
        <v>0</v>
      </c>
      <c r="GE163" s="11">
        <f t="shared" si="139"/>
        <v>0</v>
      </c>
      <c r="GF163" s="11">
        <f t="shared" si="140"/>
        <v>0</v>
      </c>
      <c r="GG163" s="11">
        <f t="shared" si="141"/>
        <v>0</v>
      </c>
      <c r="GH163" s="11">
        <f t="shared" si="142"/>
        <v>0</v>
      </c>
      <c r="GI163" s="11">
        <f t="shared" si="143"/>
        <v>0</v>
      </c>
      <c r="GJ163" s="11">
        <f t="shared" si="144"/>
        <v>0</v>
      </c>
      <c r="GK163" s="11">
        <f t="shared" si="145"/>
        <v>0</v>
      </c>
      <c r="GL163" s="11">
        <f t="shared" si="146"/>
        <v>0</v>
      </c>
      <c r="GM163" s="11">
        <f t="shared" si="147"/>
        <v>0</v>
      </c>
      <c r="GN163" s="11">
        <f t="shared" si="148"/>
        <v>0</v>
      </c>
      <c r="GO163" s="11">
        <f t="shared" si="149"/>
        <v>0</v>
      </c>
      <c r="GP163" s="11">
        <f t="shared" si="150"/>
        <v>0</v>
      </c>
      <c r="GQ163" s="11">
        <f t="shared" si="151"/>
        <v>0</v>
      </c>
      <c r="GR163" s="11">
        <f t="shared" si="152"/>
        <v>0</v>
      </c>
      <c r="GS163" s="11">
        <f t="shared" si="153"/>
        <v>0</v>
      </c>
      <c r="GT163" s="11">
        <f t="shared" si="154"/>
        <v>0</v>
      </c>
      <c r="GU163" s="12">
        <f t="shared" si="155"/>
        <v>0</v>
      </c>
      <c r="GV163" s="12">
        <f t="shared" si="156"/>
        <v>0</v>
      </c>
      <c r="GW163" s="12">
        <f t="shared" si="157"/>
        <v>0</v>
      </c>
      <c r="GX163" s="12">
        <f t="shared" si="158"/>
        <v>0</v>
      </c>
      <c r="GY163" s="12">
        <f t="shared" si="159"/>
        <v>0</v>
      </c>
      <c r="GZ163" s="12">
        <f t="shared" si="160"/>
        <v>0</v>
      </c>
      <c r="HA163" s="12">
        <f t="shared" si="161"/>
        <v>0</v>
      </c>
      <c r="HB163" s="12">
        <f t="shared" si="162"/>
        <v>0</v>
      </c>
      <c r="HC163" s="12">
        <f t="shared" si="163"/>
        <v>0</v>
      </c>
      <c r="HD163" s="12">
        <f t="shared" si="164"/>
        <v>0</v>
      </c>
      <c r="HE163" s="12">
        <f t="shared" si="165"/>
        <v>0</v>
      </c>
      <c r="HF163" s="12">
        <f t="shared" si="166"/>
        <v>0</v>
      </c>
      <c r="HG163" s="12">
        <f t="shared" si="167"/>
        <v>0</v>
      </c>
      <c r="HH163" s="12">
        <f t="shared" si="168"/>
        <v>0</v>
      </c>
      <c r="HI163" s="12">
        <f t="shared" si="169"/>
        <v>0</v>
      </c>
      <c r="HJ163" s="12">
        <f t="shared" si="170"/>
        <v>0</v>
      </c>
      <c r="HK163" s="12">
        <f t="shared" si="171"/>
        <v>0</v>
      </c>
      <c r="HL163" s="12">
        <f t="shared" si="172"/>
        <v>0</v>
      </c>
      <c r="HM163" s="12">
        <f t="shared" si="173"/>
        <v>0</v>
      </c>
      <c r="HN163" s="12">
        <f t="shared" si="174"/>
        <v>0</v>
      </c>
      <c r="HO163" s="12">
        <f t="shared" si="175"/>
        <v>0</v>
      </c>
      <c r="HP163" s="12">
        <f t="shared" si="176"/>
        <v>0</v>
      </c>
      <c r="HQ163" s="12">
        <f t="shared" si="177"/>
        <v>0</v>
      </c>
      <c r="HR163" s="12">
        <f t="shared" si="178"/>
        <v>0</v>
      </c>
      <c r="HS163" s="12">
        <f t="shared" si="179"/>
        <v>0</v>
      </c>
      <c r="HT163" s="12">
        <f t="shared" si="180"/>
        <v>0</v>
      </c>
      <c r="HU163" s="12">
        <f t="shared" si="181"/>
        <v>0</v>
      </c>
      <c r="HV163" s="12">
        <f t="shared" si="182"/>
        <v>0</v>
      </c>
      <c r="HW163" s="12">
        <f t="shared" si="183"/>
        <v>0</v>
      </c>
      <c r="HX163" s="12">
        <f t="shared" si="184"/>
        <v>0</v>
      </c>
      <c r="HY163" s="12">
        <f t="shared" si="185"/>
        <v>0</v>
      </c>
      <c r="HZ163" s="12">
        <f t="shared" si="186"/>
        <v>0</v>
      </c>
      <c r="IA163" s="12">
        <f t="shared" si="187"/>
        <v>0</v>
      </c>
      <c r="IB163" s="12">
        <f t="shared" si="188"/>
        <v>0</v>
      </c>
      <c r="IC163" s="12">
        <f t="shared" si="189"/>
        <v>0</v>
      </c>
      <c r="ID163" s="12">
        <f t="shared" si="190"/>
        <v>0</v>
      </c>
      <c r="IE163" s="12">
        <f t="shared" si="191"/>
        <v>0</v>
      </c>
      <c r="IF163" s="12">
        <f t="shared" si="192"/>
        <v>0</v>
      </c>
      <c r="IG163" s="12">
        <f t="shared" si="193"/>
        <v>0</v>
      </c>
      <c r="IH163" s="12">
        <f t="shared" si="194"/>
        <v>0</v>
      </c>
      <c r="II163" s="12">
        <f t="shared" si="195"/>
        <v>0</v>
      </c>
      <c r="IJ163" s="12">
        <f t="shared" si="196"/>
        <v>0</v>
      </c>
      <c r="IK163" s="12">
        <f t="shared" si="197"/>
        <v>0</v>
      </c>
      <c r="IL163" s="12">
        <f t="shared" si="198"/>
        <v>0</v>
      </c>
      <c r="IM163" s="12">
        <f t="shared" si="199"/>
        <v>0</v>
      </c>
      <c r="IN163" s="12">
        <f t="shared" si="200"/>
        <v>0</v>
      </c>
      <c r="IO163" s="12">
        <f t="shared" si="201"/>
        <v>0</v>
      </c>
      <c r="IP163" s="12">
        <f t="shared" si="202"/>
        <v>0</v>
      </c>
      <c r="IQ163" s="12">
        <f t="shared" si="203"/>
        <v>0</v>
      </c>
      <c r="IR163" s="12">
        <f t="shared" si="204"/>
        <v>0</v>
      </c>
      <c r="IS163" s="12">
        <f t="shared" si="205"/>
        <v>0</v>
      </c>
      <c r="IT163" s="12">
        <f t="shared" si="206"/>
        <v>0</v>
      </c>
      <c r="IU163" s="12">
        <f t="shared" si="207"/>
        <v>0</v>
      </c>
      <c r="IV163" s="12">
        <f t="shared" si="208"/>
        <v>0</v>
      </c>
      <c r="IW163" s="12">
        <f t="shared" si="209"/>
        <v>0</v>
      </c>
      <c r="IX163" s="12">
        <f t="shared" si="210"/>
        <v>0</v>
      </c>
      <c r="IY163" s="12">
        <f t="shared" si="211"/>
        <v>0</v>
      </c>
      <c r="IZ163" s="12">
        <f t="shared" si="212"/>
        <v>1</v>
      </c>
      <c r="JA163" s="13">
        <f t="shared" si="213"/>
        <v>0</v>
      </c>
      <c r="JB163" s="13">
        <f t="shared" si="214"/>
        <v>0</v>
      </c>
      <c r="JC163" s="13">
        <f t="shared" si="215"/>
        <v>0</v>
      </c>
      <c r="JD163" s="13">
        <f t="shared" si="216"/>
        <v>0</v>
      </c>
      <c r="JE163" s="13">
        <f t="shared" si="217"/>
        <v>0</v>
      </c>
      <c r="JF163" s="13">
        <f t="shared" si="218"/>
        <v>0</v>
      </c>
      <c r="JG163" s="13">
        <f t="shared" si="219"/>
        <v>0</v>
      </c>
      <c r="JH163" s="13">
        <f t="shared" si="220"/>
        <v>0</v>
      </c>
      <c r="JI163" s="13">
        <f t="shared" si="221"/>
        <v>0</v>
      </c>
      <c r="JJ163" s="13">
        <f t="shared" si="222"/>
        <v>0</v>
      </c>
      <c r="JK163" s="13">
        <f t="shared" si="223"/>
        <v>0</v>
      </c>
      <c r="JL163" s="13">
        <f t="shared" si="224"/>
        <v>0</v>
      </c>
      <c r="JM163" s="13">
        <f t="shared" si="225"/>
        <v>0</v>
      </c>
      <c r="JN163" s="13">
        <f t="shared" si="226"/>
        <v>0</v>
      </c>
      <c r="JO163" s="13">
        <f t="shared" si="227"/>
        <v>0</v>
      </c>
      <c r="JP163" s="13">
        <f t="shared" si="228"/>
        <v>0</v>
      </c>
      <c r="JQ163" s="13">
        <f t="shared" si="229"/>
        <v>0</v>
      </c>
      <c r="JR163" s="13">
        <f t="shared" si="230"/>
        <v>0</v>
      </c>
      <c r="JS163" s="13">
        <f t="shared" si="231"/>
        <v>0</v>
      </c>
      <c r="JT163" s="13">
        <f t="shared" si="232"/>
        <v>0</v>
      </c>
      <c r="JU163" s="13">
        <f t="shared" si="233"/>
        <v>0</v>
      </c>
      <c r="JV163" s="12">
        <f t="shared" si="234"/>
        <v>0</v>
      </c>
      <c r="JW163" s="12">
        <f t="shared" si="235"/>
        <v>0</v>
      </c>
      <c r="JX163" s="12">
        <f t="shared" si="236"/>
        <v>0</v>
      </c>
      <c r="JY163" s="12">
        <f t="shared" si="237"/>
        <v>0</v>
      </c>
      <c r="JZ163" s="12">
        <f t="shared" si="238"/>
        <v>0</v>
      </c>
      <c r="KA163" s="12">
        <f t="shared" si="239"/>
        <v>0</v>
      </c>
      <c r="KB163" s="12">
        <f t="shared" si="240"/>
        <v>0</v>
      </c>
      <c r="KC163" s="12">
        <f t="shared" si="241"/>
        <v>0</v>
      </c>
      <c r="KD163" s="12">
        <f t="shared" si="242"/>
        <v>0</v>
      </c>
      <c r="KE163" s="12">
        <f t="shared" si="243"/>
        <v>0</v>
      </c>
      <c r="KF163" s="12">
        <f t="shared" si="244"/>
        <v>0</v>
      </c>
      <c r="KG163" s="12">
        <f t="shared" si="245"/>
        <v>0</v>
      </c>
      <c r="KH163" s="12">
        <f t="shared" si="246"/>
        <v>0</v>
      </c>
      <c r="KI163" s="12">
        <f t="shared" si="247"/>
        <v>0</v>
      </c>
      <c r="KJ163" s="12">
        <f t="shared" si="248"/>
        <v>0</v>
      </c>
      <c r="KK163" s="12">
        <f t="shared" si="249"/>
        <v>0</v>
      </c>
      <c r="KL163" s="12">
        <f t="shared" si="250"/>
        <v>0</v>
      </c>
      <c r="KM163" s="12">
        <f t="shared" si="251"/>
        <v>0</v>
      </c>
      <c r="KN163" s="12">
        <f t="shared" si="252"/>
        <v>0</v>
      </c>
      <c r="KO163" s="12">
        <f t="shared" si="253"/>
        <v>0</v>
      </c>
      <c r="KP163" s="12">
        <f t="shared" si="254"/>
        <v>0</v>
      </c>
      <c r="KQ163" s="12">
        <f t="shared" si="255"/>
        <v>0</v>
      </c>
      <c r="KR163" s="12">
        <f t="shared" si="256"/>
        <v>0</v>
      </c>
      <c r="KS163" s="12">
        <f t="shared" si="257"/>
        <v>0</v>
      </c>
      <c r="KT163" s="12">
        <f t="shared" si="258"/>
        <v>0</v>
      </c>
      <c r="KU163" s="12">
        <f t="shared" si="259"/>
        <v>0</v>
      </c>
      <c r="KV163" s="12">
        <f t="shared" si="260"/>
        <v>0</v>
      </c>
      <c r="KW163" s="12">
        <f t="shared" si="261"/>
        <v>0</v>
      </c>
      <c r="KX163" s="12">
        <f t="shared" si="262"/>
        <v>0</v>
      </c>
      <c r="KY163" s="12">
        <f t="shared" si="263"/>
        <v>0</v>
      </c>
      <c r="KZ163" s="12">
        <f t="shared" si="264"/>
        <v>0</v>
      </c>
      <c r="LA163" s="12">
        <f t="shared" si="265"/>
        <v>0</v>
      </c>
      <c r="LB163" s="12">
        <f t="shared" si="266"/>
        <v>0</v>
      </c>
      <c r="LC163" s="12">
        <f t="shared" si="267"/>
        <v>0</v>
      </c>
      <c r="LD163" s="12">
        <f t="shared" si="268"/>
        <v>0</v>
      </c>
      <c r="LE163" s="12">
        <f t="shared" si="269"/>
        <v>0</v>
      </c>
      <c r="LF163" s="12">
        <f t="shared" si="270"/>
        <v>0</v>
      </c>
      <c r="LG163" s="12">
        <f t="shared" si="271"/>
        <v>0</v>
      </c>
      <c r="LH163" s="12">
        <f t="shared" si="272"/>
        <v>0</v>
      </c>
      <c r="LI163" s="12">
        <f t="shared" si="273"/>
        <v>0</v>
      </c>
      <c r="LJ163" s="12">
        <f t="shared" si="274"/>
        <v>0</v>
      </c>
      <c r="LK163" s="12">
        <f t="shared" si="275"/>
        <v>0</v>
      </c>
      <c r="LL163" s="12">
        <f t="shared" si="276"/>
        <v>0</v>
      </c>
      <c r="LM163" s="12">
        <f t="shared" si="277"/>
        <v>0</v>
      </c>
      <c r="LN163" s="12">
        <f t="shared" si="278"/>
        <v>0</v>
      </c>
      <c r="LO163" s="12">
        <f t="shared" si="279"/>
        <v>0</v>
      </c>
      <c r="LP163" s="12">
        <f t="shared" si="280"/>
        <v>0</v>
      </c>
      <c r="LQ163" s="12">
        <f t="shared" si="281"/>
        <v>0</v>
      </c>
      <c r="LR163" s="12">
        <f t="shared" si="282"/>
        <v>0</v>
      </c>
      <c r="LS163" s="12">
        <f t="shared" si="283"/>
        <v>0</v>
      </c>
      <c r="LT163" s="13">
        <f t="shared" si="284"/>
        <v>0</v>
      </c>
      <c r="LU163" s="13">
        <f t="shared" si="285"/>
        <v>0</v>
      </c>
      <c r="LV163" s="13">
        <f t="shared" si="286"/>
        <v>0</v>
      </c>
      <c r="LW163" s="13">
        <f t="shared" si="287"/>
        <v>0</v>
      </c>
      <c r="LX163" s="13">
        <f t="shared" si="288"/>
        <v>0</v>
      </c>
      <c r="LY163" s="13">
        <f t="shared" si="289"/>
        <v>0</v>
      </c>
      <c r="LZ163" s="13">
        <f t="shared" si="290"/>
        <v>0</v>
      </c>
      <c r="MA163" s="13">
        <f t="shared" si="291"/>
        <v>0</v>
      </c>
      <c r="MB163" s="13">
        <f t="shared" si="292"/>
        <v>0</v>
      </c>
      <c r="MC163" s="13">
        <f t="shared" si="293"/>
        <v>0</v>
      </c>
      <c r="MD163" s="13">
        <f t="shared" si="294"/>
        <v>0</v>
      </c>
      <c r="ME163" s="13">
        <f t="shared" si="295"/>
        <v>0</v>
      </c>
      <c r="MF163" s="13">
        <f t="shared" si="296"/>
        <v>0</v>
      </c>
      <c r="MG163" s="13">
        <f t="shared" si="297"/>
        <v>0</v>
      </c>
      <c r="MH163" s="13">
        <f t="shared" si="298"/>
        <v>0</v>
      </c>
      <c r="MI163" s="13">
        <f t="shared" si="299"/>
        <v>0</v>
      </c>
      <c r="MJ163" s="13">
        <f t="shared" si="300"/>
        <v>0</v>
      </c>
      <c r="MK163" s="13">
        <f t="shared" si="301"/>
        <v>0</v>
      </c>
      <c r="ML163" s="14">
        <f t="shared" si="302"/>
        <v>0</v>
      </c>
      <c r="MM163" s="14">
        <f t="shared" si="303"/>
        <v>0</v>
      </c>
      <c r="MN163" s="14">
        <f t="shared" si="304"/>
        <v>0</v>
      </c>
      <c r="MO163" s="14">
        <f t="shared" si="305"/>
        <v>0</v>
      </c>
      <c r="MP163" s="14">
        <f t="shared" si="306"/>
        <v>0</v>
      </c>
      <c r="MQ163" s="14">
        <f t="shared" si="307"/>
        <v>0</v>
      </c>
      <c r="MR163" s="14">
        <f t="shared" si="308"/>
        <v>0</v>
      </c>
      <c r="MS163" s="14">
        <f t="shared" si="309"/>
        <v>0</v>
      </c>
      <c r="MT163" s="14">
        <f t="shared" si="310"/>
        <v>0</v>
      </c>
      <c r="MU163" s="14">
        <f t="shared" si="311"/>
        <v>0</v>
      </c>
      <c r="MV163" s="14">
        <f t="shared" si="312"/>
        <v>0</v>
      </c>
      <c r="MW163" s="14">
        <f t="shared" si="313"/>
        <v>0</v>
      </c>
      <c r="MX163" s="14">
        <f t="shared" si="314"/>
        <v>0</v>
      </c>
      <c r="MY163" s="14">
        <f t="shared" si="315"/>
        <v>0</v>
      </c>
      <c r="MZ163" s="14">
        <f t="shared" si="316"/>
        <v>0</v>
      </c>
      <c r="NA163" s="14">
        <f t="shared" si="317"/>
        <v>0</v>
      </c>
      <c r="NB163" s="14">
        <f t="shared" si="318"/>
        <v>0</v>
      </c>
    </row>
    <row r="164" ht="15.75" customHeight="1">
      <c r="A164" s="2">
        <v>577.0</v>
      </c>
      <c r="B164" s="2" t="s">
        <v>3117</v>
      </c>
      <c r="C164" s="2" t="s">
        <v>3118</v>
      </c>
      <c r="D164" s="2" t="s">
        <v>3119</v>
      </c>
      <c r="E164" s="2">
        <v>2022.0</v>
      </c>
      <c r="F164" s="2" t="s">
        <v>527</v>
      </c>
      <c r="G164" s="2">
        <v>12.0</v>
      </c>
      <c r="H164" s="2" t="s">
        <v>392</v>
      </c>
      <c r="I164" s="2" t="s">
        <v>3120</v>
      </c>
      <c r="M164" s="2">
        <v>2.0</v>
      </c>
      <c r="N164" s="2" t="s">
        <v>3121</v>
      </c>
      <c r="O164" s="2" t="s">
        <v>3122</v>
      </c>
      <c r="P164" s="2" t="s">
        <v>3123</v>
      </c>
      <c r="Q164" s="2" t="s">
        <v>3124</v>
      </c>
      <c r="R164" s="2" t="s">
        <v>3125</v>
      </c>
      <c r="T164" s="2" t="s">
        <v>3126</v>
      </c>
      <c r="Y164" s="2" t="s">
        <v>3127</v>
      </c>
      <c r="AB164" s="2" t="s">
        <v>3128</v>
      </c>
      <c r="AG164" s="2" t="s">
        <v>537</v>
      </c>
      <c r="AJ164" s="2">
        <v>3.5260675E7</v>
      </c>
      <c r="AK164" s="2" t="s">
        <v>538</v>
      </c>
      <c r="AL164" s="2" t="s">
        <v>384</v>
      </c>
      <c r="AM164" s="2" t="s">
        <v>484</v>
      </c>
      <c r="AN164" s="2" t="s">
        <v>386</v>
      </c>
      <c r="AO164" s="2" t="s">
        <v>3129</v>
      </c>
      <c r="AP164" s="2" t="s">
        <v>386</v>
      </c>
      <c r="AQ164" s="2">
        <v>2222.0</v>
      </c>
      <c r="AR164" s="2" t="s">
        <v>3119</v>
      </c>
      <c r="AS164" s="2" t="b">
        <v>1</v>
      </c>
      <c r="AT164" s="3">
        <v>0.0</v>
      </c>
      <c r="AU164" s="4"/>
      <c r="AV164" s="4"/>
      <c r="AW164" s="5">
        <f t="shared" si="432"/>
        <v>0</v>
      </c>
      <c r="AX164" s="5">
        <f t="shared" si="4"/>
        <v>0</v>
      </c>
      <c r="AY164" s="5">
        <f t="shared" si="5"/>
        <v>0</v>
      </c>
      <c r="AZ164" s="5">
        <f t="shared" si="6"/>
        <v>0</v>
      </c>
      <c r="BA164" s="5">
        <f t="shared" si="7"/>
        <v>0</v>
      </c>
      <c r="BB164" s="5">
        <f t="shared" si="8"/>
        <v>0</v>
      </c>
      <c r="BC164" s="5">
        <f t="shared" si="9"/>
        <v>0</v>
      </c>
      <c r="BD164" s="5">
        <f t="shared" si="10"/>
        <v>0</v>
      </c>
      <c r="BE164" s="5">
        <f t="shared" si="11"/>
        <v>0</v>
      </c>
      <c r="BF164" s="5">
        <f t="shared" si="12"/>
        <v>0</v>
      </c>
      <c r="BG164" s="5">
        <f t="shared" si="13"/>
        <v>0</v>
      </c>
      <c r="BH164" s="5">
        <f t="shared" si="14"/>
        <v>0</v>
      </c>
      <c r="BI164" s="5">
        <f t="shared" si="15"/>
        <v>0</v>
      </c>
      <c r="BJ164" s="5">
        <f t="shared" si="16"/>
        <v>0</v>
      </c>
      <c r="BK164" s="5">
        <f t="shared" si="17"/>
        <v>0</v>
      </c>
      <c r="BL164" s="5">
        <f t="shared" si="18"/>
        <v>0</v>
      </c>
      <c r="BM164" s="5">
        <f t="shared" si="19"/>
        <v>0</v>
      </c>
      <c r="BN164" s="5">
        <f t="shared" si="20"/>
        <v>0</v>
      </c>
      <c r="BO164" s="5">
        <f t="shared" si="21"/>
        <v>0</v>
      </c>
      <c r="BP164" s="5">
        <f t="shared" si="22"/>
        <v>0</v>
      </c>
      <c r="BQ164" s="5">
        <f t="shared" si="23"/>
        <v>0</v>
      </c>
      <c r="BR164" s="5">
        <f t="shared" si="24"/>
        <v>0</v>
      </c>
      <c r="BS164" s="5">
        <f t="shared" si="25"/>
        <v>0</v>
      </c>
      <c r="BT164" s="5">
        <f t="shared" si="26"/>
        <v>0</v>
      </c>
      <c r="BU164" s="5">
        <f t="shared" si="27"/>
        <v>0</v>
      </c>
      <c r="BV164" s="5">
        <f t="shared" ref="BV164:BW164" si="681">IF(OR(ISNUMBER(SEARCH("grit",$D164)),ISNUMBER(SEARCH("grit",$T164)),ISNUMBER(SEARCH("grit",$R164)),ISNUMBER(SEARCH("grit",$S164)),
ISNUMBER(SEARCH("determination",$D164)),ISNUMBER(SEARCH("determination",$T164)),ISNUMBER(SEARCH("determination",$R164)),ISNUMBER(SEARCH("determination",$S164)),
ISNUMBER(SEARCH("tenacity",$D164)),ISNUMBER(SEARCH("tenacity",$T164)),ISNUMBER(SEARCH("tenacity",$R164)),ISNUMBER(SEARCH("tenacity",$S164)),
ISNUMBER(SEARCH("endurance",$D164)),ISNUMBER(SEARCH("endurance",$T164)),ISNUMBER(SEARCH("endurance",$R164)),ISNUMBER(SEARCH("endurance",$S164)),
ISNUMBER(SEARCH("fortitude",$D164)),ISNUMBER(SEARCH("fortitude",$T164)),ISNUMBER(SEARCH("fortitude",$R164)),ISNUMBER(SEARCH("fortitude",$S164)),
ISNUMBER(SEARCH("resolve",$D164)),ISNUMBER(SEARCH("resolve",$T164)),ISNUMBER(SEARCH("resolve",$R164)),ISNUMBER(SEARCH("resolve",$S164)),
ISNUMBER(SEARCH("stamina",$D164)),ISNUMBER(SEARCH("stamina",$T164)),ISNUMBER(SEARCH("stamina",$R164)),ISNUMBER(SEARCH("stamina",$S164)),
ISNUMBER(SEARCH("guts",$D164)),ISNUMBER(SEARCH("guts",$T164)),ISNUMBER(SEARCH("guts",$R164)),ISNUMBER(SEARCH("guts",$S164)),
ISNUMBER(SEARCH("spunk",$D164)),ISNUMBER(SEARCH("spunk",$T164)),ISNUMBER(SEARCH("spunk",$R164)),ISNUMBER(SEARCH("spunk",$S164))), 1, 0)</f>
        <v>0</v>
      </c>
      <c r="BW164" s="5">
        <f t="shared" si="681"/>
        <v>0</v>
      </c>
      <c r="BX164" s="5">
        <f t="shared" si="29"/>
        <v>0</v>
      </c>
      <c r="BY164" s="5">
        <f t="shared" si="30"/>
        <v>0</v>
      </c>
      <c r="BZ164" s="5">
        <f t="shared" si="31"/>
        <v>0</v>
      </c>
      <c r="CA164" s="5">
        <f t="shared" si="32"/>
        <v>0</v>
      </c>
      <c r="CB164" s="5">
        <f t="shared" si="33"/>
        <v>0</v>
      </c>
      <c r="CC164" s="5">
        <f t="shared" si="34"/>
        <v>0</v>
      </c>
      <c r="CD164" s="5">
        <f t="shared" si="35"/>
        <v>0</v>
      </c>
      <c r="CE164" s="5">
        <f t="shared" si="36"/>
        <v>0</v>
      </c>
      <c r="CF164" s="5">
        <f t="shared" si="37"/>
        <v>0</v>
      </c>
      <c r="CG164" s="5">
        <f t="shared" si="38"/>
        <v>0</v>
      </c>
      <c r="CH164" s="5">
        <f t="shared" si="39"/>
        <v>0</v>
      </c>
      <c r="CI164" s="5">
        <f t="shared" si="40"/>
        <v>0</v>
      </c>
      <c r="CJ164" s="5">
        <f t="shared" si="41"/>
        <v>0</v>
      </c>
      <c r="CK164" s="5">
        <f t="shared" si="42"/>
        <v>0</v>
      </c>
      <c r="CL164" s="5">
        <f t="shared" si="43"/>
        <v>0</v>
      </c>
      <c r="CM164" s="5">
        <f t="shared" si="44"/>
        <v>0</v>
      </c>
      <c r="CN164" s="5">
        <f t="shared" si="45"/>
        <v>0</v>
      </c>
      <c r="CO164" s="5">
        <f t="shared" si="46"/>
        <v>0</v>
      </c>
      <c r="CP164" s="6">
        <f t="shared" si="47"/>
        <v>0</v>
      </c>
      <c r="CQ164" s="6">
        <f t="shared" si="48"/>
        <v>0</v>
      </c>
      <c r="CR164" s="6">
        <f t="shared" si="49"/>
        <v>0</v>
      </c>
      <c r="CS164" s="6">
        <f t="shared" si="50"/>
        <v>0</v>
      </c>
      <c r="CT164" s="6">
        <f t="shared" si="584"/>
        <v>0</v>
      </c>
      <c r="CU164" s="6">
        <f t="shared" si="52"/>
        <v>0</v>
      </c>
      <c r="CV164" s="6">
        <f t="shared" si="53"/>
        <v>0</v>
      </c>
      <c r="CW164" s="6">
        <f t="shared" si="54"/>
        <v>0</v>
      </c>
      <c r="CX164" s="6">
        <f t="shared" si="55"/>
        <v>0</v>
      </c>
      <c r="CY164" s="6">
        <f t="shared" si="56"/>
        <v>0</v>
      </c>
      <c r="CZ164" s="6">
        <f t="shared" si="57"/>
        <v>0</v>
      </c>
      <c r="DA164" s="6">
        <f t="shared" si="58"/>
        <v>0</v>
      </c>
      <c r="DB164" s="6">
        <f t="shared" si="59"/>
        <v>0</v>
      </c>
      <c r="DC164" s="6">
        <f t="shared" si="60"/>
        <v>0</v>
      </c>
      <c r="DD164" s="6">
        <f t="shared" si="61"/>
        <v>0</v>
      </c>
      <c r="DE164" s="6">
        <f t="shared" si="62"/>
        <v>0</v>
      </c>
      <c r="DF164" s="6">
        <f t="shared" si="63"/>
        <v>0</v>
      </c>
      <c r="DG164" s="6">
        <f t="shared" si="64"/>
        <v>0</v>
      </c>
      <c r="DH164" s="6">
        <f t="shared" si="652"/>
        <v>0</v>
      </c>
      <c r="DI164" s="6">
        <f t="shared" si="66"/>
        <v>0</v>
      </c>
      <c r="DJ164" s="6">
        <f t="shared" si="653"/>
        <v>0</v>
      </c>
      <c r="DK164" s="7">
        <f t="shared" si="68"/>
        <v>0</v>
      </c>
      <c r="DL164" s="7">
        <f t="shared" si="498"/>
        <v>0</v>
      </c>
      <c r="DM164" s="7">
        <f t="shared" si="70"/>
        <v>0</v>
      </c>
      <c r="DN164" s="7">
        <f t="shared" si="71"/>
        <v>0</v>
      </c>
      <c r="DO164" s="7">
        <f t="shared" si="72"/>
        <v>0</v>
      </c>
      <c r="DP164" s="8">
        <f t="shared" si="73"/>
        <v>0</v>
      </c>
      <c r="DQ164" s="8">
        <f t="shared" si="74"/>
        <v>1</v>
      </c>
      <c r="DR164" s="7">
        <f t="shared" si="75"/>
        <v>0</v>
      </c>
      <c r="DS164" s="7">
        <f t="shared" si="76"/>
        <v>0</v>
      </c>
      <c r="DT164" s="7">
        <f t="shared" si="77"/>
        <v>0</v>
      </c>
      <c r="DU164" s="9">
        <f t="shared" si="78"/>
        <v>0</v>
      </c>
      <c r="DV164" s="9">
        <f t="shared" si="79"/>
        <v>0</v>
      </c>
      <c r="DW164" s="9">
        <f t="shared" si="80"/>
        <v>0</v>
      </c>
      <c r="DX164" s="9">
        <f t="shared" si="81"/>
        <v>0</v>
      </c>
      <c r="DY164" s="9">
        <f t="shared" si="82"/>
        <v>0</v>
      </c>
      <c r="DZ164" s="9">
        <f t="shared" si="83"/>
        <v>0</v>
      </c>
      <c r="EA164" s="9">
        <f t="shared" si="84"/>
        <v>0</v>
      </c>
      <c r="EB164" s="9">
        <f t="shared" si="85"/>
        <v>0</v>
      </c>
      <c r="EC164" s="9">
        <f t="shared" si="86"/>
        <v>0</v>
      </c>
      <c r="ED164" s="9">
        <f t="shared" si="87"/>
        <v>0</v>
      </c>
      <c r="EE164" s="9">
        <f t="shared" si="88"/>
        <v>0</v>
      </c>
      <c r="EF164" s="9">
        <f t="shared" si="89"/>
        <v>0</v>
      </c>
      <c r="EG164" s="9">
        <f t="shared" si="90"/>
        <v>0</v>
      </c>
      <c r="EH164" s="9">
        <f t="shared" si="91"/>
        <v>0</v>
      </c>
      <c r="EI164" s="9">
        <f t="shared" si="92"/>
        <v>0</v>
      </c>
      <c r="EJ164" s="10">
        <f t="shared" si="93"/>
        <v>0</v>
      </c>
      <c r="EK164" s="10">
        <f t="shared" si="94"/>
        <v>0</v>
      </c>
      <c r="EL164" s="10">
        <f t="shared" ref="EL164:EM164" si="682">IF(OR(ISNUMBER(SEARCH("ai software toolkit", $D164)), ISNUMBER(SEARCH("ai software toolkit", $T164)), ISNUMBER(SEARCH("ai software toolkit", $R164)), ISNUMBER(SEARCH("ai software toolkit", $S164))), 1, 0)</f>
        <v>0</v>
      </c>
      <c r="EM164" s="10">
        <f t="shared" si="682"/>
        <v>0</v>
      </c>
      <c r="EN164" s="10">
        <f t="shared" si="96"/>
        <v>0</v>
      </c>
      <c r="EO164" s="10">
        <f t="shared" si="97"/>
        <v>0</v>
      </c>
      <c r="EP164" s="10">
        <f t="shared" si="98"/>
        <v>0</v>
      </c>
      <c r="EQ164" s="10">
        <f t="shared" si="99"/>
        <v>0</v>
      </c>
      <c r="ER164" s="10">
        <f t="shared" si="100"/>
        <v>0</v>
      </c>
      <c r="ES164" s="10">
        <f t="shared" si="101"/>
        <v>0</v>
      </c>
      <c r="ET164" s="10">
        <f t="shared" si="102"/>
        <v>0</v>
      </c>
      <c r="EU164" s="10">
        <f t="shared" si="103"/>
        <v>0</v>
      </c>
      <c r="EV164" s="10">
        <f t="shared" si="104"/>
        <v>0</v>
      </c>
      <c r="EW164" s="10">
        <f t="shared" si="105"/>
        <v>0</v>
      </c>
      <c r="EX164" s="10">
        <f t="shared" si="106"/>
        <v>0</v>
      </c>
      <c r="EY164" s="10">
        <f t="shared" si="107"/>
        <v>0</v>
      </c>
      <c r="EZ164" s="10">
        <f t="shared" si="108"/>
        <v>0</v>
      </c>
      <c r="FA164" s="10">
        <f t="shared" si="109"/>
        <v>0</v>
      </c>
      <c r="FB164" s="10">
        <f t="shared" si="110"/>
        <v>0</v>
      </c>
      <c r="FC164" s="10">
        <f t="shared" si="111"/>
        <v>0</v>
      </c>
      <c r="FD164" s="10">
        <f t="shared" si="112"/>
        <v>0</v>
      </c>
      <c r="FE164" s="10">
        <f t="shared" si="113"/>
        <v>0</v>
      </c>
      <c r="FF164" s="10">
        <f t="shared" si="114"/>
        <v>0</v>
      </c>
      <c r="FG164" s="10">
        <f t="shared" si="115"/>
        <v>0</v>
      </c>
      <c r="FH164" s="10">
        <f t="shared" si="116"/>
        <v>0</v>
      </c>
      <c r="FI164" s="10">
        <f t="shared" si="117"/>
        <v>0</v>
      </c>
      <c r="FJ164" s="10">
        <f t="shared" si="118"/>
        <v>0</v>
      </c>
      <c r="FK164" s="10">
        <f t="shared" si="119"/>
        <v>0</v>
      </c>
      <c r="FL164" s="10">
        <f t="shared" si="120"/>
        <v>0</v>
      </c>
      <c r="FM164" s="10">
        <f t="shared" si="121"/>
        <v>0</v>
      </c>
      <c r="FN164" s="10">
        <f t="shared" si="122"/>
        <v>0</v>
      </c>
      <c r="FO164" s="10">
        <f t="shared" si="123"/>
        <v>0</v>
      </c>
      <c r="FP164" s="10">
        <f t="shared" si="124"/>
        <v>0</v>
      </c>
      <c r="FQ164" s="10">
        <f t="shared" si="125"/>
        <v>1</v>
      </c>
      <c r="FR164" s="11">
        <f t="shared" si="683"/>
        <v>0</v>
      </c>
      <c r="FS164" s="11">
        <f t="shared" si="127"/>
        <v>0</v>
      </c>
      <c r="FT164" s="11">
        <f t="shared" si="128"/>
        <v>0</v>
      </c>
      <c r="FU164" s="11">
        <f t="shared" si="129"/>
        <v>0</v>
      </c>
      <c r="FV164" s="11">
        <f t="shared" si="130"/>
        <v>0</v>
      </c>
      <c r="FW164" s="11">
        <f t="shared" si="131"/>
        <v>0</v>
      </c>
      <c r="FX164" s="11">
        <f t="shared" si="132"/>
        <v>0</v>
      </c>
      <c r="FY164" s="11">
        <f t="shared" si="133"/>
        <v>0</v>
      </c>
      <c r="FZ164" s="11">
        <f t="shared" si="134"/>
        <v>0</v>
      </c>
      <c r="GA164" s="11">
        <f t="shared" si="135"/>
        <v>0</v>
      </c>
      <c r="GB164" s="11">
        <f t="shared" si="136"/>
        <v>0</v>
      </c>
      <c r="GC164" s="11">
        <f t="shared" si="137"/>
        <v>0</v>
      </c>
      <c r="GD164" s="11">
        <f t="shared" si="138"/>
        <v>0</v>
      </c>
      <c r="GE164" s="11">
        <f t="shared" si="139"/>
        <v>0</v>
      </c>
      <c r="GF164" s="11">
        <f t="shared" si="140"/>
        <v>0</v>
      </c>
      <c r="GG164" s="11">
        <f t="shared" si="141"/>
        <v>0</v>
      </c>
      <c r="GH164" s="11">
        <f t="shared" si="142"/>
        <v>0</v>
      </c>
      <c r="GI164" s="11">
        <f t="shared" si="143"/>
        <v>0</v>
      </c>
      <c r="GJ164" s="11">
        <f t="shared" si="144"/>
        <v>0</v>
      </c>
      <c r="GK164" s="11">
        <f t="shared" si="145"/>
        <v>0</v>
      </c>
      <c r="GL164" s="11">
        <f t="shared" si="146"/>
        <v>0</v>
      </c>
      <c r="GM164" s="11">
        <f t="shared" si="147"/>
        <v>0</v>
      </c>
      <c r="GN164" s="11">
        <f t="shared" si="148"/>
        <v>0</v>
      </c>
      <c r="GO164" s="11">
        <f t="shared" si="149"/>
        <v>0</v>
      </c>
      <c r="GP164" s="11">
        <f t="shared" si="150"/>
        <v>0</v>
      </c>
      <c r="GQ164" s="11">
        <f t="shared" si="151"/>
        <v>0</v>
      </c>
      <c r="GR164" s="11">
        <f t="shared" si="152"/>
        <v>1</v>
      </c>
      <c r="GS164" s="11">
        <f t="shared" si="153"/>
        <v>0</v>
      </c>
      <c r="GT164" s="11">
        <f t="shared" si="154"/>
        <v>0</v>
      </c>
      <c r="GU164" s="12">
        <f t="shared" si="155"/>
        <v>0</v>
      </c>
      <c r="GV164" s="12">
        <f t="shared" si="156"/>
        <v>0</v>
      </c>
      <c r="GW164" s="12">
        <f t="shared" si="157"/>
        <v>0</v>
      </c>
      <c r="GX164" s="12">
        <f t="shared" si="158"/>
        <v>0</v>
      </c>
      <c r="GY164" s="12">
        <f t="shared" si="159"/>
        <v>0</v>
      </c>
      <c r="GZ164" s="12">
        <f t="shared" si="160"/>
        <v>0</v>
      </c>
      <c r="HA164" s="12">
        <f t="shared" si="161"/>
        <v>0</v>
      </c>
      <c r="HB164" s="12">
        <f t="shared" si="162"/>
        <v>0</v>
      </c>
      <c r="HC164" s="12">
        <f t="shared" si="163"/>
        <v>0</v>
      </c>
      <c r="HD164" s="12">
        <f t="shared" si="164"/>
        <v>0</v>
      </c>
      <c r="HE164" s="12">
        <f t="shared" si="165"/>
        <v>0</v>
      </c>
      <c r="HF164" s="12">
        <f t="shared" si="166"/>
        <v>0</v>
      </c>
      <c r="HG164" s="12">
        <f t="shared" si="167"/>
        <v>0</v>
      </c>
      <c r="HH164" s="12">
        <f t="shared" si="168"/>
        <v>0</v>
      </c>
      <c r="HI164" s="12">
        <f t="shared" si="169"/>
        <v>0</v>
      </c>
      <c r="HJ164" s="12">
        <f t="shared" si="170"/>
        <v>0</v>
      </c>
      <c r="HK164" s="12">
        <f t="shared" si="171"/>
        <v>0</v>
      </c>
      <c r="HL164" s="12">
        <f t="shared" si="172"/>
        <v>0</v>
      </c>
      <c r="HM164" s="12">
        <f t="shared" si="173"/>
        <v>0</v>
      </c>
      <c r="HN164" s="12">
        <f t="shared" si="174"/>
        <v>0</v>
      </c>
      <c r="HO164" s="12">
        <f t="shared" si="175"/>
        <v>0</v>
      </c>
      <c r="HP164" s="12">
        <f t="shared" si="176"/>
        <v>0</v>
      </c>
      <c r="HQ164" s="12">
        <f t="shared" si="177"/>
        <v>0</v>
      </c>
      <c r="HR164" s="12">
        <f t="shared" si="178"/>
        <v>0</v>
      </c>
      <c r="HS164" s="12">
        <f t="shared" si="179"/>
        <v>0</v>
      </c>
      <c r="HT164" s="12">
        <f t="shared" si="180"/>
        <v>0</v>
      </c>
      <c r="HU164" s="12">
        <f t="shared" si="181"/>
        <v>0</v>
      </c>
      <c r="HV164" s="12">
        <f t="shared" si="182"/>
        <v>0</v>
      </c>
      <c r="HW164" s="12">
        <f t="shared" si="183"/>
        <v>0</v>
      </c>
      <c r="HX164" s="12">
        <f t="shared" si="184"/>
        <v>0</v>
      </c>
      <c r="HY164" s="12">
        <f t="shared" si="185"/>
        <v>0</v>
      </c>
      <c r="HZ164" s="12">
        <f t="shared" si="186"/>
        <v>0</v>
      </c>
      <c r="IA164" s="12">
        <f t="shared" si="187"/>
        <v>0</v>
      </c>
      <c r="IB164" s="12">
        <f t="shared" si="188"/>
        <v>0</v>
      </c>
      <c r="IC164" s="12">
        <f t="shared" si="189"/>
        <v>0</v>
      </c>
      <c r="ID164" s="12">
        <f t="shared" si="190"/>
        <v>0</v>
      </c>
      <c r="IE164" s="12">
        <f t="shared" si="191"/>
        <v>0</v>
      </c>
      <c r="IF164" s="12">
        <f t="shared" si="192"/>
        <v>0</v>
      </c>
      <c r="IG164" s="12">
        <f t="shared" si="193"/>
        <v>0</v>
      </c>
      <c r="IH164" s="12">
        <f t="shared" si="194"/>
        <v>0</v>
      </c>
      <c r="II164" s="12">
        <f t="shared" si="195"/>
        <v>0</v>
      </c>
      <c r="IJ164" s="12">
        <f t="shared" si="196"/>
        <v>0</v>
      </c>
      <c r="IK164" s="12">
        <f t="shared" si="197"/>
        <v>0</v>
      </c>
      <c r="IL164" s="12">
        <f t="shared" si="198"/>
        <v>0</v>
      </c>
      <c r="IM164" s="12">
        <f t="shared" si="199"/>
        <v>0</v>
      </c>
      <c r="IN164" s="12">
        <f t="shared" si="200"/>
        <v>0</v>
      </c>
      <c r="IO164" s="12">
        <f t="shared" si="201"/>
        <v>0</v>
      </c>
      <c r="IP164" s="12">
        <f t="shared" si="202"/>
        <v>0</v>
      </c>
      <c r="IQ164" s="12">
        <f t="shared" si="203"/>
        <v>0</v>
      </c>
      <c r="IR164" s="12">
        <f t="shared" si="204"/>
        <v>0</v>
      </c>
      <c r="IS164" s="12">
        <f t="shared" si="205"/>
        <v>0</v>
      </c>
      <c r="IT164" s="12">
        <f t="shared" si="206"/>
        <v>0</v>
      </c>
      <c r="IU164" s="12">
        <f t="shared" si="207"/>
        <v>0</v>
      </c>
      <c r="IV164" s="12">
        <f t="shared" si="208"/>
        <v>0</v>
      </c>
      <c r="IW164" s="12">
        <f t="shared" si="209"/>
        <v>0</v>
      </c>
      <c r="IX164" s="12">
        <f t="shared" si="210"/>
        <v>0</v>
      </c>
      <c r="IY164" s="12">
        <f t="shared" si="211"/>
        <v>0</v>
      </c>
      <c r="IZ164" s="12">
        <f t="shared" si="212"/>
        <v>0</v>
      </c>
      <c r="JA164" s="13">
        <f t="shared" si="213"/>
        <v>0</v>
      </c>
      <c r="JB164" s="13">
        <f t="shared" si="214"/>
        <v>0</v>
      </c>
      <c r="JC164" s="13">
        <f t="shared" si="215"/>
        <v>0</v>
      </c>
      <c r="JD164" s="13">
        <f t="shared" si="216"/>
        <v>0</v>
      </c>
      <c r="JE164" s="13">
        <f t="shared" si="217"/>
        <v>0</v>
      </c>
      <c r="JF164" s="13">
        <f t="shared" si="218"/>
        <v>0</v>
      </c>
      <c r="JG164" s="13">
        <f t="shared" si="219"/>
        <v>0</v>
      </c>
      <c r="JH164" s="13">
        <f t="shared" si="220"/>
        <v>0</v>
      </c>
      <c r="JI164" s="13">
        <f t="shared" si="221"/>
        <v>1</v>
      </c>
      <c r="JJ164" s="13">
        <f t="shared" si="222"/>
        <v>0</v>
      </c>
      <c r="JK164" s="13">
        <f t="shared" si="223"/>
        <v>0</v>
      </c>
      <c r="JL164" s="13">
        <f t="shared" si="224"/>
        <v>0</v>
      </c>
      <c r="JM164" s="13">
        <f t="shared" si="225"/>
        <v>1</v>
      </c>
      <c r="JN164" s="13">
        <f t="shared" si="226"/>
        <v>0</v>
      </c>
      <c r="JO164" s="13">
        <f t="shared" si="227"/>
        <v>0</v>
      </c>
      <c r="JP164" s="13">
        <f t="shared" si="228"/>
        <v>0</v>
      </c>
      <c r="JQ164" s="13">
        <f t="shared" si="229"/>
        <v>0</v>
      </c>
      <c r="JR164" s="13">
        <f t="shared" si="230"/>
        <v>0</v>
      </c>
      <c r="JS164" s="13">
        <f t="shared" si="231"/>
        <v>0</v>
      </c>
      <c r="JT164" s="13">
        <f t="shared" si="232"/>
        <v>0</v>
      </c>
      <c r="JU164" s="13">
        <f t="shared" si="233"/>
        <v>0</v>
      </c>
      <c r="JV164" s="12">
        <f t="shared" si="234"/>
        <v>0</v>
      </c>
      <c r="JW164" s="12">
        <f t="shared" si="235"/>
        <v>0</v>
      </c>
      <c r="JX164" s="12">
        <f t="shared" si="236"/>
        <v>0</v>
      </c>
      <c r="JY164" s="12">
        <f t="shared" si="237"/>
        <v>0</v>
      </c>
      <c r="JZ164" s="12">
        <f t="shared" si="238"/>
        <v>0</v>
      </c>
      <c r="KA164" s="12">
        <f t="shared" si="239"/>
        <v>0</v>
      </c>
      <c r="KB164" s="12">
        <f t="shared" si="240"/>
        <v>0</v>
      </c>
      <c r="KC164" s="12">
        <f t="shared" si="241"/>
        <v>0</v>
      </c>
      <c r="KD164" s="12">
        <f t="shared" si="242"/>
        <v>0</v>
      </c>
      <c r="KE164" s="12">
        <f t="shared" si="243"/>
        <v>0</v>
      </c>
      <c r="KF164" s="12">
        <f t="shared" si="244"/>
        <v>0</v>
      </c>
      <c r="KG164" s="12">
        <f t="shared" si="245"/>
        <v>0</v>
      </c>
      <c r="KH164" s="12">
        <f t="shared" si="246"/>
        <v>0</v>
      </c>
      <c r="KI164" s="12">
        <f t="shared" si="247"/>
        <v>0</v>
      </c>
      <c r="KJ164" s="12">
        <f t="shared" si="248"/>
        <v>0</v>
      </c>
      <c r="KK164" s="12">
        <f t="shared" si="249"/>
        <v>0</v>
      </c>
      <c r="KL164" s="12">
        <f t="shared" si="250"/>
        <v>0</v>
      </c>
      <c r="KM164" s="12">
        <f t="shared" si="251"/>
        <v>0</v>
      </c>
      <c r="KN164" s="12">
        <f t="shared" si="252"/>
        <v>0</v>
      </c>
      <c r="KO164" s="12">
        <f t="shared" si="253"/>
        <v>0</v>
      </c>
      <c r="KP164" s="12">
        <f t="shared" si="254"/>
        <v>0</v>
      </c>
      <c r="KQ164" s="12">
        <f t="shared" si="255"/>
        <v>0</v>
      </c>
      <c r="KR164" s="12">
        <f t="shared" si="256"/>
        <v>0</v>
      </c>
      <c r="KS164" s="12">
        <f t="shared" si="257"/>
        <v>0</v>
      </c>
      <c r="KT164" s="12">
        <f t="shared" si="258"/>
        <v>0</v>
      </c>
      <c r="KU164" s="12">
        <f t="shared" si="259"/>
        <v>0</v>
      </c>
      <c r="KV164" s="12">
        <f t="shared" si="260"/>
        <v>0</v>
      </c>
      <c r="KW164" s="12">
        <f t="shared" si="261"/>
        <v>0</v>
      </c>
      <c r="KX164" s="12">
        <f t="shared" si="262"/>
        <v>0</v>
      </c>
      <c r="KY164" s="12">
        <f t="shared" si="263"/>
        <v>0</v>
      </c>
      <c r="KZ164" s="12">
        <f t="shared" si="264"/>
        <v>0</v>
      </c>
      <c r="LA164" s="12">
        <f t="shared" si="265"/>
        <v>0</v>
      </c>
      <c r="LB164" s="12">
        <f t="shared" si="266"/>
        <v>0</v>
      </c>
      <c r="LC164" s="12">
        <f t="shared" si="267"/>
        <v>0</v>
      </c>
      <c r="LD164" s="12">
        <f t="shared" si="268"/>
        <v>0</v>
      </c>
      <c r="LE164" s="12">
        <f t="shared" si="269"/>
        <v>0</v>
      </c>
      <c r="LF164" s="12">
        <f t="shared" si="270"/>
        <v>0</v>
      </c>
      <c r="LG164" s="12">
        <f t="shared" si="271"/>
        <v>0</v>
      </c>
      <c r="LH164" s="12">
        <f t="shared" si="272"/>
        <v>0</v>
      </c>
      <c r="LI164" s="12">
        <f t="shared" si="273"/>
        <v>0</v>
      </c>
      <c r="LJ164" s="12">
        <f t="shared" si="274"/>
        <v>0</v>
      </c>
      <c r="LK164" s="12">
        <f t="shared" si="275"/>
        <v>0</v>
      </c>
      <c r="LL164" s="12">
        <f t="shared" si="276"/>
        <v>0</v>
      </c>
      <c r="LM164" s="12">
        <f t="shared" si="277"/>
        <v>0</v>
      </c>
      <c r="LN164" s="12">
        <f t="shared" si="278"/>
        <v>0</v>
      </c>
      <c r="LO164" s="12">
        <f t="shared" si="279"/>
        <v>0</v>
      </c>
      <c r="LP164" s="12">
        <f t="shared" si="280"/>
        <v>0</v>
      </c>
      <c r="LQ164" s="12">
        <f t="shared" si="281"/>
        <v>0</v>
      </c>
      <c r="LR164" s="12">
        <f t="shared" si="282"/>
        <v>0</v>
      </c>
      <c r="LS164" s="12">
        <f t="shared" si="283"/>
        <v>0</v>
      </c>
      <c r="LT164" s="13">
        <f t="shared" si="284"/>
        <v>0</v>
      </c>
      <c r="LU164" s="13">
        <f t="shared" si="285"/>
        <v>0</v>
      </c>
      <c r="LV164" s="13">
        <f t="shared" si="286"/>
        <v>0</v>
      </c>
      <c r="LW164" s="13">
        <f t="shared" si="287"/>
        <v>0</v>
      </c>
      <c r="LX164" s="13">
        <f t="shared" si="288"/>
        <v>0</v>
      </c>
      <c r="LY164" s="13">
        <f t="shared" si="289"/>
        <v>0</v>
      </c>
      <c r="LZ164" s="13">
        <f t="shared" si="290"/>
        <v>0</v>
      </c>
      <c r="MA164" s="13">
        <f t="shared" si="291"/>
        <v>0</v>
      </c>
      <c r="MB164" s="13">
        <f t="shared" si="292"/>
        <v>0</v>
      </c>
      <c r="MC164" s="13">
        <f t="shared" si="293"/>
        <v>0</v>
      </c>
      <c r="MD164" s="13">
        <f t="shared" si="294"/>
        <v>0</v>
      </c>
      <c r="ME164" s="13">
        <f t="shared" si="295"/>
        <v>0</v>
      </c>
      <c r="MF164" s="13">
        <f t="shared" si="296"/>
        <v>0</v>
      </c>
      <c r="MG164" s="13">
        <f t="shared" si="297"/>
        <v>0</v>
      </c>
      <c r="MH164" s="13">
        <f t="shared" si="298"/>
        <v>0</v>
      </c>
      <c r="MI164" s="13">
        <f t="shared" si="299"/>
        <v>0</v>
      </c>
      <c r="MJ164" s="13">
        <f t="shared" si="300"/>
        <v>0</v>
      </c>
      <c r="MK164" s="13">
        <f t="shared" si="301"/>
        <v>0</v>
      </c>
      <c r="ML164" s="14">
        <f t="shared" si="302"/>
        <v>0</v>
      </c>
      <c r="MM164" s="14">
        <f t="shared" si="303"/>
        <v>0</v>
      </c>
      <c r="MN164" s="14">
        <f t="shared" si="304"/>
        <v>0</v>
      </c>
      <c r="MO164" s="14">
        <f t="shared" si="305"/>
        <v>0</v>
      </c>
      <c r="MP164" s="14">
        <f t="shared" si="306"/>
        <v>0</v>
      </c>
      <c r="MQ164" s="14">
        <f t="shared" si="307"/>
        <v>0</v>
      </c>
      <c r="MR164" s="14">
        <f t="shared" si="308"/>
        <v>0</v>
      </c>
      <c r="MS164" s="14">
        <f t="shared" si="309"/>
        <v>0</v>
      </c>
      <c r="MT164" s="14">
        <f t="shared" si="310"/>
        <v>0</v>
      </c>
      <c r="MU164" s="14">
        <f t="shared" si="311"/>
        <v>0</v>
      </c>
      <c r="MV164" s="14">
        <f t="shared" si="312"/>
        <v>0</v>
      </c>
      <c r="MW164" s="14">
        <f t="shared" si="313"/>
        <v>0</v>
      </c>
      <c r="MX164" s="14">
        <f t="shared" si="314"/>
        <v>0</v>
      </c>
      <c r="MY164" s="14">
        <f t="shared" si="315"/>
        <v>0</v>
      </c>
      <c r="MZ164" s="14">
        <f t="shared" si="316"/>
        <v>0</v>
      </c>
      <c r="NA164" s="14">
        <f t="shared" si="317"/>
        <v>0</v>
      </c>
      <c r="NB164" s="14">
        <f t="shared" si="318"/>
        <v>0</v>
      </c>
    </row>
    <row r="165" ht="15.75" customHeight="1">
      <c r="A165" s="2">
        <v>122.0</v>
      </c>
      <c r="B165" s="2" t="s">
        <v>3130</v>
      </c>
      <c r="C165" s="2" t="s">
        <v>3131</v>
      </c>
      <c r="D165" s="2" t="s">
        <v>3132</v>
      </c>
      <c r="E165" s="2">
        <v>2021.0</v>
      </c>
      <c r="F165" s="2" t="s">
        <v>3133</v>
      </c>
      <c r="G165" s="2" t="s">
        <v>3134</v>
      </c>
      <c r="H165" s="2" t="s">
        <v>432</v>
      </c>
      <c r="J165" s="2" t="s">
        <v>3135</v>
      </c>
      <c r="K165" s="2" t="s">
        <v>3136</v>
      </c>
      <c r="M165" s="2">
        <v>2.0</v>
      </c>
      <c r="N165" s="2" t="s">
        <v>3137</v>
      </c>
      <c r="O165" s="2" t="s">
        <v>3138</v>
      </c>
      <c r="P165" s="2" t="s">
        <v>3139</v>
      </c>
      <c r="Q165" s="2" t="s">
        <v>3140</v>
      </c>
      <c r="R165" s="2" t="s">
        <v>3141</v>
      </c>
      <c r="S165" s="2" t="s">
        <v>3142</v>
      </c>
      <c r="Y165" s="2" t="s">
        <v>3143</v>
      </c>
      <c r="AB165" s="2" t="s">
        <v>2826</v>
      </c>
      <c r="AG165" s="2" t="s">
        <v>3144</v>
      </c>
      <c r="AK165" s="2" t="s">
        <v>3145</v>
      </c>
      <c r="AL165" s="2" t="s">
        <v>384</v>
      </c>
      <c r="AM165" s="2" t="s">
        <v>385</v>
      </c>
      <c r="AN165" s="2" t="s">
        <v>386</v>
      </c>
      <c r="AO165" s="2" t="s">
        <v>3146</v>
      </c>
      <c r="AP165" s="2" t="s">
        <v>386</v>
      </c>
      <c r="AQ165" s="2">
        <v>404.0</v>
      </c>
      <c r="AR165" s="2" t="s">
        <v>3132</v>
      </c>
      <c r="AS165" s="2" t="b">
        <v>1</v>
      </c>
      <c r="AT165" s="3">
        <v>0.0</v>
      </c>
      <c r="AU165" s="4"/>
      <c r="AV165" s="4"/>
      <c r="AW165" s="5">
        <f t="shared" si="432"/>
        <v>0</v>
      </c>
      <c r="AX165" s="5">
        <f t="shared" si="4"/>
        <v>0</v>
      </c>
      <c r="AY165" s="5">
        <f t="shared" si="5"/>
        <v>0</v>
      </c>
      <c r="AZ165" s="5">
        <f t="shared" si="6"/>
        <v>0</v>
      </c>
      <c r="BA165" s="5">
        <f t="shared" si="7"/>
        <v>0</v>
      </c>
      <c r="BB165" s="5">
        <f t="shared" si="8"/>
        <v>0</v>
      </c>
      <c r="BC165" s="5">
        <f t="shared" si="9"/>
        <v>0</v>
      </c>
      <c r="BD165" s="5">
        <f t="shared" si="10"/>
        <v>0</v>
      </c>
      <c r="BE165" s="5">
        <f t="shared" si="11"/>
        <v>0</v>
      </c>
      <c r="BF165" s="5">
        <f t="shared" si="12"/>
        <v>0</v>
      </c>
      <c r="BG165" s="5">
        <f t="shared" si="13"/>
        <v>0</v>
      </c>
      <c r="BH165" s="5">
        <f t="shared" si="14"/>
        <v>0</v>
      </c>
      <c r="BI165" s="5">
        <f t="shared" si="15"/>
        <v>0</v>
      </c>
      <c r="BJ165" s="5">
        <f t="shared" si="16"/>
        <v>0</v>
      </c>
      <c r="BK165" s="5">
        <f t="shared" si="17"/>
        <v>0</v>
      </c>
      <c r="BL165" s="5">
        <f t="shared" si="18"/>
        <v>0</v>
      </c>
      <c r="BM165" s="5">
        <f t="shared" si="19"/>
        <v>0</v>
      </c>
      <c r="BN165" s="5">
        <f t="shared" si="20"/>
        <v>0</v>
      </c>
      <c r="BO165" s="5">
        <f t="shared" si="21"/>
        <v>0</v>
      </c>
      <c r="BP165" s="5">
        <f t="shared" si="22"/>
        <v>0</v>
      </c>
      <c r="BQ165" s="5">
        <f t="shared" si="23"/>
        <v>0</v>
      </c>
      <c r="BR165" s="5">
        <f t="shared" si="24"/>
        <v>0</v>
      </c>
      <c r="BS165" s="5">
        <f t="shared" si="25"/>
        <v>0</v>
      </c>
      <c r="BT165" s="5">
        <f t="shared" si="26"/>
        <v>0</v>
      </c>
      <c r="BU165" s="5">
        <f t="shared" si="27"/>
        <v>1</v>
      </c>
      <c r="BV165" s="5">
        <f t="shared" ref="BV165:BW165" si="684">IF(OR(ISNUMBER(SEARCH("grit",$D165)),ISNUMBER(SEARCH("grit",$T165)),ISNUMBER(SEARCH("grit",$R165)),ISNUMBER(SEARCH("grit",$S165)),
ISNUMBER(SEARCH("determination",$D165)),ISNUMBER(SEARCH("determination",$T165)),ISNUMBER(SEARCH("determination",$R165)),ISNUMBER(SEARCH("determination",$S165)),
ISNUMBER(SEARCH("tenacity",$D165)),ISNUMBER(SEARCH("tenacity",$T165)),ISNUMBER(SEARCH("tenacity",$R165)),ISNUMBER(SEARCH("tenacity",$S165)),
ISNUMBER(SEARCH("endurance",$D165)),ISNUMBER(SEARCH("endurance",$T165)),ISNUMBER(SEARCH("endurance",$R165)),ISNUMBER(SEARCH("endurance",$S165)),
ISNUMBER(SEARCH("fortitude",$D165)),ISNUMBER(SEARCH("fortitude",$T165)),ISNUMBER(SEARCH("fortitude",$R165)),ISNUMBER(SEARCH("fortitude",$S165)),
ISNUMBER(SEARCH("resolve",$D165)),ISNUMBER(SEARCH("resolve",$T165)),ISNUMBER(SEARCH("resolve",$R165)),ISNUMBER(SEARCH("resolve",$S165)),
ISNUMBER(SEARCH("stamina",$D165)),ISNUMBER(SEARCH("stamina",$T165)),ISNUMBER(SEARCH("stamina",$R165)),ISNUMBER(SEARCH("stamina",$S165)),
ISNUMBER(SEARCH("guts",$D165)),ISNUMBER(SEARCH("guts",$T165)),ISNUMBER(SEARCH("guts",$R165)),ISNUMBER(SEARCH("guts",$S165)),
ISNUMBER(SEARCH("spunk",$D165)),ISNUMBER(SEARCH("spunk",$T165)),ISNUMBER(SEARCH("spunk",$R165)),ISNUMBER(SEARCH("spunk",$S165))), 1, 0)</f>
        <v>0</v>
      </c>
      <c r="BW165" s="5">
        <f t="shared" si="684"/>
        <v>0</v>
      </c>
      <c r="BX165" s="5">
        <f t="shared" si="29"/>
        <v>0</v>
      </c>
      <c r="BY165" s="5">
        <f t="shared" si="30"/>
        <v>0</v>
      </c>
      <c r="BZ165" s="5">
        <f t="shared" si="31"/>
        <v>0</v>
      </c>
      <c r="CA165" s="5">
        <f t="shared" si="32"/>
        <v>0</v>
      </c>
      <c r="CB165" s="5">
        <f t="shared" si="33"/>
        <v>0</v>
      </c>
      <c r="CC165" s="5">
        <f t="shared" si="34"/>
        <v>0</v>
      </c>
      <c r="CD165" s="5">
        <f t="shared" si="35"/>
        <v>0</v>
      </c>
      <c r="CE165" s="5">
        <f t="shared" si="36"/>
        <v>0</v>
      </c>
      <c r="CF165" s="5">
        <f t="shared" si="37"/>
        <v>0</v>
      </c>
      <c r="CG165" s="5">
        <f t="shared" si="38"/>
        <v>0</v>
      </c>
      <c r="CH165" s="5">
        <f t="shared" si="39"/>
        <v>0</v>
      </c>
      <c r="CI165" s="5">
        <f t="shared" si="40"/>
        <v>0</v>
      </c>
      <c r="CJ165" s="5">
        <f t="shared" si="41"/>
        <v>0</v>
      </c>
      <c r="CK165" s="5">
        <f t="shared" si="42"/>
        <v>0</v>
      </c>
      <c r="CL165" s="5">
        <f t="shared" si="43"/>
        <v>0</v>
      </c>
      <c r="CM165" s="5">
        <f t="shared" si="44"/>
        <v>0</v>
      </c>
      <c r="CN165" s="5">
        <f t="shared" si="45"/>
        <v>0</v>
      </c>
      <c r="CO165" s="5">
        <f t="shared" si="46"/>
        <v>0</v>
      </c>
      <c r="CP165" s="6">
        <f t="shared" si="47"/>
        <v>0</v>
      </c>
      <c r="CQ165" s="6">
        <f t="shared" si="48"/>
        <v>0</v>
      </c>
      <c r="CR165" s="6">
        <f t="shared" si="49"/>
        <v>0</v>
      </c>
      <c r="CS165" s="6">
        <f t="shared" si="50"/>
        <v>0</v>
      </c>
      <c r="CT165" s="6">
        <f t="shared" si="584"/>
        <v>0</v>
      </c>
      <c r="CU165" s="6">
        <f t="shared" si="52"/>
        <v>0</v>
      </c>
      <c r="CV165" s="6">
        <f t="shared" si="53"/>
        <v>0</v>
      </c>
      <c r="CW165" s="6">
        <f t="shared" si="54"/>
        <v>1</v>
      </c>
      <c r="CX165" s="6">
        <f t="shared" si="55"/>
        <v>0</v>
      </c>
      <c r="CY165" s="6">
        <f t="shared" si="56"/>
        <v>0</v>
      </c>
      <c r="CZ165" s="6">
        <f t="shared" si="57"/>
        <v>0</v>
      </c>
      <c r="DA165" s="6">
        <f t="shared" si="58"/>
        <v>0</v>
      </c>
      <c r="DB165" s="6">
        <f t="shared" si="59"/>
        <v>0</v>
      </c>
      <c r="DC165" s="6">
        <f t="shared" si="60"/>
        <v>0</v>
      </c>
      <c r="DD165" s="6">
        <f t="shared" si="61"/>
        <v>0</v>
      </c>
      <c r="DE165" s="6">
        <f t="shared" si="62"/>
        <v>0</v>
      </c>
      <c r="DF165" s="6">
        <f t="shared" si="63"/>
        <v>0</v>
      </c>
      <c r="DG165" s="6">
        <f t="shared" si="64"/>
        <v>0</v>
      </c>
      <c r="DH165" s="6">
        <f t="shared" si="652"/>
        <v>0</v>
      </c>
      <c r="DI165" s="6">
        <f t="shared" si="66"/>
        <v>0</v>
      </c>
      <c r="DJ165" s="6">
        <f t="shared" si="653"/>
        <v>0</v>
      </c>
      <c r="DK165" s="7">
        <f t="shared" si="68"/>
        <v>0</v>
      </c>
      <c r="DL165" s="7">
        <f t="shared" si="498"/>
        <v>0</v>
      </c>
      <c r="DM165" s="7">
        <f t="shared" si="70"/>
        <v>0</v>
      </c>
      <c r="DN165" s="7">
        <f t="shared" si="71"/>
        <v>0</v>
      </c>
      <c r="DO165" s="7">
        <f t="shared" si="72"/>
        <v>1</v>
      </c>
      <c r="DP165" s="8">
        <f t="shared" si="73"/>
        <v>0</v>
      </c>
      <c r="DQ165" s="8">
        <f t="shared" si="74"/>
        <v>0</v>
      </c>
      <c r="DR165" s="7">
        <f t="shared" si="75"/>
        <v>0</v>
      </c>
      <c r="DS165" s="7">
        <f t="shared" si="76"/>
        <v>0</v>
      </c>
      <c r="DT165" s="7">
        <f t="shared" si="77"/>
        <v>0</v>
      </c>
      <c r="DU165" s="9">
        <f t="shared" si="78"/>
        <v>0</v>
      </c>
      <c r="DV165" s="9">
        <f t="shared" si="79"/>
        <v>0</v>
      </c>
      <c r="DW165" s="9">
        <f t="shared" si="80"/>
        <v>0</v>
      </c>
      <c r="DX165" s="9">
        <f t="shared" si="81"/>
        <v>0</v>
      </c>
      <c r="DY165" s="9">
        <f t="shared" si="82"/>
        <v>0</v>
      </c>
      <c r="DZ165" s="9">
        <f t="shared" si="83"/>
        <v>0</v>
      </c>
      <c r="EA165" s="9">
        <f t="shared" si="84"/>
        <v>0</v>
      </c>
      <c r="EB165" s="9">
        <f t="shared" si="85"/>
        <v>0</v>
      </c>
      <c r="EC165" s="9">
        <f t="shared" si="86"/>
        <v>0</v>
      </c>
      <c r="ED165" s="9">
        <f t="shared" si="87"/>
        <v>0</v>
      </c>
      <c r="EE165" s="9">
        <f t="shared" si="88"/>
        <v>0</v>
      </c>
      <c r="EF165" s="9">
        <f t="shared" si="89"/>
        <v>0</v>
      </c>
      <c r="EG165" s="9">
        <f t="shared" si="90"/>
        <v>0</v>
      </c>
      <c r="EH165" s="9">
        <f t="shared" si="91"/>
        <v>0</v>
      </c>
      <c r="EI165" s="9">
        <f t="shared" si="92"/>
        <v>0</v>
      </c>
      <c r="EJ165" s="10">
        <f t="shared" si="93"/>
        <v>0</v>
      </c>
      <c r="EK165" s="10">
        <f t="shared" si="94"/>
        <v>0</v>
      </c>
      <c r="EL165" s="10">
        <f t="shared" ref="EL165:EM165" si="685">IF(OR(ISNUMBER(SEARCH("ai software toolkit", $D165)), ISNUMBER(SEARCH("ai software toolkit", $T165)), ISNUMBER(SEARCH("ai software toolkit", $R165)), ISNUMBER(SEARCH("ai software toolkit", $S165))), 1, 0)</f>
        <v>0</v>
      </c>
      <c r="EM165" s="10">
        <f t="shared" si="685"/>
        <v>0</v>
      </c>
      <c r="EN165" s="10">
        <f t="shared" si="96"/>
        <v>0</v>
      </c>
      <c r="EO165" s="10">
        <f t="shared" si="97"/>
        <v>0</v>
      </c>
      <c r="EP165" s="10">
        <f t="shared" si="98"/>
        <v>0</v>
      </c>
      <c r="EQ165" s="10">
        <f t="shared" si="99"/>
        <v>0</v>
      </c>
      <c r="ER165" s="10">
        <f t="shared" si="100"/>
        <v>0</v>
      </c>
      <c r="ES165" s="10">
        <f t="shared" si="101"/>
        <v>0</v>
      </c>
      <c r="ET165" s="10">
        <f t="shared" si="102"/>
        <v>0</v>
      </c>
      <c r="EU165" s="10">
        <f t="shared" si="103"/>
        <v>0</v>
      </c>
      <c r="EV165" s="10">
        <f t="shared" si="104"/>
        <v>0</v>
      </c>
      <c r="EW165" s="10">
        <f t="shared" si="105"/>
        <v>0</v>
      </c>
      <c r="EX165" s="10">
        <f t="shared" si="106"/>
        <v>0</v>
      </c>
      <c r="EY165" s="10">
        <f t="shared" si="107"/>
        <v>0</v>
      </c>
      <c r="EZ165" s="10">
        <f t="shared" si="108"/>
        <v>0</v>
      </c>
      <c r="FA165" s="10">
        <f t="shared" si="109"/>
        <v>0</v>
      </c>
      <c r="FB165" s="10">
        <f t="shared" si="110"/>
        <v>0</v>
      </c>
      <c r="FC165" s="10">
        <f t="shared" si="111"/>
        <v>0</v>
      </c>
      <c r="FD165" s="10">
        <f t="shared" si="112"/>
        <v>0</v>
      </c>
      <c r="FE165" s="10">
        <f t="shared" si="113"/>
        <v>0</v>
      </c>
      <c r="FF165" s="10">
        <f t="shared" si="114"/>
        <v>0</v>
      </c>
      <c r="FG165" s="10">
        <f t="shared" si="115"/>
        <v>0</v>
      </c>
      <c r="FH165" s="10">
        <f t="shared" si="116"/>
        <v>0</v>
      </c>
      <c r="FI165" s="10">
        <f t="shared" si="117"/>
        <v>0</v>
      </c>
      <c r="FJ165" s="10">
        <f t="shared" si="118"/>
        <v>0</v>
      </c>
      <c r="FK165" s="10">
        <f t="shared" si="119"/>
        <v>0</v>
      </c>
      <c r="FL165" s="10">
        <f t="shared" si="120"/>
        <v>0</v>
      </c>
      <c r="FM165" s="10">
        <f t="shared" si="121"/>
        <v>0</v>
      </c>
      <c r="FN165" s="10">
        <f t="shared" si="122"/>
        <v>0</v>
      </c>
      <c r="FO165" s="10">
        <f t="shared" si="123"/>
        <v>0</v>
      </c>
      <c r="FP165" s="10">
        <f t="shared" si="124"/>
        <v>0</v>
      </c>
      <c r="FQ165" s="10">
        <f t="shared" si="125"/>
        <v>0</v>
      </c>
      <c r="FR165" s="11">
        <f t="shared" si="683"/>
        <v>0</v>
      </c>
      <c r="FS165" s="11">
        <f t="shared" si="127"/>
        <v>0</v>
      </c>
      <c r="FT165" s="11">
        <f t="shared" si="128"/>
        <v>0</v>
      </c>
      <c r="FU165" s="11">
        <f t="shared" si="129"/>
        <v>0</v>
      </c>
      <c r="FV165" s="11">
        <f t="shared" si="130"/>
        <v>0</v>
      </c>
      <c r="FW165" s="11">
        <f t="shared" si="131"/>
        <v>0</v>
      </c>
      <c r="FX165" s="11">
        <f t="shared" si="132"/>
        <v>0</v>
      </c>
      <c r="FY165" s="11">
        <f t="shared" si="133"/>
        <v>0</v>
      </c>
      <c r="FZ165" s="11">
        <f t="shared" si="134"/>
        <v>0</v>
      </c>
      <c r="GA165" s="11">
        <f t="shared" si="135"/>
        <v>0</v>
      </c>
      <c r="GB165" s="11">
        <f t="shared" si="136"/>
        <v>0</v>
      </c>
      <c r="GC165" s="11">
        <f t="shared" si="137"/>
        <v>0</v>
      </c>
      <c r="GD165" s="11">
        <f t="shared" si="138"/>
        <v>0</v>
      </c>
      <c r="GE165" s="11">
        <f t="shared" si="139"/>
        <v>0</v>
      </c>
      <c r="GF165" s="11">
        <f t="shared" si="140"/>
        <v>0</v>
      </c>
      <c r="GG165" s="11">
        <f t="shared" si="141"/>
        <v>0</v>
      </c>
      <c r="GH165" s="11">
        <f t="shared" si="142"/>
        <v>0</v>
      </c>
      <c r="GI165" s="11">
        <f t="shared" si="143"/>
        <v>0</v>
      </c>
      <c r="GJ165" s="11">
        <f t="shared" si="144"/>
        <v>0</v>
      </c>
      <c r="GK165" s="11">
        <f t="shared" si="145"/>
        <v>0</v>
      </c>
      <c r="GL165" s="11">
        <f t="shared" si="146"/>
        <v>0</v>
      </c>
      <c r="GM165" s="11">
        <f t="shared" si="147"/>
        <v>0</v>
      </c>
      <c r="GN165" s="11">
        <f t="shared" si="148"/>
        <v>0</v>
      </c>
      <c r="GO165" s="11">
        <f t="shared" si="149"/>
        <v>0</v>
      </c>
      <c r="GP165" s="11">
        <f t="shared" si="150"/>
        <v>0</v>
      </c>
      <c r="GQ165" s="11">
        <f t="shared" si="151"/>
        <v>0</v>
      </c>
      <c r="GR165" s="11">
        <f t="shared" si="152"/>
        <v>0</v>
      </c>
      <c r="GS165" s="11">
        <f t="shared" si="153"/>
        <v>0</v>
      </c>
      <c r="GT165" s="11">
        <f t="shared" si="154"/>
        <v>0</v>
      </c>
      <c r="GU165" s="12">
        <f t="shared" si="155"/>
        <v>0</v>
      </c>
      <c r="GV165" s="12">
        <f t="shared" si="156"/>
        <v>0</v>
      </c>
      <c r="GW165" s="12">
        <f t="shared" si="157"/>
        <v>0</v>
      </c>
      <c r="GX165" s="12">
        <f t="shared" si="158"/>
        <v>0</v>
      </c>
      <c r="GY165" s="12">
        <f t="shared" si="159"/>
        <v>0</v>
      </c>
      <c r="GZ165" s="12">
        <f t="shared" si="160"/>
        <v>0</v>
      </c>
      <c r="HA165" s="12">
        <f t="shared" si="161"/>
        <v>0</v>
      </c>
      <c r="HB165" s="12">
        <f t="shared" si="162"/>
        <v>0</v>
      </c>
      <c r="HC165" s="12">
        <f t="shared" si="163"/>
        <v>0</v>
      </c>
      <c r="HD165" s="12">
        <f t="shared" si="164"/>
        <v>0</v>
      </c>
      <c r="HE165" s="12">
        <f t="shared" si="165"/>
        <v>0</v>
      </c>
      <c r="HF165" s="12">
        <f t="shared" si="166"/>
        <v>0</v>
      </c>
      <c r="HG165" s="12">
        <f t="shared" si="167"/>
        <v>0</v>
      </c>
      <c r="HH165" s="12">
        <f t="shared" si="168"/>
        <v>0</v>
      </c>
      <c r="HI165" s="12">
        <f t="shared" si="169"/>
        <v>0</v>
      </c>
      <c r="HJ165" s="12">
        <f t="shared" si="170"/>
        <v>0</v>
      </c>
      <c r="HK165" s="12">
        <f t="shared" si="171"/>
        <v>0</v>
      </c>
      <c r="HL165" s="12">
        <f t="shared" si="172"/>
        <v>0</v>
      </c>
      <c r="HM165" s="12">
        <f t="shared" si="173"/>
        <v>0</v>
      </c>
      <c r="HN165" s="12">
        <f t="shared" si="174"/>
        <v>0</v>
      </c>
      <c r="HO165" s="12">
        <f t="shared" si="175"/>
        <v>0</v>
      </c>
      <c r="HP165" s="12">
        <f t="shared" si="176"/>
        <v>0</v>
      </c>
      <c r="HQ165" s="12">
        <f t="shared" si="177"/>
        <v>0</v>
      </c>
      <c r="HR165" s="12">
        <f t="shared" si="178"/>
        <v>0</v>
      </c>
      <c r="HS165" s="12">
        <f t="shared" si="179"/>
        <v>0</v>
      </c>
      <c r="HT165" s="12">
        <f t="shared" si="180"/>
        <v>0</v>
      </c>
      <c r="HU165" s="12">
        <f t="shared" si="181"/>
        <v>0</v>
      </c>
      <c r="HV165" s="12">
        <f t="shared" si="182"/>
        <v>0</v>
      </c>
      <c r="HW165" s="12">
        <f t="shared" si="183"/>
        <v>0</v>
      </c>
      <c r="HX165" s="12">
        <f t="shared" si="184"/>
        <v>0</v>
      </c>
      <c r="HY165" s="12">
        <f t="shared" si="185"/>
        <v>0</v>
      </c>
      <c r="HZ165" s="12">
        <f t="shared" si="186"/>
        <v>0</v>
      </c>
      <c r="IA165" s="12">
        <f t="shared" si="187"/>
        <v>0</v>
      </c>
      <c r="IB165" s="12">
        <f t="shared" si="188"/>
        <v>0</v>
      </c>
      <c r="IC165" s="12">
        <f t="shared" si="189"/>
        <v>0</v>
      </c>
      <c r="ID165" s="12">
        <f t="shared" si="190"/>
        <v>0</v>
      </c>
      <c r="IE165" s="12">
        <f t="shared" si="191"/>
        <v>0</v>
      </c>
      <c r="IF165" s="12">
        <f t="shared" si="192"/>
        <v>0</v>
      </c>
      <c r="IG165" s="12">
        <f t="shared" si="193"/>
        <v>0</v>
      </c>
      <c r="IH165" s="12">
        <f t="shared" si="194"/>
        <v>0</v>
      </c>
      <c r="II165" s="12">
        <f t="shared" si="195"/>
        <v>0</v>
      </c>
      <c r="IJ165" s="12">
        <f t="shared" si="196"/>
        <v>0</v>
      </c>
      <c r="IK165" s="12">
        <f t="shared" si="197"/>
        <v>0</v>
      </c>
      <c r="IL165" s="12">
        <f t="shared" si="198"/>
        <v>0</v>
      </c>
      <c r="IM165" s="12">
        <f t="shared" si="199"/>
        <v>0</v>
      </c>
      <c r="IN165" s="12">
        <f t="shared" si="200"/>
        <v>0</v>
      </c>
      <c r="IO165" s="12">
        <f t="shared" si="201"/>
        <v>0</v>
      </c>
      <c r="IP165" s="12">
        <f t="shared" si="202"/>
        <v>0</v>
      </c>
      <c r="IQ165" s="12">
        <f t="shared" si="203"/>
        <v>0</v>
      </c>
      <c r="IR165" s="12">
        <f t="shared" si="204"/>
        <v>0</v>
      </c>
      <c r="IS165" s="12">
        <f t="shared" si="205"/>
        <v>0</v>
      </c>
      <c r="IT165" s="12">
        <f t="shared" si="206"/>
        <v>0</v>
      </c>
      <c r="IU165" s="12">
        <f t="shared" si="207"/>
        <v>0</v>
      </c>
      <c r="IV165" s="12">
        <f t="shared" si="208"/>
        <v>0</v>
      </c>
      <c r="IW165" s="12">
        <f t="shared" si="209"/>
        <v>0</v>
      </c>
      <c r="IX165" s="12">
        <f t="shared" si="210"/>
        <v>0</v>
      </c>
      <c r="IY165" s="12">
        <f t="shared" si="211"/>
        <v>0</v>
      </c>
      <c r="IZ165" s="12">
        <f t="shared" si="212"/>
        <v>1</v>
      </c>
      <c r="JA165" s="13">
        <f t="shared" si="213"/>
        <v>0</v>
      </c>
      <c r="JB165" s="13">
        <f t="shared" si="214"/>
        <v>0</v>
      </c>
      <c r="JC165" s="13">
        <f t="shared" si="215"/>
        <v>0</v>
      </c>
      <c r="JD165" s="13">
        <f t="shared" si="216"/>
        <v>0</v>
      </c>
      <c r="JE165" s="13">
        <f t="shared" si="217"/>
        <v>0</v>
      </c>
      <c r="JF165" s="13">
        <f t="shared" si="218"/>
        <v>0</v>
      </c>
      <c r="JG165" s="13">
        <f t="shared" si="219"/>
        <v>0</v>
      </c>
      <c r="JH165" s="13">
        <f t="shared" si="220"/>
        <v>0</v>
      </c>
      <c r="JI165" s="13">
        <f t="shared" si="221"/>
        <v>0</v>
      </c>
      <c r="JJ165" s="13">
        <f t="shared" si="222"/>
        <v>0</v>
      </c>
      <c r="JK165" s="13">
        <f t="shared" si="223"/>
        <v>0</v>
      </c>
      <c r="JL165" s="13">
        <f t="shared" si="224"/>
        <v>0</v>
      </c>
      <c r="JM165" s="13">
        <f t="shared" si="225"/>
        <v>0</v>
      </c>
      <c r="JN165" s="13">
        <f t="shared" si="226"/>
        <v>0</v>
      </c>
      <c r="JO165" s="13">
        <f t="shared" si="227"/>
        <v>0</v>
      </c>
      <c r="JP165" s="13">
        <f t="shared" si="228"/>
        <v>0</v>
      </c>
      <c r="JQ165" s="13">
        <f t="shared" si="229"/>
        <v>0</v>
      </c>
      <c r="JR165" s="13">
        <f t="shared" si="230"/>
        <v>0</v>
      </c>
      <c r="JS165" s="13">
        <f t="shared" si="231"/>
        <v>0</v>
      </c>
      <c r="JT165" s="13">
        <f t="shared" si="232"/>
        <v>0</v>
      </c>
      <c r="JU165" s="13">
        <f t="shared" si="233"/>
        <v>0</v>
      </c>
      <c r="JV165" s="12">
        <f t="shared" si="234"/>
        <v>0</v>
      </c>
      <c r="JW165" s="12">
        <f t="shared" si="235"/>
        <v>0</v>
      </c>
      <c r="JX165" s="12">
        <f t="shared" si="236"/>
        <v>0</v>
      </c>
      <c r="JY165" s="12">
        <f t="shared" si="237"/>
        <v>0</v>
      </c>
      <c r="JZ165" s="12">
        <f t="shared" si="238"/>
        <v>0</v>
      </c>
      <c r="KA165" s="12">
        <f t="shared" si="239"/>
        <v>0</v>
      </c>
      <c r="KB165" s="12">
        <f t="shared" si="240"/>
        <v>0</v>
      </c>
      <c r="KC165" s="12">
        <f t="shared" si="241"/>
        <v>0</v>
      </c>
      <c r="KD165" s="12">
        <f t="shared" si="242"/>
        <v>0</v>
      </c>
      <c r="KE165" s="12">
        <f t="shared" si="243"/>
        <v>0</v>
      </c>
      <c r="KF165" s="12">
        <f t="shared" si="244"/>
        <v>0</v>
      </c>
      <c r="KG165" s="12">
        <f t="shared" si="245"/>
        <v>0</v>
      </c>
      <c r="KH165" s="12">
        <f t="shared" si="246"/>
        <v>0</v>
      </c>
      <c r="KI165" s="12">
        <f t="shared" si="247"/>
        <v>0</v>
      </c>
      <c r="KJ165" s="12">
        <f t="shared" si="248"/>
        <v>0</v>
      </c>
      <c r="KK165" s="12">
        <f t="shared" si="249"/>
        <v>0</v>
      </c>
      <c r="KL165" s="12">
        <f t="shared" si="250"/>
        <v>0</v>
      </c>
      <c r="KM165" s="12">
        <f t="shared" si="251"/>
        <v>0</v>
      </c>
      <c r="KN165" s="12">
        <f t="shared" si="252"/>
        <v>0</v>
      </c>
      <c r="KO165" s="12">
        <f t="shared" si="253"/>
        <v>0</v>
      </c>
      <c r="KP165" s="12">
        <f t="shared" si="254"/>
        <v>0</v>
      </c>
      <c r="KQ165" s="12">
        <f t="shared" si="255"/>
        <v>0</v>
      </c>
      <c r="KR165" s="12">
        <f t="shared" si="256"/>
        <v>0</v>
      </c>
      <c r="KS165" s="12">
        <f t="shared" si="257"/>
        <v>0</v>
      </c>
      <c r="KT165" s="12">
        <f t="shared" si="258"/>
        <v>0</v>
      </c>
      <c r="KU165" s="12">
        <f t="shared" si="259"/>
        <v>0</v>
      </c>
      <c r="KV165" s="12">
        <f t="shared" si="260"/>
        <v>0</v>
      </c>
      <c r="KW165" s="12">
        <f t="shared" si="261"/>
        <v>0</v>
      </c>
      <c r="KX165" s="12">
        <f t="shared" si="262"/>
        <v>0</v>
      </c>
      <c r="KY165" s="12">
        <f t="shared" si="263"/>
        <v>0</v>
      </c>
      <c r="KZ165" s="12">
        <f t="shared" si="264"/>
        <v>0</v>
      </c>
      <c r="LA165" s="12">
        <f t="shared" si="265"/>
        <v>0</v>
      </c>
      <c r="LB165" s="12">
        <f t="shared" si="266"/>
        <v>0</v>
      </c>
      <c r="LC165" s="12">
        <f t="shared" si="267"/>
        <v>0</v>
      </c>
      <c r="LD165" s="12">
        <f t="shared" si="268"/>
        <v>0</v>
      </c>
      <c r="LE165" s="12">
        <f t="shared" si="269"/>
        <v>0</v>
      </c>
      <c r="LF165" s="12">
        <f t="shared" si="270"/>
        <v>0</v>
      </c>
      <c r="LG165" s="12">
        <f t="shared" si="271"/>
        <v>0</v>
      </c>
      <c r="LH165" s="12">
        <f t="shared" si="272"/>
        <v>0</v>
      </c>
      <c r="LI165" s="12">
        <f t="shared" si="273"/>
        <v>0</v>
      </c>
      <c r="LJ165" s="12">
        <f t="shared" si="274"/>
        <v>0</v>
      </c>
      <c r="LK165" s="12">
        <f t="shared" si="275"/>
        <v>0</v>
      </c>
      <c r="LL165" s="12">
        <f t="shared" si="276"/>
        <v>0</v>
      </c>
      <c r="LM165" s="12">
        <f t="shared" si="277"/>
        <v>0</v>
      </c>
      <c r="LN165" s="12">
        <f t="shared" si="278"/>
        <v>0</v>
      </c>
      <c r="LO165" s="12">
        <f t="shared" si="279"/>
        <v>0</v>
      </c>
      <c r="LP165" s="12">
        <f t="shared" si="280"/>
        <v>0</v>
      </c>
      <c r="LQ165" s="12">
        <f t="shared" si="281"/>
        <v>0</v>
      </c>
      <c r="LR165" s="12">
        <f t="shared" si="282"/>
        <v>0</v>
      </c>
      <c r="LS165" s="12">
        <f t="shared" si="283"/>
        <v>0</v>
      </c>
      <c r="LT165" s="13">
        <f t="shared" si="284"/>
        <v>0</v>
      </c>
      <c r="LU165" s="13">
        <f t="shared" si="285"/>
        <v>0</v>
      </c>
      <c r="LV165" s="13">
        <f t="shared" si="286"/>
        <v>0</v>
      </c>
      <c r="LW165" s="13">
        <f t="shared" si="287"/>
        <v>0</v>
      </c>
      <c r="LX165" s="13">
        <f t="shared" si="288"/>
        <v>0</v>
      </c>
      <c r="LY165" s="13">
        <f t="shared" si="289"/>
        <v>0</v>
      </c>
      <c r="LZ165" s="13">
        <f t="shared" si="290"/>
        <v>0</v>
      </c>
      <c r="MA165" s="13">
        <f t="shared" si="291"/>
        <v>0</v>
      </c>
      <c r="MB165" s="13">
        <f t="shared" si="292"/>
        <v>0</v>
      </c>
      <c r="MC165" s="13">
        <f t="shared" si="293"/>
        <v>0</v>
      </c>
      <c r="MD165" s="13">
        <f t="shared" si="294"/>
        <v>0</v>
      </c>
      <c r="ME165" s="13">
        <f t="shared" si="295"/>
        <v>0</v>
      </c>
      <c r="MF165" s="13">
        <f t="shared" si="296"/>
        <v>0</v>
      </c>
      <c r="MG165" s="13">
        <f t="shared" si="297"/>
        <v>0</v>
      </c>
      <c r="MH165" s="13">
        <f t="shared" si="298"/>
        <v>0</v>
      </c>
      <c r="MI165" s="13">
        <f t="shared" si="299"/>
        <v>0</v>
      </c>
      <c r="MJ165" s="13">
        <f t="shared" si="300"/>
        <v>0</v>
      </c>
      <c r="MK165" s="13">
        <f t="shared" si="301"/>
        <v>0</v>
      </c>
      <c r="ML165" s="14">
        <f t="shared" si="302"/>
        <v>0</v>
      </c>
      <c r="MM165" s="14">
        <f t="shared" si="303"/>
        <v>0</v>
      </c>
      <c r="MN165" s="14">
        <f t="shared" si="304"/>
        <v>0</v>
      </c>
      <c r="MO165" s="14">
        <f t="shared" si="305"/>
        <v>0</v>
      </c>
      <c r="MP165" s="14">
        <f t="shared" si="306"/>
        <v>0</v>
      </c>
      <c r="MQ165" s="14">
        <f t="shared" si="307"/>
        <v>0</v>
      </c>
      <c r="MR165" s="14">
        <f t="shared" si="308"/>
        <v>0</v>
      </c>
      <c r="MS165" s="14">
        <f t="shared" si="309"/>
        <v>0</v>
      </c>
      <c r="MT165" s="14">
        <f t="shared" si="310"/>
        <v>0</v>
      </c>
      <c r="MU165" s="14">
        <f t="shared" si="311"/>
        <v>0</v>
      </c>
      <c r="MV165" s="14">
        <f t="shared" si="312"/>
        <v>0</v>
      </c>
      <c r="MW165" s="14">
        <f t="shared" si="313"/>
        <v>0</v>
      </c>
      <c r="MX165" s="14">
        <f t="shared" si="314"/>
        <v>0</v>
      </c>
      <c r="MY165" s="14">
        <f t="shared" si="315"/>
        <v>0</v>
      </c>
      <c r="MZ165" s="14">
        <f t="shared" si="316"/>
        <v>0</v>
      </c>
      <c r="NA165" s="14">
        <f t="shared" si="317"/>
        <v>0</v>
      </c>
      <c r="NB165" s="14">
        <f t="shared" si="318"/>
        <v>0</v>
      </c>
    </row>
    <row r="166" ht="15.75" customHeight="1">
      <c r="A166" s="2">
        <v>102.0</v>
      </c>
      <c r="B166" s="2" t="s">
        <v>3147</v>
      </c>
      <c r="C166" s="2" t="s">
        <v>3148</v>
      </c>
      <c r="D166" s="2" t="s">
        <v>3149</v>
      </c>
      <c r="E166" s="2">
        <v>2021.0</v>
      </c>
      <c r="F166" s="2" t="s">
        <v>3150</v>
      </c>
      <c r="G166" s="2" t="s">
        <v>3151</v>
      </c>
      <c r="H166" s="2" t="s">
        <v>510</v>
      </c>
      <c r="J166" s="2" t="s">
        <v>3152</v>
      </c>
      <c r="K166" s="2" t="s">
        <v>3153</v>
      </c>
      <c r="M166" s="2">
        <v>2.0</v>
      </c>
      <c r="N166" s="2" t="s">
        <v>3154</v>
      </c>
      <c r="O166" s="2" t="s">
        <v>3155</v>
      </c>
      <c r="P166" s="2" t="s">
        <v>3156</v>
      </c>
      <c r="Q166" s="2" t="s">
        <v>3157</v>
      </c>
      <c r="R166" s="2" t="s">
        <v>3158</v>
      </c>
      <c r="S166" s="2" t="s">
        <v>3159</v>
      </c>
      <c r="Y166" s="2" t="s">
        <v>3160</v>
      </c>
      <c r="AB166" s="2" t="s">
        <v>862</v>
      </c>
      <c r="AG166" s="2" t="s">
        <v>3161</v>
      </c>
      <c r="AI166" s="2" t="s">
        <v>3162</v>
      </c>
      <c r="AK166" s="2" t="s">
        <v>3163</v>
      </c>
      <c r="AL166" s="2" t="s">
        <v>384</v>
      </c>
      <c r="AN166" s="2" t="s">
        <v>386</v>
      </c>
      <c r="AO166" s="2" t="s">
        <v>3164</v>
      </c>
      <c r="AP166" s="2" t="s">
        <v>386</v>
      </c>
      <c r="AQ166" s="2">
        <v>348.0</v>
      </c>
      <c r="AR166" s="2" t="s">
        <v>3165</v>
      </c>
      <c r="AS166" s="2" t="b">
        <v>1</v>
      </c>
      <c r="AT166" s="3">
        <v>0.0</v>
      </c>
      <c r="AU166" s="4"/>
      <c r="AV166" s="4"/>
      <c r="AW166" s="5">
        <f t="shared" si="432"/>
        <v>0</v>
      </c>
      <c r="AX166" s="5">
        <f t="shared" si="4"/>
        <v>0</v>
      </c>
      <c r="AY166" s="5">
        <f t="shared" si="5"/>
        <v>0</v>
      </c>
      <c r="AZ166" s="5">
        <f t="shared" si="6"/>
        <v>0</v>
      </c>
      <c r="BA166" s="5">
        <f t="shared" si="7"/>
        <v>0</v>
      </c>
      <c r="BB166" s="5">
        <f t="shared" si="8"/>
        <v>0</v>
      </c>
      <c r="BC166" s="5">
        <f t="shared" si="9"/>
        <v>0</v>
      </c>
      <c r="BD166" s="5">
        <f t="shared" si="10"/>
        <v>0</v>
      </c>
      <c r="BE166" s="5">
        <f t="shared" si="11"/>
        <v>0</v>
      </c>
      <c r="BF166" s="5">
        <f t="shared" si="12"/>
        <v>0</v>
      </c>
      <c r="BG166" s="5">
        <f t="shared" si="13"/>
        <v>0</v>
      </c>
      <c r="BH166" s="5">
        <f t="shared" si="14"/>
        <v>0</v>
      </c>
      <c r="BI166" s="5">
        <f t="shared" si="15"/>
        <v>0</v>
      </c>
      <c r="BJ166" s="5">
        <f t="shared" si="16"/>
        <v>0</v>
      </c>
      <c r="BK166" s="5">
        <f t="shared" si="17"/>
        <v>0</v>
      </c>
      <c r="BL166" s="5">
        <f t="shared" si="18"/>
        <v>0</v>
      </c>
      <c r="BM166" s="5">
        <f t="shared" si="19"/>
        <v>0</v>
      </c>
      <c r="BN166" s="5">
        <f t="shared" si="20"/>
        <v>0</v>
      </c>
      <c r="BO166" s="5">
        <f t="shared" si="21"/>
        <v>0</v>
      </c>
      <c r="BP166" s="5">
        <f t="shared" si="22"/>
        <v>0</v>
      </c>
      <c r="BQ166" s="5">
        <f t="shared" si="23"/>
        <v>0</v>
      </c>
      <c r="BR166" s="5">
        <f t="shared" si="24"/>
        <v>0</v>
      </c>
      <c r="BS166" s="5">
        <f t="shared" si="25"/>
        <v>0</v>
      </c>
      <c r="BT166" s="5">
        <f t="shared" si="26"/>
        <v>0</v>
      </c>
      <c r="BU166" s="5">
        <f t="shared" si="27"/>
        <v>0</v>
      </c>
      <c r="BV166" s="5">
        <f t="shared" ref="BV166:BW166" si="686">IF(OR(ISNUMBER(SEARCH("grit",$D166)),ISNUMBER(SEARCH("grit",$T166)),ISNUMBER(SEARCH("grit",$R166)),ISNUMBER(SEARCH("grit",$S166)),
ISNUMBER(SEARCH("determination",$D166)),ISNUMBER(SEARCH("determination",$T166)),ISNUMBER(SEARCH("determination",$R166)),ISNUMBER(SEARCH("determination",$S166)),
ISNUMBER(SEARCH("tenacity",$D166)),ISNUMBER(SEARCH("tenacity",$T166)),ISNUMBER(SEARCH("tenacity",$R166)),ISNUMBER(SEARCH("tenacity",$S166)),
ISNUMBER(SEARCH("endurance",$D166)),ISNUMBER(SEARCH("endurance",$T166)),ISNUMBER(SEARCH("endurance",$R166)),ISNUMBER(SEARCH("endurance",$S166)),
ISNUMBER(SEARCH("fortitude",$D166)),ISNUMBER(SEARCH("fortitude",$T166)),ISNUMBER(SEARCH("fortitude",$R166)),ISNUMBER(SEARCH("fortitude",$S166)),
ISNUMBER(SEARCH("resolve",$D166)),ISNUMBER(SEARCH("resolve",$T166)),ISNUMBER(SEARCH("resolve",$R166)),ISNUMBER(SEARCH("resolve",$S166)),
ISNUMBER(SEARCH("stamina",$D166)),ISNUMBER(SEARCH("stamina",$T166)),ISNUMBER(SEARCH("stamina",$R166)),ISNUMBER(SEARCH("stamina",$S166)),
ISNUMBER(SEARCH("guts",$D166)),ISNUMBER(SEARCH("guts",$T166)),ISNUMBER(SEARCH("guts",$R166)),ISNUMBER(SEARCH("guts",$S166)),
ISNUMBER(SEARCH("spunk",$D166)),ISNUMBER(SEARCH("spunk",$T166)),ISNUMBER(SEARCH("spunk",$R166)),ISNUMBER(SEARCH("spunk",$S166))), 1, 0)</f>
        <v>0</v>
      </c>
      <c r="BW166" s="5">
        <f t="shared" si="686"/>
        <v>0</v>
      </c>
      <c r="BX166" s="5">
        <f t="shared" si="29"/>
        <v>0</v>
      </c>
      <c r="BY166" s="5">
        <f t="shared" si="30"/>
        <v>0</v>
      </c>
      <c r="BZ166" s="5">
        <f t="shared" si="31"/>
        <v>0</v>
      </c>
      <c r="CA166" s="5">
        <f t="shared" si="32"/>
        <v>0</v>
      </c>
      <c r="CB166" s="5">
        <f t="shared" si="33"/>
        <v>0</v>
      </c>
      <c r="CC166" s="5">
        <f t="shared" si="34"/>
        <v>0</v>
      </c>
      <c r="CD166" s="5">
        <f t="shared" si="35"/>
        <v>0</v>
      </c>
      <c r="CE166" s="5">
        <f t="shared" si="36"/>
        <v>0</v>
      </c>
      <c r="CF166" s="5">
        <f t="shared" si="37"/>
        <v>0</v>
      </c>
      <c r="CG166" s="5">
        <f t="shared" si="38"/>
        <v>0</v>
      </c>
      <c r="CH166" s="5">
        <f t="shared" si="39"/>
        <v>0</v>
      </c>
      <c r="CI166" s="5">
        <f t="shared" si="40"/>
        <v>0</v>
      </c>
      <c r="CJ166" s="5">
        <f t="shared" si="41"/>
        <v>0</v>
      </c>
      <c r="CK166" s="5">
        <f t="shared" si="42"/>
        <v>0</v>
      </c>
      <c r="CL166" s="5">
        <f t="shared" si="43"/>
        <v>0</v>
      </c>
      <c r="CM166" s="5">
        <f t="shared" si="44"/>
        <v>0</v>
      </c>
      <c r="CN166" s="5">
        <f t="shared" si="45"/>
        <v>0</v>
      </c>
      <c r="CO166" s="5">
        <f t="shared" si="46"/>
        <v>0</v>
      </c>
      <c r="CP166" s="6">
        <f t="shared" si="47"/>
        <v>0</v>
      </c>
      <c r="CQ166" s="6">
        <f t="shared" si="48"/>
        <v>0</v>
      </c>
      <c r="CR166" s="6">
        <f t="shared" si="49"/>
        <v>0</v>
      </c>
      <c r="CS166" s="6">
        <f t="shared" si="50"/>
        <v>0</v>
      </c>
      <c r="CT166" s="6">
        <f t="shared" si="584"/>
        <v>0</v>
      </c>
      <c r="CU166" s="6">
        <f t="shared" si="52"/>
        <v>0</v>
      </c>
      <c r="CV166" s="6">
        <f t="shared" si="53"/>
        <v>0</v>
      </c>
      <c r="CW166" s="6">
        <f t="shared" si="54"/>
        <v>0</v>
      </c>
      <c r="CX166" s="6">
        <f t="shared" si="55"/>
        <v>0</v>
      </c>
      <c r="CY166" s="6">
        <f t="shared" si="56"/>
        <v>0</v>
      </c>
      <c r="CZ166" s="6">
        <f t="shared" si="57"/>
        <v>0</v>
      </c>
      <c r="DA166" s="6">
        <f t="shared" si="58"/>
        <v>0</v>
      </c>
      <c r="DB166" s="6">
        <f t="shared" si="59"/>
        <v>0</v>
      </c>
      <c r="DC166" s="6">
        <f t="shared" si="60"/>
        <v>0</v>
      </c>
      <c r="DD166" s="6">
        <f t="shared" si="61"/>
        <v>0</v>
      </c>
      <c r="DE166" s="6">
        <f t="shared" si="62"/>
        <v>0</v>
      </c>
      <c r="DF166" s="6">
        <f t="shared" si="63"/>
        <v>0</v>
      </c>
      <c r="DG166" s="6">
        <f t="shared" si="64"/>
        <v>0</v>
      </c>
      <c r="DH166" s="6">
        <f t="shared" si="652"/>
        <v>0</v>
      </c>
      <c r="DI166" s="6">
        <f t="shared" si="66"/>
        <v>0</v>
      </c>
      <c r="DJ166" s="6">
        <f t="shared" si="653"/>
        <v>0</v>
      </c>
      <c r="DK166" s="7">
        <f t="shared" si="68"/>
        <v>0</v>
      </c>
      <c r="DL166" s="7">
        <f t="shared" si="498"/>
        <v>0</v>
      </c>
      <c r="DM166" s="7">
        <f t="shared" si="70"/>
        <v>0</v>
      </c>
      <c r="DN166" s="7">
        <f t="shared" si="71"/>
        <v>0</v>
      </c>
      <c r="DO166" s="7">
        <f t="shared" si="72"/>
        <v>0</v>
      </c>
      <c r="DP166" s="8">
        <f t="shared" si="73"/>
        <v>0</v>
      </c>
      <c r="DQ166" s="8">
        <f t="shared" si="74"/>
        <v>0</v>
      </c>
      <c r="DR166" s="7">
        <f t="shared" si="75"/>
        <v>0</v>
      </c>
      <c r="DS166" s="7">
        <f t="shared" si="76"/>
        <v>0</v>
      </c>
      <c r="DT166" s="7">
        <f t="shared" si="77"/>
        <v>0</v>
      </c>
      <c r="DU166" s="9">
        <f t="shared" si="78"/>
        <v>0</v>
      </c>
      <c r="DV166" s="9">
        <f t="shared" si="79"/>
        <v>0</v>
      </c>
      <c r="DW166" s="9">
        <f t="shared" si="80"/>
        <v>0</v>
      </c>
      <c r="DX166" s="9">
        <f t="shared" si="81"/>
        <v>0</v>
      </c>
      <c r="DY166" s="9">
        <f t="shared" si="82"/>
        <v>0</v>
      </c>
      <c r="DZ166" s="9">
        <f t="shared" si="83"/>
        <v>0</v>
      </c>
      <c r="EA166" s="9">
        <f t="shared" si="84"/>
        <v>0</v>
      </c>
      <c r="EB166" s="9">
        <f t="shared" si="85"/>
        <v>0</v>
      </c>
      <c r="EC166" s="9">
        <f t="shared" si="86"/>
        <v>0</v>
      </c>
      <c r="ED166" s="9">
        <f t="shared" si="87"/>
        <v>0</v>
      </c>
      <c r="EE166" s="9">
        <f t="shared" si="88"/>
        <v>0</v>
      </c>
      <c r="EF166" s="9">
        <f t="shared" si="89"/>
        <v>0</v>
      </c>
      <c r="EG166" s="9">
        <f t="shared" si="90"/>
        <v>0</v>
      </c>
      <c r="EH166" s="9">
        <f t="shared" si="91"/>
        <v>0</v>
      </c>
      <c r="EI166" s="9">
        <f t="shared" si="92"/>
        <v>0</v>
      </c>
      <c r="EJ166" s="10">
        <f t="shared" si="93"/>
        <v>0</v>
      </c>
      <c r="EK166" s="10">
        <f t="shared" si="94"/>
        <v>0</v>
      </c>
      <c r="EL166" s="10">
        <f t="shared" ref="EL166:EM166" si="687">IF(OR(ISNUMBER(SEARCH("ai software toolkit", $D166)), ISNUMBER(SEARCH("ai software toolkit", $T166)), ISNUMBER(SEARCH("ai software toolkit", $R166)), ISNUMBER(SEARCH("ai software toolkit", $S166))), 1, 0)</f>
        <v>0</v>
      </c>
      <c r="EM166" s="10">
        <f t="shared" si="687"/>
        <v>0</v>
      </c>
      <c r="EN166" s="10">
        <f t="shared" si="96"/>
        <v>0</v>
      </c>
      <c r="EO166" s="10">
        <f t="shared" si="97"/>
        <v>0</v>
      </c>
      <c r="EP166" s="10">
        <f t="shared" si="98"/>
        <v>0</v>
      </c>
      <c r="EQ166" s="10">
        <f t="shared" si="99"/>
        <v>0</v>
      </c>
      <c r="ER166" s="10">
        <f t="shared" si="100"/>
        <v>0</v>
      </c>
      <c r="ES166" s="10">
        <f t="shared" si="101"/>
        <v>0</v>
      </c>
      <c r="ET166" s="10">
        <f t="shared" si="102"/>
        <v>0</v>
      </c>
      <c r="EU166" s="10">
        <f t="shared" si="103"/>
        <v>0</v>
      </c>
      <c r="EV166" s="10">
        <f t="shared" si="104"/>
        <v>0</v>
      </c>
      <c r="EW166" s="10">
        <f t="shared" si="105"/>
        <v>0</v>
      </c>
      <c r="EX166" s="10">
        <f t="shared" si="106"/>
        <v>0</v>
      </c>
      <c r="EY166" s="10">
        <f t="shared" si="107"/>
        <v>0</v>
      </c>
      <c r="EZ166" s="10">
        <f t="shared" si="108"/>
        <v>0</v>
      </c>
      <c r="FA166" s="10">
        <f t="shared" si="109"/>
        <v>0</v>
      </c>
      <c r="FB166" s="10">
        <f t="shared" si="110"/>
        <v>0</v>
      </c>
      <c r="FC166" s="10">
        <f t="shared" si="111"/>
        <v>0</v>
      </c>
      <c r="FD166" s="10">
        <f t="shared" si="112"/>
        <v>0</v>
      </c>
      <c r="FE166" s="10">
        <f t="shared" si="113"/>
        <v>0</v>
      </c>
      <c r="FF166" s="10">
        <f t="shared" si="114"/>
        <v>0</v>
      </c>
      <c r="FG166" s="10">
        <f t="shared" si="115"/>
        <v>0</v>
      </c>
      <c r="FH166" s="10">
        <f t="shared" si="116"/>
        <v>0</v>
      </c>
      <c r="FI166" s="10">
        <f t="shared" si="117"/>
        <v>0</v>
      </c>
      <c r="FJ166" s="10">
        <f t="shared" si="118"/>
        <v>0</v>
      </c>
      <c r="FK166" s="10">
        <f t="shared" si="119"/>
        <v>0</v>
      </c>
      <c r="FL166" s="10">
        <f t="shared" si="120"/>
        <v>0</v>
      </c>
      <c r="FM166" s="10">
        <f t="shared" si="121"/>
        <v>0</v>
      </c>
      <c r="FN166" s="10">
        <f t="shared" si="122"/>
        <v>0</v>
      </c>
      <c r="FO166" s="10">
        <f t="shared" si="123"/>
        <v>0</v>
      </c>
      <c r="FP166" s="10">
        <f t="shared" si="124"/>
        <v>1</v>
      </c>
      <c r="FQ166" s="10">
        <f t="shared" si="125"/>
        <v>0</v>
      </c>
      <c r="FR166" s="11">
        <f t="shared" si="683"/>
        <v>0</v>
      </c>
      <c r="FS166" s="11">
        <f t="shared" si="127"/>
        <v>0</v>
      </c>
      <c r="FT166" s="11">
        <f t="shared" si="128"/>
        <v>0</v>
      </c>
      <c r="FU166" s="11">
        <f t="shared" si="129"/>
        <v>0</v>
      </c>
      <c r="FV166" s="11">
        <f t="shared" si="130"/>
        <v>0</v>
      </c>
      <c r="FW166" s="11">
        <f t="shared" si="131"/>
        <v>0</v>
      </c>
      <c r="FX166" s="11">
        <f t="shared" si="132"/>
        <v>0</v>
      </c>
      <c r="FY166" s="11">
        <f t="shared" si="133"/>
        <v>0</v>
      </c>
      <c r="FZ166" s="11">
        <f t="shared" si="134"/>
        <v>0</v>
      </c>
      <c r="GA166" s="11">
        <f t="shared" si="135"/>
        <v>0</v>
      </c>
      <c r="GB166" s="11">
        <f t="shared" si="136"/>
        <v>0</v>
      </c>
      <c r="GC166" s="11">
        <f t="shared" si="137"/>
        <v>0</v>
      </c>
      <c r="GD166" s="11">
        <f t="shared" si="138"/>
        <v>0</v>
      </c>
      <c r="GE166" s="11">
        <f t="shared" si="139"/>
        <v>0</v>
      </c>
      <c r="GF166" s="11">
        <f t="shared" si="140"/>
        <v>0</v>
      </c>
      <c r="GG166" s="11">
        <f t="shared" si="141"/>
        <v>0</v>
      </c>
      <c r="GH166" s="11">
        <f t="shared" si="142"/>
        <v>0</v>
      </c>
      <c r="GI166" s="11">
        <f t="shared" si="143"/>
        <v>0</v>
      </c>
      <c r="GJ166" s="11">
        <f t="shared" si="144"/>
        <v>0</v>
      </c>
      <c r="GK166" s="11">
        <f t="shared" si="145"/>
        <v>0</v>
      </c>
      <c r="GL166" s="11">
        <f t="shared" si="146"/>
        <v>0</v>
      </c>
      <c r="GM166" s="11">
        <f t="shared" si="147"/>
        <v>0</v>
      </c>
      <c r="GN166" s="11">
        <f t="shared" si="148"/>
        <v>0</v>
      </c>
      <c r="GO166" s="11">
        <f t="shared" si="149"/>
        <v>0</v>
      </c>
      <c r="GP166" s="11">
        <f t="shared" si="150"/>
        <v>0</v>
      </c>
      <c r="GQ166" s="11">
        <f t="shared" si="151"/>
        <v>1</v>
      </c>
      <c r="GR166" s="11">
        <f t="shared" si="152"/>
        <v>0</v>
      </c>
      <c r="GS166" s="11">
        <f t="shared" si="153"/>
        <v>0</v>
      </c>
      <c r="GT166" s="11">
        <f t="shared" si="154"/>
        <v>0</v>
      </c>
      <c r="GU166" s="12">
        <f t="shared" si="155"/>
        <v>0</v>
      </c>
      <c r="GV166" s="12">
        <f t="shared" si="156"/>
        <v>0</v>
      </c>
      <c r="GW166" s="12">
        <f t="shared" si="157"/>
        <v>0</v>
      </c>
      <c r="GX166" s="12">
        <f t="shared" si="158"/>
        <v>0</v>
      </c>
      <c r="GY166" s="12">
        <f t="shared" si="159"/>
        <v>0</v>
      </c>
      <c r="GZ166" s="12">
        <f t="shared" si="160"/>
        <v>0</v>
      </c>
      <c r="HA166" s="12">
        <f t="shared" si="161"/>
        <v>0</v>
      </c>
      <c r="HB166" s="12">
        <f t="shared" si="162"/>
        <v>0</v>
      </c>
      <c r="HC166" s="12">
        <f t="shared" si="163"/>
        <v>0</v>
      </c>
      <c r="HD166" s="12">
        <f t="shared" si="164"/>
        <v>0</v>
      </c>
      <c r="HE166" s="12">
        <f t="shared" si="165"/>
        <v>0</v>
      </c>
      <c r="HF166" s="12">
        <f t="shared" si="166"/>
        <v>0</v>
      </c>
      <c r="HG166" s="12">
        <f t="shared" si="167"/>
        <v>0</v>
      </c>
      <c r="HH166" s="12">
        <f t="shared" si="168"/>
        <v>0</v>
      </c>
      <c r="HI166" s="12">
        <f t="shared" si="169"/>
        <v>0</v>
      </c>
      <c r="HJ166" s="12">
        <f t="shared" si="170"/>
        <v>0</v>
      </c>
      <c r="HK166" s="12">
        <f t="shared" si="171"/>
        <v>0</v>
      </c>
      <c r="HL166" s="12">
        <f t="shared" si="172"/>
        <v>0</v>
      </c>
      <c r="HM166" s="12">
        <f t="shared" si="173"/>
        <v>0</v>
      </c>
      <c r="HN166" s="12">
        <f t="shared" si="174"/>
        <v>0</v>
      </c>
      <c r="HO166" s="12">
        <f t="shared" si="175"/>
        <v>0</v>
      </c>
      <c r="HP166" s="12">
        <f t="shared" si="176"/>
        <v>0</v>
      </c>
      <c r="HQ166" s="12">
        <f t="shared" si="177"/>
        <v>0</v>
      </c>
      <c r="HR166" s="12">
        <f t="shared" si="178"/>
        <v>0</v>
      </c>
      <c r="HS166" s="12">
        <f t="shared" si="179"/>
        <v>0</v>
      </c>
      <c r="HT166" s="12">
        <f t="shared" si="180"/>
        <v>0</v>
      </c>
      <c r="HU166" s="12">
        <f t="shared" si="181"/>
        <v>0</v>
      </c>
      <c r="HV166" s="12">
        <f t="shared" si="182"/>
        <v>0</v>
      </c>
      <c r="HW166" s="12">
        <f t="shared" si="183"/>
        <v>0</v>
      </c>
      <c r="HX166" s="12">
        <f t="shared" si="184"/>
        <v>0</v>
      </c>
      <c r="HY166" s="12">
        <f t="shared" si="185"/>
        <v>0</v>
      </c>
      <c r="HZ166" s="12">
        <f t="shared" si="186"/>
        <v>0</v>
      </c>
      <c r="IA166" s="12">
        <f t="shared" si="187"/>
        <v>0</v>
      </c>
      <c r="IB166" s="12">
        <f t="shared" si="188"/>
        <v>0</v>
      </c>
      <c r="IC166" s="12">
        <f t="shared" si="189"/>
        <v>0</v>
      </c>
      <c r="ID166" s="12">
        <f t="shared" si="190"/>
        <v>0</v>
      </c>
      <c r="IE166" s="12">
        <f t="shared" si="191"/>
        <v>0</v>
      </c>
      <c r="IF166" s="12">
        <f t="shared" si="192"/>
        <v>0</v>
      </c>
      <c r="IG166" s="12">
        <f t="shared" si="193"/>
        <v>0</v>
      </c>
      <c r="IH166" s="12">
        <f t="shared" si="194"/>
        <v>0</v>
      </c>
      <c r="II166" s="12">
        <f t="shared" si="195"/>
        <v>0</v>
      </c>
      <c r="IJ166" s="12">
        <f t="shared" si="196"/>
        <v>0</v>
      </c>
      <c r="IK166" s="12">
        <f t="shared" si="197"/>
        <v>0</v>
      </c>
      <c r="IL166" s="12">
        <f t="shared" si="198"/>
        <v>0</v>
      </c>
      <c r="IM166" s="12">
        <f t="shared" si="199"/>
        <v>0</v>
      </c>
      <c r="IN166" s="12">
        <f t="shared" si="200"/>
        <v>0</v>
      </c>
      <c r="IO166" s="12">
        <f t="shared" si="201"/>
        <v>0</v>
      </c>
      <c r="IP166" s="12">
        <f t="shared" si="202"/>
        <v>0</v>
      </c>
      <c r="IQ166" s="12">
        <f t="shared" si="203"/>
        <v>0</v>
      </c>
      <c r="IR166" s="12">
        <f t="shared" si="204"/>
        <v>0</v>
      </c>
      <c r="IS166" s="12">
        <f t="shared" si="205"/>
        <v>0</v>
      </c>
      <c r="IT166" s="12">
        <f t="shared" si="206"/>
        <v>0</v>
      </c>
      <c r="IU166" s="12">
        <f t="shared" si="207"/>
        <v>0</v>
      </c>
      <c r="IV166" s="12">
        <f t="shared" si="208"/>
        <v>0</v>
      </c>
      <c r="IW166" s="12">
        <f t="shared" si="209"/>
        <v>0</v>
      </c>
      <c r="IX166" s="12">
        <f t="shared" si="210"/>
        <v>0</v>
      </c>
      <c r="IY166" s="12">
        <f t="shared" si="211"/>
        <v>0</v>
      </c>
      <c r="IZ166" s="12">
        <f t="shared" si="212"/>
        <v>0</v>
      </c>
      <c r="JA166" s="13">
        <f t="shared" si="213"/>
        <v>0</v>
      </c>
      <c r="JB166" s="13">
        <f t="shared" si="214"/>
        <v>0</v>
      </c>
      <c r="JC166" s="13">
        <f t="shared" si="215"/>
        <v>0</v>
      </c>
      <c r="JD166" s="13">
        <f t="shared" si="216"/>
        <v>0</v>
      </c>
      <c r="JE166" s="13">
        <f t="shared" si="217"/>
        <v>0</v>
      </c>
      <c r="JF166" s="13">
        <f t="shared" si="218"/>
        <v>0</v>
      </c>
      <c r="JG166" s="13">
        <f t="shared" si="219"/>
        <v>0</v>
      </c>
      <c r="JH166" s="13">
        <f t="shared" si="220"/>
        <v>0</v>
      </c>
      <c r="JI166" s="13">
        <f t="shared" si="221"/>
        <v>0</v>
      </c>
      <c r="JJ166" s="13">
        <f t="shared" si="222"/>
        <v>0</v>
      </c>
      <c r="JK166" s="13">
        <f t="shared" si="223"/>
        <v>0</v>
      </c>
      <c r="JL166" s="13">
        <f t="shared" si="224"/>
        <v>0</v>
      </c>
      <c r="JM166" s="13">
        <f t="shared" si="225"/>
        <v>0</v>
      </c>
      <c r="JN166" s="13">
        <f t="shared" si="226"/>
        <v>0</v>
      </c>
      <c r="JO166" s="13">
        <f t="shared" si="227"/>
        <v>0</v>
      </c>
      <c r="JP166" s="13">
        <f t="shared" si="228"/>
        <v>0</v>
      </c>
      <c r="JQ166" s="13">
        <f t="shared" si="229"/>
        <v>0</v>
      </c>
      <c r="JR166" s="13">
        <f t="shared" si="230"/>
        <v>0</v>
      </c>
      <c r="JS166" s="13">
        <f t="shared" si="231"/>
        <v>0</v>
      </c>
      <c r="JT166" s="13">
        <f t="shared" si="232"/>
        <v>0</v>
      </c>
      <c r="JU166" s="13">
        <f t="shared" si="233"/>
        <v>0</v>
      </c>
      <c r="JV166" s="12">
        <f t="shared" si="234"/>
        <v>0</v>
      </c>
      <c r="JW166" s="12">
        <f t="shared" si="235"/>
        <v>0</v>
      </c>
      <c r="JX166" s="12">
        <f t="shared" si="236"/>
        <v>0</v>
      </c>
      <c r="JY166" s="12">
        <f t="shared" si="237"/>
        <v>0</v>
      </c>
      <c r="JZ166" s="12">
        <f t="shared" si="238"/>
        <v>0</v>
      </c>
      <c r="KA166" s="12">
        <f t="shared" si="239"/>
        <v>0</v>
      </c>
      <c r="KB166" s="12">
        <f t="shared" si="240"/>
        <v>0</v>
      </c>
      <c r="KC166" s="12">
        <f t="shared" si="241"/>
        <v>0</v>
      </c>
      <c r="KD166" s="12">
        <f t="shared" si="242"/>
        <v>0</v>
      </c>
      <c r="KE166" s="12">
        <f t="shared" si="243"/>
        <v>0</v>
      </c>
      <c r="KF166" s="12">
        <f t="shared" si="244"/>
        <v>0</v>
      </c>
      <c r="KG166" s="12">
        <f t="shared" si="245"/>
        <v>0</v>
      </c>
      <c r="KH166" s="12">
        <f t="shared" si="246"/>
        <v>0</v>
      </c>
      <c r="KI166" s="12">
        <f t="shared" si="247"/>
        <v>0</v>
      </c>
      <c r="KJ166" s="12">
        <f t="shared" si="248"/>
        <v>0</v>
      </c>
      <c r="KK166" s="12">
        <f t="shared" si="249"/>
        <v>0</v>
      </c>
      <c r="KL166" s="12">
        <f t="shared" si="250"/>
        <v>0</v>
      </c>
      <c r="KM166" s="12">
        <f t="shared" si="251"/>
        <v>0</v>
      </c>
      <c r="KN166" s="12">
        <f t="shared" si="252"/>
        <v>0</v>
      </c>
      <c r="KO166" s="12">
        <f t="shared" si="253"/>
        <v>0</v>
      </c>
      <c r="KP166" s="12">
        <f t="shared" si="254"/>
        <v>0</v>
      </c>
      <c r="KQ166" s="12">
        <f t="shared" si="255"/>
        <v>0</v>
      </c>
      <c r="KR166" s="12">
        <f t="shared" si="256"/>
        <v>0</v>
      </c>
      <c r="KS166" s="12">
        <f t="shared" si="257"/>
        <v>0</v>
      </c>
      <c r="KT166" s="12">
        <f t="shared" si="258"/>
        <v>0</v>
      </c>
      <c r="KU166" s="12">
        <f t="shared" si="259"/>
        <v>0</v>
      </c>
      <c r="KV166" s="12">
        <f t="shared" si="260"/>
        <v>0</v>
      </c>
      <c r="KW166" s="12">
        <f t="shared" si="261"/>
        <v>0</v>
      </c>
      <c r="KX166" s="12">
        <f t="shared" si="262"/>
        <v>0</v>
      </c>
      <c r="KY166" s="12">
        <f t="shared" si="263"/>
        <v>0</v>
      </c>
      <c r="KZ166" s="12">
        <f t="shared" si="264"/>
        <v>0</v>
      </c>
      <c r="LA166" s="12">
        <f t="shared" si="265"/>
        <v>0</v>
      </c>
      <c r="LB166" s="12">
        <f t="shared" si="266"/>
        <v>0</v>
      </c>
      <c r="LC166" s="12">
        <f t="shared" si="267"/>
        <v>0</v>
      </c>
      <c r="LD166" s="12">
        <f t="shared" si="268"/>
        <v>0</v>
      </c>
      <c r="LE166" s="12">
        <f t="shared" si="269"/>
        <v>0</v>
      </c>
      <c r="LF166" s="12">
        <f t="shared" si="270"/>
        <v>0</v>
      </c>
      <c r="LG166" s="12">
        <f t="shared" si="271"/>
        <v>0</v>
      </c>
      <c r="LH166" s="12">
        <f t="shared" si="272"/>
        <v>0</v>
      </c>
      <c r="LI166" s="12">
        <f t="shared" si="273"/>
        <v>0</v>
      </c>
      <c r="LJ166" s="12">
        <f t="shared" si="274"/>
        <v>0</v>
      </c>
      <c r="LK166" s="12">
        <f t="shared" si="275"/>
        <v>0</v>
      </c>
      <c r="LL166" s="12">
        <f t="shared" si="276"/>
        <v>0</v>
      </c>
      <c r="LM166" s="12">
        <f t="shared" si="277"/>
        <v>0</v>
      </c>
      <c r="LN166" s="12">
        <f t="shared" si="278"/>
        <v>0</v>
      </c>
      <c r="LO166" s="12">
        <f t="shared" si="279"/>
        <v>0</v>
      </c>
      <c r="LP166" s="12">
        <f t="shared" si="280"/>
        <v>0</v>
      </c>
      <c r="LQ166" s="12">
        <f t="shared" si="281"/>
        <v>0</v>
      </c>
      <c r="LR166" s="12">
        <f t="shared" si="282"/>
        <v>0</v>
      </c>
      <c r="LS166" s="12">
        <f t="shared" si="283"/>
        <v>0</v>
      </c>
      <c r="LT166" s="13">
        <f t="shared" si="284"/>
        <v>0</v>
      </c>
      <c r="LU166" s="13">
        <f t="shared" si="285"/>
        <v>0</v>
      </c>
      <c r="LV166" s="13">
        <f t="shared" si="286"/>
        <v>0</v>
      </c>
      <c r="LW166" s="13">
        <f t="shared" si="287"/>
        <v>0</v>
      </c>
      <c r="LX166" s="13">
        <f t="shared" si="288"/>
        <v>0</v>
      </c>
      <c r="LY166" s="13">
        <f t="shared" si="289"/>
        <v>0</v>
      </c>
      <c r="LZ166" s="13">
        <f t="shared" si="290"/>
        <v>0</v>
      </c>
      <c r="MA166" s="13">
        <f t="shared" si="291"/>
        <v>0</v>
      </c>
      <c r="MB166" s="13">
        <f t="shared" si="292"/>
        <v>0</v>
      </c>
      <c r="MC166" s="13">
        <f t="shared" si="293"/>
        <v>0</v>
      </c>
      <c r="MD166" s="13">
        <f t="shared" si="294"/>
        <v>0</v>
      </c>
      <c r="ME166" s="13">
        <f t="shared" si="295"/>
        <v>0</v>
      </c>
      <c r="MF166" s="13">
        <f t="shared" si="296"/>
        <v>0</v>
      </c>
      <c r="MG166" s="13">
        <f t="shared" si="297"/>
        <v>0</v>
      </c>
      <c r="MH166" s="13">
        <f t="shared" si="298"/>
        <v>0</v>
      </c>
      <c r="MI166" s="13">
        <f t="shared" si="299"/>
        <v>0</v>
      </c>
      <c r="MJ166" s="13">
        <f t="shared" si="300"/>
        <v>0</v>
      </c>
      <c r="MK166" s="13">
        <f t="shared" si="301"/>
        <v>0</v>
      </c>
      <c r="ML166" s="14">
        <f t="shared" si="302"/>
        <v>0</v>
      </c>
      <c r="MM166" s="14">
        <f t="shared" si="303"/>
        <v>0</v>
      </c>
      <c r="MN166" s="14">
        <f t="shared" si="304"/>
        <v>0</v>
      </c>
      <c r="MO166" s="14">
        <f t="shared" si="305"/>
        <v>0</v>
      </c>
      <c r="MP166" s="14">
        <f t="shared" si="306"/>
        <v>0</v>
      </c>
      <c r="MQ166" s="14">
        <f t="shared" si="307"/>
        <v>0</v>
      </c>
      <c r="MR166" s="14">
        <f t="shared" si="308"/>
        <v>0</v>
      </c>
      <c r="MS166" s="14">
        <f t="shared" si="309"/>
        <v>0</v>
      </c>
      <c r="MT166" s="14">
        <f t="shared" si="310"/>
        <v>0</v>
      </c>
      <c r="MU166" s="14">
        <f t="shared" si="311"/>
        <v>0</v>
      </c>
      <c r="MV166" s="14">
        <f t="shared" si="312"/>
        <v>0</v>
      </c>
      <c r="MW166" s="14">
        <f t="shared" si="313"/>
        <v>0</v>
      </c>
      <c r="MX166" s="14">
        <f t="shared" si="314"/>
        <v>0</v>
      </c>
      <c r="MY166" s="14">
        <f t="shared" si="315"/>
        <v>0</v>
      </c>
      <c r="MZ166" s="14">
        <f t="shared" si="316"/>
        <v>0</v>
      </c>
      <c r="NA166" s="14">
        <f t="shared" si="317"/>
        <v>0</v>
      </c>
      <c r="NB166" s="14">
        <f t="shared" si="318"/>
        <v>0</v>
      </c>
    </row>
    <row r="167" ht="15.75" customHeight="1">
      <c r="A167" s="2">
        <v>79.0</v>
      </c>
      <c r="B167" s="2" t="s">
        <v>3166</v>
      </c>
      <c r="C167" s="2" t="s">
        <v>3167</v>
      </c>
      <c r="D167" s="2" t="s">
        <v>3168</v>
      </c>
      <c r="E167" s="2">
        <v>2021.0</v>
      </c>
      <c r="F167" s="2" t="s">
        <v>1194</v>
      </c>
      <c r="G167" s="2" t="s">
        <v>1431</v>
      </c>
      <c r="H167" s="2" t="s">
        <v>3169</v>
      </c>
      <c r="I167" s="2" t="s">
        <v>3170</v>
      </c>
      <c r="M167" s="2">
        <v>2.0</v>
      </c>
      <c r="N167" s="2" t="s">
        <v>3171</v>
      </c>
      <c r="O167" s="2" t="s">
        <v>3172</v>
      </c>
      <c r="P167" s="2" t="s">
        <v>3173</v>
      </c>
      <c r="Q167" s="2" t="s">
        <v>3174</v>
      </c>
      <c r="R167" s="2" t="s">
        <v>3175</v>
      </c>
      <c r="T167" s="2" t="s">
        <v>3176</v>
      </c>
      <c r="Y167" s="2" t="s">
        <v>3177</v>
      </c>
      <c r="AB167" s="2" t="s">
        <v>1203</v>
      </c>
      <c r="AG167" s="2" t="s">
        <v>1204</v>
      </c>
      <c r="AI167" s="2" t="s">
        <v>1205</v>
      </c>
      <c r="AJ167" s="2">
        <v>3.4265012E7</v>
      </c>
      <c r="AK167" s="2" t="s">
        <v>1194</v>
      </c>
      <c r="AL167" s="2" t="s">
        <v>384</v>
      </c>
      <c r="AM167" s="2" t="s">
        <v>484</v>
      </c>
      <c r="AN167" s="2" t="s">
        <v>386</v>
      </c>
      <c r="AO167" s="2" t="s">
        <v>3178</v>
      </c>
      <c r="AP167" s="2" t="s">
        <v>386</v>
      </c>
      <c r="AQ167" s="2">
        <v>255.0</v>
      </c>
      <c r="AR167" s="2" t="s">
        <v>3168</v>
      </c>
      <c r="AS167" s="2" t="b">
        <v>1</v>
      </c>
      <c r="AT167" s="3">
        <v>0.0</v>
      </c>
      <c r="AU167" s="4"/>
      <c r="AV167" s="4"/>
      <c r="AW167" s="5">
        <f t="shared" si="432"/>
        <v>0</v>
      </c>
      <c r="AX167" s="5">
        <f t="shared" si="4"/>
        <v>0</v>
      </c>
      <c r="AY167" s="5">
        <f t="shared" si="5"/>
        <v>0</v>
      </c>
      <c r="AZ167" s="5">
        <f t="shared" si="6"/>
        <v>0</v>
      </c>
      <c r="BA167" s="5">
        <f t="shared" si="7"/>
        <v>0</v>
      </c>
      <c r="BB167" s="5">
        <f t="shared" si="8"/>
        <v>0</v>
      </c>
      <c r="BC167" s="5">
        <f t="shared" si="9"/>
        <v>0</v>
      </c>
      <c r="BD167" s="5">
        <f t="shared" si="10"/>
        <v>0</v>
      </c>
      <c r="BE167" s="5">
        <f t="shared" si="11"/>
        <v>0</v>
      </c>
      <c r="BF167" s="5">
        <f t="shared" si="12"/>
        <v>0</v>
      </c>
      <c r="BG167" s="5">
        <f t="shared" si="13"/>
        <v>0</v>
      </c>
      <c r="BH167" s="5">
        <f t="shared" si="14"/>
        <v>0</v>
      </c>
      <c r="BI167" s="5">
        <f t="shared" si="15"/>
        <v>0</v>
      </c>
      <c r="BJ167" s="5">
        <f t="shared" si="16"/>
        <v>0</v>
      </c>
      <c r="BK167" s="5">
        <f t="shared" si="17"/>
        <v>0</v>
      </c>
      <c r="BL167" s="5">
        <f t="shared" si="18"/>
        <v>0</v>
      </c>
      <c r="BM167" s="5">
        <f t="shared" si="19"/>
        <v>0</v>
      </c>
      <c r="BN167" s="5">
        <f t="shared" si="20"/>
        <v>0</v>
      </c>
      <c r="BO167" s="5">
        <f t="shared" si="21"/>
        <v>0</v>
      </c>
      <c r="BP167" s="5">
        <f t="shared" si="22"/>
        <v>0</v>
      </c>
      <c r="BQ167" s="5">
        <f t="shared" si="23"/>
        <v>0</v>
      </c>
      <c r="BR167" s="5">
        <f t="shared" si="24"/>
        <v>0</v>
      </c>
      <c r="BS167" s="5">
        <f t="shared" si="25"/>
        <v>0</v>
      </c>
      <c r="BT167" s="5">
        <f t="shared" si="26"/>
        <v>0</v>
      </c>
      <c r="BU167" s="5">
        <f t="shared" si="27"/>
        <v>0</v>
      </c>
      <c r="BV167" s="5">
        <f t="shared" ref="BV167:BW167" si="688">IF(OR(ISNUMBER(SEARCH("grit",$D167)),ISNUMBER(SEARCH("grit",$T167)),ISNUMBER(SEARCH("grit",$R167)),ISNUMBER(SEARCH("grit",$S167)),
ISNUMBER(SEARCH("determination",$D167)),ISNUMBER(SEARCH("determination",$T167)),ISNUMBER(SEARCH("determination",$R167)),ISNUMBER(SEARCH("determination",$S167)),
ISNUMBER(SEARCH("tenacity",$D167)),ISNUMBER(SEARCH("tenacity",$T167)),ISNUMBER(SEARCH("tenacity",$R167)),ISNUMBER(SEARCH("tenacity",$S167)),
ISNUMBER(SEARCH("endurance",$D167)),ISNUMBER(SEARCH("endurance",$T167)),ISNUMBER(SEARCH("endurance",$R167)),ISNUMBER(SEARCH("endurance",$S167)),
ISNUMBER(SEARCH("fortitude",$D167)),ISNUMBER(SEARCH("fortitude",$T167)),ISNUMBER(SEARCH("fortitude",$R167)),ISNUMBER(SEARCH("fortitude",$S167)),
ISNUMBER(SEARCH("resolve",$D167)),ISNUMBER(SEARCH("resolve",$T167)),ISNUMBER(SEARCH("resolve",$R167)),ISNUMBER(SEARCH("resolve",$S167)),
ISNUMBER(SEARCH("stamina",$D167)),ISNUMBER(SEARCH("stamina",$T167)),ISNUMBER(SEARCH("stamina",$R167)),ISNUMBER(SEARCH("stamina",$S167)),
ISNUMBER(SEARCH("guts",$D167)),ISNUMBER(SEARCH("guts",$T167)),ISNUMBER(SEARCH("guts",$R167)),ISNUMBER(SEARCH("guts",$S167)),
ISNUMBER(SEARCH("spunk",$D167)),ISNUMBER(SEARCH("spunk",$T167)),ISNUMBER(SEARCH("spunk",$R167)),ISNUMBER(SEARCH("spunk",$S167))), 1, 0)</f>
        <v>0</v>
      </c>
      <c r="BW167" s="5">
        <f t="shared" si="688"/>
        <v>0</v>
      </c>
      <c r="BX167" s="5">
        <f t="shared" si="29"/>
        <v>0</v>
      </c>
      <c r="BY167" s="5">
        <f t="shared" si="30"/>
        <v>0</v>
      </c>
      <c r="BZ167" s="5">
        <f t="shared" si="31"/>
        <v>0</v>
      </c>
      <c r="CA167" s="5">
        <f t="shared" si="32"/>
        <v>0</v>
      </c>
      <c r="CB167" s="5">
        <f t="shared" si="33"/>
        <v>0</v>
      </c>
      <c r="CC167" s="5">
        <f t="shared" si="34"/>
        <v>0</v>
      </c>
      <c r="CD167" s="5">
        <f t="shared" si="35"/>
        <v>0</v>
      </c>
      <c r="CE167" s="5">
        <f t="shared" si="36"/>
        <v>0</v>
      </c>
      <c r="CF167" s="5">
        <f t="shared" si="37"/>
        <v>0</v>
      </c>
      <c r="CG167" s="5">
        <f t="shared" si="38"/>
        <v>0</v>
      </c>
      <c r="CH167" s="5">
        <f t="shared" si="39"/>
        <v>0</v>
      </c>
      <c r="CI167" s="5">
        <f t="shared" si="40"/>
        <v>0</v>
      </c>
      <c r="CJ167" s="5">
        <f t="shared" si="41"/>
        <v>0</v>
      </c>
      <c r="CK167" s="5">
        <f t="shared" si="42"/>
        <v>0</v>
      </c>
      <c r="CL167" s="5">
        <f t="shared" si="43"/>
        <v>0</v>
      </c>
      <c r="CM167" s="5">
        <f t="shared" si="44"/>
        <v>0</v>
      </c>
      <c r="CN167" s="5">
        <f t="shared" si="45"/>
        <v>0</v>
      </c>
      <c r="CO167" s="5">
        <f t="shared" si="46"/>
        <v>0</v>
      </c>
      <c r="CP167" s="6">
        <f t="shared" si="47"/>
        <v>0</v>
      </c>
      <c r="CQ167" s="6">
        <f t="shared" si="48"/>
        <v>0</v>
      </c>
      <c r="CR167" s="6">
        <f t="shared" si="49"/>
        <v>0</v>
      </c>
      <c r="CS167" s="6">
        <f t="shared" si="50"/>
        <v>0</v>
      </c>
      <c r="CT167" s="6">
        <f t="shared" si="584"/>
        <v>0</v>
      </c>
      <c r="CU167" s="6">
        <f t="shared" si="52"/>
        <v>0</v>
      </c>
      <c r="CV167" s="6">
        <f t="shared" si="53"/>
        <v>0</v>
      </c>
      <c r="CW167" s="6">
        <f t="shared" si="54"/>
        <v>0</v>
      </c>
      <c r="CX167" s="6">
        <f t="shared" si="55"/>
        <v>0</v>
      </c>
      <c r="CY167" s="6">
        <f t="shared" si="56"/>
        <v>0</v>
      </c>
      <c r="CZ167" s="6">
        <f t="shared" si="57"/>
        <v>0</v>
      </c>
      <c r="DA167" s="6">
        <f t="shared" si="58"/>
        <v>0</v>
      </c>
      <c r="DB167" s="6">
        <f t="shared" si="59"/>
        <v>0</v>
      </c>
      <c r="DC167" s="6">
        <f t="shared" si="60"/>
        <v>0</v>
      </c>
      <c r="DD167" s="6">
        <f t="shared" si="61"/>
        <v>0</v>
      </c>
      <c r="DE167" s="6">
        <f t="shared" si="62"/>
        <v>0</v>
      </c>
      <c r="DF167" s="6">
        <f t="shared" si="63"/>
        <v>0</v>
      </c>
      <c r="DG167" s="6">
        <f t="shared" si="64"/>
        <v>0</v>
      </c>
      <c r="DH167" s="6">
        <f t="shared" si="652"/>
        <v>0</v>
      </c>
      <c r="DI167" s="6">
        <f t="shared" si="66"/>
        <v>0</v>
      </c>
      <c r="DJ167" s="6">
        <f t="shared" si="653"/>
        <v>0</v>
      </c>
      <c r="DK167" s="7">
        <f t="shared" si="68"/>
        <v>0</v>
      </c>
      <c r="DL167" s="7">
        <f t="shared" si="498"/>
        <v>0</v>
      </c>
      <c r="DM167" s="7">
        <f t="shared" si="70"/>
        <v>0</v>
      </c>
      <c r="DN167" s="7">
        <f t="shared" si="71"/>
        <v>0</v>
      </c>
      <c r="DO167" s="7">
        <f t="shared" si="72"/>
        <v>0</v>
      </c>
      <c r="DP167" s="8">
        <f t="shared" si="73"/>
        <v>0</v>
      </c>
      <c r="DQ167" s="8">
        <f t="shared" si="74"/>
        <v>1</v>
      </c>
      <c r="DR167" s="7">
        <f t="shared" si="75"/>
        <v>0</v>
      </c>
      <c r="DS167" s="7">
        <f t="shared" si="76"/>
        <v>0</v>
      </c>
      <c r="DT167" s="7">
        <f t="shared" si="77"/>
        <v>0</v>
      </c>
      <c r="DU167" s="9">
        <f t="shared" si="78"/>
        <v>0</v>
      </c>
      <c r="DV167" s="9">
        <f t="shared" si="79"/>
        <v>0</v>
      </c>
      <c r="DW167" s="9">
        <f t="shared" si="80"/>
        <v>0</v>
      </c>
      <c r="DX167" s="9">
        <f t="shared" si="81"/>
        <v>0</v>
      </c>
      <c r="DY167" s="9">
        <f t="shared" si="82"/>
        <v>0</v>
      </c>
      <c r="DZ167" s="9">
        <f t="shared" si="83"/>
        <v>0</v>
      </c>
      <c r="EA167" s="9">
        <f t="shared" si="84"/>
        <v>0</v>
      </c>
      <c r="EB167" s="9">
        <f t="shared" si="85"/>
        <v>0</v>
      </c>
      <c r="EC167" s="9">
        <f t="shared" si="86"/>
        <v>0</v>
      </c>
      <c r="ED167" s="9">
        <f t="shared" si="87"/>
        <v>0</v>
      </c>
      <c r="EE167" s="9">
        <f t="shared" si="88"/>
        <v>0</v>
      </c>
      <c r="EF167" s="9">
        <f t="shared" si="89"/>
        <v>0</v>
      </c>
      <c r="EG167" s="9">
        <f t="shared" si="90"/>
        <v>0</v>
      </c>
      <c r="EH167" s="9">
        <f t="shared" si="91"/>
        <v>0</v>
      </c>
      <c r="EI167" s="9">
        <f t="shared" si="92"/>
        <v>0</v>
      </c>
      <c r="EJ167" s="10">
        <f t="shared" si="93"/>
        <v>0</v>
      </c>
      <c r="EK167" s="10">
        <f t="shared" si="94"/>
        <v>0</v>
      </c>
      <c r="EL167" s="10">
        <f t="shared" ref="EL167:EM167" si="689">IF(OR(ISNUMBER(SEARCH("ai software toolkit", $D167)), ISNUMBER(SEARCH("ai software toolkit", $T167)), ISNUMBER(SEARCH("ai software toolkit", $R167)), ISNUMBER(SEARCH("ai software toolkit", $S167))), 1, 0)</f>
        <v>0</v>
      </c>
      <c r="EM167" s="10">
        <f t="shared" si="689"/>
        <v>0</v>
      </c>
      <c r="EN167" s="10">
        <f t="shared" si="96"/>
        <v>0</v>
      </c>
      <c r="EO167" s="10">
        <f t="shared" si="97"/>
        <v>0</v>
      </c>
      <c r="EP167" s="10">
        <f t="shared" si="98"/>
        <v>0</v>
      </c>
      <c r="EQ167" s="10">
        <f t="shared" si="99"/>
        <v>0</v>
      </c>
      <c r="ER167" s="10">
        <f t="shared" si="100"/>
        <v>0</v>
      </c>
      <c r="ES167" s="10">
        <f t="shared" si="101"/>
        <v>0</v>
      </c>
      <c r="ET167" s="10">
        <f t="shared" si="102"/>
        <v>0</v>
      </c>
      <c r="EU167" s="10">
        <f t="shared" si="103"/>
        <v>0</v>
      </c>
      <c r="EV167" s="10">
        <f t="shared" si="104"/>
        <v>0</v>
      </c>
      <c r="EW167" s="10">
        <f t="shared" si="105"/>
        <v>0</v>
      </c>
      <c r="EX167" s="10">
        <f t="shared" si="106"/>
        <v>0</v>
      </c>
      <c r="EY167" s="10">
        <f t="shared" si="107"/>
        <v>0</v>
      </c>
      <c r="EZ167" s="10">
        <f t="shared" si="108"/>
        <v>0</v>
      </c>
      <c r="FA167" s="10">
        <f t="shared" si="109"/>
        <v>0</v>
      </c>
      <c r="FB167" s="10">
        <f t="shared" si="110"/>
        <v>0</v>
      </c>
      <c r="FC167" s="10">
        <f t="shared" si="111"/>
        <v>0</v>
      </c>
      <c r="FD167" s="10">
        <f t="shared" si="112"/>
        <v>0</v>
      </c>
      <c r="FE167" s="10">
        <f t="shared" si="113"/>
        <v>0</v>
      </c>
      <c r="FF167" s="10">
        <f t="shared" si="114"/>
        <v>0</v>
      </c>
      <c r="FG167" s="10">
        <f t="shared" si="115"/>
        <v>0</v>
      </c>
      <c r="FH167" s="10">
        <f t="shared" si="116"/>
        <v>0</v>
      </c>
      <c r="FI167" s="10">
        <f t="shared" si="117"/>
        <v>0</v>
      </c>
      <c r="FJ167" s="10">
        <f t="shared" si="118"/>
        <v>0</v>
      </c>
      <c r="FK167" s="10">
        <f t="shared" si="119"/>
        <v>0</v>
      </c>
      <c r="FL167" s="10">
        <f t="shared" si="120"/>
        <v>0</v>
      </c>
      <c r="FM167" s="10">
        <f t="shared" si="121"/>
        <v>0</v>
      </c>
      <c r="FN167" s="10">
        <f t="shared" si="122"/>
        <v>0</v>
      </c>
      <c r="FO167" s="10">
        <f t="shared" si="123"/>
        <v>0</v>
      </c>
      <c r="FP167" s="10">
        <f t="shared" si="124"/>
        <v>0</v>
      </c>
      <c r="FQ167" s="10">
        <f t="shared" si="125"/>
        <v>0</v>
      </c>
      <c r="FR167" s="11">
        <f t="shared" si="683"/>
        <v>0</v>
      </c>
      <c r="FS167" s="11">
        <f t="shared" si="127"/>
        <v>0</v>
      </c>
      <c r="FT167" s="11">
        <f t="shared" si="128"/>
        <v>0</v>
      </c>
      <c r="FU167" s="11">
        <f t="shared" si="129"/>
        <v>0</v>
      </c>
      <c r="FV167" s="11">
        <f t="shared" si="130"/>
        <v>0</v>
      </c>
      <c r="FW167" s="11">
        <f t="shared" si="131"/>
        <v>0</v>
      </c>
      <c r="FX167" s="11">
        <f t="shared" si="132"/>
        <v>0</v>
      </c>
      <c r="FY167" s="11">
        <f t="shared" si="133"/>
        <v>0</v>
      </c>
      <c r="FZ167" s="11">
        <f t="shared" si="134"/>
        <v>0</v>
      </c>
      <c r="GA167" s="11">
        <f t="shared" si="135"/>
        <v>0</v>
      </c>
      <c r="GB167" s="11">
        <f t="shared" si="136"/>
        <v>0</v>
      </c>
      <c r="GC167" s="11">
        <f t="shared" si="137"/>
        <v>0</v>
      </c>
      <c r="GD167" s="11">
        <f t="shared" si="138"/>
        <v>0</v>
      </c>
      <c r="GE167" s="11">
        <f t="shared" si="139"/>
        <v>0</v>
      </c>
      <c r="GF167" s="11">
        <f t="shared" si="140"/>
        <v>0</v>
      </c>
      <c r="GG167" s="11">
        <f t="shared" si="141"/>
        <v>0</v>
      </c>
      <c r="GH167" s="11">
        <f t="shared" si="142"/>
        <v>0</v>
      </c>
      <c r="GI167" s="11">
        <f t="shared" si="143"/>
        <v>0</v>
      </c>
      <c r="GJ167" s="11">
        <f t="shared" si="144"/>
        <v>0</v>
      </c>
      <c r="GK167" s="11">
        <f t="shared" si="145"/>
        <v>0</v>
      </c>
      <c r="GL167" s="11">
        <f t="shared" si="146"/>
        <v>0</v>
      </c>
      <c r="GM167" s="11">
        <f t="shared" si="147"/>
        <v>0</v>
      </c>
      <c r="GN167" s="11">
        <f t="shared" si="148"/>
        <v>0</v>
      </c>
      <c r="GO167" s="11">
        <f t="shared" si="149"/>
        <v>0</v>
      </c>
      <c r="GP167" s="11">
        <f t="shared" si="150"/>
        <v>0</v>
      </c>
      <c r="GQ167" s="11">
        <f t="shared" si="151"/>
        <v>0</v>
      </c>
      <c r="GR167" s="11">
        <f t="shared" si="152"/>
        <v>0</v>
      </c>
      <c r="GS167" s="11">
        <f t="shared" si="153"/>
        <v>0</v>
      </c>
      <c r="GT167" s="11">
        <f t="shared" si="154"/>
        <v>0</v>
      </c>
      <c r="GU167" s="12">
        <f t="shared" si="155"/>
        <v>0</v>
      </c>
      <c r="GV167" s="12">
        <f t="shared" si="156"/>
        <v>0</v>
      </c>
      <c r="GW167" s="12">
        <f t="shared" si="157"/>
        <v>0</v>
      </c>
      <c r="GX167" s="12">
        <f t="shared" si="158"/>
        <v>0</v>
      </c>
      <c r="GY167" s="12">
        <f t="shared" si="159"/>
        <v>0</v>
      </c>
      <c r="GZ167" s="12">
        <f t="shared" si="160"/>
        <v>0</v>
      </c>
      <c r="HA167" s="12">
        <f t="shared" si="161"/>
        <v>0</v>
      </c>
      <c r="HB167" s="12">
        <f t="shared" si="162"/>
        <v>0</v>
      </c>
      <c r="HC167" s="12">
        <f t="shared" si="163"/>
        <v>0</v>
      </c>
      <c r="HD167" s="12">
        <f t="shared" si="164"/>
        <v>0</v>
      </c>
      <c r="HE167" s="12">
        <f t="shared" si="165"/>
        <v>0</v>
      </c>
      <c r="HF167" s="12">
        <f t="shared" si="166"/>
        <v>0</v>
      </c>
      <c r="HG167" s="12">
        <f t="shared" si="167"/>
        <v>0</v>
      </c>
      <c r="HH167" s="12">
        <f t="shared" si="168"/>
        <v>0</v>
      </c>
      <c r="HI167" s="12">
        <f t="shared" si="169"/>
        <v>0</v>
      </c>
      <c r="HJ167" s="12">
        <f t="shared" si="170"/>
        <v>0</v>
      </c>
      <c r="HK167" s="12">
        <f t="shared" si="171"/>
        <v>0</v>
      </c>
      <c r="HL167" s="12">
        <f t="shared" si="172"/>
        <v>0</v>
      </c>
      <c r="HM167" s="12">
        <f t="shared" si="173"/>
        <v>0</v>
      </c>
      <c r="HN167" s="12">
        <f t="shared" si="174"/>
        <v>0</v>
      </c>
      <c r="HO167" s="12">
        <f t="shared" si="175"/>
        <v>0</v>
      </c>
      <c r="HP167" s="12">
        <f t="shared" si="176"/>
        <v>0</v>
      </c>
      <c r="HQ167" s="12">
        <f t="shared" si="177"/>
        <v>0</v>
      </c>
      <c r="HR167" s="12">
        <f t="shared" si="178"/>
        <v>0</v>
      </c>
      <c r="HS167" s="12">
        <f t="shared" si="179"/>
        <v>0</v>
      </c>
      <c r="HT167" s="12">
        <f t="shared" si="180"/>
        <v>0</v>
      </c>
      <c r="HU167" s="12">
        <f t="shared" si="181"/>
        <v>0</v>
      </c>
      <c r="HV167" s="12">
        <f t="shared" si="182"/>
        <v>0</v>
      </c>
      <c r="HW167" s="12">
        <f t="shared" si="183"/>
        <v>0</v>
      </c>
      <c r="HX167" s="12">
        <f t="shared" si="184"/>
        <v>0</v>
      </c>
      <c r="HY167" s="12">
        <f t="shared" si="185"/>
        <v>0</v>
      </c>
      <c r="HZ167" s="12">
        <f t="shared" si="186"/>
        <v>0</v>
      </c>
      <c r="IA167" s="12">
        <f t="shared" si="187"/>
        <v>0</v>
      </c>
      <c r="IB167" s="12">
        <f t="shared" si="188"/>
        <v>0</v>
      </c>
      <c r="IC167" s="12">
        <f t="shared" si="189"/>
        <v>0</v>
      </c>
      <c r="ID167" s="12">
        <f t="shared" si="190"/>
        <v>0</v>
      </c>
      <c r="IE167" s="12">
        <f t="shared" si="191"/>
        <v>0</v>
      </c>
      <c r="IF167" s="12">
        <f t="shared" si="192"/>
        <v>0</v>
      </c>
      <c r="IG167" s="12">
        <f t="shared" si="193"/>
        <v>0</v>
      </c>
      <c r="IH167" s="12">
        <f t="shared" si="194"/>
        <v>0</v>
      </c>
      <c r="II167" s="12">
        <f t="shared" si="195"/>
        <v>0</v>
      </c>
      <c r="IJ167" s="12">
        <f t="shared" si="196"/>
        <v>0</v>
      </c>
      <c r="IK167" s="12">
        <f t="shared" si="197"/>
        <v>0</v>
      </c>
      <c r="IL167" s="12">
        <f t="shared" si="198"/>
        <v>0</v>
      </c>
      <c r="IM167" s="12">
        <f t="shared" si="199"/>
        <v>0</v>
      </c>
      <c r="IN167" s="12">
        <f t="shared" si="200"/>
        <v>0</v>
      </c>
      <c r="IO167" s="12">
        <f t="shared" si="201"/>
        <v>0</v>
      </c>
      <c r="IP167" s="12">
        <f t="shared" si="202"/>
        <v>0</v>
      </c>
      <c r="IQ167" s="12">
        <f t="shared" si="203"/>
        <v>0</v>
      </c>
      <c r="IR167" s="12">
        <f t="shared" si="204"/>
        <v>0</v>
      </c>
      <c r="IS167" s="12">
        <f t="shared" si="205"/>
        <v>0</v>
      </c>
      <c r="IT167" s="12">
        <f t="shared" si="206"/>
        <v>0</v>
      </c>
      <c r="IU167" s="12">
        <f t="shared" si="207"/>
        <v>0</v>
      </c>
      <c r="IV167" s="12">
        <f t="shared" si="208"/>
        <v>0</v>
      </c>
      <c r="IW167" s="12">
        <f t="shared" si="209"/>
        <v>0</v>
      </c>
      <c r="IX167" s="12">
        <f t="shared" si="210"/>
        <v>0</v>
      </c>
      <c r="IY167" s="12">
        <f t="shared" si="211"/>
        <v>0</v>
      </c>
      <c r="IZ167" s="12">
        <f t="shared" si="212"/>
        <v>0</v>
      </c>
      <c r="JA167" s="13">
        <f t="shared" si="213"/>
        <v>0</v>
      </c>
      <c r="JB167" s="13">
        <f t="shared" si="214"/>
        <v>0</v>
      </c>
      <c r="JC167" s="13">
        <f t="shared" si="215"/>
        <v>0</v>
      </c>
      <c r="JD167" s="13">
        <f t="shared" si="216"/>
        <v>0</v>
      </c>
      <c r="JE167" s="13">
        <f t="shared" si="217"/>
        <v>0</v>
      </c>
      <c r="JF167" s="13">
        <f t="shared" si="218"/>
        <v>0</v>
      </c>
      <c r="JG167" s="13">
        <f t="shared" si="219"/>
        <v>0</v>
      </c>
      <c r="JH167" s="13">
        <f t="shared" si="220"/>
        <v>0</v>
      </c>
      <c r="JI167" s="13">
        <f t="shared" si="221"/>
        <v>0</v>
      </c>
      <c r="JJ167" s="13">
        <f t="shared" si="222"/>
        <v>0</v>
      </c>
      <c r="JK167" s="13">
        <f t="shared" si="223"/>
        <v>0</v>
      </c>
      <c r="JL167" s="13">
        <f t="shared" si="224"/>
        <v>0</v>
      </c>
      <c r="JM167" s="13">
        <f t="shared" si="225"/>
        <v>0</v>
      </c>
      <c r="JN167" s="13">
        <f t="shared" si="226"/>
        <v>0</v>
      </c>
      <c r="JO167" s="13">
        <f t="shared" si="227"/>
        <v>0</v>
      </c>
      <c r="JP167" s="13">
        <f t="shared" si="228"/>
        <v>0</v>
      </c>
      <c r="JQ167" s="13">
        <f t="shared" si="229"/>
        <v>0</v>
      </c>
      <c r="JR167" s="13">
        <f t="shared" si="230"/>
        <v>0</v>
      </c>
      <c r="JS167" s="13">
        <f t="shared" si="231"/>
        <v>0</v>
      </c>
      <c r="JT167" s="13">
        <f t="shared" si="232"/>
        <v>0</v>
      </c>
      <c r="JU167" s="13">
        <f t="shared" si="233"/>
        <v>0</v>
      </c>
      <c r="JV167" s="12">
        <f t="shared" si="234"/>
        <v>0</v>
      </c>
      <c r="JW167" s="12">
        <f t="shared" si="235"/>
        <v>0</v>
      </c>
      <c r="JX167" s="12">
        <f t="shared" si="236"/>
        <v>0</v>
      </c>
      <c r="JY167" s="12">
        <f t="shared" si="237"/>
        <v>0</v>
      </c>
      <c r="JZ167" s="12">
        <f t="shared" si="238"/>
        <v>0</v>
      </c>
      <c r="KA167" s="12">
        <f t="shared" si="239"/>
        <v>0</v>
      </c>
      <c r="KB167" s="12">
        <f t="shared" si="240"/>
        <v>0</v>
      </c>
      <c r="KC167" s="12">
        <f t="shared" si="241"/>
        <v>0</v>
      </c>
      <c r="KD167" s="12">
        <f t="shared" si="242"/>
        <v>0</v>
      </c>
      <c r="KE167" s="12">
        <f t="shared" si="243"/>
        <v>0</v>
      </c>
      <c r="KF167" s="12">
        <f t="shared" si="244"/>
        <v>0</v>
      </c>
      <c r="KG167" s="12">
        <f t="shared" si="245"/>
        <v>0</v>
      </c>
      <c r="KH167" s="12">
        <f t="shared" si="246"/>
        <v>0</v>
      </c>
      <c r="KI167" s="12">
        <f t="shared" si="247"/>
        <v>0</v>
      </c>
      <c r="KJ167" s="12">
        <f t="shared" si="248"/>
        <v>0</v>
      </c>
      <c r="KK167" s="12">
        <f t="shared" si="249"/>
        <v>0</v>
      </c>
      <c r="KL167" s="12">
        <f t="shared" si="250"/>
        <v>0</v>
      </c>
      <c r="KM167" s="12">
        <f t="shared" si="251"/>
        <v>0</v>
      </c>
      <c r="KN167" s="12">
        <f t="shared" si="252"/>
        <v>0</v>
      </c>
      <c r="KO167" s="12">
        <f t="shared" si="253"/>
        <v>0</v>
      </c>
      <c r="KP167" s="12">
        <f t="shared" si="254"/>
        <v>0</v>
      </c>
      <c r="KQ167" s="12">
        <f t="shared" si="255"/>
        <v>0</v>
      </c>
      <c r="KR167" s="12">
        <f t="shared" si="256"/>
        <v>0</v>
      </c>
      <c r="KS167" s="12">
        <f t="shared" si="257"/>
        <v>0</v>
      </c>
      <c r="KT167" s="12">
        <f t="shared" si="258"/>
        <v>0</v>
      </c>
      <c r="KU167" s="12">
        <f t="shared" si="259"/>
        <v>0</v>
      </c>
      <c r="KV167" s="12">
        <f t="shared" si="260"/>
        <v>0</v>
      </c>
      <c r="KW167" s="12">
        <f t="shared" si="261"/>
        <v>0</v>
      </c>
      <c r="KX167" s="12">
        <f t="shared" si="262"/>
        <v>0</v>
      </c>
      <c r="KY167" s="12">
        <f t="shared" si="263"/>
        <v>0</v>
      </c>
      <c r="KZ167" s="12">
        <f t="shared" si="264"/>
        <v>0</v>
      </c>
      <c r="LA167" s="12">
        <f t="shared" si="265"/>
        <v>0</v>
      </c>
      <c r="LB167" s="12">
        <f t="shared" si="266"/>
        <v>0</v>
      </c>
      <c r="LC167" s="12">
        <f t="shared" si="267"/>
        <v>0</v>
      </c>
      <c r="LD167" s="12">
        <f t="shared" si="268"/>
        <v>0</v>
      </c>
      <c r="LE167" s="12">
        <f t="shared" si="269"/>
        <v>0</v>
      </c>
      <c r="LF167" s="12">
        <f t="shared" si="270"/>
        <v>0</v>
      </c>
      <c r="LG167" s="12">
        <f t="shared" si="271"/>
        <v>0</v>
      </c>
      <c r="LH167" s="12">
        <f t="shared" si="272"/>
        <v>0</v>
      </c>
      <c r="LI167" s="12">
        <f t="shared" si="273"/>
        <v>0</v>
      </c>
      <c r="LJ167" s="12">
        <f t="shared" si="274"/>
        <v>0</v>
      </c>
      <c r="LK167" s="12">
        <f t="shared" si="275"/>
        <v>0</v>
      </c>
      <c r="LL167" s="12">
        <f t="shared" si="276"/>
        <v>0</v>
      </c>
      <c r="LM167" s="12">
        <f t="shared" si="277"/>
        <v>0</v>
      </c>
      <c r="LN167" s="12">
        <f t="shared" si="278"/>
        <v>0</v>
      </c>
      <c r="LO167" s="12">
        <f t="shared" si="279"/>
        <v>0</v>
      </c>
      <c r="LP167" s="12">
        <f t="shared" si="280"/>
        <v>0</v>
      </c>
      <c r="LQ167" s="12">
        <f t="shared" si="281"/>
        <v>0</v>
      </c>
      <c r="LR167" s="12">
        <f t="shared" si="282"/>
        <v>0</v>
      </c>
      <c r="LS167" s="12">
        <f t="shared" si="283"/>
        <v>0</v>
      </c>
      <c r="LT167" s="13">
        <f t="shared" si="284"/>
        <v>0</v>
      </c>
      <c r="LU167" s="13">
        <f t="shared" si="285"/>
        <v>0</v>
      </c>
      <c r="LV167" s="13">
        <f t="shared" si="286"/>
        <v>0</v>
      </c>
      <c r="LW167" s="13">
        <f t="shared" si="287"/>
        <v>0</v>
      </c>
      <c r="LX167" s="13">
        <f t="shared" si="288"/>
        <v>0</v>
      </c>
      <c r="LY167" s="13">
        <f t="shared" si="289"/>
        <v>0</v>
      </c>
      <c r="LZ167" s="13">
        <f t="shared" si="290"/>
        <v>0</v>
      </c>
      <c r="MA167" s="13">
        <f t="shared" si="291"/>
        <v>0</v>
      </c>
      <c r="MB167" s="13">
        <f t="shared" si="292"/>
        <v>0</v>
      </c>
      <c r="MC167" s="13">
        <f t="shared" si="293"/>
        <v>0</v>
      </c>
      <c r="MD167" s="13">
        <f t="shared" si="294"/>
        <v>0</v>
      </c>
      <c r="ME167" s="13">
        <f t="shared" si="295"/>
        <v>0</v>
      </c>
      <c r="MF167" s="13">
        <f t="shared" si="296"/>
        <v>0</v>
      </c>
      <c r="MG167" s="13">
        <f t="shared" si="297"/>
        <v>0</v>
      </c>
      <c r="MH167" s="13">
        <f t="shared" si="298"/>
        <v>0</v>
      </c>
      <c r="MI167" s="13">
        <f t="shared" si="299"/>
        <v>0</v>
      </c>
      <c r="MJ167" s="13">
        <f t="shared" si="300"/>
        <v>0</v>
      </c>
      <c r="MK167" s="13">
        <f t="shared" si="301"/>
        <v>0</v>
      </c>
      <c r="ML167" s="14">
        <f t="shared" si="302"/>
        <v>0</v>
      </c>
      <c r="MM167" s="14">
        <f t="shared" si="303"/>
        <v>0</v>
      </c>
      <c r="MN167" s="14">
        <f t="shared" si="304"/>
        <v>0</v>
      </c>
      <c r="MO167" s="14">
        <f t="shared" si="305"/>
        <v>0</v>
      </c>
      <c r="MP167" s="14">
        <f t="shared" si="306"/>
        <v>0</v>
      </c>
      <c r="MQ167" s="14">
        <f t="shared" si="307"/>
        <v>0</v>
      </c>
      <c r="MR167" s="14">
        <f t="shared" si="308"/>
        <v>0</v>
      </c>
      <c r="MS167" s="14">
        <f t="shared" si="309"/>
        <v>0</v>
      </c>
      <c r="MT167" s="14">
        <f t="shared" si="310"/>
        <v>0</v>
      </c>
      <c r="MU167" s="14">
        <f t="shared" si="311"/>
        <v>0</v>
      </c>
      <c r="MV167" s="14">
        <f t="shared" si="312"/>
        <v>0</v>
      </c>
      <c r="MW167" s="14">
        <f t="shared" si="313"/>
        <v>0</v>
      </c>
      <c r="MX167" s="14">
        <f t="shared" si="314"/>
        <v>0</v>
      </c>
      <c r="MY167" s="14">
        <f t="shared" si="315"/>
        <v>0</v>
      </c>
      <c r="MZ167" s="14">
        <f t="shared" si="316"/>
        <v>0</v>
      </c>
      <c r="NA167" s="14">
        <f t="shared" si="317"/>
        <v>0</v>
      </c>
      <c r="NB167" s="14">
        <f t="shared" si="318"/>
        <v>0</v>
      </c>
    </row>
    <row r="168" ht="15.75" customHeight="1">
      <c r="A168" s="2">
        <v>630.0</v>
      </c>
      <c r="B168" s="2" t="s">
        <v>3179</v>
      </c>
      <c r="C168" s="2" t="s">
        <v>3180</v>
      </c>
      <c r="D168" s="2" t="s">
        <v>3181</v>
      </c>
      <c r="E168" s="2">
        <v>2022.0</v>
      </c>
      <c r="F168" s="2" t="s">
        <v>3182</v>
      </c>
      <c r="G168" s="2">
        <v>11.0</v>
      </c>
      <c r="H168" s="2" t="s">
        <v>528</v>
      </c>
      <c r="I168" s="2" t="s">
        <v>3183</v>
      </c>
      <c r="M168" s="2">
        <v>2.0</v>
      </c>
      <c r="N168" s="2" t="s">
        <v>3184</v>
      </c>
      <c r="O168" s="2" t="s">
        <v>3185</v>
      </c>
      <c r="P168" s="2" t="s">
        <v>3186</v>
      </c>
      <c r="Q168" s="2" t="s">
        <v>3187</v>
      </c>
      <c r="R168" s="2" t="s">
        <v>3188</v>
      </c>
      <c r="S168" s="2" t="s">
        <v>3189</v>
      </c>
      <c r="Y168" s="2" t="s">
        <v>3190</v>
      </c>
      <c r="AB168" s="2" t="s">
        <v>1303</v>
      </c>
      <c r="AG168" s="2" t="s">
        <v>3191</v>
      </c>
      <c r="AK168" s="2" t="s">
        <v>3182</v>
      </c>
      <c r="AL168" s="2" t="s">
        <v>384</v>
      </c>
      <c r="AM168" s="2" t="s">
        <v>1306</v>
      </c>
      <c r="AN168" s="2" t="s">
        <v>386</v>
      </c>
      <c r="AO168" s="2" t="s">
        <v>3192</v>
      </c>
      <c r="AP168" s="2" t="s">
        <v>386</v>
      </c>
      <c r="AQ168" s="2">
        <v>2471.0</v>
      </c>
      <c r="AR168" s="2" t="s">
        <v>3193</v>
      </c>
      <c r="AS168" s="2" t="b">
        <v>1</v>
      </c>
      <c r="AT168" s="3">
        <v>0.0</v>
      </c>
      <c r="AU168" s="4"/>
      <c r="AV168" s="4"/>
      <c r="AW168" s="5">
        <f t="shared" si="432"/>
        <v>0</v>
      </c>
      <c r="AX168" s="5">
        <f t="shared" si="4"/>
        <v>0</v>
      </c>
      <c r="AY168" s="5">
        <f t="shared" si="5"/>
        <v>0</v>
      </c>
      <c r="AZ168" s="5">
        <f t="shared" si="6"/>
        <v>0</v>
      </c>
      <c r="BA168" s="5">
        <f t="shared" si="7"/>
        <v>0</v>
      </c>
      <c r="BB168" s="5">
        <f t="shared" si="8"/>
        <v>0</v>
      </c>
      <c r="BC168" s="5">
        <f t="shared" si="9"/>
        <v>0</v>
      </c>
      <c r="BD168" s="5">
        <f t="shared" si="10"/>
        <v>0</v>
      </c>
      <c r="BE168" s="5">
        <f t="shared" si="11"/>
        <v>0</v>
      </c>
      <c r="BF168" s="5">
        <f t="shared" si="12"/>
        <v>0</v>
      </c>
      <c r="BG168" s="5">
        <f t="shared" si="13"/>
        <v>0</v>
      </c>
      <c r="BH168" s="5">
        <f t="shared" si="14"/>
        <v>0</v>
      </c>
      <c r="BI168" s="5">
        <f t="shared" si="15"/>
        <v>0</v>
      </c>
      <c r="BJ168" s="5">
        <f t="shared" si="16"/>
        <v>0</v>
      </c>
      <c r="BK168" s="5">
        <f t="shared" si="17"/>
        <v>0</v>
      </c>
      <c r="BL168" s="5">
        <f t="shared" si="18"/>
        <v>0</v>
      </c>
      <c r="BM168" s="5">
        <f t="shared" si="19"/>
        <v>0</v>
      </c>
      <c r="BN168" s="5">
        <f t="shared" si="20"/>
        <v>0</v>
      </c>
      <c r="BO168" s="5">
        <f t="shared" si="21"/>
        <v>0</v>
      </c>
      <c r="BP168" s="5">
        <f t="shared" si="22"/>
        <v>0</v>
      </c>
      <c r="BQ168" s="5">
        <f t="shared" si="23"/>
        <v>0</v>
      </c>
      <c r="BR168" s="5">
        <f t="shared" si="24"/>
        <v>0</v>
      </c>
      <c r="BS168" s="5">
        <f t="shared" si="25"/>
        <v>0</v>
      </c>
      <c r="BT168" s="5">
        <f t="shared" si="26"/>
        <v>0</v>
      </c>
      <c r="BU168" s="5">
        <f t="shared" si="27"/>
        <v>0</v>
      </c>
      <c r="BV168" s="5">
        <f t="shared" ref="BV168:BW168" si="690">IF(OR(ISNUMBER(SEARCH("grit",$D168)),ISNUMBER(SEARCH("grit",$T168)),ISNUMBER(SEARCH("grit",$R168)),ISNUMBER(SEARCH("grit",$S168)),
ISNUMBER(SEARCH("determination",$D168)),ISNUMBER(SEARCH("determination",$T168)),ISNUMBER(SEARCH("determination",$R168)),ISNUMBER(SEARCH("determination",$S168)),
ISNUMBER(SEARCH("tenacity",$D168)),ISNUMBER(SEARCH("tenacity",$T168)),ISNUMBER(SEARCH("tenacity",$R168)),ISNUMBER(SEARCH("tenacity",$S168)),
ISNUMBER(SEARCH("endurance",$D168)),ISNUMBER(SEARCH("endurance",$T168)),ISNUMBER(SEARCH("endurance",$R168)),ISNUMBER(SEARCH("endurance",$S168)),
ISNUMBER(SEARCH("fortitude",$D168)),ISNUMBER(SEARCH("fortitude",$T168)),ISNUMBER(SEARCH("fortitude",$R168)),ISNUMBER(SEARCH("fortitude",$S168)),
ISNUMBER(SEARCH("resolve",$D168)),ISNUMBER(SEARCH("resolve",$T168)),ISNUMBER(SEARCH("resolve",$R168)),ISNUMBER(SEARCH("resolve",$S168)),
ISNUMBER(SEARCH("stamina",$D168)),ISNUMBER(SEARCH("stamina",$T168)),ISNUMBER(SEARCH("stamina",$R168)),ISNUMBER(SEARCH("stamina",$S168)),
ISNUMBER(SEARCH("guts",$D168)),ISNUMBER(SEARCH("guts",$T168)),ISNUMBER(SEARCH("guts",$R168)),ISNUMBER(SEARCH("guts",$S168)),
ISNUMBER(SEARCH("spunk",$D168)),ISNUMBER(SEARCH("spunk",$T168)),ISNUMBER(SEARCH("spunk",$R168)),ISNUMBER(SEARCH("spunk",$S168))), 1, 0)</f>
        <v>0</v>
      </c>
      <c r="BW168" s="5">
        <f t="shared" si="690"/>
        <v>0</v>
      </c>
      <c r="BX168" s="5">
        <f t="shared" si="29"/>
        <v>0</v>
      </c>
      <c r="BY168" s="5">
        <f t="shared" si="30"/>
        <v>0</v>
      </c>
      <c r="BZ168" s="5">
        <f t="shared" si="31"/>
        <v>0</v>
      </c>
      <c r="CA168" s="5">
        <f t="shared" si="32"/>
        <v>0</v>
      </c>
      <c r="CB168" s="5">
        <f t="shared" si="33"/>
        <v>0</v>
      </c>
      <c r="CC168" s="5">
        <f t="shared" si="34"/>
        <v>0</v>
      </c>
      <c r="CD168" s="5">
        <f t="shared" si="35"/>
        <v>0</v>
      </c>
      <c r="CE168" s="5">
        <f t="shared" si="36"/>
        <v>0</v>
      </c>
      <c r="CF168" s="5">
        <f t="shared" si="37"/>
        <v>0</v>
      </c>
      <c r="CG168" s="5">
        <f t="shared" si="38"/>
        <v>0</v>
      </c>
      <c r="CH168" s="5">
        <f t="shared" si="39"/>
        <v>0</v>
      </c>
      <c r="CI168" s="5">
        <f t="shared" si="40"/>
        <v>0</v>
      </c>
      <c r="CJ168" s="5">
        <f t="shared" si="41"/>
        <v>0</v>
      </c>
      <c r="CK168" s="5">
        <f t="shared" si="42"/>
        <v>0</v>
      </c>
      <c r="CL168" s="5">
        <f t="shared" si="43"/>
        <v>0</v>
      </c>
      <c r="CM168" s="5">
        <f t="shared" si="44"/>
        <v>0</v>
      </c>
      <c r="CN168" s="5">
        <f t="shared" si="45"/>
        <v>0</v>
      </c>
      <c r="CO168" s="5">
        <f t="shared" si="46"/>
        <v>0</v>
      </c>
      <c r="CP168" s="6">
        <f t="shared" si="47"/>
        <v>0</v>
      </c>
      <c r="CQ168" s="6">
        <f t="shared" si="48"/>
        <v>0</v>
      </c>
      <c r="CR168" s="6">
        <f t="shared" si="49"/>
        <v>0</v>
      </c>
      <c r="CS168" s="6">
        <f t="shared" si="50"/>
        <v>0</v>
      </c>
      <c r="CT168" s="6">
        <f t="shared" si="584"/>
        <v>0</v>
      </c>
      <c r="CU168" s="6">
        <f t="shared" si="52"/>
        <v>0</v>
      </c>
      <c r="CV168" s="6">
        <f t="shared" si="53"/>
        <v>0</v>
      </c>
      <c r="CW168" s="6">
        <f t="shared" si="54"/>
        <v>0</v>
      </c>
      <c r="CX168" s="6">
        <f t="shared" si="55"/>
        <v>0</v>
      </c>
      <c r="CY168" s="6">
        <f t="shared" si="56"/>
        <v>0</v>
      </c>
      <c r="CZ168" s="6">
        <f t="shared" si="57"/>
        <v>0</v>
      </c>
      <c r="DA168" s="6">
        <f t="shared" si="58"/>
        <v>0</v>
      </c>
      <c r="DB168" s="6">
        <f t="shared" si="59"/>
        <v>0</v>
      </c>
      <c r="DC168" s="6">
        <f t="shared" si="60"/>
        <v>0</v>
      </c>
      <c r="DD168" s="6">
        <f t="shared" si="61"/>
        <v>0</v>
      </c>
      <c r="DE168" s="6">
        <f t="shared" si="62"/>
        <v>0</v>
      </c>
      <c r="DF168" s="6">
        <f t="shared" si="63"/>
        <v>0</v>
      </c>
      <c r="DG168" s="6">
        <f t="shared" si="64"/>
        <v>0</v>
      </c>
      <c r="DH168" s="6">
        <f t="shared" si="652"/>
        <v>0</v>
      </c>
      <c r="DI168" s="6">
        <f t="shared" si="66"/>
        <v>0</v>
      </c>
      <c r="DJ168" s="6">
        <f t="shared" si="653"/>
        <v>0</v>
      </c>
      <c r="DK168" s="7">
        <f t="shared" si="68"/>
        <v>0</v>
      </c>
      <c r="DL168" s="7">
        <f t="shared" si="498"/>
        <v>0</v>
      </c>
      <c r="DM168" s="7">
        <f t="shared" si="70"/>
        <v>0</v>
      </c>
      <c r="DN168" s="7">
        <f t="shared" si="71"/>
        <v>0</v>
      </c>
      <c r="DO168" s="7">
        <f t="shared" si="72"/>
        <v>1</v>
      </c>
      <c r="DP168" s="8">
        <f t="shared" si="73"/>
        <v>0</v>
      </c>
      <c r="DQ168" s="8">
        <f t="shared" si="74"/>
        <v>1</v>
      </c>
      <c r="DR168" s="7">
        <f t="shared" si="75"/>
        <v>0</v>
      </c>
      <c r="DS168" s="7">
        <f t="shared" si="76"/>
        <v>0</v>
      </c>
      <c r="DT168" s="7">
        <f t="shared" si="77"/>
        <v>0</v>
      </c>
      <c r="DU168" s="9">
        <f t="shared" si="78"/>
        <v>0</v>
      </c>
      <c r="DV168" s="9">
        <f t="shared" si="79"/>
        <v>0</v>
      </c>
      <c r="DW168" s="9">
        <f t="shared" si="80"/>
        <v>0</v>
      </c>
      <c r="DX168" s="9">
        <f t="shared" si="81"/>
        <v>0</v>
      </c>
      <c r="DY168" s="9">
        <f t="shared" si="82"/>
        <v>0</v>
      </c>
      <c r="DZ168" s="9">
        <f t="shared" si="83"/>
        <v>0</v>
      </c>
      <c r="EA168" s="9">
        <f t="shared" si="84"/>
        <v>0</v>
      </c>
      <c r="EB168" s="9">
        <f t="shared" si="85"/>
        <v>0</v>
      </c>
      <c r="EC168" s="9">
        <f t="shared" si="86"/>
        <v>0</v>
      </c>
      <c r="ED168" s="9">
        <f t="shared" si="87"/>
        <v>0</v>
      </c>
      <c r="EE168" s="9">
        <f t="shared" si="88"/>
        <v>0</v>
      </c>
      <c r="EF168" s="9">
        <f t="shared" si="89"/>
        <v>0</v>
      </c>
      <c r="EG168" s="9">
        <f t="shared" si="90"/>
        <v>0</v>
      </c>
      <c r="EH168" s="9">
        <f t="shared" si="91"/>
        <v>0</v>
      </c>
      <c r="EI168" s="9">
        <f t="shared" si="92"/>
        <v>0</v>
      </c>
      <c r="EJ168" s="10">
        <f t="shared" si="93"/>
        <v>0</v>
      </c>
      <c r="EK168" s="10">
        <f t="shared" si="94"/>
        <v>0</v>
      </c>
      <c r="EL168" s="10">
        <f t="shared" ref="EL168:EM168" si="691">IF(OR(ISNUMBER(SEARCH("ai software toolkit", $D168)), ISNUMBER(SEARCH("ai software toolkit", $T168)), ISNUMBER(SEARCH("ai software toolkit", $R168)), ISNUMBER(SEARCH("ai software toolkit", $S168))), 1, 0)</f>
        <v>0</v>
      </c>
      <c r="EM168" s="10">
        <f t="shared" si="691"/>
        <v>0</v>
      </c>
      <c r="EN168" s="10">
        <f t="shared" si="96"/>
        <v>0</v>
      </c>
      <c r="EO168" s="10">
        <f t="shared" si="97"/>
        <v>0</v>
      </c>
      <c r="EP168" s="10">
        <f t="shared" si="98"/>
        <v>0</v>
      </c>
      <c r="EQ168" s="10">
        <f t="shared" si="99"/>
        <v>0</v>
      </c>
      <c r="ER168" s="10">
        <f t="shared" si="100"/>
        <v>0</v>
      </c>
      <c r="ES168" s="10">
        <f t="shared" si="101"/>
        <v>0</v>
      </c>
      <c r="ET168" s="10">
        <f t="shared" si="102"/>
        <v>0</v>
      </c>
      <c r="EU168" s="10">
        <f t="shared" si="103"/>
        <v>0</v>
      </c>
      <c r="EV168" s="10">
        <f t="shared" si="104"/>
        <v>0</v>
      </c>
      <c r="EW168" s="10">
        <f t="shared" si="105"/>
        <v>0</v>
      </c>
      <c r="EX168" s="10">
        <f t="shared" si="106"/>
        <v>0</v>
      </c>
      <c r="EY168" s="10">
        <f t="shared" si="107"/>
        <v>0</v>
      </c>
      <c r="EZ168" s="10">
        <f t="shared" si="108"/>
        <v>0</v>
      </c>
      <c r="FA168" s="10">
        <f t="shared" si="109"/>
        <v>0</v>
      </c>
      <c r="FB168" s="10">
        <f t="shared" si="110"/>
        <v>0</v>
      </c>
      <c r="FC168" s="10">
        <f t="shared" si="111"/>
        <v>0</v>
      </c>
      <c r="FD168" s="10">
        <f t="shared" si="112"/>
        <v>0</v>
      </c>
      <c r="FE168" s="10">
        <f t="shared" si="113"/>
        <v>0</v>
      </c>
      <c r="FF168" s="10">
        <f t="shared" si="114"/>
        <v>0</v>
      </c>
      <c r="FG168" s="10">
        <f t="shared" si="115"/>
        <v>0</v>
      </c>
      <c r="FH168" s="10">
        <f t="shared" si="116"/>
        <v>0</v>
      </c>
      <c r="FI168" s="10">
        <f t="shared" si="117"/>
        <v>0</v>
      </c>
      <c r="FJ168" s="10">
        <f t="shared" si="118"/>
        <v>0</v>
      </c>
      <c r="FK168" s="10">
        <f t="shared" si="119"/>
        <v>0</v>
      </c>
      <c r="FL168" s="10">
        <f t="shared" si="120"/>
        <v>0</v>
      </c>
      <c r="FM168" s="10">
        <f t="shared" si="121"/>
        <v>0</v>
      </c>
      <c r="FN168" s="10">
        <f t="shared" si="122"/>
        <v>0</v>
      </c>
      <c r="FO168" s="10">
        <f t="shared" si="123"/>
        <v>0</v>
      </c>
      <c r="FP168" s="10">
        <f t="shared" si="124"/>
        <v>0</v>
      </c>
      <c r="FQ168" s="10">
        <f t="shared" si="125"/>
        <v>0</v>
      </c>
      <c r="FR168" s="11">
        <f t="shared" si="683"/>
        <v>0</v>
      </c>
      <c r="FS168" s="11">
        <f t="shared" si="127"/>
        <v>0</v>
      </c>
      <c r="FT168" s="11">
        <f t="shared" si="128"/>
        <v>0</v>
      </c>
      <c r="FU168" s="11">
        <f t="shared" si="129"/>
        <v>0</v>
      </c>
      <c r="FV168" s="11">
        <f t="shared" si="130"/>
        <v>0</v>
      </c>
      <c r="FW168" s="11">
        <f t="shared" si="131"/>
        <v>0</v>
      </c>
      <c r="FX168" s="11">
        <f t="shared" si="132"/>
        <v>0</v>
      </c>
      <c r="FY168" s="11">
        <f t="shared" si="133"/>
        <v>0</v>
      </c>
      <c r="FZ168" s="11">
        <f t="shared" si="134"/>
        <v>0</v>
      </c>
      <c r="GA168" s="11">
        <f t="shared" si="135"/>
        <v>0</v>
      </c>
      <c r="GB168" s="11">
        <f t="shared" si="136"/>
        <v>0</v>
      </c>
      <c r="GC168" s="11">
        <f t="shared" si="137"/>
        <v>0</v>
      </c>
      <c r="GD168" s="11">
        <f t="shared" si="138"/>
        <v>0</v>
      </c>
      <c r="GE168" s="11">
        <f t="shared" si="139"/>
        <v>0</v>
      </c>
      <c r="GF168" s="11">
        <f t="shared" si="140"/>
        <v>0</v>
      </c>
      <c r="GG168" s="11">
        <f t="shared" si="141"/>
        <v>0</v>
      </c>
      <c r="GH168" s="11">
        <f t="shared" si="142"/>
        <v>0</v>
      </c>
      <c r="GI168" s="11">
        <f t="shared" si="143"/>
        <v>0</v>
      </c>
      <c r="GJ168" s="11">
        <f t="shared" si="144"/>
        <v>0</v>
      </c>
      <c r="GK168" s="11">
        <f t="shared" si="145"/>
        <v>0</v>
      </c>
      <c r="GL168" s="11">
        <f t="shared" si="146"/>
        <v>0</v>
      </c>
      <c r="GM168" s="11">
        <f t="shared" si="147"/>
        <v>0</v>
      </c>
      <c r="GN168" s="11">
        <f t="shared" si="148"/>
        <v>0</v>
      </c>
      <c r="GO168" s="11">
        <f t="shared" si="149"/>
        <v>0</v>
      </c>
      <c r="GP168" s="11">
        <f t="shared" si="150"/>
        <v>0</v>
      </c>
      <c r="GQ168" s="11">
        <f t="shared" si="151"/>
        <v>0</v>
      </c>
      <c r="GR168" s="11">
        <f t="shared" si="152"/>
        <v>0</v>
      </c>
      <c r="GS168" s="11">
        <f t="shared" si="153"/>
        <v>0</v>
      </c>
      <c r="GT168" s="11">
        <f t="shared" si="154"/>
        <v>0</v>
      </c>
      <c r="GU168" s="12">
        <f t="shared" si="155"/>
        <v>0</v>
      </c>
      <c r="GV168" s="12">
        <f t="shared" si="156"/>
        <v>0</v>
      </c>
      <c r="GW168" s="12">
        <f t="shared" si="157"/>
        <v>0</v>
      </c>
      <c r="GX168" s="12">
        <f t="shared" si="158"/>
        <v>0</v>
      </c>
      <c r="GY168" s="12">
        <f t="shared" si="159"/>
        <v>0</v>
      </c>
      <c r="GZ168" s="12">
        <f t="shared" si="160"/>
        <v>0</v>
      </c>
      <c r="HA168" s="12">
        <f t="shared" si="161"/>
        <v>0</v>
      </c>
      <c r="HB168" s="12">
        <f t="shared" si="162"/>
        <v>0</v>
      </c>
      <c r="HC168" s="12">
        <f t="shared" si="163"/>
        <v>0</v>
      </c>
      <c r="HD168" s="12">
        <f t="shared" si="164"/>
        <v>0</v>
      </c>
      <c r="HE168" s="12">
        <f t="shared" si="165"/>
        <v>0</v>
      </c>
      <c r="HF168" s="12">
        <f t="shared" si="166"/>
        <v>0</v>
      </c>
      <c r="HG168" s="12">
        <f t="shared" si="167"/>
        <v>0</v>
      </c>
      <c r="HH168" s="12">
        <f t="shared" si="168"/>
        <v>0</v>
      </c>
      <c r="HI168" s="12">
        <f t="shared" si="169"/>
        <v>0</v>
      </c>
      <c r="HJ168" s="12">
        <f t="shared" si="170"/>
        <v>0</v>
      </c>
      <c r="HK168" s="12">
        <f t="shared" si="171"/>
        <v>0</v>
      </c>
      <c r="HL168" s="12">
        <f t="shared" si="172"/>
        <v>0</v>
      </c>
      <c r="HM168" s="12">
        <f t="shared" si="173"/>
        <v>0</v>
      </c>
      <c r="HN168" s="12">
        <f t="shared" si="174"/>
        <v>0</v>
      </c>
      <c r="HO168" s="12">
        <f t="shared" si="175"/>
        <v>0</v>
      </c>
      <c r="HP168" s="12">
        <f t="shared" si="176"/>
        <v>0</v>
      </c>
      <c r="HQ168" s="12">
        <f t="shared" si="177"/>
        <v>0</v>
      </c>
      <c r="HR168" s="12">
        <f t="shared" si="178"/>
        <v>0</v>
      </c>
      <c r="HS168" s="12">
        <f t="shared" si="179"/>
        <v>0</v>
      </c>
      <c r="HT168" s="12">
        <f t="shared" si="180"/>
        <v>0</v>
      </c>
      <c r="HU168" s="12">
        <f t="shared" si="181"/>
        <v>0</v>
      </c>
      <c r="HV168" s="12">
        <f t="shared" si="182"/>
        <v>0</v>
      </c>
      <c r="HW168" s="12">
        <f t="shared" si="183"/>
        <v>0</v>
      </c>
      <c r="HX168" s="12">
        <f t="shared" si="184"/>
        <v>0</v>
      </c>
      <c r="HY168" s="12">
        <f t="shared" si="185"/>
        <v>0</v>
      </c>
      <c r="HZ168" s="12">
        <f t="shared" si="186"/>
        <v>0</v>
      </c>
      <c r="IA168" s="12">
        <f t="shared" si="187"/>
        <v>0</v>
      </c>
      <c r="IB168" s="12">
        <f t="shared" si="188"/>
        <v>0</v>
      </c>
      <c r="IC168" s="12">
        <f t="shared" si="189"/>
        <v>0</v>
      </c>
      <c r="ID168" s="12">
        <f t="shared" si="190"/>
        <v>0</v>
      </c>
      <c r="IE168" s="12">
        <f t="shared" si="191"/>
        <v>0</v>
      </c>
      <c r="IF168" s="12">
        <f t="shared" si="192"/>
        <v>0</v>
      </c>
      <c r="IG168" s="12">
        <f t="shared" si="193"/>
        <v>0</v>
      </c>
      <c r="IH168" s="12">
        <f t="shared" si="194"/>
        <v>0</v>
      </c>
      <c r="II168" s="12">
        <f t="shared" si="195"/>
        <v>0</v>
      </c>
      <c r="IJ168" s="12">
        <f t="shared" si="196"/>
        <v>0</v>
      </c>
      <c r="IK168" s="12">
        <f t="shared" si="197"/>
        <v>0</v>
      </c>
      <c r="IL168" s="12">
        <f t="shared" si="198"/>
        <v>0</v>
      </c>
      <c r="IM168" s="12">
        <f t="shared" si="199"/>
        <v>0</v>
      </c>
      <c r="IN168" s="12">
        <f t="shared" si="200"/>
        <v>0</v>
      </c>
      <c r="IO168" s="12">
        <f t="shared" si="201"/>
        <v>0</v>
      </c>
      <c r="IP168" s="12">
        <f t="shared" si="202"/>
        <v>0</v>
      </c>
      <c r="IQ168" s="12">
        <f t="shared" si="203"/>
        <v>0</v>
      </c>
      <c r="IR168" s="12">
        <f t="shared" si="204"/>
        <v>0</v>
      </c>
      <c r="IS168" s="12">
        <f t="shared" si="205"/>
        <v>0</v>
      </c>
      <c r="IT168" s="12">
        <f t="shared" si="206"/>
        <v>0</v>
      </c>
      <c r="IU168" s="12">
        <f t="shared" si="207"/>
        <v>0</v>
      </c>
      <c r="IV168" s="12">
        <f t="shared" si="208"/>
        <v>0</v>
      </c>
      <c r="IW168" s="12">
        <f t="shared" si="209"/>
        <v>0</v>
      </c>
      <c r="IX168" s="12">
        <f t="shared" si="210"/>
        <v>0</v>
      </c>
      <c r="IY168" s="12">
        <f t="shared" si="211"/>
        <v>0</v>
      </c>
      <c r="IZ168" s="12">
        <f t="shared" si="212"/>
        <v>0</v>
      </c>
      <c r="JA168" s="13">
        <f t="shared" si="213"/>
        <v>0</v>
      </c>
      <c r="JB168" s="13">
        <f t="shared" si="214"/>
        <v>0</v>
      </c>
      <c r="JC168" s="13">
        <f t="shared" si="215"/>
        <v>0</v>
      </c>
      <c r="JD168" s="13">
        <f t="shared" si="216"/>
        <v>0</v>
      </c>
      <c r="JE168" s="13">
        <f t="shared" si="217"/>
        <v>0</v>
      </c>
      <c r="JF168" s="13">
        <f t="shared" si="218"/>
        <v>0</v>
      </c>
      <c r="JG168" s="13">
        <f t="shared" si="219"/>
        <v>0</v>
      </c>
      <c r="JH168" s="13">
        <f t="shared" si="220"/>
        <v>0</v>
      </c>
      <c r="JI168" s="13">
        <f t="shared" si="221"/>
        <v>0</v>
      </c>
      <c r="JJ168" s="13">
        <f t="shared" si="222"/>
        <v>0</v>
      </c>
      <c r="JK168" s="13">
        <f t="shared" si="223"/>
        <v>0</v>
      </c>
      <c r="JL168" s="13">
        <f t="shared" si="224"/>
        <v>0</v>
      </c>
      <c r="JM168" s="13">
        <f t="shared" si="225"/>
        <v>0</v>
      </c>
      <c r="JN168" s="13">
        <f t="shared" si="226"/>
        <v>0</v>
      </c>
      <c r="JO168" s="13">
        <f t="shared" si="227"/>
        <v>0</v>
      </c>
      <c r="JP168" s="13">
        <f t="shared" si="228"/>
        <v>0</v>
      </c>
      <c r="JQ168" s="13">
        <f t="shared" si="229"/>
        <v>0</v>
      </c>
      <c r="JR168" s="13">
        <f t="shared" si="230"/>
        <v>0</v>
      </c>
      <c r="JS168" s="13">
        <f t="shared" si="231"/>
        <v>0</v>
      </c>
      <c r="JT168" s="13">
        <f t="shared" si="232"/>
        <v>0</v>
      </c>
      <c r="JU168" s="13">
        <f t="shared" si="233"/>
        <v>0</v>
      </c>
      <c r="JV168" s="12">
        <f t="shared" si="234"/>
        <v>0</v>
      </c>
      <c r="JW168" s="12">
        <f t="shared" si="235"/>
        <v>0</v>
      </c>
      <c r="JX168" s="12">
        <f t="shared" si="236"/>
        <v>0</v>
      </c>
      <c r="JY168" s="12">
        <f t="shared" si="237"/>
        <v>0</v>
      </c>
      <c r="JZ168" s="12">
        <f t="shared" si="238"/>
        <v>0</v>
      </c>
      <c r="KA168" s="12">
        <f t="shared" si="239"/>
        <v>0</v>
      </c>
      <c r="KB168" s="12">
        <f t="shared" si="240"/>
        <v>0</v>
      </c>
      <c r="KC168" s="12">
        <f t="shared" si="241"/>
        <v>0</v>
      </c>
      <c r="KD168" s="12">
        <f t="shared" si="242"/>
        <v>0</v>
      </c>
      <c r="KE168" s="12">
        <f t="shared" si="243"/>
        <v>0</v>
      </c>
      <c r="KF168" s="12">
        <f t="shared" si="244"/>
        <v>0</v>
      </c>
      <c r="KG168" s="12">
        <f t="shared" si="245"/>
        <v>0</v>
      </c>
      <c r="KH168" s="12">
        <f t="shared" si="246"/>
        <v>0</v>
      </c>
      <c r="KI168" s="12">
        <f t="shared" si="247"/>
        <v>0</v>
      </c>
      <c r="KJ168" s="12">
        <f t="shared" si="248"/>
        <v>0</v>
      </c>
      <c r="KK168" s="12">
        <f t="shared" si="249"/>
        <v>0</v>
      </c>
      <c r="KL168" s="12">
        <f t="shared" si="250"/>
        <v>0</v>
      </c>
      <c r="KM168" s="12">
        <f t="shared" si="251"/>
        <v>0</v>
      </c>
      <c r="KN168" s="12">
        <f t="shared" si="252"/>
        <v>0</v>
      </c>
      <c r="KO168" s="12">
        <f t="shared" si="253"/>
        <v>0</v>
      </c>
      <c r="KP168" s="12">
        <f t="shared" si="254"/>
        <v>0</v>
      </c>
      <c r="KQ168" s="12">
        <f t="shared" si="255"/>
        <v>0</v>
      </c>
      <c r="KR168" s="12">
        <f t="shared" si="256"/>
        <v>0</v>
      </c>
      <c r="KS168" s="12">
        <f t="shared" si="257"/>
        <v>0</v>
      </c>
      <c r="KT168" s="12">
        <f t="shared" si="258"/>
        <v>0</v>
      </c>
      <c r="KU168" s="12">
        <f t="shared" si="259"/>
        <v>0</v>
      </c>
      <c r="KV168" s="12">
        <f t="shared" si="260"/>
        <v>0</v>
      </c>
      <c r="KW168" s="12">
        <f t="shared" si="261"/>
        <v>0</v>
      </c>
      <c r="KX168" s="12">
        <f t="shared" si="262"/>
        <v>0</v>
      </c>
      <c r="KY168" s="12">
        <f t="shared" si="263"/>
        <v>0</v>
      </c>
      <c r="KZ168" s="12">
        <f t="shared" si="264"/>
        <v>0</v>
      </c>
      <c r="LA168" s="12">
        <f t="shared" si="265"/>
        <v>0</v>
      </c>
      <c r="LB168" s="12">
        <f t="shared" si="266"/>
        <v>0</v>
      </c>
      <c r="LC168" s="12">
        <f t="shared" si="267"/>
        <v>0</v>
      </c>
      <c r="LD168" s="12">
        <f t="shared" si="268"/>
        <v>0</v>
      </c>
      <c r="LE168" s="12">
        <f t="shared" si="269"/>
        <v>0</v>
      </c>
      <c r="LF168" s="12">
        <f t="shared" si="270"/>
        <v>0</v>
      </c>
      <c r="LG168" s="12">
        <f t="shared" si="271"/>
        <v>0</v>
      </c>
      <c r="LH168" s="12">
        <f t="shared" si="272"/>
        <v>0</v>
      </c>
      <c r="LI168" s="12">
        <f t="shared" si="273"/>
        <v>0</v>
      </c>
      <c r="LJ168" s="12">
        <f t="shared" si="274"/>
        <v>0</v>
      </c>
      <c r="LK168" s="12">
        <f t="shared" si="275"/>
        <v>0</v>
      </c>
      <c r="LL168" s="12">
        <f t="shared" si="276"/>
        <v>0</v>
      </c>
      <c r="LM168" s="12">
        <f t="shared" si="277"/>
        <v>0</v>
      </c>
      <c r="LN168" s="12">
        <f t="shared" si="278"/>
        <v>0</v>
      </c>
      <c r="LO168" s="12">
        <f t="shared" si="279"/>
        <v>0</v>
      </c>
      <c r="LP168" s="12">
        <f t="shared" si="280"/>
        <v>0</v>
      </c>
      <c r="LQ168" s="12">
        <f t="shared" si="281"/>
        <v>0</v>
      </c>
      <c r="LR168" s="12">
        <f t="shared" si="282"/>
        <v>0</v>
      </c>
      <c r="LS168" s="12">
        <f t="shared" si="283"/>
        <v>0</v>
      </c>
      <c r="LT168" s="13">
        <f t="shared" si="284"/>
        <v>0</v>
      </c>
      <c r="LU168" s="13">
        <f t="shared" si="285"/>
        <v>0</v>
      </c>
      <c r="LV168" s="13">
        <f t="shared" si="286"/>
        <v>0</v>
      </c>
      <c r="LW168" s="13">
        <f t="shared" si="287"/>
        <v>0</v>
      </c>
      <c r="LX168" s="13">
        <f t="shared" si="288"/>
        <v>0</v>
      </c>
      <c r="LY168" s="13">
        <f t="shared" si="289"/>
        <v>0</v>
      </c>
      <c r="LZ168" s="13">
        <f t="shared" si="290"/>
        <v>0</v>
      </c>
      <c r="MA168" s="13">
        <f t="shared" si="291"/>
        <v>1</v>
      </c>
      <c r="MB168" s="13">
        <f t="shared" si="292"/>
        <v>0</v>
      </c>
      <c r="MC168" s="13">
        <f t="shared" si="293"/>
        <v>0</v>
      </c>
      <c r="MD168" s="13">
        <f t="shared" si="294"/>
        <v>0</v>
      </c>
      <c r="ME168" s="13">
        <f t="shared" si="295"/>
        <v>0</v>
      </c>
      <c r="MF168" s="13">
        <f t="shared" si="296"/>
        <v>0</v>
      </c>
      <c r="MG168" s="13">
        <f t="shared" si="297"/>
        <v>0</v>
      </c>
      <c r="MH168" s="13">
        <f t="shared" si="298"/>
        <v>0</v>
      </c>
      <c r="MI168" s="13">
        <f t="shared" si="299"/>
        <v>0</v>
      </c>
      <c r="MJ168" s="13">
        <f t="shared" si="300"/>
        <v>0</v>
      </c>
      <c r="MK168" s="13">
        <f t="shared" si="301"/>
        <v>0</v>
      </c>
      <c r="ML168" s="14">
        <f t="shared" si="302"/>
        <v>0</v>
      </c>
      <c r="MM168" s="14">
        <f t="shared" si="303"/>
        <v>0</v>
      </c>
      <c r="MN168" s="14">
        <f t="shared" si="304"/>
        <v>0</v>
      </c>
      <c r="MO168" s="14">
        <f t="shared" si="305"/>
        <v>0</v>
      </c>
      <c r="MP168" s="14">
        <f t="shared" si="306"/>
        <v>0</v>
      </c>
      <c r="MQ168" s="14">
        <f t="shared" si="307"/>
        <v>0</v>
      </c>
      <c r="MR168" s="14">
        <f t="shared" si="308"/>
        <v>0</v>
      </c>
      <c r="MS168" s="14">
        <f t="shared" si="309"/>
        <v>0</v>
      </c>
      <c r="MT168" s="14">
        <f t="shared" si="310"/>
        <v>0</v>
      </c>
      <c r="MU168" s="14">
        <f t="shared" si="311"/>
        <v>0</v>
      </c>
      <c r="MV168" s="14">
        <f t="shared" si="312"/>
        <v>0</v>
      </c>
      <c r="MW168" s="14">
        <f t="shared" si="313"/>
        <v>0</v>
      </c>
      <c r="MX168" s="14">
        <f t="shared" si="314"/>
        <v>0</v>
      </c>
      <c r="MY168" s="14">
        <f t="shared" si="315"/>
        <v>0</v>
      </c>
      <c r="MZ168" s="14">
        <f t="shared" si="316"/>
        <v>0</v>
      </c>
      <c r="NA168" s="14">
        <f t="shared" si="317"/>
        <v>0</v>
      </c>
      <c r="NB168" s="14">
        <f t="shared" si="318"/>
        <v>0</v>
      </c>
    </row>
    <row r="169" ht="15.75" customHeight="1">
      <c r="A169" s="2">
        <v>414.0</v>
      </c>
      <c r="B169" s="2" t="s">
        <v>3194</v>
      </c>
      <c r="C169" s="2" t="s">
        <v>3195</v>
      </c>
      <c r="D169" s="2" t="s">
        <v>3196</v>
      </c>
      <c r="E169" s="2">
        <v>2021.0</v>
      </c>
      <c r="F169" s="2" t="s">
        <v>3197</v>
      </c>
      <c r="G169" s="2" t="s">
        <v>3198</v>
      </c>
      <c r="H169" s="2" t="s">
        <v>452</v>
      </c>
      <c r="J169" s="2" t="s">
        <v>3199</v>
      </c>
      <c r="K169" s="2" t="s">
        <v>586</v>
      </c>
      <c r="M169" s="2">
        <v>2.0</v>
      </c>
      <c r="N169" s="2" t="s">
        <v>3200</v>
      </c>
      <c r="O169" s="2" t="s">
        <v>3201</v>
      </c>
      <c r="P169" s="2" t="s">
        <v>3202</v>
      </c>
      <c r="Q169" s="2" t="s">
        <v>3203</v>
      </c>
      <c r="R169" s="2" t="s">
        <v>3204</v>
      </c>
      <c r="S169" s="2" t="s">
        <v>3205</v>
      </c>
      <c r="T169" s="2" t="s">
        <v>3206</v>
      </c>
      <c r="Y169" s="2" t="s">
        <v>3207</v>
      </c>
      <c r="AB169" s="2" t="s">
        <v>1080</v>
      </c>
      <c r="AG169" s="2" t="s">
        <v>3208</v>
      </c>
      <c r="AK169" s="2" t="s">
        <v>3209</v>
      </c>
      <c r="AL169" s="2" t="s">
        <v>384</v>
      </c>
      <c r="AM169" s="2" t="s">
        <v>579</v>
      </c>
      <c r="AN169" s="2" t="s">
        <v>386</v>
      </c>
      <c r="AO169" s="2" t="s">
        <v>3210</v>
      </c>
      <c r="AP169" s="2" t="s">
        <v>386</v>
      </c>
      <c r="AQ169" s="2">
        <v>54.0</v>
      </c>
      <c r="AR169" s="2" t="s">
        <v>3211</v>
      </c>
      <c r="AS169" s="2" t="b">
        <v>0</v>
      </c>
      <c r="AT169" s="3">
        <v>0.0</v>
      </c>
      <c r="AU169" s="4"/>
      <c r="AV169" s="4">
        <v>1.0</v>
      </c>
      <c r="AW169" s="5">
        <f t="shared" si="432"/>
        <v>0</v>
      </c>
      <c r="AX169" s="5">
        <f t="shared" si="4"/>
        <v>0</v>
      </c>
      <c r="AY169" s="5">
        <f t="shared" si="5"/>
        <v>0</v>
      </c>
      <c r="AZ169" s="5">
        <f t="shared" si="6"/>
        <v>0</v>
      </c>
      <c r="BA169" s="5">
        <f t="shared" si="7"/>
        <v>0</v>
      </c>
      <c r="BB169" s="5">
        <f t="shared" si="8"/>
        <v>1</v>
      </c>
      <c r="BC169" s="5">
        <f t="shared" si="9"/>
        <v>0</v>
      </c>
      <c r="BD169" s="5">
        <f t="shared" si="10"/>
        <v>0</v>
      </c>
      <c r="BE169" s="5">
        <f t="shared" si="11"/>
        <v>0</v>
      </c>
      <c r="BF169" s="5">
        <f t="shared" si="12"/>
        <v>0</v>
      </c>
      <c r="BG169" s="5">
        <f t="shared" si="13"/>
        <v>0</v>
      </c>
      <c r="BH169" s="5">
        <f t="shared" si="14"/>
        <v>0</v>
      </c>
      <c r="BI169" s="5">
        <f t="shared" si="15"/>
        <v>0</v>
      </c>
      <c r="BJ169" s="5">
        <f t="shared" si="16"/>
        <v>0</v>
      </c>
      <c r="BK169" s="5">
        <f t="shared" si="17"/>
        <v>0</v>
      </c>
      <c r="BL169" s="5">
        <f t="shared" si="18"/>
        <v>0</v>
      </c>
      <c r="BM169" s="5">
        <f t="shared" si="19"/>
        <v>0</v>
      </c>
      <c r="BN169" s="5">
        <f t="shared" si="20"/>
        <v>0</v>
      </c>
      <c r="BO169" s="5">
        <f t="shared" si="21"/>
        <v>0</v>
      </c>
      <c r="BP169" s="5">
        <f t="shared" si="22"/>
        <v>0</v>
      </c>
      <c r="BQ169" s="5">
        <f t="shared" si="23"/>
        <v>0</v>
      </c>
      <c r="BR169" s="5">
        <f t="shared" si="24"/>
        <v>0</v>
      </c>
      <c r="BS169" s="5">
        <f t="shared" si="25"/>
        <v>0</v>
      </c>
      <c r="BT169" s="5">
        <f t="shared" si="26"/>
        <v>0</v>
      </c>
      <c r="BU169" s="5">
        <f t="shared" si="27"/>
        <v>0</v>
      </c>
      <c r="BV169" s="5">
        <f t="shared" ref="BV169:BW169" si="692">IF(OR(ISNUMBER(SEARCH("grit",$D169)),ISNUMBER(SEARCH("grit",$T169)),ISNUMBER(SEARCH("grit",$R169)),ISNUMBER(SEARCH("grit",$S169)),
ISNUMBER(SEARCH("determination",$D169)),ISNUMBER(SEARCH("determination",$T169)),ISNUMBER(SEARCH("determination",$R169)),ISNUMBER(SEARCH("determination",$S169)),
ISNUMBER(SEARCH("tenacity",$D169)),ISNUMBER(SEARCH("tenacity",$T169)),ISNUMBER(SEARCH("tenacity",$R169)),ISNUMBER(SEARCH("tenacity",$S169)),
ISNUMBER(SEARCH("endurance",$D169)),ISNUMBER(SEARCH("endurance",$T169)),ISNUMBER(SEARCH("endurance",$R169)),ISNUMBER(SEARCH("endurance",$S169)),
ISNUMBER(SEARCH("fortitude",$D169)),ISNUMBER(SEARCH("fortitude",$T169)),ISNUMBER(SEARCH("fortitude",$R169)),ISNUMBER(SEARCH("fortitude",$S169)),
ISNUMBER(SEARCH("resolve",$D169)),ISNUMBER(SEARCH("resolve",$T169)),ISNUMBER(SEARCH("resolve",$R169)),ISNUMBER(SEARCH("resolve",$S169)),
ISNUMBER(SEARCH("stamina",$D169)),ISNUMBER(SEARCH("stamina",$T169)),ISNUMBER(SEARCH("stamina",$R169)),ISNUMBER(SEARCH("stamina",$S169)),
ISNUMBER(SEARCH("guts",$D169)),ISNUMBER(SEARCH("guts",$T169)),ISNUMBER(SEARCH("guts",$R169)),ISNUMBER(SEARCH("guts",$S169)),
ISNUMBER(SEARCH("spunk",$D169)),ISNUMBER(SEARCH("spunk",$T169)),ISNUMBER(SEARCH("spunk",$R169)),ISNUMBER(SEARCH("spunk",$S169))), 1, 0)</f>
        <v>0</v>
      </c>
      <c r="BW169" s="5">
        <f t="shared" si="692"/>
        <v>0</v>
      </c>
      <c r="BX169" s="5">
        <f t="shared" si="29"/>
        <v>0</v>
      </c>
      <c r="BY169" s="5">
        <f t="shared" si="30"/>
        <v>0</v>
      </c>
      <c r="BZ169" s="5">
        <f t="shared" si="31"/>
        <v>0</v>
      </c>
      <c r="CA169" s="5">
        <f t="shared" si="32"/>
        <v>0</v>
      </c>
      <c r="CB169" s="5">
        <f t="shared" si="33"/>
        <v>0</v>
      </c>
      <c r="CC169" s="5">
        <f t="shared" si="34"/>
        <v>0</v>
      </c>
      <c r="CD169" s="5">
        <f t="shared" si="35"/>
        <v>0</v>
      </c>
      <c r="CE169" s="5">
        <f t="shared" si="36"/>
        <v>0</v>
      </c>
      <c r="CF169" s="5">
        <f t="shared" si="37"/>
        <v>0</v>
      </c>
      <c r="CG169" s="5">
        <f t="shared" si="38"/>
        <v>0</v>
      </c>
      <c r="CH169" s="5">
        <f t="shared" si="39"/>
        <v>0</v>
      </c>
      <c r="CI169" s="5">
        <f t="shared" si="40"/>
        <v>0</v>
      </c>
      <c r="CJ169" s="5">
        <f t="shared" si="41"/>
        <v>0</v>
      </c>
      <c r="CK169" s="5">
        <f t="shared" si="42"/>
        <v>0</v>
      </c>
      <c r="CL169" s="5">
        <f t="shared" si="43"/>
        <v>0</v>
      </c>
      <c r="CM169" s="5">
        <f t="shared" si="44"/>
        <v>0</v>
      </c>
      <c r="CN169" s="5">
        <f t="shared" si="45"/>
        <v>0</v>
      </c>
      <c r="CO169" s="5">
        <f t="shared" si="46"/>
        <v>0</v>
      </c>
      <c r="CP169" s="6">
        <f t="shared" si="47"/>
        <v>0</v>
      </c>
      <c r="CQ169" s="6">
        <f t="shared" si="48"/>
        <v>0</v>
      </c>
      <c r="CR169" s="6">
        <f t="shared" si="49"/>
        <v>0</v>
      </c>
      <c r="CS169" s="6">
        <f t="shared" si="50"/>
        <v>0</v>
      </c>
      <c r="CT169" s="6">
        <f t="shared" si="584"/>
        <v>0</v>
      </c>
      <c r="CU169" s="6">
        <f t="shared" si="52"/>
        <v>0</v>
      </c>
      <c r="CV169" s="6">
        <f t="shared" si="53"/>
        <v>0</v>
      </c>
      <c r="CW169" s="6">
        <f t="shared" si="54"/>
        <v>0</v>
      </c>
      <c r="CX169" s="6">
        <f t="shared" si="55"/>
        <v>0</v>
      </c>
      <c r="CY169" s="6">
        <f t="shared" si="56"/>
        <v>0</v>
      </c>
      <c r="CZ169" s="6">
        <f t="shared" si="57"/>
        <v>0</v>
      </c>
      <c r="DA169" s="6">
        <f t="shared" si="58"/>
        <v>1</v>
      </c>
      <c r="DB169" s="6">
        <f t="shared" si="59"/>
        <v>0</v>
      </c>
      <c r="DC169" s="6">
        <f t="shared" si="60"/>
        <v>0</v>
      </c>
      <c r="DD169" s="6">
        <f t="shared" si="61"/>
        <v>0</v>
      </c>
      <c r="DE169" s="6">
        <f t="shared" si="62"/>
        <v>0</v>
      </c>
      <c r="DF169" s="6">
        <f t="shared" si="63"/>
        <v>0</v>
      </c>
      <c r="DG169" s="6">
        <f t="shared" si="64"/>
        <v>0</v>
      </c>
      <c r="DH169" s="6">
        <f>IF(
OR(
ISNUMBER(SEARCH("Spirituality",$D169)),ISNUMBER(SEARCH("Spirituality",$T169)),ISNUMBER(SEARCH("Spirituality",$R167)),ISNUMBER(SEARCH("Spirituality",$S169)),
ISNUMBER(SEARCH("religiosity",$D169)),ISNUMBER(SEARCH("religiosity",$T169)),ISNUMBER(SEARCH("religiosity",$R169)),ISNUMBER(SEARCH("religiosity",$S169))), 1, 0)</f>
        <v>0</v>
      </c>
      <c r="DI169" s="6">
        <f t="shared" si="66"/>
        <v>0</v>
      </c>
      <c r="DJ169" s="6">
        <f t="shared" si="653"/>
        <v>0</v>
      </c>
      <c r="DK169" s="7">
        <f t="shared" si="68"/>
        <v>0</v>
      </c>
      <c r="DL169" s="7">
        <f t="shared" si="498"/>
        <v>0</v>
      </c>
      <c r="DM169" s="7">
        <f t="shared" si="70"/>
        <v>0</v>
      </c>
      <c r="DN169" s="7">
        <f t="shared" si="71"/>
        <v>0</v>
      </c>
      <c r="DO169" s="7">
        <f t="shared" si="72"/>
        <v>1</v>
      </c>
      <c r="DP169" s="8">
        <f t="shared" si="73"/>
        <v>0</v>
      </c>
      <c r="DQ169" s="8">
        <f t="shared" si="74"/>
        <v>1</v>
      </c>
      <c r="DR169" s="7">
        <f t="shared" si="75"/>
        <v>0</v>
      </c>
      <c r="DS169" s="7">
        <f t="shared" si="76"/>
        <v>0</v>
      </c>
      <c r="DT169" s="7">
        <f t="shared" si="77"/>
        <v>0</v>
      </c>
      <c r="DU169" s="9">
        <f t="shared" si="78"/>
        <v>0</v>
      </c>
      <c r="DV169" s="9">
        <f t="shared" si="79"/>
        <v>0</v>
      </c>
      <c r="DW169" s="9">
        <f t="shared" si="80"/>
        <v>0</v>
      </c>
      <c r="DX169" s="9">
        <f t="shared" si="81"/>
        <v>0</v>
      </c>
      <c r="DY169" s="9">
        <f t="shared" si="82"/>
        <v>0</v>
      </c>
      <c r="DZ169" s="9">
        <f t="shared" si="83"/>
        <v>0</v>
      </c>
      <c r="EA169" s="9">
        <f t="shared" si="84"/>
        <v>0</v>
      </c>
      <c r="EB169" s="9">
        <f t="shared" si="85"/>
        <v>0</v>
      </c>
      <c r="EC169" s="9">
        <f t="shared" si="86"/>
        <v>0</v>
      </c>
      <c r="ED169" s="9">
        <f t="shared" si="87"/>
        <v>0</v>
      </c>
      <c r="EE169" s="9">
        <f t="shared" si="88"/>
        <v>0</v>
      </c>
      <c r="EF169" s="9">
        <f t="shared" si="89"/>
        <v>0</v>
      </c>
      <c r="EG169" s="9">
        <f t="shared" si="90"/>
        <v>0</v>
      </c>
      <c r="EH169" s="9">
        <f t="shared" si="91"/>
        <v>0</v>
      </c>
      <c r="EI169" s="9">
        <f t="shared" si="92"/>
        <v>0</v>
      </c>
      <c r="EJ169" s="10">
        <f t="shared" si="93"/>
        <v>0</v>
      </c>
      <c r="EK169" s="10">
        <f t="shared" si="94"/>
        <v>0</v>
      </c>
      <c r="EL169" s="10">
        <f t="shared" ref="EL169:EM169" si="693">IF(OR(ISNUMBER(SEARCH("ai software toolkit", $D169)), ISNUMBER(SEARCH("ai software toolkit", $T169)), ISNUMBER(SEARCH("ai software toolkit", $R169)), ISNUMBER(SEARCH("ai software toolkit", $S169))), 1, 0)</f>
        <v>0</v>
      </c>
      <c r="EM169" s="10">
        <f t="shared" si="693"/>
        <v>0</v>
      </c>
      <c r="EN169" s="10">
        <f t="shared" si="96"/>
        <v>0</v>
      </c>
      <c r="EO169" s="10">
        <f t="shared" si="97"/>
        <v>0</v>
      </c>
      <c r="EP169" s="10">
        <f t="shared" si="98"/>
        <v>0</v>
      </c>
      <c r="EQ169" s="10">
        <f t="shared" si="99"/>
        <v>0</v>
      </c>
      <c r="ER169" s="10">
        <f t="shared" si="100"/>
        <v>0</v>
      </c>
      <c r="ES169" s="10">
        <f t="shared" si="101"/>
        <v>0</v>
      </c>
      <c r="ET169" s="10">
        <f t="shared" si="102"/>
        <v>0</v>
      </c>
      <c r="EU169" s="10">
        <f t="shared" si="103"/>
        <v>0</v>
      </c>
      <c r="EV169" s="10">
        <f t="shared" si="104"/>
        <v>0</v>
      </c>
      <c r="EW169" s="10">
        <f t="shared" si="105"/>
        <v>0</v>
      </c>
      <c r="EX169" s="10">
        <f t="shared" si="106"/>
        <v>0</v>
      </c>
      <c r="EY169" s="10">
        <f t="shared" si="107"/>
        <v>0</v>
      </c>
      <c r="EZ169" s="10">
        <f t="shared" si="108"/>
        <v>0</v>
      </c>
      <c r="FA169" s="10">
        <f t="shared" si="109"/>
        <v>0</v>
      </c>
      <c r="FB169" s="10">
        <f t="shared" si="110"/>
        <v>0</v>
      </c>
      <c r="FC169" s="10">
        <f t="shared" si="111"/>
        <v>0</v>
      </c>
      <c r="FD169" s="10">
        <f t="shared" si="112"/>
        <v>0</v>
      </c>
      <c r="FE169" s="10">
        <f t="shared" si="113"/>
        <v>0</v>
      </c>
      <c r="FF169" s="10">
        <f t="shared" si="114"/>
        <v>0</v>
      </c>
      <c r="FG169" s="10">
        <f t="shared" si="115"/>
        <v>0</v>
      </c>
      <c r="FH169" s="10">
        <f t="shared" si="116"/>
        <v>0</v>
      </c>
      <c r="FI169" s="10">
        <f t="shared" si="117"/>
        <v>0</v>
      </c>
      <c r="FJ169" s="10">
        <f t="shared" si="118"/>
        <v>0</v>
      </c>
      <c r="FK169" s="10">
        <f t="shared" si="119"/>
        <v>0</v>
      </c>
      <c r="FL169" s="10">
        <f t="shared" si="120"/>
        <v>0</v>
      </c>
      <c r="FM169" s="10">
        <f t="shared" si="121"/>
        <v>0</v>
      </c>
      <c r="FN169" s="10">
        <f t="shared" si="122"/>
        <v>0</v>
      </c>
      <c r="FO169" s="10">
        <f t="shared" si="123"/>
        <v>0</v>
      </c>
      <c r="FP169" s="10">
        <f t="shared" si="124"/>
        <v>0</v>
      </c>
      <c r="FQ169" s="10">
        <f t="shared" si="125"/>
        <v>0</v>
      </c>
      <c r="FR169" s="11">
        <f t="shared" si="683"/>
        <v>0</v>
      </c>
      <c r="FS169" s="11">
        <f t="shared" si="127"/>
        <v>0</v>
      </c>
      <c r="FT169" s="11">
        <f t="shared" si="128"/>
        <v>0</v>
      </c>
      <c r="FU169" s="11">
        <f t="shared" si="129"/>
        <v>0</v>
      </c>
      <c r="FV169" s="11">
        <f t="shared" si="130"/>
        <v>0</v>
      </c>
      <c r="FW169" s="11">
        <f t="shared" si="131"/>
        <v>0</v>
      </c>
      <c r="FX169" s="11">
        <f t="shared" si="132"/>
        <v>0</v>
      </c>
      <c r="FY169" s="11">
        <f t="shared" si="133"/>
        <v>0</v>
      </c>
      <c r="FZ169" s="11">
        <f t="shared" si="134"/>
        <v>0</v>
      </c>
      <c r="GA169" s="11">
        <f t="shared" si="135"/>
        <v>0</v>
      </c>
      <c r="GB169" s="11">
        <f t="shared" si="136"/>
        <v>0</v>
      </c>
      <c r="GC169" s="11">
        <f t="shared" si="137"/>
        <v>0</v>
      </c>
      <c r="GD169" s="11">
        <f t="shared" si="138"/>
        <v>0</v>
      </c>
      <c r="GE169" s="11">
        <f t="shared" si="139"/>
        <v>0</v>
      </c>
      <c r="GF169" s="11">
        <f t="shared" si="140"/>
        <v>0</v>
      </c>
      <c r="GG169" s="11">
        <f t="shared" si="141"/>
        <v>0</v>
      </c>
      <c r="GH169" s="11">
        <f t="shared" si="142"/>
        <v>0</v>
      </c>
      <c r="GI169" s="11">
        <f t="shared" si="143"/>
        <v>0</v>
      </c>
      <c r="GJ169" s="11">
        <f t="shared" si="144"/>
        <v>0</v>
      </c>
      <c r="GK169" s="11">
        <f t="shared" si="145"/>
        <v>0</v>
      </c>
      <c r="GL169" s="11">
        <f t="shared" si="146"/>
        <v>0</v>
      </c>
      <c r="GM169" s="11">
        <f t="shared" si="147"/>
        <v>0</v>
      </c>
      <c r="GN169" s="11">
        <f t="shared" si="148"/>
        <v>0</v>
      </c>
      <c r="GO169" s="11">
        <f t="shared" si="149"/>
        <v>0</v>
      </c>
      <c r="GP169" s="11">
        <f t="shared" si="150"/>
        <v>0</v>
      </c>
      <c r="GQ169" s="11">
        <f t="shared" si="151"/>
        <v>0</v>
      </c>
      <c r="GR169" s="11">
        <f t="shared" si="152"/>
        <v>0</v>
      </c>
      <c r="GS169" s="11">
        <f t="shared" si="153"/>
        <v>0</v>
      </c>
      <c r="GT169" s="11">
        <f t="shared" si="154"/>
        <v>0</v>
      </c>
      <c r="GU169" s="12">
        <f t="shared" si="155"/>
        <v>0</v>
      </c>
      <c r="GV169" s="12">
        <f t="shared" si="156"/>
        <v>0</v>
      </c>
      <c r="GW169" s="12">
        <f t="shared" si="157"/>
        <v>0</v>
      </c>
      <c r="GX169" s="12">
        <f t="shared" si="158"/>
        <v>0</v>
      </c>
      <c r="GY169" s="12">
        <f t="shared" si="159"/>
        <v>0</v>
      </c>
      <c r="GZ169" s="12">
        <f t="shared" si="160"/>
        <v>0</v>
      </c>
      <c r="HA169" s="12">
        <f t="shared" si="161"/>
        <v>0</v>
      </c>
      <c r="HB169" s="12">
        <f t="shared" si="162"/>
        <v>0</v>
      </c>
      <c r="HC169" s="12">
        <f t="shared" si="163"/>
        <v>0</v>
      </c>
      <c r="HD169" s="12">
        <f t="shared" si="164"/>
        <v>0</v>
      </c>
      <c r="HE169" s="12">
        <f t="shared" si="165"/>
        <v>0</v>
      </c>
      <c r="HF169" s="12">
        <f t="shared" si="166"/>
        <v>0</v>
      </c>
      <c r="HG169" s="12">
        <f t="shared" si="167"/>
        <v>0</v>
      </c>
      <c r="HH169" s="12">
        <f t="shared" si="168"/>
        <v>0</v>
      </c>
      <c r="HI169" s="12">
        <f t="shared" si="169"/>
        <v>0</v>
      </c>
      <c r="HJ169" s="12">
        <f t="shared" si="170"/>
        <v>0</v>
      </c>
      <c r="HK169" s="12">
        <f t="shared" si="171"/>
        <v>0</v>
      </c>
      <c r="HL169" s="12">
        <f t="shared" si="172"/>
        <v>0</v>
      </c>
      <c r="HM169" s="12">
        <f t="shared" si="173"/>
        <v>0</v>
      </c>
      <c r="HN169" s="12">
        <f t="shared" si="174"/>
        <v>0</v>
      </c>
      <c r="HO169" s="12">
        <f t="shared" si="175"/>
        <v>0</v>
      </c>
      <c r="HP169" s="12">
        <f t="shared" si="176"/>
        <v>0</v>
      </c>
      <c r="HQ169" s="12">
        <f t="shared" si="177"/>
        <v>0</v>
      </c>
      <c r="HR169" s="12">
        <f t="shared" si="178"/>
        <v>0</v>
      </c>
      <c r="HS169" s="12">
        <f t="shared" si="179"/>
        <v>0</v>
      </c>
      <c r="HT169" s="12">
        <f t="shared" si="180"/>
        <v>0</v>
      </c>
      <c r="HU169" s="12">
        <f t="shared" si="181"/>
        <v>0</v>
      </c>
      <c r="HV169" s="12">
        <f t="shared" si="182"/>
        <v>0</v>
      </c>
      <c r="HW169" s="12">
        <f t="shared" si="183"/>
        <v>0</v>
      </c>
      <c r="HX169" s="12">
        <f t="shared" si="184"/>
        <v>0</v>
      </c>
      <c r="HY169" s="12">
        <f t="shared" si="185"/>
        <v>0</v>
      </c>
      <c r="HZ169" s="12">
        <f t="shared" si="186"/>
        <v>0</v>
      </c>
      <c r="IA169" s="12">
        <f t="shared" si="187"/>
        <v>0</v>
      </c>
      <c r="IB169" s="12">
        <f t="shared" si="188"/>
        <v>0</v>
      </c>
      <c r="IC169" s="12">
        <f t="shared" si="189"/>
        <v>0</v>
      </c>
      <c r="ID169" s="12">
        <f t="shared" si="190"/>
        <v>0</v>
      </c>
      <c r="IE169" s="12">
        <f t="shared" si="191"/>
        <v>0</v>
      </c>
      <c r="IF169" s="12">
        <f t="shared" si="192"/>
        <v>0</v>
      </c>
      <c r="IG169" s="12">
        <f t="shared" si="193"/>
        <v>0</v>
      </c>
      <c r="IH169" s="12">
        <f t="shared" si="194"/>
        <v>0</v>
      </c>
      <c r="II169" s="12">
        <f t="shared" si="195"/>
        <v>0</v>
      </c>
      <c r="IJ169" s="12">
        <f t="shared" si="196"/>
        <v>0</v>
      </c>
      <c r="IK169" s="12">
        <f t="shared" si="197"/>
        <v>0</v>
      </c>
      <c r="IL169" s="12">
        <f t="shared" si="198"/>
        <v>0</v>
      </c>
      <c r="IM169" s="12">
        <f t="shared" si="199"/>
        <v>0</v>
      </c>
      <c r="IN169" s="12">
        <f t="shared" si="200"/>
        <v>0</v>
      </c>
      <c r="IO169" s="12">
        <f t="shared" si="201"/>
        <v>0</v>
      </c>
      <c r="IP169" s="12">
        <f t="shared" si="202"/>
        <v>0</v>
      </c>
      <c r="IQ169" s="12">
        <f t="shared" si="203"/>
        <v>0</v>
      </c>
      <c r="IR169" s="12">
        <f t="shared" si="204"/>
        <v>0</v>
      </c>
      <c r="IS169" s="12">
        <f t="shared" si="205"/>
        <v>0</v>
      </c>
      <c r="IT169" s="12">
        <f t="shared" si="206"/>
        <v>0</v>
      </c>
      <c r="IU169" s="12">
        <f t="shared" si="207"/>
        <v>0</v>
      </c>
      <c r="IV169" s="12">
        <f t="shared" si="208"/>
        <v>0</v>
      </c>
      <c r="IW169" s="12">
        <f t="shared" si="209"/>
        <v>0</v>
      </c>
      <c r="IX169" s="12">
        <f t="shared" si="210"/>
        <v>0</v>
      </c>
      <c r="IY169" s="12">
        <f t="shared" si="211"/>
        <v>0</v>
      </c>
      <c r="IZ169" s="12">
        <f t="shared" si="212"/>
        <v>0</v>
      </c>
      <c r="JA169" s="13">
        <f t="shared" si="213"/>
        <v>0</v>
      </c>
      <c r="JB169" s="13">
        <f t="shared" si="214"/>
        <v>0</v>
      </c>
      <c r="JC169" s="13">
        <f t="shared" si="215"/>
        <v>0</v>
      </c>
      <c r="JD169" s="13">
        <f t="shared" si="216"/>
        <v>0</v>
      </c>
      <c r="JE169" s="13">
        <f t="shared" si="217"/>
        <v>0</v>
      </c>
      <c r="JF169" s="13">
        <f t="shared" si="218"/>
        <v>0</v>
      </c>
      <c r="JG169" s="13">
        <f t="shared" si="219"/>
        <v>0</v>
      </c>
      <c r="JH169" s="13">
        <f t="shared" si="220"/>
        <v>0</v>
      </c>
      <c r="JI169" s="13">
        <f t="shared" si="221"/>
        <v>0</v>
      </c>
      <c r="JJ169" s="13">
        <f t="shared" si="222"/>
        <v>0</v>
      </c>
      <c r="JK169" s="13">
        <f t="shared" si="223"/>
        <v>0</v>
      </c>
      <c r="JL169" s="13">
        <f t="shared" si="224"/>
        <v>0</v>
      </c>
      <c r="JM169" s="13">
        <f t="shared" si="225"/>
        <v>0</v>
      </c>
      <c r="JN169" s="13">
        <f t="shared" si="226"/>
        <v>0</v>
      </c>
      <c r="JO169" s="13">
        <f t="shared" si="227"/>
        <v>0</v>
      </c>
      <c r="JP169" s="13">
        <f t="shared" si="228"/>
        <v>0</v>
      </c>
      <c r="JQ169" s="13">
        <f t="shared" si="229"/>
        <v>0</v>
      </c>
      <c r="JR169" s="13">
        <f t="shared" si="230"/>
        <v>0</v>
      </c>
      <c r="JS169" s="13">
        <f t="shared" si="231"/>
        <v>0</v>
      </c>
      <c r="JT169" s="13">
        <f t="shared" si="232"/>
        <v>0</v>
      </c>
      <c r="JU169" s="13">
        <f t="shared" si="233"/>
        <v>0</v>
      </c>
      <c r="JV169" s="12">
        <f t="shared" si="234"/>
        <v>0</v>
      </c>
      <c r="JW169" s="12">
        <f t="shared" si="235"/>
        <v>0</v>
      </c>
      <c r="JX169" s="12">
        <f t="shared" si="236"/>
        <v>0</v>
      </c>
      <c r="JY169" s="12">
        <f t="shared" si="237"/>
        <v>0</v>
      </c>
      <c r="JZ169" s="12">
        <f t="shared" si="238"/>
        <v>0</v>
      </c>
      <c r="KA169" s="12">
        <f t="shared" si="239"/>
        <v>0</v>
      </c>
      <c r="KB169" s="12">
        <f t="shared" si="240"/>
        <v>0</v>
      </c>
      <c r="KC169" s="12">
        <f t="shared" si="241"/>
        <v>0</v>
      </c>
      <c r="KD169" s="12">
        <f t="shared" si="242"/>
        <v>0</v>
      </c>
      <c r="KE169" s="12">
        <f t="shared" si="243"/>
        <v>0</v>
      </c>
      <c r="KF169" s="12">
        <f t="shared" si="244"/>
        <v>0</v>
      </c>
      <c r="KG169" s="12">
        <f t="shared" si="245"/>
        <v>0</v>
      </c>
      <c r="KH169" s="12">
        <f t="shared" si="246"/>
        <v>0</v>
      </c>
      <c r="KI169" s="12">
        <f t="shared" si="247"/>
        <v>0</v>
      </c>
      <c r="KJ169" s="12">
        <f t="shared" si="248"/>
        <v>0</v>
      </c>
      <c r="KK169" s="12">
        <f t="shared" si="249"/>
        <v>0</v>
      </c>
      <c r="KL169" s="12">
        <f t="shared" si="250"/>
        <v>0</v>
      </c>
      <c r="KM169" s="12">
        <f t="shared" si="251"/>
        <v>0</v>
      </c>
      <c r="KN169" s="12">
        <f t="shared" si="252"/>
        <v>0</v>
      </c>
      <c r="KO169" s="12">
        <f t="shared" si="253"/>
        <v>0</v>
      </c>
      <c r="KP169" s="12">
        <f t="shared" si="254"/>
        <v>0</v>
      </c>
      <c r="KQ169" s="12">
        <f t="shared" si="255"/>
        <v>0</v>
      </c>
      <c r="KR169" s="12">
        <f t="shared" si="256"/>
        <v>0</v>
      </c>
      <c r="KS169" s="12">
        <f t="shared" si="257"/>
        <v>0</v>
      </c>
      <c r="KT169" s="12">
        <f t="shared" si="258"/>
        <v>0</v>
      </c>
      <c r="KU169" s="12">
        <f t="shared" si="259"/>
        <v>0</v>
      </c>
      <c r="KV169" s="12">
        <f t="shared" si="260"/>
        <v>0</v>
      </c>
      <c r="KW169" s="12">
        <f t="shared" si="261"/>
        <v>0</v>
      </c>
      <c r="KX169" s="12">
        <f t="shared" si="262"/>
        <v>0</v>
      </c>
      <c r="KY169" s="12">
        <f t="shared" si="263"/>
        <v>0</v>
      </c>
      <c r="KZ169" s="12">
        <f t="shared" si="264"/>
        <v>0</v>
      </c>
      <c r="LA169" s="12">
        <f t="shared" si="265"/>
        <v>0</v>
      </c>
      <c r="LB169" s="12">
        <f t="shared" si="266"/>
        <v>0</v>
      </c>
      <c r="LC169" s="12">
        <f t="shared" si="267"/>
        <v>0</v>
      </c>
      <c r="LD169" s="12">
        <f t="shared" si="268"/>
        <v>0</v>
      </c>
      <c r="LE169" s="12">
        <f t="shared" si="269"/>
        <v>0</v>
      </c>
      <c r="LF169" s="12">
        <f t="shared" si="270"/>
        <v>0</v>
      </c>
      <c r="LG169" s="12">
        <f t="shared" si="271"/>
        <v>0</v>
      </c>
      <c r="LH169" s="12">
        <f t="shared" si="272"/>
        <v>0</v>
      </c>
      <c r="LI169" s="12">
        <f t="shared" si="273"/>
        <v>0</v>
      </c>
      <c r="LJ169" s="12">
        <f t="shared" si="274"/>
        <v>0</v>
      </c>
      <c r="LK169" s="12">
        <f t="shared" si="275"/>
        <v>0</v>
      </c>
      <c r="LL169" s="12">
        <f t="shared" si="276"/>
        <v>0</v>
      </c>
      <c r="LM169" s="12">
        <f t="shared" si="277"/>
        <v>0</v>
      </c>
      <c r="LN169" s="12">
        <f t="shared" si="278"/>
        <v>0</v>
      </c>
      <c r="LO169" s="12">
        <f t="shared" si="279"/>
        <v>0</v>
      </c>
      <c r="LP169" s="12">
        <f t="shared" si="280"/>
        <v>0</v>
      </c>
      <c r="LQ169" s="12">
        <f t="shared" si="281"/>
        <v>0</v>
      </c>
      <c r="LR169" s="12">
        <f t="shared" si="282"/>
        <v>0</v>
      </c>
      <c r="LS169" s="12">
        <f t="shared" si="283"/>
        <v>0</v>
      </c>
      <c r="LT169" s="13">
        <f t="shared" si="284"/>
        <v>0</v>
      </c>
      <c r="LU169" s="13">
        <f t="shared" si="285"/>
        <v>0</v>
      </c>
      <c r="LV169" s="13">
        <f t="shared" si="286"/>
        <v>0</v>
      </c>
      <c r="LW169" s="13">
        <f t="shared" si="287"/>
        <v>0</v>
      </c>
      <c r="LX169" s="13">
        <f t="shared" si="288"/>
        <v>0</v>
      </c>
      <c r="LY169" s="13">
        <f t="shared" si="289"/>
        <v>0</v>
      </c>
      <c r="LZ169" s="13">
        <f t="shared" si="290"/>
        <v>0</v>
      </c>
      <c r="MA169" s="13">
        <f t="shared" si="291"/>
        <v>0</v>
      </c>
      <c r="MB169" s="13">
        <f t="shared" si="292"/>
        <v>0</v>
      </c>
      <c r="MC169" s="13">
        <f t="shared" si="293"/>
        <v>0</v>
      </c>
      <c r="MD169" s="13">
        <f t="shared" si="294"/>
        <v>0</v>
      </c>
      <c r="ME169" s="13">
        <f t="shared" si="295"/>
        <v>0</v>
      </c>
      <c r="MF169" s="13">
        <f t="shared" si="296"/>
        <v>0</v>
      </c>
      <c r="MG169" s="13">
        <f t="shared" si="297"/>
        <v>0</v>
      </c>
      <c r="MH169" s="13">
        <f t="shared" si="298"/>
        <v>0</v>
      </c>
      <c r="MI169" s="13">
        <f t="shared" si="299"/>
        <v>0</v>
      </c>
      <c r="MJ169" s="13">
        <f t="shared" si="300"/>
        <v>0</v>
      </c>
      <c r="MK169" s="13">
        <f t="shared" si="301"/>
        <v>0</v>
      </c>
      <c r="ML169" s="14">
        <f t="shared" si="302"/>
        <v>0</v>
      </c>
      <c r="MM169" s="14">
        <f t="shared" si="303"/>
        <v>0</v>
      </c>
      <c r="MN169" s="14">
        <f t="shared" si="304"/>
        <v>0</v>
      </c>
      <c r="MO169" s="14">
        <f t="shared" si="305"/>
        <v>0</v>
      </c>
      <c r="MP169" s="14">
        <f t="shared" si="306"/>
        <v>0</v>
      </c>
      <c r="MQ169" s="14">
        <f t="shared" si="307"/>
        <v>0</v>
      </c>
      <c r="MR169" s="14">
        <f t="shared" si="308"/>
        <v>0</v>
      </c>
      <c r="MS169" s="14">
        <f t="shared" si="309"/>
        <v>0</v>
      </c>
      <c r="MT169" s="14">
        <f t="shared" si="310"/>
        <v>0</v>
      </c>
      <c r="MU169" s="14">
        <f t="shared" si="311"/>
        <v>0</v>
      </c>
      <c r="MV169" s="14">
        <f t="shared" si="312"/>
        <v>0</v>
      </c>
      <c r="MW169" s="14">
        <f t="shared" si="313"/>
        <v>0</v>
      </c>
      <c r="MX169" s="14">
        <f t="shared" si="314"/>
        <v>0</v>
      </c>
      <c r="MY169" s="14">
        <f t="shared" si="315"/>
        <v>0</v>
      </c>
      <c r="MZ169" s="14">
        <f t="shared" si="316"/>
        <v>0</v>
      </c>
      <c r="NA169" s="14">
        <f t="shared" si="317"/>
        <v>0</v>
      </c>
      <c r="NB169" s="14">
        <f t="shared" si="318"/>
        <v>0</v>
      </c>
    </row>
    <row r="170" ht="15.75" customHeight="1">
      <c r="A170" s="2">
        <v>69.0</v>
      </c>
      <c r="B170" s="2" t="s">
        <v>3212</v>
      </c>
      <c r="C170" s="2" t="s">
        <v>3213</v>
      </c>
      <c r="D170" s="2" t="s">
        <v>3214</v>
      </c>
      <c r="E170" s="2">
        <v>2021.0</v>
      </c>
      <c r="F170" s="2" t="s">
        <v>3215</v>
      </c>
      <c r="G170" s="2" t="s">
        <v>3216</v>
      </c>
      <c r="H170" s="2" t="s">
        <v>432</v>
      </c>
      <c r="J170" s="2" t="s">
        <v>3217</v>
      </c>
      <c r="K170" s="2" t="s">
        <v>3218</v>
      </c>
      <c r="M170" s="2">
        <v>2.0</v>
      </c>
      <c r="N170" s="2" t="s">
        <v>3219</v>
      </c>
      <c r="O170" s="2" t="s">
        <v>3220</v>
      </c>
      <c r="P170" s="2" t="s">
        <v>3221</v>
      </c>
      <c r="Q170" s="2" t="s">
        <v>3222</v>
      </c>
      <c r="R170" s="2" t="s">
        <v>3223</v>
      </c>
      <c r="S170" s="2" t="s">
        <v>3224</v>
      </c>
      <c r="T170" s="2" t="s">
        <v>3225</v>
      </c>
      <c r="Y170" s="2" t="s">
        <v>3226</v>
      </c>
      <c r="AB170" s="2" t="s">
        <v>2329</v>
      </c>
      <c r="AG170" s="2" t="s">
        <v>3227</v>
      </c>
      <c r="AK170" s="2" t="s">
        <v>3228</v>
      </c>
      <c r="AL170" s="2" t="s">
        <v>384</v>
      </c>
      <c r="AN170" s="2" t="s">
        <v>386</v>
      </c>
      <c r="AO170" s="2" t="s">
        <v>3229</v>
      </c>
      <c r="AP170" s="2" t="s">
        <v>386</v>
      </c>
      <c r="AQ170" s="2">
        <v>209.0</v>
      </c>
      <c r="AR170" s="2" t="s">
        <v>3230</v>
      </c>
      <c r="AS170" s="2" t="b">
        <v>1</v>
      </c>
      <c r="AT170" s="3">
        <v>0.0</v>
      </c>
      <c r="AU170" s="4"/>
      <c r="AV170" s="4">
        <v>1.0</v>
      </c>
      <c r="AW170" s="5">
        <f t="shared" si="432"/>
        <v>0</v>
      </c>
      <c r="AX170" s="5">
        <f t="shared" si="4"/>
        <v>0</v>
      </c>
      <c r="AY170" s="5">
        <f t="shared" si="5"/>
        <v>0</v>
      </c>
      <c r="AZ170" s="5">
        <f t="shared" si="6"/>
        <v>0</v>
      </c>
      <c r="BA170" s="5">
        <f t="shared" si="7"/>
        <v>0</v>
      </c>
      <c r="BB170" s="5">
        <f t="shared" si="8"/>
        <v>0</v>
      </c>
      <c r="BC170" s="5">
        <f t="shared" si="9"/>
        <v>0</v>
      </c>
      <c r="BD170" s="5">
        <f t="shared" si="10"/>
        <v>0</v>
      </c>
      <c r="BE170" s="5">
        <f t="shared" si="11"/>
        <v>0</v>
      </c>
      <c r="BF170" s="5">
        <f t="shared" si="12"/>
        <v>0</v>
      </c>
      <c r="BG170" s="5">
        <f t="shared" si="13"/>
        <v>0</v>
      </c>
      <c r="BH170" s="5">
        <f t="shared" si="14"/>
        <v>0</v>
      </c>
      <c r="BI170" s="5">
        <f t="shared" si="15"/>
        <v>0</v>
      </c>
      <c r="BJ170" s="5">
        <f t="shared" si="16"/>
        <v>0</v>
      </c>
      <c r="BK170" s="5">
        <f t="shared" si="17"/>
        <v>0</v>
      </c>
      <c r="BL170" s="5">
        <f t="shared" si="18"/>
        <v>0</v>
      </c>
      <c r="BM170" s="5">
        <f t="shared" si="19"/>
        <v>0</v>
      </c>
      <c r="BN170" s="5">
        <f t="shared" si="20"/>
        <v>0</v>
      </c>
      <c r="BO170" s="5">
        <f t="shared" si="21"/>
        <v>0</v>
      </c>
      <c r="BP170" s="5">
        <f t="shared" si="22"/>
        <v>0</v>
      </c>
      <c r="BQ170" s="5">
        <f t="shared" si="23"/>
        <v>0</v>
      </c>
      <c r="BR170" s="5">
        <f t="shared" si="24"/>
        <v>0</v>
      </c>
      <c r="BS170" s="5">
        <f t="shared" si="25"/>
        <v>0</v>
      </c>
      <c r="BT170" s="5">
        <f t="shared" si="26"/>
        <v>0</v>
      </c>
      <c r="BU170" s="5">
        <f t="shared" si="27"/>
        <v>0</v>
      </c>
      <c r="BV170" s="5">
        <f t="shared" ref="BV170:BW170" si="694">IF(OR(ISNUMBER(SEARCH("grit",$D170)),ISNUMBER(SEARCH("grit",$T170)),ISNUMBER(SEARCH("grit",$R170)),ISNUMBER(SEARCH("grit",$S170)),
ISNUMBER(SEARCH("determination",$D170)),ISNUMBER(SEARCH("determination",$T170)),ISNUMBER(SEARCH("determination",$R170)),ISNUMBER(SEARCH("determination",$S170)),
ISNUMBER(SEARCH("tenacity",$D170)),ISNUMBER(SEARCH("tenacity",$T170)),ISNUMBER(SEARCH("tenacity",$R170)),ISNUMBER(SEARCH("tenacity",$S170)),
ISNUMBER(SEARCH("endurance",$D170)),ISNUMBER(SEARCH("endurance",$T170)),ISNUMBER(SEARCH("endurance",$R170)),ISNUMBER(SEARCH("endurance",$S170)),
ISNUMBER(SEARCH("fortitude",$D170)),ISNUMBER(SEARCH("fortitude",$T170)),ISNUMBER(SEARCH("fortitude",$R170)),ISNUMBER(SEARCH("fortitude",$S170)),
ISNUMBER(SEARCH("resolve",$D170)),ISNUMBER(SEARCH("resolve",$T170)),ISNUMBER(SEARCH("resolve",$R170)),ISNUMBER(SEARCH("resolve",$S170)),
ISNUMBER(SEARCH("stamina",$D170)),ISNUMBER(SEARCH("stamina",$T170)),ISNUMBER(SEARCH("stamina",$R170)),ISNUMBER(SEARCH("stamina",$S170)),
ISNUMBER(SEARCH("guts",$D170)),ISNUMBER(SEARCH("guts",$T170)),ISNUMBER(SEARCH("guts",$R170)),ISNUMBER(SEARCH("guts",$S170)),
ISNUMBER(SEARCH("spunk",$D170)),ISNUMBER(SEARCH("spunk",$T170)),ISNUMBER(SEARCH("spunk",$R170)),ISNUMBER(SEARCH("spunk",$S170))), 1, 0)</f>
        <v>0</v>
      </c>
      <c r="BW170" s="5">
        <f t="shared" si="694"/>
        <v>0</v>
      </c>
      <c r="BX170" s="5">
        <f t="shared" si="29"/>
        <v>0</v>
      </c>
      <c r="BY170" s="5">
        <f t="shared" si="30"/>
        <v>0</v>
      </c>
      <c r="BZ170" s="5">
        <f t="shared" si="31"/>
        <v>0</v>
      </c>
      <c r="CA170" s="5">
        <f t="shared" si="32"/>
        <v>0</v>
      </c>
      <c r="CB170" s="5">
        <f t="shared" si="33"/>
        <v>0</v>
      </c>
      <c r="CC170" s="5">
        <f t="shared" si="34"/>
        <v>0</v>
      </c>
      <c r="CD170" s="5">
        <f t="shared" si="35"/>
        <v>0</v>
      </c>
      <c r="CE170" s="5">
        <f t="shared" si="36"/>
        <v>0</v>
      </c>
      <c r="CF170" s="5">
        <f t="shared" si="37"/>
        <v>0</v>
      </c>
      <c r="CG170" s="5">
        <f t="shared" si="38"/>
        <v>0</v>
      </c>
      <c r="CH170" s="5">
        <f t="shared" si="39"/>
        <v>0</v>
      </c>
      <c r="CI170" s="5">
        <f t="shared" si="40"/>
        <v>0</v>
      </c>
      <c r="CJ170" s="5">
        <f t="shared" si="41"/>
        <v>0</v>
      </c>
      <c r="CK170" s="5">
        <f t="shared" si="42"/>
        <v>0</v>
      </c>
      <c r="CL170" s="5">
        <f t="shared" si="43"/>
        <v>0</v>
      </c>
      <c r="CM170" s="5">
        <f t="shared" si="44"/>
        <v>0</v>
      </c>
      <c r="CN170" s="5">
        <f t="shared" si="45"/>
        <v>0</v>
      </c>
      <c r="CO170" s="5">
        <f t="shared" si="46"/>
        <v>0</v>
      </c>
      <c r="CP170" s="6">
        <f t="shared" si="47"/>
        <v>0</v>
      </c>
      <c r="CQ170" s="6">
        <f t="shared" si="48"/>
        <v>0</v>
      </c>
      <c r="CR170" s="6">
        <f t="shared" si="49"/>
        <v>0</v>
      </c>
      <c r="CS170" s="6">
        <f t="shared" si="50"/>
        <v>1</v>
      </c>
      <c r="CT170" s="6">
        <f t="shared" si="584"/>
        <v>0</v>
      </c>
      <c r="CU170" s="6">
        <f t="shared" si="52"/>
        <v>0</v>
      </c>
      <c r="CV170" s="6">
        <f t="shared" si="53"/>
        <v>0</v>
      </c>
      <c r="CW170" s="6">
        <f t="shared" si="54"/>
        <v>0</v>
      </c>
      <c r="CX170" s="6">
        <f t="shared" si="55"/>
        <v>0</v>
      </c>
      <c r="CY170" s="6">
        <f t="shared" si="56"/>
        <v>0</v>
      </c>
      <c r="CZ170" s="6">
        <f t="shared" si="57"/>
        <v>0</v>
      </c>
      <c r="DA170" s="6">
        <f t="shared" si="58"/>
        <v>0</v>
      </c>
      <c r="DB170" s="6">
        <f t="shared" si="59"/>
        <v>0</v>
      </c>
      <c r="DC170" s="6">
        <f t="shared" si="60"/>
        <v>0</v>
      </c>
      <c r="DD170" s="6">
        <f t="shared" si="61"/>
        <v>0</v>
      </c>
      <c r="DE170" s="6">
        <f t="shared" si="62"/>
        <v>0</v>
      </c>
      <c r="DF170" s="6">
        <f t="shared" si="63"/>
        <v>0</v>
      </c>
      <c r="DG170" s="6">
        <f t="shared" si="64"/>
        <v>0</v>
      </c>
      <c r="DH170" s="6">
        <f t="shared" ref="DH170:DH264" si="697">IF(
OR(
ISNUMBER(SEARCH("Spirituality",$D170)),ISNUMBER(SEARCH("Spirituality",$T170)),ISNUMBER(SEARCH("Spirituality",$R168)),ISNUMBER(SEARCH("Spirituality",$S170)),
ISNUMBER(SEARCH("religio",$D170)),ISNUMBER(SEARCH("religio",$T170)),ISNUMBER(SEARCH("religio",$R170)),ISNUMBER(SEARCH("religio",$S170))), 1, 0)</f>
        <v>0</v>
      </c>
      <c r="DI170" s="6">
        <f t="shared" si="66"/>
        <v>0</v>
      </c>
      <c r="DJ170" s="6">
        <f t="shared" si="653"/>
        <v>0</v>
      </c>
      <c r="DK170" s="7">
        <f t="shared" si="68"/>
        <v>0</v>
      </c>
      <c r="DL170" s="7">
        <f t="shared" si="498"/>
        <v>0</v>
      </c>
      <c r="DM170" s="7">
        <f t="shared" si="70"/>
        <v>0</v>
      </c>
      <c r="DN170" s="7">
        <f t="shared" si="71"/>
        <v>0</v>
      </c>
      <c r="DO170" s="7">
        <f t="shared" si="72"/>
        <v>1</v>
      </c>
      <c r="DP170" s="8">
        <f t="shared" si="73"/>
        <v>0</v>
      </c>
      <c r="DQ170" s="8">
        <f t="shared" si="74"/>
        <v>1</v>
      </c>
      <c r="DR170" s="7">
        <f t="shared" si="75"/>
        <v>0</v>
      </c>
      <c r="DS170" s="7">
        <f t="shared" si="76"/>
        <v>0</v>
      </c>
      <c r="DT170" s="7">
        <f t="shared" si="77"/>
        <v>0</v>
      </c>
      <c r="DU170" s="9">
        <f t="shared" si="78"/>
        <v>0</v>
      </c>
      <c r="DV170" s="9">
        <f t="shared" si="79"/>
        <v>0</v>
      </c>
      <c r="DW170" s="9">
        <f t="shared" si="80"/>
        <v>0</v>
      </c>
      <c r="DX170" s="9">
        <f t="shared" si="81"/>
        <v>0</v>
      </c>
      <c r="DY170" s="9">
        <f t="shared" si="82"/>
        <v>0</v>
      </c>
      <c r="DZ170" s="9">
        <f t="shared" si="83"/>
        <v>0</v>
      </c>
      <c r="EA170" s="9">
        <f t="shared" si="84"/>
        <v>0</v>
      </c>
      <c r="EB170" s="9">
        <f t="shared" si="85"/>
        <v>0</v>
      </c>
      <c r="EC170" s="9">
        <f t="shared" si="86"/>
        <v>0</v>
      </c>
      <c r="ED170" s="9">
        <f t="shared" si="87"/>
        <v>0</v>
      </c>
      <c r="EE170" s="9">
        <f t="shared" si="88"/>
        <v>0</v>
      </c>
      <c r="EF170" s="9">
        <f t="shared" si="89"/>
        <v>0</v>
      </c>
      <c r="EG170" s="9">
        <f t="shared" si="90"/>
        <v>0</v>
      </c>
      <c r="EH170" s="9">
        <f t="shared" si="91"/>
        <v>0</v>
      </c>
      <c r="EI170" s="9">
        <f t="shared" si="92"/>
        <v>0</v>
      </c>
      <c r="EJ170" s="10">
        <f t="shared" si="93"/>
        <v>0</v>
      </c>
      <c r="EK170" s="10">
        <f t="shared" si="94"/>
        <v>0</v>
      </c>
      <c r="EL170" s="10">
        <f t="shared" ref="EL170:EM170" si="695">IF(OR(ISNUMBER(SEARCH("ai software toolkit", $D170)), ISNUMBER(SEARCH("ai software toolkit", $T170)), ISNUMBER(SEARCH("ai software toolkit", $R170)), ISNUMBER(SEARCH("ai software toolkit", $S170))), 1, 0)</f>
        <v>0</v>
      </c>
      <c r="EM170" s="10">
        <f t="shared" si="695"/>
        <v>0</v>
      </c>
      <c r="EN170" s="10">
        <f t="shared" si="96"/>
        <v>0</v>
      </c>
      <c r="EO170" s="10">
        <f t="shared" si="97"/>
        <v>0</v>
      </c>
      <c r="EP170" s="10">
        <f t="shared" si="98"/>
        <v>0</v>
      </c>
      <c r="EQ170" s="10">
        <f t="shared" si="99"/>
        <v>0</v>
      </c>
      <c r="ER170" s="10">
        <f t="shared" si="100"/>
        <v>0</v>
      </c>
      <c r="ES170" s="10">
        <f t="shared" si="101"/>
        <v>0</v>
      </c>
      <c r="ET170" s="10">
        <f t="shared" si="102"/>
        <v>0</v>
      </c>
      <c r="EU170" s="10">
        <f t="shared" si="103"/>
        <v>0</v>
      </c>
      <c r="EV170" s="10">
        <f t="shared" si="104"/>
        <v>0</v>
      </c>
      <c r="EW170" s="10">
        <f t="shared" si="105"/>
        <v>0</v>
      </c>
      <c r="EX170" s="10">
        <f t="shared" si="106"/>
        <v>0</v>
      </c>
      <c r="EY170" s="10">
        <f t="shared" si="107"/>
        <v>0</v>
      </c>
      <c r="EZ170" s="10">
        <f t="shared" si="108"/>
        <v>0</v>
      </c>
      <c r="FA170" s="10">
        <f t="shared" si="109"/>
        <v>0</v>
      </c>
      <c r="FB170" s="10">
        <f t="shared" si="110"/>
        <v>0</v>
      </c>
      <c r="FC170" s="10">
        <f t="shared" si="111"/>
        <v>0</v>
      </c>
      <c r="FD170" s="10">
        <f t="shared" si="112"/>
        <v>0</v>
      </c>
      <c r="FE170" s="10">
        <f t="shared" si="113"/>
        <v>0</v>
      </c>
      <c r="FF170" s="10">
        <f t="shared" si="114"/>
        <v>0</v>
      </c>
      <c r="FG170" s="10">
        <f t="shared" si="115"/>
        <v>0</v>
      </c>
      <c r="FH170" s="10">
        <f t="shared" si="116"/>
        <v>0</v>
      </c>
      <c r="FI170" s="10">
        <f t="shared" si="117"/>
        <v>0</v>
      </c>
      <c r="FJ170" s="10">
        <f t="shared" si="118"/>
        <v>0</v>
      </c>
      <c r="FK170" s="10">
        <f t="shared" si="119"/>
        <v>0</v>
      </c>
      <c r="FL170" s="10">
        <f t="shared" si="120"/>
        <v>0</v>
      </c>
      <c r="FM170" s="10">
        <f t="shared" si="121"/>
        <v>0</v>
      </c>
      <c r="FN170" s="10">
        <f t="shared" si="122"/>
        <v>0</v>
      </c>
      <c r="FO170" s="10">
        <f t="shared" si="123"/>
        <v>0</v>
      </c>
      <c r="FP170" s="10">
        <f t="shared" si="124"/>
        <v>0</v>
      </c>
      <c r="FQ170" s="10">
        <f t="shared" si="125"/>
        <v>0</v>
      </c>
      <c r="FR170" s="11">
        <f t="shared" si="683"/>
        <v>0</v>
      </c>
      <c r="FS170" s="11">
        <f t="shared" si="127"/>
        <v>0</v>
      </c>
      <c r="FT170" s="11">
        <f t="shared" si="128"/>
        <v>0</v>
      </c>
      <c r="FU170" s="11">
        <f t="shared" si="129"/>
        <v>0</v>
      </c>
      <c r="FV170" s="11">
        <f t="shared" si="130"/>
        <v>0</v>
      </c>
      <c r="FW170" s="11">
        <f t="shared" si="131"/>
        <v>0</v>
      </c>
      <c r="FX170" s="11">
        <f t="shared" si="132"/>
        <v>0</v>
      </c>
      <c r="FY170" s="11">
        <f t="shared" si="133"/>
        <v>0</v>
      </c>
      <c r="FZ170" s="11">
        <f t="shared" si="134"/>
        <v>0</v>
      </c>
      <c r="GA170" s="11">
        <f t="shared" si="135"/>
        <v>0</v>
      </c>
      <c r="GB170" s="11">
        <f t="shared" si="136"/>
        <v>0</v>
      </c>
      <c r="GC170" s="11">
        <f t="shared" si="137"/>
        <v>0</v>
      </c>
      <c r="GD170" s="11">
        <f t="shared" si="138"/>
        <v>0</v>
      </c>
      <c r="GE170" s="11">
        <f t="shared" si="139"/>
        <v>0</v>
      </c>
      <c r="GF170" s="11">
        <f t="shared" si="140"/>
        <v>0</v>
      </c>
      <c r="GG170" s="11">
        <f t="shared" si="141"/>
        <v>0</v>
      </c>
      <c r="GH170" s="11">
        <f t="shared" si="142"/>
        <v>0</v>
      </c>
      <c r="GI170" s="11">
        <f t="shared" si="143"/>
        <v>0</v>
      </c>
      <c r="GJ170" s="11">
        <f t="shared" si="144"/>
        <v>0</v>
      </c>
      <c r="GK170" s="11">
        <f t="shared" si="145"/>
        <v>0</v>
      </c>
      <c r="GL170" s="11">
        <f t="shared" si="146"/>
        <v>0</v>
      </c>
      <c r="GM170" s="11">
        <f t="shared" si="147"/>
        <v>0</v>
      </c>
      <c r="GN170" s="11">
        <f t="shared" si="148"/>
        <v>0</v>
      </c>
      <c r="GO170" s="11">
        <f t="shared" si="149"/>
        <v>0</v>
      </c>
      <c r="GP170" s="11">
        <f t="shared" si="150"/>
        <v>0</v>
      </c>
      <c r="GQ170" s="11">
        <f t="shared" si="151"/>
        <v>0</v>
      </c>
      <c r="GR170" s="11">
        <f t="shared" si="152"/>
        <v>0</v>
      </c>
      <c r="GS170" s="11">
        <f t="shared" si="153"/>
        <v>0</v>
      </c>
      <c r="GT170" s="11">
        <f t="shared" si="154"/>
        <v>0</v>
      </c>
      <c r="GU170" s="12">
        <f t="shared" si="155"/>
        <v>0</v>
      </c>
      <c r="GV170" s="12">
        <f t="shared" si="156"/>
        <v>0</v>
      </c>
      <c r="GW170" s="12">
        <f t="shared" si="157"/>
        <v>0</v>
      </c>
      <c r="GX170" s="12">
        <f t="shared" si="158"/>
        <v>0</v>
      </c>
      <c r="GY170" s="12">
        <f t="shared" si="159"/>
        <v>0</v>
      </c>
      <c r="GZ170" s="12">
        <f t="shared" si="160"/>
        <v>0</v>
      </c>
      <c r="HA170" s="12">
        <f t="shared" si="161"/>
        <v>0</v>
      </c>
      <c r="HB170" s="12">
        <f t="shared" si="162"/>
        <v>0</v>
      </c>
      <c r="HC170" s="12">
        <f t="shared" si="163"/>
        <v>0</v>
      </c>
      <c r="HD170" s="12">
        <f t="shared" si="164"/>
        <v>0</v>
      </c>
      <c r="HE170" s="12">
        <f t="shared" si="165"/>
        <v>0</v>
      </c>
      <c r="HF170" s="12">
        <f t="shared" si="166"/>
        <v>0</v>
      </c>
      <c r="HG170" s="12">
        <f t="shared" si="167"/>
        <v>0</v>
      </c>
      <c r="HH170" s="12">
        <f t="shared" si="168"/>
        <v>0</v>
      </c>
      <c r="HI170" s="12">
        <f t="shared" si="169"/>
        <v>0</v>
      </c>
      <c r="HJ170" s="12">
        <f t="shared" si="170"/>
        <v>0</v>
      </c>
      <c r="HK170" s="12">
        <f t="shared" si="171"/>
        <v>0</v>
      </c>
      <c r="HL170" s="12">
        <f t="shared" si="172"/>
        <v>0</v>
      </c>
      <c r="HM170" s="12">
        <f t="shared" si="173"/>
        <v>0</v>
      </c>
      <c r="HN170" s="12">
        <f t="shared" si="174"/>
        <v>0</v>
      </c>
      <c r="HO170" s="12">
        <f t="shared" si="175"/>
        <v>0</v>
      </c>
      <c r="HP170" s="12">
        <f t="shared" si="176"/>
        <v>0</v>
      </c>
      <c r="HQ170" s="12">
        <f t="shared" si="177"/>
        <v>0</v>
      </c>
      <c r="HR170" s="12">
        <f t="shared" si="178"/>
        <v>0</v>
      </c>
      <c r="HS170" s="12">
        <f t="shared" si="179"/>
        <v>0</v>
      </c>
      <c r="HT170" s="12">
        <f t="shared" si="180"/>
        <v>0</v>
      </c>
      <c r="HU170" s="12">
        <f t="shared" si="181"/>
        <v>0</v>
      </c>
      <c r="HV170" s="12">
        <f t="shared" si="182"/>
        <v>0</v>
      </c>
      <c r="HW170" s="12">
        <f t="shared" si="183"/>
        <v>0</v>
      </c>
      <c r="HX170" s="12">
        <f t="shared" si="184"/>
        <v>0</v>
      </c>
      <c r="HY170" s="12">
        <f t="shared" si="185"/>
        <v>0</v>
      </c>
      <c r="HZ170" s="12">
        <f t="shared" si="186"/>
        <v>0</v>
      </c>
      <c r="IA170" s="12">
        <f t="shared" si="187"/>
        <v>0</v>
      </c>
      <c r="IB170" s="12">
        <f t="shared" si="188"/>
        <v>0</v>
      </c>
      <c r="IC170" s="12">
        <f t="shared" si="189"/>
        <v>0</v>
      </c>
      <c r="ID170" s="12">
        <f t="shared" si="190"/>
        <v>0</v>
      </c>
      <c r="IE170" s="12">
        <f t="shared" si="191"/>
        <v>0</v>
      </c>
      <c r="IF170" s="12">
        <f t="shared" si="192"/>
        <v>0</v>
      </c>
      <c r="IG170" s="12">
        <f t="shared" si="193"/>
        <v>0</v>
      </c>
      <c r="IH170" s="12">
        <f t="shared" si="194"/>
        <v>0</v>
      </c>
      <c r="II170" s="12">
        <f t="shared" si="195"/>
        <v>0</v>
      </c>
      <c r="IJ170" s="12">
        <f t="shared" si="196"/>
        <v>0</v>
      </c>
      <c r="IK170" s="12">
        <f t="shared" si="197"/>
        <v>0</v>
      </c>
      <c r="IL170" s="12">
        <f t="shared" si="198"/>
        <v>0</v>
      </c>
      <c r="IM170" s="12">
        <f t="shared" si="199"/>
        <v>0</v>
      </c>
      <c r="IN170" s="12">
        <f t="shared" si="200"/>
        <v>0</v>
      </c>
      <c r="IO170" s="12">
        <f t="shared" si="201"/>
        <v>0</v>
      </c>
      <c r="IP170" s="12">
        <f t="shared" si="202"/>
        <v>0</v>
      </c>
      <c r="IQ170" s="12">
        <f t="shared" si="203"/>
        <v>0</v>
      </c>
      <c r="IR170" s="12">
        <f t="shared" si="204"/>
        <v>0</v>
      </c>
      <c r="IS170" s="12">
        <f t="shared" si="205"/>
        <v>0</v>
      </c>
      <c r="IT170" s="12">
        <f t="shared" si="206"/>
        <v>0</v>
      </c>
      <c r="IU170" s="12">
        <f t="shared" si="207"/>
        <v>0</v>
      </c>
      <c r="IV170" s="12">
        <f t="shared" si="208"/>
        <v>0</v>
      </c>
      <c r="IW170" s="12">
        <f t="shared" si="209"/>
        <v>0</v>
      </c>
      <c r="IX170" s="12">
        <f t="shared" si="210"/>
        <v>0</v>
      </c>
      <c r="IY170" s="12">
        <f t="shared" si="211"/>
        <v>0</v>
      </c>
      <c r="IZ170" s="12">
        <f t="shared" si="212"/>
        <v>0</v>
      </c>
      <c r="JA170" s="13">
        <f t="shared" si="213"/>
        <v>0</v>
      </c>
      <c r="JB170" s="13">
        <f t="shared" si="214"/>
        <v>0</v>
      </c>
      <c r="JC170" s="13">
        <f t="shared" si="215"/>
        <v>0</v>
      </c>
      <c r="JD170" s="13">
        <f t="shared" si="216"/>
        <v>0</v>
      </c>
      <c r="JE170" s="13">
        <f t="shared" si="217"/>
        <v>0</v>
      </c>
      <c r="JF170" s="13">
        <f t="shared" si="218"/>
        <v>0</v>
      </c>
      <c r="JG170" s="13">
        <f t="shared" si="219"/>
        <v>0</v>
      </c>
      <c r="JH170" s="13">
        <f t="shared" si="220"/>
        <v>0</v>
      </c>
      <c r="JI170" s="13">
        <f t="shared" si="221"/>
        <v>0</v>
      </c>
      <c r="JJ170" s="13">
        <f t="shared" si="222"/>
        <v>0</v>
      </c>
      <c r="JK170" s="13">
        <f t="shared" si="223"/>
        <v>0</v>
      </c>
      <c r="JL170" s="13">
        <f t="shared" si="224"/>
        <v>0</v>
      </c>
      <c r="JM170" s="13">
        <f t="shared" si="225"/>
        <v>0</v>
      </c>
      <c r="JN170" s="13">
        <f t="shared" si="226"/>
        <v>0</v>
      </c>
      <c r="JO170" s="13">
        <f t="shared" si="227"/>
        <v>0</v>
      </c>
      <c r="JP170" s="13">
        <f t="shared" si="228"/>
        <v>0</v>
      </c>
      <c r="JQ170" s="13">
        <f t="shared" si="229"/>
        <v>0</v>
      </c>
      <c r="JR170" s="13">
        <f t="shared" si="230"/>
        <v>0</v>
      </c>
      <c r="JS170" s="13">
        <f t="shared" si="231"/>
        <v>0</v>
      </c>
      <c r="JT170" s="13">
        <f t="shared" si="232"/>
        <v>0</v>
      </c>
      <c r="JU170" s="13">
        <f t="shared" si="233"/>
        <v>0</v>
      </c>
      <c r="JV170" s="12">
        <f t="shared" si="234"/>
        <v>0</v>
      </c>
      <c r="JW170" s="12">
        <f t="shared" si="235"/>
        <v>0</v>
      </c>
      <c r="JX170" s="12">
        <f t="shared" si="236"/>
        <v>0</v>
      </c>
      <c r="JY170" s="12">
        <f t="shared" si="237"/>
        <v>0</v>
      </c>
      <c r="JZ170" s="12">
        <f t="shared" si="238"/>
        <v>0</v>
      </c>
      <c r="KA170" s="12">
        <f t="shared" si="239"/>
        <v>0</v>
      </c>
      <c r="KB170" s="12">
        <f t="shared" si="240"/>
        <v>0</v>
      </c>
      <c r="KC170" s="12">
        <f t="shared" si="241"/>
        <v>0</v>
      </c>
      <c r="KD170" s="12">
        <f t="shared" si="242"/>
        <v>0</v>
      </c>
      <c r="KE170" s="12">
        <f t="shared" si="243"/>
        <v>0</v>
      </c>
      <c r="KF170" s="12">
        <f t="shared" si="244"/>
        <v>0</v>
      </c>
      <c r="KG170" s="12">
        <f t="shared" si="245"/>
        <v>0</v>
      </c>
      <c r="KH170" s="12">
        <f t="shared" si="246"/>
        <v>0</v>
      </c>
      <c r="KI170" s="12">
        <f t="shared" si="247"/>
        <v>0</v>
      </c>
      <c r="KJ170" s="12">
        <f t="shared" si="248"/>
        <v>0</v>
      </c>
      <c r="KK170" s="12">
        <f t="shared" si="249"/>
        <v>0</v>
      </c>
      <c r="KL170" s="12">
        <f t="shared" si="250"/>
        <v>0</v>
      </c>
      <c r="KM170" s="12">
        <f t="shared" si="251"/>
        <v>0</v>
      </c>
      <c r="KN170" s="12">
        <f t="shared" si="252"/>
        <v>0</v>
      </c>
      <c r="KO170" s="12">
        <f t="shared" si="253"/>
        <v>0</v>
      </c>
      <c r="KP170" s="12">
        <f t="shared" si="254"/>
        <v>0</v>
      </c>
      <c r="KQ170" s="12">
        <f t="shared" si="255"/>
        <v>0</v>
      </c>
      <c r="KR170" s="12">
        <f t="shared" si="256"/>
        <v>0</v>
      </c>
      <c r="KS170" s="12">
        <f t="shared" si="257"/>
        <v>0</v>
      </c>
      <c r="KT170" s="12">
        <f t="shared" si="258"/>
        <v>0</v>
      </c>
      <c r="KU170" s="12">
        <f t="shared" si="259"/>
        <v>0</v>
      </c>
      <c r="KV170" s="12">
        <f t="shared" si="260"/>
        <v>0</v>
      </c>
      <c r="KW170" s="12">
        <f t="shared" si="261"/>
        <v>0</v>
      </c>
      <c r="KX170" s="12">
        <f t="shared" si="262"/>
        <v>0</v>
      </c>
      <c r="KY170" s="12">
        <f t="shared" si="263"/>
        <v>0</v>
      </c>
      <c r="KZ170" s="12">
        <f t="shared" si="264"/>
        <v>0</v>
      </c>
      <c r="LA170" s="12">
        <f t="shared" si="265"/>
        <v>0</v>
      </c>
      <c r="LB170" s="12">
        <f t="shared" si="266"/>
        <v>0</v>
      </c>
      <c r="LC170" s="12">
        <f t="shared" si="267"/>
        <v>0</v>
      </c>
      <c r="LD170" s="12">
        <f t="shared" si="268"/>
        <v>0</v>
      </c>
      <c r="LE170" s="12">
        <f t="shared" si="269"/>
        <v>0</v>
      </c>
      <c r="LF170" s="12">
        <f t="shared" si="270"/>
        <v>0</v>
      </c>
      <c r="LG170" s="12">
        <f t="shared" si="271"/>
        <v>0</v>
      </c>
      <c r="LH170" s="12">
        <f t="shared" si="272"/>
        <v>0</v>
      </c>
      <c r="LI170" s="12">
        <f t="shared" si="273"/>
        <v>0</v>
      </c>
      <c r="LJ170" s="12">
        <f t="shared" si="274"/>
        <v>0</v>
      </c>
      <c r="LK170" s="12">
        <f t="shared" si="275"/>
        <v>0</v>
      </c>
      <c r="LL170" s="12">
        <f t="shared" si="276"/>
        <v>0</v>
      </c>
      <c r="LM170" s="12">
        <f t="shared" si="277"/>
        <v>0</v>
      </c>
      <c r="LN170" s="12">
        <f t="shared" si="278"/>
        <v>0</v>
      </c>
      <c r="LO170" s="12">
        <f t="shared" si="279"/>
        <v>0</v>
      </c>
      <c r="LP170" s="12">
        <f t="shared" si="280"/>
        <v>0</v>
      </c>
      <c r="LQ170" s="12">
        <f t="shared" si="281"/>
        <v>0</v>
      </c>
      <c r="LR170" s="12">
        <f t="shared" si="282"/>
        <v>0</v>
      </c>
      <c r="LS170" s="12">
        <f t="shared" si="283"/>
        <v>0</v>
      </c>
      <c r="LT170" s="13">
        <f t="shared" si="284"/>
        <v>0</v>
      </c>
      <c r="LU170" s="13">
        <f t="shared" si="285"/>
        <v>0</v>
      </c>
      <c r="LV170" s="13">
        <f t="shared" si="286"/>
        <v>0</v>
      </c>
      <c r="LW170" s="13">
        <f t="shared" si="287"/>
        <v>0</v>
      </c>
      <c r="LX170" s="13">
        <f t="shared" si="288"/>
        <v>0</v>
      </c>
      <c r="LY170" s="13">
        <f t="shared" si="289"/>
        <v>0</v>
      </c>
      <c r="LZ170" s="13">
        <f t="shared" si="290"/>
        <v>0</v>
      </c>
      <c r="MA170" s="13">
        <f t="shared" si="291"/>
        <v>0</v>
      </c>
      <c r="MB170" s="13">
        <f t="shared" si="292"/>
        <v>0</v>
      </c>
      <c r="MC170" s="13">
        <f t="shared" si="293"/>
        <v>0</v>
      </c>
      <c r="MD170" s="13">
        <f t="shared" si="294"/>
        <v>0</v>
      </c>
      <c r="ME170" s="13">
        <f t="shared" si="295"/>
        <v>0</v>
      </c>
      <c r="MF170" s="13">
        <f t="shared" si="296"/>
        <v>0</v>
      </c>
      <c r="MG170" s="13">
        <f t="shared" si="297"/>
        <v>0</v>
      </c>
      <c r="MH170" s="13">
        <f t="shared" si="298"/>
        <v>0</v>
      </c>
      <c r="MI170" s="13">
        <f t="shared" si="299"/>
        <v>0</v>
      </c>
      <c r="MJ170" s="13">
        <f t="shared" si="300"/>
        <v>0</v>
      </c>
      <c r="MK170" s="13">
        <f t="shared" si="301"/>
        <v>0</v>
      </c>
      <c r="ML170" s="14">
        <f t="shared" si="302"/>
        <v>0</v>
      </c>
      <c r="MM170" s="14">
        <f t="shared" si="303"/>
        <v>0</v>
      </c>
      <c r="MN170" s="14">
        <f t="shared" si="304"/>
        <v>0</v>
      </c>
      <c r="MO170" s="14">
        <f t="shared" si="305"/>
        <v>0</v>
      </c>
      <c r="MP170" s="14">
        <f t="shared" si="306"/>
        <v>0</v>
      </c>
      <c r="MQ170" s="14">
        <f t="shared" si="307"/>
        <v>0</v>
      </c>
      <c r="MR170" s="14">
        <f t="shared" si="308"/>
        <v>0</v>
      </c>
      <c r="MS170" s="14">
        <f t="shared" si="309"/>
        <v>0</v>
      </c>
      <c r="MT170" s="14">
        <f t="shared" si="310"/>
        <v>0</v>
      </c>
      <c r="MU170" s="14">
        <f t="shared" si="311"/>
        <v>0</v>
      </c>
      <c r="MV170" s="14">
        <f t="shared" si="312"/>
        <v>0</v>
      </c>
      <c r="MW170" s="14">
        <f t="shared" si="313"/>
        <v>0</v>
      </c>
      <c r="MX170" s="14">
        <f t="shared" si="314"/>
        <v>0</v>
      </c>
      <c r="MY170" s="14">
        <f t="shared" si="315"/>
        <v>0</v>
      </c>
      <c r="MZ170" s="14">
        <f t="shared" si="316"/>
        <v>0</v>
      </c>
      <c r="NA170" s="14">
        <f t="shared" si="317"/>
        <v>0</v>
      </c>
      <c r="NB170" s="14">
        <f t="shared" si="318"/>
        <v>0</v>
      </c>
    </row>
    <row r="171" ht="15.75" customHeight="1">
      <c r="A171" s="2">
        <v>367.0</v>
      </c>
      <c r="B171" s="2" t="s">
        <v>3231</v>
      </c>
      <c r="C171" s="2" t="s">
        <v>3232</v>
      </c>
      <c r="D171" s="2" t="s">
        <v>3233</v>
      </c>
      <c r="E171" s="2">
        <v>2017.0</v>
      </c>
      <c r="F171" s="2" t="s">
        <v>3234</v>
      </c>
      <c r="G171" s="2" t="s">
        <v>831</v>
      </c>
      <c r="J171" s="2" t="s">
        <v>1734</v>
      </c>
      <c r="K171" s="2" t="s">
        <v>3235</v>
      </c>
      <c r="M171" s="2">
        <v>2.0</v>
      </c>
      <c r="N171" s="2" t="s">
        <v>3236</v>
      </c>
      <c r="O171" s="2" t="s">
        <v>3237</v>
      </c>
      <c r="P171" s="2" t="s">
        <v>3238</v>
      </c>
      <c r="Q171" s="2" t="s">
        <v>3239</v>
      </c>
      <c r="R171" s="2" t="s">
        <v>3240</v>
      </c>
      <c r="S171" s="2" t="s">
        <v>3241</v>
      </c>
      <c r="Y171" s="2" t="s">
        <v>3242</v>
      </c>
      <c r="AB171" s="2" t="s">
        <v>646</v>
      </c>
      <c r="AG171" s="2" t="s">
        <v>3243</v>
      </c>
      <c r="AK171" s="2" t="s">
        <v>3244</v>
      </c>
      <c r="AL171" s="2" t="s">
        <v>384</v>
      </c>
      <c r="AN171" s="2" t="s">
        <v>386</v>
      </c>
      <c r="AO171" s="2" t="s">
        <v>3245</v>
      </c>
      <c r="AP171" s="2" t="s">
        <v>386</v>
      </c>
      <c r="AQ171" s="2">
        <v>1431.0</v>
      </c>
      <c r="AR171" s="2" t="s">
        <v>3233</v>
      </c>
      <c r="AS171" s="2" t="b">
        <v>1</v>
      </c>
      <c r="AT171" s="3">
        <v>0.0</v>
      </c>
      <c r="AU171" s="4"/>
      <c r="AV171" s="4"/>
      <c r="AW171" s="5">
        <f t="shared" si="432"/>
        <v>0</v>
      </c>
      <c r="AX171" s="5">
        <f t="shared" si="4"/>
        <v>0</v>
      </c>
      <c r="AY171" s="5">
        <f t="shared" si="5"/>
        <v>0</v>
      </c>
      <c r="AZ171" s="5">
        <f t="shared" si="6"/>
        <v>0</v>
      </c>
      <c r="BA171" s="5">
        <f t="shared" si="7"/>
        <v>0</v>
      </c>
      <c r="BB171" s="5">
        <f t="shared" si="8"/>
        <v>0</v>
      </c>
      <c r="BC171" s="5">
        <f t="shared" si="9"/>
        <v>0</v>
      </c>
      <c r="BD171" s="5">
        <f t="shared" si="10"/>
        <v>0</v>
      </c>
      <c r="BE171" s="5">
        <f t="shared" si="11"/>
        <v>0</v>
      </c>
      <c r="BF171" s="5">
        <f t="shared" si="12"/>
        <v>0</v>
      </c>
      <c r="BG171" s="5">
        <f t="shared" si="13"/>
        <v>0</v>
      </c>
      <c r="BH171" s="5">
        <f t="shared" si="14"/>
        <v>0</v>
      </c>
      <c r="BI171" s="5">
        <f t="shared" si="15"/>
        <v>0</v>
      </c>
      <c r="BJ171" s="5">
        <f t="shared" si="16"/>
        <v>0</v>
      </c>
      <c r="BK171" s="5">
        <f t="shared" si="17"/>
        <v>0</v>
      </c>
      <c r="BL171" s="5">
        <f t="shared" si="18"/>
        <v>0</v>
      </c>
      <c r="BM171" s="5">
        <f t="shared" si="19"/>
        <v>0</v>
      </c>
      <c r="BN171" s="5">
        <f t="shared" si="20"/>
        <v>0</v>
      </c>
      <c r="BO171" s="5">
        <f t="shared" si="21"/>
        <v>0</v>
      </c>
      <c r="BP171" s="5">
        <f t="shared" si="22"/>
        <v>0</v>
      </c>
      <c r="BQ171" s="5">
        <f t="shared" si="23"/>
        <v>0</v>
      </c>
      <c r="BR171" s="5">
        <f t="shared" si="24"/>
        <v>0</v>
      </c>
      <c r="BS171" s="5">
        <f t="shared" si="25"/>
        <v>0</v>
      </c>
      <c r="BT171" s="5">
        <f t="shared" si="26"/>
        <v>0</v>
      </c>
      <c r="BU171" s="5">
        <f t="shared" si="27"/>
        <v>1</v>
      </c>
      <c r="BV171" s="5">
        <f t="shared" ref="BV171:BW171" si="696">IF(OR(ISNUMBER(SEARCH("grit",$D171)),ISNUMBER(SEARCH("grit",$T171)),ISNUMBER(SEARCH("grit",$R171)),ISNUMBER(SEARCH("grit",$S171)),
ISNUMBER(SEARCH("determination",$D171)),ISNUMBER(SEARCH("determination",$T171)),ISNUMBER(SEARCH("determination",$R171)),ISNUMBER(SEARCH("determination",$S171)),
ISNUMBER(SEARCH("tenacity",$D171)),ISNUMBER(SEARCH("tenacity",$T171)),ISNUMBER(SEARCH("tenacity",$R171)),ISNUMBER(SEARCH("tenacity",$S171)),
ISNUMBER(SEARCH("endurance",$D171)),ISNUMBER(SEARCH("endurance",$T171)),ISNUMBER(SEARCH("endurance",$R171)),ISNUMBER(SEARCH("endurance",$S171)),
ISNUMBER(SEARCH("fortitude",$D171)),ISNUMBER(SEARCH("fortitude",$T171)),ISNUMBER(SEARCH("fortitude",$R171)),ISNUMBER(SEARCH("fortitude",$S171)),
ISNUMBER(SEARCH("resolve",$D171)),ISNUMBER(SEARCH("resolve",$T171)),ISNUMBER(SEARCH("resolve",$R171)),ISNUMBER(SEARCH("resolve",$S171)),
ISNUMBER(SEARCH("stamina",$D171)),ISNUMBER(SEARCH("stamina",$T171)),ISNUMBER(SEARCH("stamina",$R171)),ISNUMBER(SEARCH("stamina",$S171)),
ISNUMBER(SEARCH("guts",$D171)),ISNUMBER(SEARCH("guts",$T171)),ISNUMBER(SEARCH("guts",$R171)),ISNUMBER(SEARCH("guts",$S171)),
ISNUMBER(SEARCH("spunk",$D171)),ISNUMBER(SEARCH("spunk",$T171)),ISNUMBER(SEARCH("spunk",$R171)),ISNUMBER(SEARCH("spunk",$S171))), 1, 0)</f>
        <v>0</v>
      </c>
      <c r="BW171" s="5">
        <f t="shared" si="696"/>
        <v>0</v>
      </c>
      <c r="BX171" s="5">
        <f t="shared" si="29"/>
        <v>0</v>
      </c>
      <c r="BY171" s="5">
        <f t="shared" si="30"/>
        <v>0</v>
      </c>
      <c r="BZ171" s="5">
        <f t="shared" si="31"/>
        <v>0</v>
      </c>
      <c r="CA171" s="5">
        <f t="shared" si="32"/>
        <v>1</v>
      </c>
      <c r="CB171" s="5">
        <f t="shared" si="33"/>
        <v>0</v>
      </c>
      <c r="CC171" s="5">
        <f t="shared" si="34"/>
        <v>0</v>
      </c>
      <c r="CD171" s="5">
        <f t="shared" si="35"/>
        <v>0</v>
      </c>
      <c r="CE171" s="5">
        <f t="shared" si="36"/>
        <v>0</v>
      </c>
      <c r="CF171" s="5">
        <f t="shared" si="37"/>
        <v>0</v>
      </c>
      <c r="CG171" s="5">
        <f t="shared" si="38"/>
        <v>0</v>
      </c>
      <c r="CH171" s="5">
        <f t="shared" si="39"/>
        <v>0</v>
      </c>
      <c r="CI171" s="5">
        <f t="shared" si="40"/>
        <v>0</v>
      </c>
      <c r="CJ171" s="5">
        <f t="shared" si="41"/>
        <v>0</v>
      </c>
      <c r="CK171" s="5">
        <f t="shared" si="42"/>
        <v>0</v>
      </c>
      <c r="CL171" s="5">
        <f t="shared" si="43"/>
        <v>0</v>
      </c>
      <c r="CM171" s="5">
        <f t="shared" si="44"/>
        <v>0</v>
      </c>
      <c r="CN171" s="5">
        <f t="shared" si="45"/>
        <v>0</v>
      </c>
      <c r="CO171" s="5">
        <f t="shared" si="46"/>
        <v>0</v>
      </c>
      <c r="CP171" s="6">
        <f t="shared" si="47"/>
        <v>0</v>
      </c>
      <c r="CQ171" s="6">
        <f t="shared" si="48"/>
        <v>0</v>
      </c>
      <c r="CR171" s="6">
        <f t="shared" si="49"/>
        <v>0</v>
      </c>
      <c r="CS171" s="6">
        <f t="shared" si="50"/>
        <v>0</v>
      </c>
      <c r="CT171" s="6">
        <f t="shared" si="584"/>
        <v>0</v>
      </c>
      <c r="CU171" s="6">
        <f t="shared" si="52"/>
        <v>0</v>
      </c>
      <c r="CV171" s="6">
        <f t="shared" si="53"/>
        <v>0</v>
      </c>
      <c r="CW171" s="6">
        <f t="shared" si="54"/>
        <v>0</v>
      </c>
      <c r="CX171" s="6">
        <f t="shared" si="55"/>
        <v>0</v>
      </c>
      <c r="CY171" s="6">
        <f t="shared" si="56"/>
        <v>0</v>
      </c>
      <c r="CZ171" s="6">
        <f t="shared" si="57"/>
        <v>1</v>
      </c>
      <c r="DA171" s="6">
        <f t="shared" si="58"/>
        <v>0</v>
      </c>
      <c r="DB171" s="6">
        <f t="shared" si="59"/>
        <v>0</v>
      </c>
      <c r="DC171" s="6">
        <f t="shared" si="60"/>
        <v>0</v>
      </c>
      <c r="DD171" s="6">
        <f t="shared" si="61"/>
        <v>0</v>
      </c>
      <c r="DE171" s="6">
        <f t="shared" si="62"/>
        <v>0</v>
      </c>
      <c r="DF171" s="6">
        <f t="shared" si="63"/>
        <v>0</v>
      </c>
      <c r="DG171" s="6">
        <f t="shared" si="64"/>
        <v>0</v>
      </c>
      <c r="DH171" s="6">
        <f t="shared" si="697"/>
        <v>0</v>
      </c>
      <c r="DI171" s="6">
        <f t="shared" si="66"/>
        <v>0</v>
      </c>
      <c r="DJ171" s="6">
        <f t="shared" si="653"/>
        <v>0</v>
      </c>
      <c r="DK171" s="7">
        <f t="shared" si="68"/>
        <v>1</v>
      </c>
      <c r="DL171" s="7">
        <f t="shared" si="498"/>
        <v>0</v>
      </c>
      <c r="DM171" s="7">
        <f t="shared" si="70"/>
        <v>0</v>
      </c>
      <c r="DN171" s="7">
        <f t="shared" si="71"/>
        <v>0</v>
      </c>
      <c r="DO171" s="7">
        <f t="shared" si="72"/>
        <v>1</v>
      </c>
      <c r="DP171" s="8">
        <f t="shared" si="73"/>
        <v>0</v>
      </c>
      <c r="DQ171" s="8">
        <f t="shared" si="74"/>
        <v>1</v>
      </c>
      <c r="DR171" s="7">
        <f t="shared" si="75"/>
        <v>1</v>
      </c>
      <c r="DS171" s="7">
        <f t="shared" si="76"/>
        <v>0</v>
      </c>
      <c r="DT171" s="7">
        <f t="shared" si="77"/>
        <v>0</v>
      </c>
      <c r="DU171" s="9">
        <f t="shared" si="78"/>
        <v>0</v>
      </c>
      <c r="DV171" s="9">
        <f t="shared" si="79"/>
        <v>0</v>
      </c>
      <c r="DW171" s="9">
        <f t="shared" si="80"/>
        <v>0</v>
      </c>
      <c r="DX171" s="9">
        <f t="shared" si="81"/>
        <v>0</v>
      </c>
      <c r="DY171" s="9">
        <f t="shared" si="82"/>
        <v>0</v>
      </c>
      <c r="DZ171" s="9">
        <f t="shared" si="83"/>
        <v>0</v>
      </c>
      <c r="EA171" s="9">
        <f t="shared" si="84"/>
        <v>0</v>
      </c>
      <c r="EB171" s="9">
        <f t="shared" si="85"/>
        <v>0</v>
      </c>
      <c r="EC171" s="9">
        <f t="shared" si="86"/>
        <v>0</v>
      </c>
      <c r="ED171" s="9">
        <f t="shared" si="87"/>
        <v>0</v>
      </c>
      <c r="EE171" s="9">
        <f t="shared" si="88"/>
        <v>0</v>
      </c>
      <c r="EF171" s="9">
        <f t="shared" si="89"/>
        <v>0</v>
      </c>
      <c r="EG171" s="9">
        <f t="shared" si="90"/>
        <v>0</v>
      </c>
      <c r="EH171" s="9">
        <f t="shared" si="91"/>
        <v>0</v>
      </c>
      <c r="EI171" s="9">
        <f t="shared" si="92"/>
        <v>0</v>
      </c>
      <c r="EJ171" s="10">
        <f t="shared" si="93"/>
        <v>0</v>
      </c>
      <c r="EK171" s="10">
        <f t="shared" si="94"/>
        <v>0</v>
      </c>
      <c r="EL171" s="10">
        <f t="shared" ref="EL171:EM171" si="698">IF(OR(ISNUMBER(SEARCH("ai software toolkit", $D171)), ISNUMBER(SEARCH("ai software toolkit", $T171)), ISNUMBER(SEARCH("ai software toolkit", $R171)), ISNUMBER(SEARCH("ai software toolkit", $S171))), 1, 0)</f>
        <v>0</v>
      </c>
      <c r="EM171" s="10">
        <f t="shared" si="698"/>
        <v>0</v>
      </c>
      <c r="EN171" s="10">
        <f t="shared" si="96"/>
        <v>0</v>
      </c>
      <c r="EO171" s="10">
        <f t="shared" si="97"/>
        <v>0</v>
      </c>
      <c r="EP171" s="10">
        <f t="shared" si="98"/>
        <v>0</v>
      </c>
      <c r="EQ171" s="10">
        <f t="shared" si="99"/>
        <v>0</v>
      </c>
      <c r="ER171" s="10">
        <f t="shared" si="100"/>
        <v>0</v>
      </c>
      <c r="ES171" s="10">
        <f t="shared" si="101"/>
        <v>0</v>
      </c>
      <c r="ET171" s="10">
        <f t="shared" si="102"/>
        <v>0</v>
      </c>
      <c r="EU171" s="10">
        <f t="shared" si="103"/>
        <v>0</v>
      </c>
      <c r="EV171" s="10">
        <f t="shared" si="104"/>
        <v>0</v>
      </c>
      <c r="EW171" s="10">
        <f t="shared" si="105"/>
        <v>0</v>
      </c>
      <c r="EX171" s="10">
        <f t="shared" si="106"/>
        <v>0</v>
      </c>
      <c r="EY171" s="10">
        <f t="shared" si="107"/>
        <v>0</v>
      </c>
      <c r="EZ171" s="10">
        <f t="shared" si="108"/>
        <v>0</v>
      </c>
      <c r="FA171" s="10">
        <f t="shared" si="109"/>
        <v>0</v>
      </c>
      <c r="FB171" s="10">
        <f t="shared" si="110"/>
        <v>0</v>
      </c>
      <c r="FC171" s="10">
        <f t="shared" si="111"/>
        <v>0</v>
      </c>
      <c r="FD171" s="10">
        <f t="shared" si="112"/>
        <v>0</v>
      </c>
      <c r="FE171" s="10">
        <f t="shared" si="113"/>
        <v>0</v>
      </c>
      <c r="FF171" s="10">
        <f t="shared" si="114"/>
        <v>0</v>
      </c>
      <c r="FG171" s="10">
        <f t="shared" si="115"/>
        <v>0</v>
      </c>
      <c r="FH171" s="10">
        <f t="shared" si="116"/>
        <v>0</v>
      </c>
      <c r="FI171" s="10">
        <f t="shared" si="117"/>
        <v>0</v>
      </c>
      <c r="FJ171" s="10">
        <f t="shared" si="118"/>
        <v>0</v>
      </c>
      <c r="FK171" s="10">
        <f t="shared" si="119"/>
        <v>0</v>
      </c>
      <c r="FL171" s="10">
        <f t="shared" si="120"/>
        <v>0</v>
      </c>
      <c r="FM171" s="10">
        <f t="shared" si="121"/>
        <v>0</v>
      </c>
      <c r="FN171" s="10">
        <f t="shared" si="122"/>
        <v>0</v>
      </c>
      <c r="FO171" s="10">
        <f t="shared" si="123"/>
        <v>0</v>
      </c>
      <c r="FP171" s="10">
        <f t="shared" si="124"/>
        <v>0</v>
      </c>
      <c r="FQ171" s="10">
        <f t="shared" si="125"/>
        <v>0</v>
      </c>
      <c r="FR171" s="11">
        <f t="shared" si="683"/>
        <v>0</v>
      </c>
      <c r="FS171" s="11">
        <f t="shared" si="127"/>
        <v>0</v>
      </c>
      <c r="FT171" s="11">
        <f t="shared" si="128"/>
        <v>0</v>
      </c>
      <c r="FU171" s="11">
        <f t="shared" si="129"/>
        <v>0</v>
      </c>
      <c r="FV171" s="11">
        <f t="shared" si="130"/>
        <v>0</v>
      </c>
      <c r="FW171" s="11">
        <f t="shared" si="131"/>
        <v>1</v>
      </c>
      <c r="FX171" s="11">
        <f t="shared" si="132"/>
        <v>0</v>
      </c>
      <c r="FY171" s="11">
        <f t="shared" si="133"/>
        <v>0</v>
      </c>
      <c r="FZ171" s="11">
        <f t="shared" si="134"/>
        <v>0</v>
      </c>
      <c r="GA171" s="11">
        <f t="shared" si="135"/>
        <v>0</v>
      </c>
      <c r="GB171" s="11">
        <f t="shared" si="136"/>
        <v>0</v>
      </c>
      <c r="GC171" s="11">
        <f t="shared" si="137"/>
        <v>0</v>
      </c>
      <c r="GD171" s="11">
        <f t="shared" si="138"/>
        <v>0</v>
      </c>
      <c r="GE171" s="11">
        <f t="shared" si="139"/>
        <v>0</v>
      </c>
      <c r="GF171" s="11">
        <f t="shared" si="140"/>
        <v>0</v>
      </c>
      <c r="GG171" s="11">
        <f t="shared" si="141"/>
        <v>0</v>
      </c>
      <c r="GH171" s="11">
        <f t="shared" si="142"/>
        <v>0</v>
      </c>
      <c r="GI171" s="11">
        <f t="shared" si="143"/>
        <v>0</v>
      </c>
      <c r="GJ171" s="11">
        <f t="shared" si="144"/>
        <v>0</v>
      </c>
      <c r="GK171" s="11">
        <f t="shared" si="145"/>
        <v>0</v>
      </c>
      <c r="GL171" s="11">
        <f t="shared" si="146"/>
        <v>0</v>
      </c>
      <c r="GM171" s="11">
        <f t="shared" si="147"/>
        <v>0</v>
      </c>
      <c r="GN171" s="11">
        <f t="shared" si="148"/>
        <v>0</v>
      </c>
      <c r="GO171" s="11">
        <f t="shared" si="149"/>
        <v>0</v>
      </c>
      <c r="GP171" s="11">
        <f t="shared" si="150"/>
        <v>0</v>
      </c>
      <c r="GQ171" s="11">
        <f t="shared" si="151"/>
        <v>0</v>
      </c>
      <c r="GR171" s="11">
        <f t="shared" si="152"/>
        <v>0</v>
      </c>
      <c r="GS171" s="11">
        <f t="shared" si="153"/>
        <v>0</v>
      </c>
      <c r="GT171" s="11">
        <f t="shared" si="154"/>
        <v>0</v>
      </c>
      <c r="GU171" s="12">
        <f t="shared" si="155"/>
        <v>0</v>
      </c>
      <c r="GV171" s="12">
        <f t="shared" si="156"/>
        <v>0</v>
      </c>
      <c r="GW171" s="12">
        <f t="shared" si="157"/>
        <v>0</v>
      </c>
      <c r="GX171" s="12">
        <f t="shared" si="158"/>
        <v>0</v>
      </c>
      <c r="GY171" s="12">
        <f t="shared" si="159"/>
        <v>0</v>
      </c>
      <c r="GZ171" s="12">
        <f t="shared" si="160"/>
        <v>0</v>
      </c>
      <c r="HA171" s="12">
        <f t="shared" si="161"/>
        <v>0</v>
      </c>
      <c r="HB171" s="12">
        <f t="shared" si="162"/>
        <v>0</v>
      </c>
      <c r="HC171" s="12">
        <f t="shared" si="163"/>
        <v>0</v>
      </c>
      <c r="HD171" s="12">
        <f t="shared" si="164"/>
        <v>0</v>
      </c>
      <c r="HE171" s="12">
        <f t="shared" si="165"/>
        <v>0</v>
      </c>
      <c r="HF171" s="12">
        <f t="shared" si="166"/>
        <v>0</v>
      </c>
      <c r="HG171" s="12">
        <f t="shared" si="167"/>
        <v>0</v>
      </c>
      <c r="HH171" s="12">
        <f t="shared" si="168"/>
        <v>0</v>
      </c>
      <c r="HI171" s="12">
        <f t="shared" si="169"/>
        <v>0</v>
      </c>
      <c r="HJ171" s="12">
        <f t="shared" si="170"/>
        <v>0</v>
      </c>
      <c r="HK171" s="12">
        <f t="shared" si="171"/>
        <v>0</v>
      </c>
      <c r="HL171" s="12">
        <f t="shared" si="172"/>
        <v>0</v>
      </c>
      <c r="HM171" s="12">
        <f t="shared" si="173"/>
        <v>0</v>
      </c>
      <c r="HN171" s="12">
        <f t="shared" si="174"/>
        <v>0</v>
      </c>
      <c r="HO171" s="12">
        <f t="shared" si="175"/>
        <v>0</v>
      </c>
      <c r="HP171" s="12">
        <f t="shared" si="176"/>
        <v>0</v>
      </c>
      <c r="HQ171" s="12">
        <f t="shared" si="177"/>
        <v>0</v>
      </c>
      <c r="HR171" s="12">
        <f t="shared" si="178"/>
        <v>0</v>
      </c>
      <c r="HS171" s="12">
        <f t="shared" si="179"/>
        <v>0</v>
      </c>
      <c r="HT171" s="12">
        <f t="shared" si="180"/>
        <v>0</v>
      </c>
      <c r="HU171" s="12">
        <f t="shared" si="181"/>
        <v>0</v>
      </c>
      <c r="HV171" s="12">
        <f t="shared" si="182"/>
        <v>0</v>
      </c>
      <c r="HW171" s="12">
        <f t="shared" si="183"/>
        <v>0</v>
      </c>
      <c r="HX171" s="12">
        <f t="shared" si="184"/>
        <v>0</v>
      </c>
      <c r="HY171" s="12">
        <f t="shared" si="185"/>
        <v>0</v>
      </c>
      <c r="HZ171" s="12">
        <f t="shared" si="186"/>
        <v>0</v>
      </c>
      <c r="IA171" s="12">
        <f t="shared" si="187"/>
        <v>0</v>
      </c>
      <c r="IB171" s="12">
        <f t="shared" si="188"/>
        <v>0</v>
      </c>
      <c r="IC171" s="12">
        <f t="shared" si="189"/>
        <v>0</v>
      </c>
      <c r="ID171" s="12">
        <f t="shared" si="190"/>
        <v>0</v>
      </c>
      <c r="IE171" s="12">
        <f t="shared" si="191"/>
        <v>0</v>
      </c>
      <c r="IF171" s="12">
        <f t="shared" si="192"/>
        <v>0</v>
      </c>
      <c r="IG171" s="12">
        <f t="shared" si="193"/>
        <v>0</v>
      </c>
      <c r="IH171" s="12">
        <f t="shared" si="194"/>
        <v>0</v>
      </c>
      <c r="II171" s="12">
        <f t="shared" si="195"/>
        <v>0</v>
      </c>
      <c r="IJ171" s="12">
        <f t="shared" si="196"/>
        <v>0</v>
      </c>
      <c r="IK171" s="12">
        <f t="shared" si="197"/>
        <v>0</v>
      </c>
      <c r="IL171" s="12">
        <f t="shared" si="198"/>
        <v>0</v>
      </c>
      <c r="IM171" s="12">
        <f t="shared" si="199"/>
        <v>0</v>
      </c>
      <c r="IN171" s="12">
        <f t="shared" si="200"/>
        <v>0</v>
      </c>
      <c r="IO171" s="12">
        <f t="shared" si="201"/>
        <v>0</v>
      </c>
      <c r="IP171" s="12">
        <f t="shared" si="202"/>
        <v>0</v>
      </c>
      <c r="IQ171" s="12">
        <f t="shared" si="203"/>
        <v>0</v>
      </c>
      <c r="IR171" s="12">
        <f t="shared" si="204"/>
        <v>0</v>
      </c>
      <c r="IS171" s="12">
        <f t="shared" si="205"/>
        <v>0</v>
      </c>
      <c r="IT171" s="12">
        <f t="shared" si="206"/>
        <v>0</v>
      </c>
      <c r="IU171" s="12">
        <f t="shared" si="207"/>
        <v>0</v>
      </c>
      <c r="IV171" s="12">
        <f t="shared" si="208"/>
        <v>0</v>
      </c>
      <c r="IW171" s="12">
        <f t="shared" si="209"/>
        <v>0</v>
      </c>
      <c r="IX171" s="12">
        <f t="shared" si="210"/>
        <v>0</v>
      </c>
      <c r="IY171" s="12">
        <f t="shared" si="211"/>
        <v>0</v>
      </c>
      <c r="IZ171" s="12">
        <f t="shared" si="212"/>
        <v>1</v>
      </c>
      <c r="JA171" s="13">
        <f t="shared" si="213"/>
        <v>0</v>
      </c>
      <c r="JB171" s="13">
        <f t="shared" si="214"/>
        <v>0</v>
      </c>
      <c r="JC171" s="13">
        <f t="shared" si="215"/>
        <v>0</v>
      </c>
      <c r="JD171" s="13">
        <f t="shared" si="216"/>
        <v>0</v>
      </c>
      <c r="JE171" s="13">
        <f t="shared" si="217"/>
        <v>0</v>
      </c>
      <c r="JF171" s="13">
        <f t="shared" si="218"/>
        <v>0</v>
      </c>
      <c r="JG171" s="13">
        <f t="shared" si="219"/>
        <v>0</v>
      </c>
      <c r="JH171" s="13">
        <f t="shared" si="220"/>
        <v>0</v>
      </c>
      <c r="JI171" s="13">
        <f t="shared" si="221"/>
        <v>0</v>
      </c>
      <c r="JJ171" s="13">
        <f t="shared" si="222"/>
        <v>0</v>
      </c>
      <c r="JK171" s="13">
        <f t="shared" si="223"/>
        <v>0</v>
      </c>
      <c r="JL171" s="13">
        <f t="shared" si="224"/>
        <v>0</v>
      </c>
      <c r="JM171" s="13">
        <f t="shared" si="225"/>
        <v>0</v>
      </c>
      <c r="JN171" s="13">
        <f t="shared" si="226"/>
        <v>0</v>
      </c>
      <c r="JO171" s="13">
        <f t="shared" si="227"/>
        <v>0</v>
      </c>
      <c r="JP171" s="13">
        <f t="shared" si="228"/>
        <v>0</v>
      </c>
      <c r="JQ171" s="13">
        <f t="shared" si="229"/>
        <v>0</v>
      </c>
      <c r="JR171" s="13">
        <f t="shared" si="230"/>
        <v>0</v>
      </c>
      <c r="JS171" s="13">
        <f t="shared" si="231"/>
        <v>0</v>
      </c>
      <c r="JT171" s="13">
        <f t="shared" si="232"/>
        <v>0</v>
      </c>
      <c r="JU171" s="13">
        <f t="shared" si="233"/>
        <v>0</v>
      </c>
      <c r="JV171" s="12">
        <f t="shared" si="234"/>
        <v>0</v>
      </c>
      <c r="JW171" s="12">
        <f t="shared" si="235"/>
        <v>0</v>
      </c>
      <c r="JX171" s="12">
        <f t="shared" si="236"/>
        <v>0</v>
      </c>
      <c r="JY171" s="12">
        <f t="shared" si="237"/>
        <v>0</v>
      </c>
      <c r="JZ171" s="12">
        <f t="shared" si="238"/>
        <v>0</v>
      </c>
      <c r="KA171" s="12">
        <f t="shared" si="239"/>
        <v>0</v>
      </c>
      <c r="KB171" s="12">
        <f t="shared" si="240"/>
        <v>0</v>
      </c>
      <c r="KC171" s="12">
        <f t="shared" si="241"/>
        <v>0</v>
      </c>
      <c r="KD171" s="12">
        <f t="shared" si="242"/>
        <v>0</v>
      </c>
      <c r="KE171" s="12">
        <f t="shared" si="243"/>
        <v>0</v>
      </c>
      <c r="KF171" s="12">
        <f t="shared" si="244"/>
        <v>0</v>
      </c>
      <c r="KG171" s="12">
        <f t="shared" si="245"/>
        <v>0</v>
      </c>
      <c r="KH171" s="12">
        <f t="shared" si="246"/>
        <v>0</v>
      </c>
      <c r="KI171" s="12">
        <f t="shared" si="247"/>
        <v>0</v>
      </c>
      <c r="KJ171" s="12">
        <f t="shared" si="248"/>
        <v>0</v>
      </c>
      <c r="KK171" s="12">
        <f t="shared" si="249"/>
        <v>0</v>
      </c>
      <c r="KL171" s="12">
        <f t="shared" si="250"/>
        <v>0</v>
      </c>
      <c r="KM171" s="12">
        <f t="shared" si="251"/>
        <v>0</v>
      </c>
      <c r="KN171" s="12">
        <f t="shared" si="252"/>
        <v>0</v>
      </c>
      <c r="KO171" s="12">
        <f t="shared" si="253"/>
        <v>0</v>
      </c>
      <c r="KP171" s="12">
        <f t="shared" si="254"/>
        <v>0</v>
      </c>
      <c r="KQ171" s="12">
        <f t="shared" si="255"/>
        <v>0</v>
      </c>
      <c r="KR171" s="12">
        <f t="shared" si="256"/>
        <v>0</v>
      </c>
      <c r="KS171" s="12">
        <f t="shared" si="257"/>
        <v>0</v>
      </c>
      <c r="KT171" s="12">
        <f t="shared" si="258"/>
        <v>0</v>
      </c>
      <c r="KU171" s="12">
        <f t="shared" si="259"/>
        <v>0</v>
      </c>
      <c r="KV171" s="12">
        <f t="shared" si="260"/>
        <v>0</v>
      </c>
      <c r="KW171" s="12">
        <f t="shared" si="261"/>
        <v>0</v>
      </c>
      <c r="KX171" s="12">
        <f t="shared" si="262"/>
        <v>0</v>
      </c>
      <c r="KY171" s="12">
        <f t="shared" si="263"/>
        <v>0</v>
      </c>
      <c r="KZ171" s="12">
        <f t="shared" si="264"/>
        <v>0</v>
      </c>
      <c r="LA171" s="12">
        <f t="shared" si="265"/>
        <v>0</v>
      </c>
      <c r="LB171" s="12">
        <f t="shared" si="266"/>
        <v>0</v>
      </c>
      <c r="LC171" s="12">
        <f t="shared" si="267"/>
        <v>0</v>
      </c>
      <c r="LD171" s="12">
        <f t="shared" si="268"/>
        <v>0</v>
      </c>
      <c r="LE171" s="12">
        <f t="shared" si="269"/>
        <v>0</v>
      </c>
      <c r="LF171" s="12">
        <f t="shared" si="270"/>
        <v>0</v>
      </c>
      <c r="LG171" s="12">
        <f t="shared" si="271"/>
        <v>0</v>
      </c>
      <c r="LH171" s="12">
        <f t="shared" si="272"/>
        <v>0</v>
      </c>
      <c r="LI171" s="12">
        <f t="shared" si="273"/>
        <v>0</v>
      </c>
      <c r="LJ171" s="12">
        <f t="shared" si="274"/>
        <v>0</v>
      </c>
      <c r="LK171" s="12">
        <f t="shared" si="275"/>
        <v>0</v>
      </c>
      <c r="LL171" s="12">
        <f t="shared" si="276"/>
        <v>0</v>
      </c>
      <c r="LM171" s="12">
        <f t="shared" si="277"/>
        <v>0</v>
      </c>
      <c r="LN171" s="12">
        <f t="shared" si="278"/>
        <v>0</v>
      </c>
      <c r="LO171" s="12">
        <f t="shared" si="279"/>
        <v>0</v>
      </c>
      <c r="LP171" s="12">
        <f t="shared" si="280"/>
        <v>0</v>
      </c>
      <c r="LQ171" s="12">
        <f t="shared" si="281"/>
        <v>0</v>
      </c>
      <c r="LR171" s="12">
        <f t="shared" si="282"/>
        <v>0</v>
      </c>
      <c r="LS171" s="12">
        <f t="shared" si="283"/>
        <v>0</v>
      </c>
      <c r="LT171" s="13">
        <f t="shared" si="284"/>
        <v>0</v>
      </c>
      <c r="LU171" s="13">
        <f t="shared" si="285"/>
        <v>0</v>
      </c>
      <c r="LV171" s="13">
        <f t="shared" si="286"/>
        <v>0</v>
      </c>
      <c r="LW171" s="13">
        <f t="shared" si="287"/>
        <v>0</v>
      </c>
      <c r="LX171" s="13">
        <f t="shared" si="288"/>
        <v>0</v>
      </c>
      <c r="LY171" s="13">
        <f t="shared" si="289"/>
        <v>0</v>
      </c>
      <c r="LZ171" s="13">
        <f t="shared" si="290"/>
        <v>0</v>
      </c>
      <c r="MA171" s="13">
        <f t="shared" si="291"/>
        <v>0</v>
      </c>
      <c r="MB171" s="13">
        <f t="shared" si="292"/>
        <v>0</v>
      </c>
      <c r="MC171" s="13">
        <f t="shared" si="293"/>
        <v>0</v>
      </c>
      <c r="MD171" s="13">
        <f t="shared" si="294"/>
        <v>0</v>
      </c>
      <c r="ME171" s="13">
        <f t="shared" si="295"/>
        <v>0</v>
      </c>
      <c r="MF171" s="13">
        <f t="shared" si="296"/>
        <v>0</v>
      </c>
      <c r="MG171" s="13">
        <f t="shared" si="297"/>
        <v>0</v>
      </c>
      <c r="MH171" s="13">
        <f t="shared" si="298"/>
        <v>0</v>
      </c>
      <c r="MI171" s="13">
        <f t="shared" si="299"/>
        <v>0</v>
      </c>
      <c r="MJ171" s="13">
        <f t="shared" si="300"/>
        <v>0</v>
      </c>
      <c r="MK171" s="13">
        <f t="shared" si="301"/>
        <v>0</v>
      </c>
      <c r="ML171" s="14">
        <f t="shared" si="302"/>
        <v>0</v>
      </c>
      <c r="MM171" s="14">
        <f t="shared" si="303"/>
        <v>0</v>
      </c>
      <c r="MN171" s="14">
        <f t="shared" si="304"/>
        <v>0</v>
      </c>
      <c r="MO171" s="14">
        <f t="shared" si="305"/>
        <v>0</v>
      </c>
      <c r="MP171" s="14">
        <f t="shared" si="306"/>
        <v>0</v>
      </c>
      <c r="MQ171" s="14">
        <f t="shared" si="307"/>
        <v>0</v>
      </c>
      <c r="MR171" s="14">
        <f t="shared" si="308"/>
        <v>0</v>
      </c>
      <c r="MS171" s="14">
        <f t="shared" si="309"/>
        <v>0</v>
      </c>
      <c r="MT171" s="14">
        <f t="shared" si="310"/>
        <v>0</v>
      </c>
      <c r="MU171" s="14">
        <f t="shared" si="311"/>
        <v>0</v>
      </c>
      <c r="MV171" s="14">
        <f t="shared" si="312"/>
        <v>0</v>
      </c>
      <c r="MW171" s="14">
        <f t="shared" si="313"/>
        <v>0</v>
      </c>
      <c r="MX171" s="14">
        <f t="shared" si="314"/>
        <v>0</v>
      </c>
      <c r="MY171" s="14">
        <f t="shared" si="315"/>
        <v>0</v>
      </c>
      <c r="MZ171" s="14">
        <f t="shared" si="316"/>
        <v>0</v>
      </c>
      <c r="NA171" s="14">
        <f t="shared" si="317"/>
        <v>0</v>
      </c>
      <c r="NB171" s="14">
        <f t="shared" si="318"/>
        <v>0</v>
      </c>
    </row>
    <row r="172" ht="15.75" customHeight="1">
      <c r="A172" s="2">
        <v>490.0</v>
      </c>
      <c r="B172" s="2" t="s">
        <v>3246</v>
      </c>
      <c r="C172" s="2" t="s">
        <v>3247</v>
      </c>
      <c r="D172" s="2" t="s">
        <v>3248</v>
      </c>
      <c r="E172" s="2">
        <v>2022.0</v>
      </c>
      <c r="F172" s="2" t="s">
        <v>3249</v>
      </c>
      <c r="G172" s="2">
        <v>36.0</v>
      </c>
      <c r="H172" s="2" t="s">
        <v>471</v>
      </c>
      <c r="J172" s="2" t="s">
        <v>3250</v>
      </c>
      <c r="K172" s="2" t="s">
        <v>3251</v>
      </c>
      <c r="M172" s="2">
        <v>2.0</v>
      </c>
      <c r="N172" s="2" t="s">
        <v>3252</v>
      </c>
      <c r="O172" s="2" t="s">
        <v>3253</v>
      </c>
      <c r="P172" s="2" t="s">
        <v>3254</v>
      </c>
      <c r="Q172" s="2" t="s">
        <v>3255</v>
      </c>
      <c r="R172" s="2" t="s">
        <v>3256</v>
      </c>
      <c r="S172" s="2" t="s">
        <v>3257</v>
      </c>
      <c r="T172" s="2" t="s">
        <v>3258</v>
      </c>
      <c r="Y172" s="2" t="s">
        <v>3259</v>
      </c>
      <c r="AB172" s="2" t="s">
        <v>3260</v>
      </c>
      <c r="AG172" s="2" t="s">
        <v>3261</v>
      </c>
      <c r="AJ172" s="2">
        <v>3.5657287E7</v>
      </c>
      <c r="AK172" s="2" t="s">
        <v>3262</v>
      </c>
      <c r="AL172" s="2" t="s">
        <v>384</v>
      </c>
      <c r="AN172" s="2" t="s">
        <v>386</v>
      </c>
      <c r="AO172" s="2" t="s">
        <v>3263</v>
      </c>
      <c r="AP172" s="2" t="s">
        <v>386</v>
      </c>
      <c r="AQ172" s="2">
        <v>2407.0</v>
      </c>
      <c r="AR172" s="2" t="s">
        <v>3248</v>
      </c>
      <c r="AS172" s="2" t="b">
        <v>1</v>
      </c>
      <c r="AT172" s="3">
        <v>0.0</v>
      </c>
      <c r="AU172" s="4"/>
      <c r="AV172" s="4"/>
      <c r="AW172" s="5">
        <f t="shared" si="432"/>
        <v>0</v>
      </c>
      <c r="AX172" s="5">
        <f t="shared" si="4"/>
        <v>0</v>
      </c>
      <c r="AY172" s="5">
        <f t="shared" si="5"/>
        <v>0</v>
      </c>
      <c r="AZ172" s="5">
        <f t="shared" si="6"/>
        <v>0</v>
      </c>
      <c r="BA172" s="5">
        <f t="shared" si="7"/>
        <v>0</v>
      </c>
      <c r="BB172" s="5">
        <f t="shared" si="8"/>
        <v>0</v>
      </c>
      <c r="BC172" s="5">
        <f t="shared" si="9"/>
        <v>0</v>
      </c>
      <c r="BD172" s="5">
        <f t="shared" si="10"/>
        <v>0</v>
      </c>
      <c r="BE172" s="5">
        <f t="shared" si="11"/>
        <v>0</v>
      </c>
      <c r="BF172" s="5">
        <f t="shared" si="12"/>
        <v>0</v>
      </c>
      <c r="BG172" s="5">
        <f t="shared" si="13"/>
        <v>0</v>
      </c>
      <c r="BH172" s="5">
        <f t="shared" si="14"/>
        <v>0</v>
      </c>
      <c r="BI172" s="5">
        <f t="shared" si="15"/>
        <v>0</v>
      </c>
      <c r="BJ172" s="5">
        <f t="shared" si="16"/>
        <v>0</v>
      </c>
      <c r="BK172" s="5">
        <f t="shared" si="17"/>
        <v>1</v>
      </c>
      <c r="BL172" s="5">
        <f t="shared" si="18"/>
        <v>0</v>
      </c>
      <c r="BM172" s="5">
        <f t="shared" si="19"/>
        <v>0</v>
      </c>
      <c r="BN172" s="5">
        <f t="shared" si="20"/>
        <v>0</v>
      </c>
      <c r="BO172" s="5">
        <f t="shared" si="21"/>
        <v>0</v>
      </c>
      <c r="BP172" s="5">
        <f t="shared" si="22"/>
        <v>0</v>
      </c>
      <c r="BQ172" s="5">
        <f t="shared" si="23"/>
        <v>0</v>
      </c>
      <c r="BR172" s="5">
        <f t="shared" si="24"/>
        <v>0</v>
      </c>
      <c r="BS172" s="5">
        <f t="shared" si="25"/>
        <v>0</v>
      </c>
      <c r="BT172" s="5">
        <f t="shared" si="26"/>
        <v>0</v>
      </c>
      <c r="BU172" s="5">
        <f t="shared" si="27"/>
        <v>0</v>
      </c>
      <c r="BV172" s="5">
        <f t="shared" ref="BV172:BW172" si="699">IF(OR(ISNUMBER(SEARCH("grit",$D172)),ISNUMBER(SEARCH("grit",$T172)),ISNUMBER(SEARCH("grit",$R172)),ISNUMBER(SEARCH("grit",$S172)),
ISNUMBER(SEARCH("determination",$D172)),ISNUMBER(SEARCH("determination",$T172)),ISNUMBER(SEARCH("determination",$R172)),ISNUMBER(SEARCH("determination",$S172)),
ISNUMBER(SEARCH("tenacity",$D172)),ISNUMBER(SEARCH("tenacity",$T172)),ISNUMBER(SEARCH("tenacity",$R172)),ISNUMBER(SEARCH("tenacity",$S172)),
ISNUMBER(SEARCH("endurance",$D172)),ISNUMBER(SEARCH("endurance",$T172)),ISNUMBER(SEARCH("endurance",$R172)),ISNUMBER(SEARCH("endurance",$S172)),
ISNUMBER(SEARCH("fortitude",$D172)),ISNUMBER(SEARCH("fortitude",$T172)),ISNUMBER(SEARCH("fortitude",$R172)),ISNUMBER(SEARCH("fortitude",$S172)),
ISNUMBER(SEARCH("resolve",$D172)),ISNUMBER(SEARCH("resolve",$T172)),ISNUMBER(SEARCH("resolve",$R172)),ISNUMBER(SEARCH("resolve",$S172)),
ISNUMBER(SEARCH("stamina",$D172)),ISNUMBER(SEARCH("stamina",$T172)),ISNUMBER(SEARCH("stamina",$R172)),ISNUMBER(SEARCH("stamina",$S172)),
ISNUMBER(SEARCH("guts",$D172)),ISNUMBER(SEARCH("guts",$T172)),ISNUMBER(SEARCH("guts",$R172)),ISNUMBER(SEARCH("guts",$S172)),
ISNUMBER(SEARCH("spunk",$D172)),ISNUMBER(SEARCH("spunk",$T172)),ISNUMBER(SEARCH("spunk",$R172)),ISNUMBER(SEARCH("spunk",$S172))), 1, 0)</f>
        <v>0</v>
      </c>
      <c r="BW172" s="5">
        <f t="shared" si="699"/>
        <v>0</v>
      </c>
      <c r="BX172" s="5">
        <f t="shared" si="29"/>
        <v>0</v>
      </c>
      <c r="BY172" s="5">
        <f t="shared" si="30"/>
        <v>0</v>
      </c>
      <c r="BZ172" s="5">
        <f t="shared" si="31"/>
        <v>0</v>
      </c>
      <c r="CA172" s="5">
        <f t="shared" si="32"/>
        <v>0</v>
      </c>
      <c r="CB172" s="5">
        <f t="shared" si="33"/>
        <v>0</v>
      </c>
      <c r="CC172" s="5">
        <f t="shared" si="34"/>
        <v>0</v>
      </c>
      <c r="CD172" s="5">
        <f t="shared" si="35"/>
        <v>0</v>
      </c>
      <c r="CE172" s="5">
        <f t="shared" si="36"/>
        <v>0</v>
      </c>
      <c r="CF172" s="5">
        <f t="shared" si="37"/>
        <v>0</v>
      </c>
      <c r="CG172" s="5">
        <f t="shared" si="38"/>
        <v>0</v>
      </c>
      <c r="CH172" s="5">
        <f t="shared" si="39"/>
        <v>0</v>
      </c>
      <c r="CI172" s="5">
        <f t="shared" si="40"/>
        <v>0</v>
      </c>
      <c r="CJ172" s="5">
        <f t="shared" si="41"/>
        <v>0</v>
      </c>
      <c r="CK172" s="5">
        <f t="shared" si="42"/>
        <v>0</v>
      </c>
      <c r="CL172" s="5">
        <f t="shared" si="43"/>
        <v>0</v>
      </c>
      <c r="CM172" s="5">
        <f t="shared" si="44"/>
        <v>0</v>
      </c>
      <c r="CN172" s="5">
        <f t="shared" si="45"/>
        <v>0</v>
      </c>
      <c r="CO172" s="5">
        <f t="shared" si="46"/>
        <v>0</v>
      </c>
      <c r="CP172" s="6">
        <f t="shared" si="47"/>
        <v>0</v>
      </c>
      <c r="CQ172" s="6">
        <f t="shared" si="48"/>
        <v>0</v>
      </c>
      <c r="CR172" s="6">
        <f t="shared" si="49"/>
        <v>0</v>
      </c>
      <c r="CS172" s="6">
        <f t="shared" si="50"/>
        <v>0</v>
      </c>
      <c r="CT172" s="6">
        <f t="shared" si="584"/>
        <v>0</v>
      </c>
      <c r="CU172" s="6">
        <f t="shared" si="52"/>
        <v>0</v>
      </c>
      <c r="CV172" s="6">
        <f t="shared" si="53"/>
        <v>0</v>
      </c>
      <c r="CW172" s="6">
        <f t="shared" si="54"/>
        <v>0</v>
      </c>
      <c r="CX172" s="6">
        <f t="shared" si="55"/>
        <v>0</v>
      </c>
      <c r="CY172" s="6">
        <f t="shared" si="56"/>
        <v>0</v>
      </c>
      <c r="CZ172" s="6">
        <f t="shared" si="57"/>
        <v>0</v>
      </c>
      <c r="DA172" s="6">
        <f t="shared" si="58"/>
        <v>0</v>
      </c>
      <c r="DB172" s="6">
        <f t="shared" si="59"/>
        <v>0</v>
      </c>
      <c r="DC172" s="6">
        <f t="shared" si="60"/>
        <v>0</v>
      </c>
      <c r="DD172" s="6">
        <f t="shared" si="61"/>
        <v>0</v>
      </c>
      <c r="DE172" s="6">
        <f t="shared" si="62"/>
        <v>1</v>
      </c>
      <c r="DF172" s="6">
        <f t="shared" si="63"/>
        <v>0</v>
      </c>
      <c r="DG172" s="6">
        <f t="shared" si="64"/>
        <v>0</v>
      </c>
      <c r="DH172" s="6">
        <f t="shared" si="697"/>
        <v>0</v>
      </c>
      <c r="DI172" s="6">
        <f t="shared" si="66"/>
        <v>0</v>
      </c>
      <c r="DJ172" s="6">
        <f t="shared" si="653"/>
        <v>0</v>
      </c>
      <c r="DK172" s="7">
        <f t="shared" si="68"/>
        <v>0</v>
      </c>
      <c r="DL172" s="7">
        <f t="shared" si="498"/>
        <v>0</v>
      </c>
      <c r="DM172" s="7">
        <f t="shared" si="70"/>
        <v>0</v>
      </c>
      <c r="DN172" s="7">
        <f t="shared" si="71"/>
        <v>0</v>
      </c>
      <c r="DO172" s="7">
        <f t="shared" si="72"/>
        <v>1</v>
      </c>
      <c r="DP172" s="8">
        <f t="shared" si="73"/>
        <v>0</v>
      </c>
      <c r="DQ172" s="8">
        <f t="shared" si="74"/>
        <v>1</v>
      </c>
      <c r="DR172" s="7">
        <f t="shared" si="75"/>
        <v>0</v>
      </c>
      <c r="DS172" s="7">
        <f t="shared" si="76"/>
        <v>0</v>
      </c>
      <c r="DT172" s="7">
        <f t="shared" si="77"/>
        <v>0</v>
      </c>
      <c r="DU172" s="9">
        <f t="shared" si="78"/>
        <v>0</v>
      </c>
      <c r="DV172" s="9">
        <f t="shared" si="79"/>
        <v>0</v>
      </c>
      <c r="DW172" s="9">
        <f t="shared" si="80"/>
        <v>0</v>
      </c>
      <c r="DX172" s="9">
        <f t="shared" si="81"/>
        <v>0</v>
      </c>
      <c r="DY172" s="9">
        <f t="shared" si="82"/>
        <v>0</v>
      </c>
      <c r="DZ172" s="9">
        <f t="shared" si="83"/>
        <v>0</v>
      </c>
      <c r="EA172" s="9">
        <f t="shared" si="84"/>
        <v>0</v>
      </c>
      <c r="EB172" s="9">
        <f t="shared" si="85"/>
        <v>0</v>
      </c>
      <c r="EC172" s="9">
        <f t="shared" si="86"/>
        <v>0</v>
      </c>
      <c r="ED172" s="9">
        <f t="shared" si="87"/>
        <v>0</v>
      </c>
      <c r="EE172" s="9">
        <f t="shared" si="88"/>
        <v>0</v>
      </c>
      <c r="EF172" s="9">
        <f t="shared" si="89"/>
        <v>0</v>
      </c>
      <c r="EG172" s="9">
        <f t="shared" si="90"/>
        <v>0</v>
      </c>
      <c r="EH172" s="9">
        <f t="shared" si="91"/>
        <v>0</v>
      </c>
      <c r="EI172" s="9">
        <f t="shared" si="92"/>
        <v>0</v>
      </c>
      <c r="EJ172" s="10">
        <f t="shared" si="93"/>
        <v>0</v>
      </c>
      <c r="EK172" s="10">
        <f t="shared" si="94"/>
        <v>0</v>
      </c>
      <c r="EL172" s="10">
        <f t="shared" ref="EL172:EM172" si="700">IF(OR(ISNUMBER(SEARCH("ai software toolkit", $D172)), ISNUMBER(SEARCH("ai software toolkit", $T172)), ISNUMBER(SEARCH("ai software toolkit", $R172)), ISNUMBER(SEARCH("ai software toolkit", $S172))), 1, 0)</f>
        <v>0</v>
      </c>
      <c r="EM172" s="10">
        <f t="shared" si="700"/>
        <v>0</v>
      </c>
      <c r="EN172" s="10">
        <f t="shared" si="96"/>
        <v>0</v>
      </c>
      <c r="EO172" s="10">
        <f t="shared" si="97"/>
        <v>0</v>
      </c>
      <c r="EP172" s="10">
        <f t="shared" si="98"/>
        <v>0</v>
      </c>
      <c r="EQ172" s="10">
        <f t="shared" si="99"/>
        <v>0</v>
      </c>
      <c r="ER172" s="10">
        <f t="shared" si="100"/>
        <v>0</v>
      </c>
      <c r="ES172" s="10">
        <f t="shared" si="101"/>
        <v>0</v>
      </c>
      <c r="ET172" s="10">
        <f t="shared" si="102"/>
        <v>0</v>
      </c>
      <c r="EU172" s="10">
        <f t="shared" si="103"/>
        <v>0</v>
      </c>
      <c r="EV172" s="10">
        <f t="shared" si="104"/>
        <v>0</v>
      </c>
      <c r="EW172" s="10">
        <f t="shared" si="105"/>
        <v>0</v>
      </c>
      <c r="EX172" s="10">
        <f t="shared" si="106"/>
        <v>0</v>
      </c>
      <c r="EY172" s="10">
        <f t="shared" si="107"/>
        <v>0</v>
      </c>
      <c r="EZ172" s="10">
        <f t="shared" si="108"/>
        <v>0</v>
      </c>
      <c r="FA172" s="10">
        <f t="shared" si="109"/>
        <v>0</v>
      </c>
      <c r="FB172" s="10">
        <f t="shared" si="110"/>
        <v>0</v>
      </c>
      <c r="FC172" s="10">
        <f t="shared" si="111"/>
        <v>0</v>
      </c>
      <c r="FD172" s="10">
        <f t="shared" si="112"/>
        <v>0</v>
      </c>
      <c r="FE172" s="10">
        <f t="shared" si="113"/>
        <v>0</v>
      </c>
      <c r="FF172" s="10">
        <f t="shared" si="114"/>
        <v>0</v>
      </c>
      <c r="FG172" s="10">
        <f t="shared" si="115"/>
        <v>0</v>
      </c>
      <c r="FH172" s="10">
        <f t="shared" si="116"/>
        <v>0</v>
      </c>
      <c r="FI172" s="10">
        <f t="shared" si="117"/>
        <v>0</v>
      </c>
      <c r="FJ172" s="10">
        <f t="shared" si="118"/>
        <v>0</v>
      </c>
      <c r="FK172" s="10">
        <f t="shared" si="119"/>
        <v>0</v>
      </c>
      <c r="FL172" s="10">
        <f t="shared" si="120"/>
        <v>0</v>
      </c>
      <c r="FM172" s="10">
        <f t="shared" si="121"/>
        <v>0</v>
      </c>
      <c r="FN172" s="10">
        <f t="shared" si="122"/>
        <v>0</v>
      </c>
      <c r="FO172" s="10">
        <f t="shared" si="123"/>
        <v>0</v>
      </c>
      <c r="FP172" s="10">
        <f t="shared" si="124"/>
        <v>1</v>
      </c>
      <c r="FQ172" s="10">
        <f t="shared" si="125"/>
        <v>0</v>
      </c>
      <c r="FR172" s="11">
        <f t="shared" si="683"/>
        <v>0</v>
      </c>
      <c r="FS172" s="11">
        <f t="shared" si="127"/>
        <v>0</v>
      </c>
      <c r="FT172" s="11">
        <f t="shared" si="128"/>
        <v>0</v>
      </c>
      <c r="FU172" s="11">
        <f t="shared" si="129"/>
        <v>0</v>
      </c>
      <c r="FV172" s="11">
        <f t="shared" si="130"/>
        <v>0</v>
      </c>
      <c r="FW172" s="11">
        <f t="shared" si="131"/>
        <v>0</v>
      </c>
      <c r="FX172" s="11">
        <f t="shared" si="132"/>
        <v>0</v>
      </c>
      <c r="FY172" s="11">
        <f t="shared" si="133"/>
        <v>0</v>
      </c>
      <c r="FZ172" s="11">
        <f t="shared" si="134"/>
        <v>0</v>
      </c>
      <c r="GA172" s="11">
        <f t="shared" si="135"/>
        <v>0</v>
      </c>
      <c r="GB172" s="11">
        <f t="shared" si="136"/>
        <v>0</v>
      </c>
      <c r="GC172" s="11">
        <f t="shared" si="137"/>
        <v>0</v>
      </c>
      <c r="GD172" s="11">
        <f t="shared" si="138"/>
        <v>0</v>
      </c>
      <c r="GE172" s="11">
        <f t="shared" si="139"/>
        <v>0</v>
      </c>
      <c r="GF172" s="11">
        <f t="shared" si="140"/>
        <v>0</v>
      </c>
      <c r="GG172" s="11">
        <f t="shared" si="141"/>
        <v>0</v>
      </c>
      <c r="GH172" s="11">
        <f t="shared" si="142"/>
        <v>0</v>
      </c>
      <c r="GI172" s="11">
        <f t="shared" si="143"/>
        <v>0</v>
      </c>
      <c r="GJ172" s="11">
        <f t="shared" si="144"/>
        <v>0</v>
      </c>
      <c r="GK172" s="11">
        <f t="shared" si="145"/>
        <v>0</v>
      </c>
      <c r="GL172" s="11">
        <f t="shared" si="146"/>
        <v>0</v>
      </c>
      <c r="GM172" s="11">
        <f t="shared" si="147"/>
        <v>0</v>
      </c>
      <c r="GN172" s="11">
        <f t="shared" si="148"/>
        <v>0</v>
      </c>
      <c r="GO172" s="11">
        <f t="shared" si="149"/>
        <v>0</v>
      </c>
      <c r="GP172" s="11">
        <f t="shared" si="150"/>
        <v>0</v>
      </c>
      <c r="GQ172" s="11">
        <f t="shared" si="151"/>
        <v>1</v>
      </c>
      <c r="GR172" s="11">
        <f t="shared" si="152"/>
        <v>0</v>
      </c>
      <c r="GS172" s="11">
        <f t="shared" si="153"/>
        <v>0</v>
      </c>
      <c r="GT172" s="11">
        <f t="shared" si="154"/>
        <v>0</v>
      </c>
      <c r="GU172" s="12">
        <f t="shared" si="155"/>
        <v>0</v>
      </c>
      <c r="GV172" s="12">
        <f t="shared" si="156"/>
        <v>0</v>
      </c>
      <c r="GW172" s="12">
        <f t="shared" si="157"/>
        <v>0</v>
      </c>
      <c r="GX172" s="12">
        <f t="shared" si="158"/>
        <v>0</v>
      </c>
      <c r="GY172" s="12">
        <f t="shared" si="159"/>
        <v>0</v>
      </c>
      <c r="GZ172" s="12">
        <f t="shared" si="160"/>
        <v>0</v>
      </c>
      <c r="HA172" s="12">
        <f t="shared" si="161"/>
        <v>0</v>
      </c>
      <c r="HB172" s="12">
        <f t="shared" si="162"/>
        <v>0</v>
      </c>
      <c r="HC172" s="12">
        <f t="shared" si="163"/>
        <v>0</v>
      </c>
      <c r="HD172" s="12">
        <f t="shared" si="164"/>
        <v>0</v>
      </c>
      <c r="HE172" s="12">
        <f t="shared" si="165"/>
        <v>0</v>
      </c>
      <c r="HF172" s="12">
        <f t="shared" si="166"/>
        <v>0</v>
      </c>
      <c r="HG172" s="12">
        <f t="shared" si="167"/>
        <v>0</v>
      </c>
      <c r="HH172" s="12">
        <f t="shared" si="168"/>
        <v>0</v>
      </c>
      <c r="HI172" s="12">
        <f t="shared" si="169"/>
        <v>0</v>
      </c>
      <c r="HJ172" s="12">
        <f t="shared" si="170"/>
        <v>0</v>
      </c>
      <c r="HK172" s="12">
        <f t="shared" si="171"/>
        <v>0</v>
      </c>
      <c r="HL172" s="12">
        <f t="shared" si="172"/>
        <v>0</v>
      </c>
      <c r="HM172" s="12">
        <f t="shared" si="173"/>
        <v>0</v>
      </c>
      <c r="HN172" s="12">
        <f t="shared" si="174"/>
        <v>0</v>
      </c>
      <c r="HO172" s="12">
        <f t="shared" si="175"/>
        <v>0</v>
      </c>
      <c r="HP172" s="12">
        <f t="shared" si="176"/>
        <v>0</v>
      </c>
      <c r="HQ172" s="12">
        <f t="shared" si="177"/>
        <v>0</v>
      </c>
      <c r="HR172" s="12">
        <f t="shared" si="178"/>
        <v>0</v>
      </c>
      <c r="HS172" s="12">
        <f t="shared" si="179"/>
        <v>0</v>
      </c>
      <c r="HT172" s="12">
        <f t="shared" si="180"/>
        <v>0</v>
      </c>
      <c r="HU172" s="12">
        <f t="shared" si="181"/>
        <v>0</v>
      </c>
      <c r="HV172" s="12">
        <f t="shared" si="182"/>
        <v>0</v>
      </c>
      <c r="HW172" s="12">
        <f t="shared" si="183"/>
        <v>0</v>
      </c>
      <c r="HX172" s="12">
        <f t="shared" si="184"/>
        <v>0</v>
      </c>
      <c r="HY172" s="12">
        <f t="shared" si="185"/>
        <v>0</v>
      </c>
      <c r="HZ172" s="12">
        <f t="shared" si="186"/>
        <v>0</v>
      </c>
      <c r="IA172" s="12">
        <f t="shared" si="187"/>
        <v>0</v>
      </c>
      <c r="IB172" s="12">
        <f t="shared" si="188"/>
        <v>0</v>
      </c>
      <c r="IC172" s="12">
        <f t="shared" si="189"/>
        <v>0</v>
      </c>
      <c r="ID172" s="12">
        <f t="shared" si="190"/>
        <v>0</v>
      </c>
      <c r="IE172" s="12">
        <f t="shared" si="191"/>
        <v>0</v>
      </c>
      <c r="IF172" s="12">
        <f t="shared" si="192"/>
        <v>0</v>
      </c>
      <c r="IG172" s="12">
        <f t="shared" si="193"/>
        <v>0</v>
      </c>
      <c r="IH172" s="12">
        <f t="shared" si="194"/>
        <v>0</v>
      </c>
      <c r="II172" s="12">
        <f t="shared" si="195"/>
        <v>0</v>
      </c>
      <c r="IJ172" s="12">
        <f t="shared" si="196"/>
        <v>0</v>
      </c>
      <c r="IK172" s="12">
        <f t="shared" si="197"/>
        <v>0</v>
      </c>
      <c r="IL172" s="12">
        <f t="shared" si="198"/>
        <v>0</v>
      </c>
      <c r="IM172" s="12">
        <f t="shared" si="199"/>
        <v>0</v>
      </c>
      <c r="IN172" s="12">
        <f t="shared" si="200"/>
        <v>0</v>
      </c>
      <c r="IO172" s="12">
        <f t="shared" si="201"/>
        <v>0</v>
      </c>
      <c r="IP172" s="12">
        <f t="shared" si="202"/>
        <v>0</v>
      </c>
      <c r="IQ172" s="12">
        <f t="shared" si="203"/>
        <v>0</v>
      </c>
      <c r="IR172" s="12">
        <f t="shared" si="204"/>
        <v>0</v>
      </c>
      <c r="IS172" s="12">
        <f t="shared" si="205"/>
        <v>0</v>
      </c>
      <c r="IT172" s="12">
        <f t="shared" si="206"/>
        <v>0</v>
      </c>
      <c r="IU172" s="12">
        <f t="shared" si="207"/>
        <v>0</v>
      </c>
      <c r="IV172" s="12">
        <f t="shared" si="208"/>
        <v>0</v>
      </c>
      <c r="IW172" s="12">
        <f t="shared" si="209"/>
        <v>0</v>
      </c>
      <c r="IX172" s="12">
        <f t="shared" si="210"/>
        <v>0</v>
      </c>
      <c r="IY172" s="12">
        <f t="shared" si="211"/>
        <v>0</v>
      </c>
      <c r="IZ172" s="12">
        <f t="shared" si="212"/>
        <v>1</v>
      </c>
      <c r="JA172" s="13">
        <f t="shared" si="213"/>
        <v>0</v>
      </c>
      <c r="JB172" s="13">
        <f t="shared" si="214"/>
        <v>0</v>
      </c>
      <c r="JC172" s="13">
        <f t="shared" si="215"/>
        <v>0</v>
      </c>
      <c r="JD172" s="13">
        <f t="shared" si="216"/>
        <v>0</v>
      </c>
      <c r="JE172" s="13">
        <f t="shared" si="217"/>
        <v>0</v>
      </c>
      <c r="JF172" s="13">
        <f t="shared" si="218"/>
        <v>0</v>
      </c>
      <c r="JG172" s="13">
        <f t="shared" si="219"/>
        <v>0</v>
      </c>
      <c r="JH172" s="13">
        <f t="shared" si="220"/>
        <v>0</v>
      </c>
      <c r="JI172" s="13">
        <f t="shared" si="221"/>
        <v>0</v>
      </c>
      <c r="JJ172" s="13">
        <f t="shared" si="222"/>
        <v>0</v>
      </c>
      <c r="JK172" s="13">
        <f t="shared" si="223"/>
        <v>0</v>
      </c>
      <c r="JL172" s="13">
        <f t="shared" si="224"/>
        <v>0</v>
      </c>
      <c r="JM172" s="13">
        <f t="shared" si="225"/>
        <v>0</v>
      </c>
      <c r="JN172" s="13">
        <f t="shared" si="226"/>
        <v>0</v>
      </c>
      <c r="JO172" s="13">
        <f t="shared" si="227"/>
        <v>0</v>
      </c>
      <c r="JP172" s="13">
        <f t="shared" si="228"/>
        <v>0</v>
      </c>
      <c r="JQ172" s="13">
        <f t="shared" si="229"/>
        <v>0</v>
      </c>
      <c r="JR172" s="13">
        <f t="shared" si="230"/>
        <v>0</v>
      </c>
      <c r="JS172" s="13">
        <f t="shared" si="231"/>
        <v>0</v>
      </c>
      <c r="JT172" s="13">
        <f t="shared" si="232"/>
        <v>0</v>
      </c>
      <c r="JU172" s="13">
        <f t="shared" si="233"/>
        <v>0</v>
      </c>
      <c r="JV172" s="12">
        <f t="shared" si="234"/>
        <v>0</v>
      </c>
      <c r="JW172" s="12">
        <f t="shared" si="235"/>
        <v>0</v>
      </c>
      <c r="JX172" s="12">
        <f t="shared" si="236"/>
        <v>0</v>
      </c>
      <c r="JY172" s="12">
        <f t="shared" si="237"/>
        <v>0</v>
      </c>
      <c r="JZ172" s="12">
        <f t="shared" si="238"/>
        <v>0</v>
      </c>
      <c r="KA172" s="12">
        <f t="shared" si="239"/>
        <v>0</v>
      </c>
      <c r="KB172" s="12">
        <f t="shared" si="240"/>
        <v>0</v>
      </c>
      <c r="KC172" s="12">
        <f t="shared" si="241"/>
        <v>0</v>
      </c>
      <c r="KD172" s="12">
        <f t="shared" si="242"/>
        <v>0</v>
      </c>
      <c r="KE172" s="12">
        <f t="shared" si="243"/>
        <v>0</v>
      </c>
      <c r="KF172" s="12">
        <f t="shared" si="244"/>
        <v>0</v>
      </c>
      <c r="KG172" s="12">
        <f t="shared" si="245"/>
        <v>0</v>
      </c>
      <c r="KH172" s="12">
        <f t="shared" si="246"/>
        <v>0</v>
      </c>
      <c r="KI172" s="12">
        <f t="shared" si="247"/>
        <v>0</v>
      </c>
      <c r="KJ172" s="12">
        <f t="shared" si="248"/>
        <v>0</v>
      </c>
      <c r="KK172" s="12">
        <f t="shared" si="249"/>
        <v>0</v>
      </c>
      <c r="KL172" s="12">
        <f t="shared" si="250"/>
        <v>0</v>
      </c>
      <c r="KM172" s="12">
        <f t="shared" si="251"/>
        <v>0</v>
      </c>
      <c r="KN172" s="12">
        <f t="shared" si="252"/>
        <v>0</v>
      </c>
      <c r="KO172" s="12">
        <f t="shared" si="253"/>
        <v>0</v>
      </c>
      <c r="KP172" s="12">
        <f t="shared" si="254"/>
        <v>0</v>
      </c>
      <c r="KQ172" s="12">
        <f t="shared" si="255"/>
        <v>0</v>
      </c>
      <c r="KR172" s="12">
        <f t="shared" si="256"/>
        <v>0</v>
      </c>
      <c r="KS172" s="12">
        <f t="shared" si="257"/>
        <v>0</v>
      </c>
      <c r="KT172" s="12">
        <f t="shared" si="258"/>
        <v>0</v>
      </c>
      <c r="KU172" s="12">
        <f t="shared" si="259"/>
        <v>0</v>
      </c>
      <c r="KV172" s="12">
        <f t="shared" si="260"/>
        <v>0</v>
      </c>
      <c r="KW172" s="12">
        <f t="shared" si="261"/>
        <v>0</v>
      </c>
      <c r="KX172" s="12">
        <f t="shared" si="262"/>
        <v>0</v>
      </c>
      <c r="KY172" s="12">
        <f t="shared" si="263"/>
        <v>0</v>
      </c>
      <c r="KZ172" s="12">
        <f t="shared" si="264"/>
        <v>0</v>
      </c>
      <c r="LA172" s="12">
        <f t="shared" si="265"/>
        <v>0</v>
      </c>
      <c r="LB172" s="12">
        <f t="shared" si="266"/>
        <v>0</v>
      </c>
      <c r="LC172" s="12">
        <f t="shared" si="267"/>
        <v>0</v>
      </c>
      <c r="LD172" s="12">
        <f t="shared" si="268"/>
        <v>0</v>
      </c>
      <c r="LE172" s="12">
        <f t="shared" si="269"/>
        <v>0</v>
      </c>
      <c r="LF172" s="12">
        <f t="shared" si="270"/>
        <v>0</v>
      </c>
      <c r="LG172" s="12">
        <f t="shared" si="271"/>
        <v>0</v>
      </c>
      <c r="LH172" s="12">
        <f t="shared" si="272"/>
        <v>0</v>
      </c>
      <c r="LI172" s="12">
        <f t="shared" si="273"/>
        <v>0</v>
      </c>
      <c r="LJ172" s="12">
        <f t="shared" si="274"/>
        <v>0</v>
      </c>
      <c r="LK172" s="12">
        <f t="shared" si="275"/>
        <v>0</v>
      </c>
      <c r="LL172" s="12">
        <f t="shared" si="276"/>
        <v>0</v>
      </c>
      <c r="LM172" s="12">
        <f t="shared" si="277"/>
        <v>0</v>
      </c>
      <c r="LN172" s="12">
        <f t="shared" si="278"/>
        <v>0</v>
      </c>
      <c r="LO172" s="12">
        <f t="shared" si="279"/>
        <v>0</v>
      </c>
      <c r="LP172" s="12">
        <f t="shared" si="280"/>
        <v>0</v>
      </c>
      <c r="LQ172" s="12">
        <f t="shared" si="281"/>
        <v>0</v>
      </c>
      <c r="LR172" s="12">
        <f t="shared" si="282"/>
        <v>0</v>
      </c>
      <c r="LS172" s="12">
        <f t="shared" si="283"/>
        <v>0</v>
      </c>
      <c r="LT172" s="13">
        <f t="shared" si="284"/>
        <v>0</v>
      </c>
      <c r="LU172" s="13">
        <f t="shared" si="285"/>
        <v>0</v>
      </c>
      <c r="LV172" s="13">
        <f t="shared" si="286"/>
        <v>0</v>
      </c>
      <c r="LW172" s="13">
        <f t="shared" si="287"/>
        <v>0</v>
      </c>
      <c r="LX172" s="13">
        <f t="shared" si="288"/>
        <v>0</v>
      </c>
      <c r="LY172" s="13">
        <f t="shared" si="289"/>
        <v>0</v>
      </c>
      <c r="LZ172" s="13">
        <f t="shared" si="290"/>
        <v>0</v>
      </c>
      <c r="MA172" s="13">
        <f t="shared" si="291"/>
        <v>0</v>
      </c>
      <c r="MB172" s="13">
        <f t="shared" si="292"/>
        <v>0</v>
      </c>
      <c r="MC172" s="13">
        <f t="shared" si="293"/>
        <v>0</v>
      </c>
      <c r="MD172" s="13">
        <f t="shared" si="294"/>
        <v>0</v>
      </c>
      <c r="ME172" s="13">
        <f t="shared" si="295"/>
        <v>0</v>
      </c>
      <c r="MF172" s="13">
        <f t="shared" si="296"/>
        <v>0</v>
      </c>
      <c r="MG172" s="13">
        <f t="shared" si="297"/>
        <v>0</v>
      </c>
      <c r="MH172" s="13">
        <f t="shared" si="298"/>
        <v>0</v>
      </c>
      <c r="MI172" s="13">
        <f t="shared" si="299"/>
        <v>0</v>
      </c>
      <c r="MJ172" s="13">
        <f t="shared" si="300"/>
        <v>0</v>
      </c>
      <c r="MK172" s="13">
        <f t="shared" si="301"/>
        <v>0</v>
      </c>
      <c r="ML172" s="14">
        <f t="shared" si="302"/>
        <v>0</v>
      </c>
      <c r="MM172" s="14">
        <f t="shared" si="303"/>
        <v>0</v>
      </c>
      <c r="MN172" s="14">
        <f t="shared" si="304"/>
        <v>0</v>
      </c>
      <c r="MO172" s="14">
        <f t="shared" si="305"/>
        <v>0</v>
      </c>
      <c r="MP172" s="14">
        <f t="shared" si="306"/>
        <v>0</v>
      </c>
      <c r="MQ172" s="14">
        <f t="shared" si="307"/>
        <v>0</v>
      </c>
      <c r="MR172" s="14">
        <f t="shared" si="308"/>
        <v>0</v>
      </c>
      <c r="MS172" s="14">
        <f t="shared" si="309"/>
        <v>0</v>
      </c>
      <c r="MT172" s="14">
        <f t="shared" si="310"/>
        <v>0</v>
      </c>
      <c r="MU172" s="14">
        <f t="shared" si="311"/>
        <v>0</v>
      </c>
      <c r="MV172" s="14">
        <f t="shared" si="312"/>
        <v>0</v>
      </c>
      <c r="MW172" s="14">
        <f t="shared" si="313"/>
        <v>0</v>
      </c>
      <c r="MX172" s="14">
        <f t="shared" si="314"/>
        <v>0</v>
      </c>
      <c r="MY172" s="14">
        <f t="shared" si="315"/>
        <v>0</v>
      </c>
      <c r="MZ172" s="14">
        <f t="shared" si="316"/>
        <v>0</v>
      </c>
      <c r="NA172" s="14">
        <f t="shared" si="317"/>
        <v>0</v>
      </c>
      <c r="NB172" s="14">
        <f t="shared" si="318"/>
        <v>0</v>
      </c>
    </row>
    <row r="173" ht="15.75" customHeight="1">
      <c r="A173" s="2">
        <v>80.0</v>
      </c>
      <c r="B173" s="2" t="s">
        <v>3264</v>
      </c>
      <c r="C173" s="2" t="s">
        <v>3265</v>
      </c>
      <c r="D173" s="2" t="s">
        <v>3266</v>
      </c>
      <c r="E173" s="2">
        <v>2021.0</v>
      </c>
      <c r="F173" s="2" t="s">
        <v>3267</v>
      </c>
      <c r="G173" s="2" t="s">
        <v>657</v>
      </c>
      <c r="H173" s="2" t="s">
        <v>528</v>
      </c>
      <c r="I173" s="2" t="s">
        <v>3268</v>
      </c>
      <c r="M173" s="2">
        <v>2.0</v>
      </c>
      <c r="N173" s="2" t="s">
        <v>3269</v>
      </c>
      <c r="O173" s="2" t="s">
        <v>3270</v>
      </c>
      <c r="P173" s="2" t="s">
        <v>3271</v>
      </c>
      <c r="Q173" s="2" t="s">
        <v>3272</v>
      </c>
      <c r="R173" s="2" t="s">
        <v>3273</v>
      </c>
      <c r="S173" s="2" t="s">
        <v>3274</v>
      </c>
      <c r="T173" s="2" t="s">
        <v>3275</v>
      </c>
      <c r="Y173" s="2" t="s">
        <v>3276</v>
      </c>
      <c r="AB173" s="2" t="s">
        <v>481</v>
      </c>
      <c r="AG173" s="2" t="s">
        <v>3277</v>
      </c>
      <c r="AJ173" s="2">
        <v>3.4009128E7</v>
      </c>
      <c r="AK173" s="2" t="s">
        <v>3278</v>
      </c>
      <c r="AL173" s="2" t="s">
        <v>384</v>
      </c>
      <c r="AM173" s="2" t="s">
        <v>484</v>
      </c>
      <c r="AN173" s="2" t="s">
        <v>386</v>
      </c>
      <c r="AO173" s="2" t="s">
        <v>3279</v>
      </c>
      <c r="AP173" s="2" t="s">
        <v>386</v>
      </c>
      <c r="AQ173" s="2">
        <v>258.0</v>
      </c>
      <c r="AR173" s="2" t="s">
        <v>3280</v>
      </c>
      <c r="AS173" s="2" t="b">
        <v>0</v>
      </c>
      <c r="AT173" s="3">
        <v>0.0</v>
      </c>
      <c r="AU173" s="4"/>
      <c r="AV173" s="4"/>
      <c r="AW173" s="5">
        <f t="shared" si="432"/>
        <v>0</v>
      </c>
      <c r="AX173" s="5">
        <f t="shared" si="4"/>
        <v>0</v>
      </c>
      <c r="AY173" s="5">
        <f t="shared" si="5"/>
        <v>0</v>
      </c>
      <c r="AZ173" s="5">
        <f t="shared" si="6"/>
        <v>0</v>
      </c>
      <c r="BA173" s="5">
        <f t="shared" si="7"/>
        <v>0</v>
      </c>
      <c r="BB173" s="5">
        <f t="shared" si="8"/>
        <v>0</v>
      </c>
      <c r="BC173" s="5">
        <f t="shared" si="9"/>
        <v>0</v>
      </c>
      <c r="BD173" s="5">
        <f t="shared" si="10"/>
        <v>0</v>
      </c>
      <c r="BE173" s="5">
        <f t="shared" si="11"/>
        <v>0</v>
      </c>
      <c r="BF173" s="5">
        <f t="shared" si="12"/>
        <v>0</v>
      </c>
      <c r="BG173" s="5">
        <f t="shared" si="13"/>
        <v>0</v>
      </c>
      <c r="BH173" s="5">
        <f t="shared" si="14"/>
        <v>0</v>
      </c>
      <c r="BI173" s="5">
        <f t="shared" si="15"/>
        <v>0</v>
      </c>
      <c r="BJ173" s="5">
        <f t="shared" si="16"/>
        <v>0</v>
      </c>
      <c r="BK173" s="5">
        <f t="shared" si="17"/>
        <v>0</v>
      </c>
      <c r="BL173" s="5">
        <f t="shared" si="18"/>
        <v>0</v>
      </c>
      <c r="BM173" s="5">
        <f t="shared" si="19"/>
        <v>0</v>
      </c>
      <c r="BN173" s="5">
        <f t="shared" si="20"/>
        <v>0</v>
      </c>
      <c r="BO173" s="5">
        <f t="shared" si="21"/>
        <v>0</v>
      </c>
      <c r="BP173" s="5">
        <f t="shared" si="22"/>
        <v>0</v>
      </c>
      <c r="BQ173" s="5">
        <f t="shared" si="23"/>
        <v>0</v>
      </c>
      <c r="BR173" s="5">
        <f t="shared" si="24"/>
        <v>0</v>
      </c>
      <c r="BS173" s="5">
        <f t="shared" si="25"/>
        <v>0</v>
      </c>
      <c r="BT173" s="5">
        <f t="shared" si="26"/>
        <v>0</v>
      </c>
      <c r="BU173" s="5">
        <f t="shared" si="27"/>
        <v>0</v>
      </c>
      <c r="BV173" s="5">
        <f t="shared" ref="BV173:BW173" si="701">IF(OR(ISNUMBER(SEARCH("grit",$D173)),ISNUMBER(SEARCH("grit",$T173)),ISNUMBER(SEARCH("grit",$R173)),ISNUMBER(SEARCH("grit",$S173)),
ISNUMBER(SEARCH("determination",$D173)),ISNUMBER(SEARCH("determination",$T173)),ISNUMBER(SEARCH("determination",$R173)),ISNUMBER(SEARCH("determination",$S173)),
ISNUMBER(SEARCH("tenacity",$D173)),ISNUMBER(SEARCH("tenacity",$T173)),ISNUMBER(SEARCH("tenacity",$R173)),ISNUMBER(SEARCH("tenacity",$S173)),
ISNUMBER(SEARCH("endurance",$D173)),ISNUMBER(SEARCH("endurance",$T173)),ISNUMBER(SEARCH("endurance",$R173)),ISNUMBER(SEARCH("endurance",$S173)),
ISNUMBER(SEARCH("fortitude",$D173)),ISNUMBER(SEARCH("fortitude",$T173)),ISNUMBER(SEARCH("fortitude",$R173)),ISNUMBER(SEARCH("fortitude",$S173)),
ISNUMBER(SEARCH("resolve",$D173)),ISNUMBER(SEARCH("resolve",$T173)),ISNUMBER(SEARCH("resolve",$R173)),ISNUMBER(SEARCH("resolve",$S173)),
ISNUMBER(SEARCH("stamina",$D173)),ISNUMBER(SEARCH("stamina",$T173)),ISNUMBER(SEARCH("stamina",$R173)),ISNUMBER(SEARCH("stamina",$S173)),
ISNUMBER(SEARCH("guts",$D173)),ISNUMBER(SEARCH("guts",$T173)),ISNUMBER(SEARCH("guts",$R173)),ISNUMBER(SEARCH("guts",$S173)),
ISNUMBER(SEARCH("spunk",$D173)),ISNUMBER(SEARCH("spunk",$T173)),ISNUMBER(SEARCH("spunk",$R173)),ISNUMBER(SEARCH("spunk",$S173))), 1, 0)</f>
        <v>0</v>
      </c>
      <c r="BW173" s="5">
        <f t="shared" si="701"/>
        <v>0</v>
      </c>
      <c r="BX173" s="5">
        <f t="shared" si="29"/>
        <v>0</v>
      </c>
      <c r="BY173" s="5">
        <f t="shared" si="30"/>
        <v>0</v>
      </c>
      <c r="BZ173" s="5">
        <f t="shared" si="31"/>
        <v>0</v>
      </c>
      <c r="CA173" s="5">
        <f t="shared" si="32"/>
        <v>0</v>
      </c>
      <c r="CB173" s="5">
        <f t="shared" si="33"/>
        <v>0</v>
      </c>
      <c r="CC173" s="5">
        <f t="shared" si="34"/>
        <v>0</v>
      </c>
      <c r="CD173" s="5">
        <f t="shared" si="35"/>
        <v>0</v>
      </c>
      <c r="CE173" s="5">
        <f t="shared" si="36"/>
        <v>0</v>
      </c>
      <c r="CF173" s="5">
        <f t="shared" si="37"/>
        <v>0</v>
      </c>
      <c r="CG173" s="5">
        <f t="shared" si="38"/>
        <v>0</v>
      </c>
      <c r="CH173" s="5">
        <f t="shared" si="39"/>
        <v>0</v>
      </c>
      <c r="CI173" s="5">
        <f t="shared" si="40"/>
        <v>0</v>
      </c>
      <c r="CJ173" s="5">
        <f t="shared" si="41"/>
        <v>0</v>
      </c>
      <c r="CK173" s="5">
        <f t="shared" si="42"/>
        <v>0</v>
      </c>
      <c r="CL173" s="5">
        <f t="shared" si="43"/>
        <v>0</v>
      </c>
      <c r="CM173" s="5">
        <f t="shared" si="44"/>
        <v>0</v>
      </c>
      <c r="CN173" s="5">
        <f t="shared" si="45"/>
        <v>0</v>
      </c>
      <c r="CO173" s="5">
        <f t="shared" si="46"/>
        <v>0</v>
      </c>
      <c r="CP173" s="6">
        <f t="shared" si="47"/>
        <v>0</v>
      </c>
      <c r="CQ173" s="6">
        <f t="shared" si="48"/>
        <v>0</v>
      </c>
      <c r="CR173" s="6">
        <f t="shared" si="49"/>
        <v>0</v>
      </c>
      <c r="CS173" s="6">
        <f t="shared" si="50"/>
        <v>0</v>
      </c>
      <c r="CT173" s="6">
        <f t="shared" si="584"/>
        <v>0</v>
      </c>
      <c r="CU173" s="6">
        <f t="shared" si="52"/>
        <v>0</v>
      </c>
      <c r="CV173" s="6">
        <f t="shared" si="53"/>
        <v>1</v>
      </c>
      <c r="CW173" s="6">
        <f t="shared" si="54"/>
        <v>0</v>
      </c>
      <c r="CX173" s="6">
        <f t="shared" si="55"/>
        <v>0</v>
      </c>
      <c r="CY173" s="6">
        <f t="shared" si="56"/>
        <v>0</v>
      </c>
      <c r="CZ173" s="6">
        <f t="shared" si="57"/>
        <v>0</v>
      </c>
      <c r="DA173" s="6">
        <f t="shared" si="58"/>
        <v>0</v>
      </c>
      <c r="DB173" s="6">
        <f t="shared" si="59"/>
        <v>0</v>
      </c>
      <c r="DC173" s="6">
        <f t="shared" si="60"/>
        <v>1</v>
      </c>
      <c r="DD173" s="6">
        <f t="shared" si="61"/>
        <v>0</v>
      </c>
      <c r="DE173" s="6">
        <f t="shared" si="62"/>
        <v>0</v>
      </c>
      <c r="DF173" s="6">
        <f t="shared" si="63"/>
        <v>0</v>
      </c>
      <c r="DG173" s="6">
        <f t="shared" si="64"/>
        <v>0</v>
      </c>
      <c r="DH173" s="6">
        <f t="shared" si="697"/>
        <v>0</v>
      </c>
      <c r="DI173" s="6">
        <f t="shared" si="66"/>
        <v>0</v>
      </c>
      <c r="DJ173" s="6">
        <f t="shared" si="653"/>
        <v>0</v>
      </c>
      <c r="DK173" s="7">
        <f t="shared" si="68"/>
        <v>0</v>
      </c>
      <c r="DL173" s="7">
        <f t="shared" si="498"/>
        <v>0</v>
      </c>
      <c r="DM173" s="7">
        <f t="shared" si="70"/>
        <v>0</v>
      </c>
      <c r="DN173" s="7">
        <f t="shared" si="71"/>
        <v>0</v>
      </c>
      <c r="DO173" s="7">
        <f t="shared" si="72"/>
        <v>0</v>
      </c>
      <c r="DP173" s="8">
        <f t="shared" si="73"/>
        <v>0</v>
      </c>
      <c r="DQ173" s="8">
        <f t="shared" si="74"/>
        <v>1</v>
      </c>
      <c r="DR173" s="7">
        <f t="shared" si="75"/>
        <v>0</v>
      </c>
      <c r="DS173" s="7">
        <f t="shared" si="76"/>
        <v>0</v>
      </c>
      <c r="DT173" s="7">
        <f t="shared" si="77"/>
        <v>0</v>
      </c>
      <c r="DU173" s="9">
        <f t="shared" si="78"/>
        <v>0</v>
      </c>
      <c r="DV173" s="9">
        <f t="shared" si="79"/>
        <v>0</v>
      </c>
      <c r="DW173" s="9">
        <f t="shared" si="80"/>
        <v>0</v>
      </c>
      <c r="DX173" s="9">
        <f t="shared" si="81"/>
        <v>0</v>
      </c>
      <c r="DY173" s="9">
        <f t="shared" si="82"/>
        <v>0</v>
      </c>
      <c r="DZ173" s="9">
        <f t="shared" si="83"/>
        <v>0</v>
      </c>
      <c r="EA173" s="9">
        <f t="shared" si="84"/>
        <v>0</v>
      </c>
      <c r="EB173" s="9">
        <f t="shared" si="85"/>
        <v>0</v>
      </c>
      <c r="EC173" s="9">
        <f t="shared" si="86"/>
        <v>0</v>
      </c>
      <c r="ED173" s="9">
        <f t="shared" si="87"/>
        <v>0</v>
      </c>
      <c r="EE173" s="9">
        <f t="shared" si="88"/>
        <v>0</v>
      </c>
      <c r="EF173" s="9">
        <f t="shared" si="89"/>
        <v>0</v>
      </c>
      <c r="EG173" s="9">
        <f t="shared" si="90"/>
        <v>0</v>
      </c>
      <c r="EH173" s="9">
        <f t="shared" si="91"/>
        <v>0</v>
      </c>
      <c r="EI173" s="9">
        <f t="shared" si="92"/>
        <v>0</v>
      </c>
      <c r="EJ173" s="10">
        <f t="shared" si="93"/>
        <v>0</v>
      </c>
      <c r="EK173" s="10">
        <f t="shared" si="94"/>
        <v>0</v>
      </c>
      <c r="EL173" s="10">
        <f t="shared" ref="EL173:EM173" si="702">IF(OR(ISNUMBER(SEARCH("ai software toolkit", $D173)), ISNUMBER(SEARCH("ai software toolkit", $T173)), ISNUMBER(SEARCH("ai software toolkit", $R173)), ISNUMBER(SEARCH("ai software toolkit", $S173))), 1, 0)</f>
        <v>0</v>
      </c>
      <c r="EM173" s="10">
        <f t="shared" si="702"/>
        <v>0</v>
      </c>
      <c r="EN173" s="10">
        <f t="shared" si="96"/>
        <v>0</v>
      </c>
      <c r="EO173" s="10">
        <f t="shared" si="97"/>
        <v>0</v>
      </c>
      <c r="EP173" s="10">
        <f t="shared" si="98"/>
        <v>0</v>
      </c>
      <c r="EQ173" s="10">
        <f t="shared" si="99"/>
        <v>0</v>
      </c>
      <c r="ER173" s="10">
        <f t="shared" si="100"/>
        <v>0</v>
      </c>
      <c r="ES173" s="10">
        <f t="shared" si="101"/>
        <v>0</v>
      </c>
      <c r="ET173" s="10">
        <f t="shared" si="102"/>
        <v>0</v>
      </c>
      <c r="EU173" s="10">
        <f t="shared" si="103"/>
        <v>0</v>
      </c>
      <c r="EV173" s="10">
        <f t="shared" si="104"/>
        <v>0</v>
      </c>
      <c r="EW173" s="10">
        <f t="shared" si="105"/>
        <v>0</v>
      </c>
      <c r="EX173" s="10">
        <f t="shared" si="106"/>
        <v>0</v>
      </c>
      <c r="EY173" s="10">
        <f t="shared" si="107"/>
        <v>0</v>
      </c>
      <c r="EZ173" s="10">
        <f t="shared" si="108"/>
        <v>0</v>
      </c>
      <c r="FA173" s="10">
        <f t="shared" si="109"/>
        <v>0</v>
      </c>
      <c r="FB173" s="10">
        <f t="shared" si="110"/>
        <v>0</v>
      </c>
      <c r="FC173" s="10">
        <f t="shared" si="111"/>
        <v>0</v>
      </c>
      <c r="FD173" s="10">
        <f t="shared" si="112"/>
        <v>0</v>
      </c>
      <c r="FE173" s="10">
        <f t="shared" si="113"/>
        <v>0</v>
      </c>
      <c r="FF173" s="10">
        <f t="shared" si="114"/>
        <v>0</v>
      </c>
      <c r="FG173" s="10">
        <f t="shared" si="115"/>
        <v>0</v>
      </c>
      <c r="FH173" s="10">
        <f t="shared" si="116"/>
        <v>0</v>
      </c>
      <c r="FI173" s="10">
        <f t="shared" si="117"/>
        <v>0</v>
      </c>
      <c r="FJ173" s="10">
        <f t="shared" si="118"/>
        <v>0</v>
      </c>
      <c r="FK173" s="10">
        <f t="shared" si="119"/>
        <v>0</v>
      </c>
      <c r="FL173" s="10">
        <f t="shared" si="120"/>
        <v>0</v>
      </c>
      <c r="FM173" s="10">
        <f t="shared" si="121"/>
        <v>0</v>
      </c>
      <c r="FN173" s="10">
        <f t="shared" si="122"/>
        <v>0</v>
      </c>
      <c r="FO173" s="10">
        <f t="shared" si="123"/>
        <v>0</v>
      </c>
      <c r="FP173" s="10">
        <f t="shared" si="124"/>
        <v>0</v>
      </c>
      <c r="FQ173" s="10">
        <f t="shared" si="125"/>
        <v>0</v>
      </c>
      <c r="FR173" s="11">
        <f t="shared" si="683"/>
        <v>0</v>
      </c>
      <c r="FS173" s="11">
        <f t="shared" si="127"/>
        <v>0</v>
      </c>
      <c r="FT173" s="11">
        <f t="shared" si="128"/>
        <v>0</v>
      </c>
      <c r="FU173" s="11">
        <f t="shared" si="129"/>
        <v>0</v>
      </c>
      <c r="FV173" s="11">
        <f t="shared" si="130"/>
        <v>0</v>
      </c>
      <c r="FW173" s="11">
        <f t="shared" si="131"/>
        <v>0</v>
      </c>
      <c r="FX173" s="11">
        <f t="shared" si="132"/>
        <v>0</v>
      </c>
      <c r="FY173" s="11">
        <f t="shared" si="133"/>
        <v>0</v>
      </c>
      <c r="FZ173" s="11">
        <f t="shared" si="134"/>
        <v>0</v>
      </c>
      <c r="GA173" s="11">
        <f t="shared" si="135"/>
        <v>0</v>
      </c>
      <c r="GB173" s="11">
        <f t="shared" si="136"/>
        <v>0</v>
      </c>
      <c r="GC173" s="11">
        <f t="shared" si="137"/>
        <v>0</v>
      </c>
      <c r="GD173" s="11">
        <f t="shared" si="138"/>
        <v>0</v>
      </c>
      <c r="GE173" s="11">
        <f t="shared" si="139"/>
        <v>0</v>
      </c>
      <c r="GF173" s="11">
        <f t="shared" si="140"/>
        <v>0</v>
      </c>
      <c r="GG173" s="11">
        <f t="shared" si="141"/>
        <v>0</v>
      </c>
      <c r="GH173" s="11">
        <f t="shared" si="142"/>
        <v>0</v>
      </c>
      <c r="GI173" s="11">
        <f t="shared" si="143"/>
        <v>0</v>
      </c>
      <c r="GJ173" s="11">
        <f t="shared" si="144"/>
        <v>0</v>
      </c>
      <c r="GK173" s="11">
        <f t="shared" si="145"/>
        <v>0</v>
      </c>
      <c r="GL173" s="11">
        <f t="shared" si="146"/>
        <v>0</v>
      </c>
      <c r="GM173" s="11">
        <f t="shared" si="147"/>
        <v>0</v>
      </c>
      <c r="GN173" s="11">
        <f t="shared" si="148"/>
        <v>0</v>
      </c>
      <c r="GO173" s="11">
        <f t="shared" si="149"/>
        <v>0</v>
      </c>
      <c r="GP173" s="11">
        <f t="shared" si="150"/>
        <v>0</v>
      </c>
      <c r="GQ173" s="11">
        <f t="shared" si="151"/>
        <v>0</v>
      </c>
      <c r="GR173" s="11">
        <f t="shared" si="152"/>
        <v>0</v>
      </c>
      <c r="GS173" s="11">
        <f t="shared" si="153"/>
        <v>0</v>
      </c>
      <c r="GT173" s="11">
        <f t="shared" si="154"/>
        <v>0</v>
      </c>
      <c r="GU173" s="12">
        <f t="shared" si="155"/>
        <v>0</v>
      </c>
      <c r="GV173" s="12">
        <f t="shared" si="156"/>
        <v>0</v>
      </c>
      <c r="GW173" s="12">
        <f t="shared" si="157"/>
        <v>0</v>
      </c>
      <c r="GX173" s="12">
        <f t="shared" si="158"/>
        <v>0</v>
      </c>
      <c r="GY173" s="12">
        <f t="shared" si="159"/>
        <v>0</v>
      </c>
      <c r="GZ173" s="12">
        <f t="shared" si="160"/>
        <v>0</v>
      </c>
      <c r="HA173" s="12">
        <f t="shared" si="161"/>
        <v>0</v>
      </c>
      <c r="HB173" s="12">
        <f t="shared" si="162"/>
        <v>0</v>
      </c>
      <c r="HC173" s="12">
        <f t="shared" si="163"/>
        <v>0</v>
      </c>
      <c r="HD173" s="12">
        <f t="shared" si="164"/>
        <v>0</v>
      </c>
      <c r="HE173" s="12">
        <f t="shared" si="165"/>
        <v>0</v>
      </c>
      <c r="HF173" s="12">
        <f t="shared" si="166"/>
        <v>0</v>
      </c>
      <c r="HG173" s="12">
        <f t="shared" si="167"/>
        <v>0</v>
      </c>
      <c r="HH173" s="12">
        <f t="shared" si="168"/>
        <v>0</v>
      </c>
      <c r="HI173" s="12">
        <f t="shared" si="169"/>
        <v>0</v>
      </c>
      <c r="HJ173" s="12">
        <f t="shared" si="170"/>
        <v>0</v>
      </c>
      <c r="HK173" s="12">
        <f t="shared" si="171"/>
        <v>0</v>
      </c>
      <c r="HL173" s="12">
        <f t="shared" si="172"/>
        <v>0</v>
      </c>
      <c r="HM173" s="12">
        <f t="shared" si="173"/>
        <v>0</v>
      </c>
      <c r="HN173" s="12">
        <f t="shared" si="174"/>
        <v>0</v>
      </c>
      <c r="HO173" s="12">
        <f t="shared" si="175"/>
        <v>0</v>
      </c>
      <c r="HP173" s="12">
        <f t="shared" si="176"/>
        <v>0</v>
      </c>
      <c r="HQ173" s="12">
        <f t="shared" si="177"/>
        <v>0</v>
      </c>
      <c r="HR173" s="12">
        <f t="shared" si="178"/>
        <v>0</v>
      </c>
      <c r="HS173" s="12">
        <f t="shared" si="179"/>
        <v>0</v>
      </c>
      <c r="HT173" s="12">
        <f t="shared" si="180"/>
        <v>0</v>
      </c>
      <c r="HU173" s="12">
        <f t="shared" si="181"/>
        <v>0</v>
      </c>
      <c r="HV173" s="12">
        <f t="shared" si="182"/>
        <v>0</v>
      </c>
      <c r="HW173" s="12">
        <f t="shared" si="183"/>
        <v>0</v>
      </c>
      <c r="HX173" s="12">
        <f t="shared" si="184"/>
        <v>0</v>
      </c>
      <c r="HY173" s="12">
        <f t="shared" si="185"/>
        <v>0</v>
      </c>
      <c r="HZ173" s="12">
        <f t="shared" si="186"/>
        <v>0</v>
      </c>
      <c r="IA173" s="12">
        <f t="shared" si="187"/>
        <v>0</v>
      </c>
      <c r="IB173" s="12">
        <f t="shared" si="188"/>
        <v>0</v>
      </c>
      <c r="IC173" s="12">
        <f t="shared" si="189"/>
        <v>0</v>
      </c>
      <c r="ID173" s="12">
        <f t="shared" si="190"/>
        <v>0</v>
      </c>
      <c r="IE173" s="12">
        <f t="shared" si="191"/>
        <v>0</v>
      </c>
      <c r="IF173" s="12">
        <f t="shared" si="192"/>
        <v>0</v>
      </c>
      <c r="IG173" s="12">
        <f t="shared" si="193"/>
        <v>0</v>
      </c>
      <c r="IH173" s="12">
        <f t="shared" si="194"/>
        <v>0</v>
      </c>
      <c r="II173" s="12">
        <f t="shared" si="195"/>
        <v>0</v>
      </c>
      <c r="IJ173" s="12">
        <f t="shared" si="196"/>
        <v>0</v>
      </c>
      <c r="IK173" s="12">
        <f t="shared" si="197"/>
        <v>0</v>
      </c>
      <c r="IL173" s="12">
        <f t="shared" si="198"/>
        <v>0</v>
      </c>
      <c r="IM173" s="12">
        <f t="shared" si="199"/>
        <v>0</v>
      </c>
      <c r="IN173" s="12">
        <f t="shared" si="200"/>
        <v>0</v>
      </c>
      <c r="IO173" s="12">
        <f t="shared" si="201"/>
        <v>0</v>
      </c>
      <c r="IP173" s="12">
        <f t="shared" si="202"/>
        <v>0</v>
      </c>
      <c r="IQ173" s="12">
        <f t="shared" si="203"/>
        <v>0</v>
      </c>
      <c r="IR173" s="12">
        <f t="shared" si="204"/>
        <v>0</v>
      </c>
      <c r="IS173" s="12">
        <f t="shared" si="205"/>
        <v>0</v>
      </c>
      <c r="IT173" s="12">
        <f t="shared" si="206"/>
        <v>0</v>
      </c>
      <c r="IU173" s="12">
        <f t="shared" si="207"/>
        <v>0</v>
      </c>
      <c r="IV173" s="12">
        <f t="shared" si="208"/>
        <v>0</v>
      </c>
      <c r="IW173" s="12">
        <f t="shared" si="209"/>
        <v>0</v>
      </c>
      <c r="IX173" s="12">
        <f t="shared" si="210"/>
        <v>0</v>
      </c>
      <c r="IY173" s="12">
        <f t="shared" si="211"/>
        <v>0</v>
      </c>
      <c r="IZ173" s="12">
        <f t="shared" si="212"/>
        <v>0</v>
      </c>
      <c r="JA173" s="13">
        <f t="shared" si="213"/>
        <v>0</v>
      </c>
      <c r="JB173" s="13">
        <f t="shared" si="214"/>
        <v>0</v>
      </c>
      <c r="JC173" s="13">
        <f t="shared" si="215"/>
        <v>0</v>
      </c>
      <c r="JD173" s="13">
        <f t="shared" si="216"/>
        <v>0</v>
      </c>
      <c r="JE173" s="13">
        <f t="shared" si="217"/>
        <v>0</v>
      </c>
      <c r="JF173" s="13">
        <f t="shared" si="218"/>
        <v>0</v>
      </c>
      <c r="JG173" s="13">
        <f t="shared" si="219"/>
        <v>0</v>
      </c>
      <c r="JH173" s="13">
        <f t="shared" si="220"/>
        <v>0</v>
      </c>
      <c r="JI173" s="13">
        <f t="shared" si="221"/>
        <v>0</v>
      </c>
      <c r="JJ173" s="13">
        <f t="shared" si="222"/>
        <v>0</v>
      </c>
      <c r="JK173" s="13">
        <f t="shared" si="223"/>
        <v>0</v>
      </c>
      <c r="JL173" s="13">
        <f t="shared" si="224"/>
        <v>0</v>
      </c>
      <c r="JM173" s="13">
        <f t="shared" si="225"/>
        <v>0</v>
      </c>
      <c r="JN173" s="13">
        <f t="shared" si="226"/>
        <v>0</v>
      </c>
      <c r="JO173" s="13">
        <f t="shared" si="227"/>
        <v>0</v>
      </c>
      <c r="JP173" s="13">
        <f t="shared" si="228"/>
        <v>0</v>
      </c>
      <c r="JQ173" s="13">
        <f t="shared" si="229"/>
        <v>0</v>
      </c>
      <c r="JR173" s="13">
        <f t="shared" si="230"/>
        <v>0</v>
      </c>
      <c r="JS173" s="13">
        <f t="shared" si="231"/>
        <v>0</v>
      </c>
      <c r="JT173" s="13">
        <f t="shared" si="232"/>
        <v>0</v>
      </c>
      <c r="JU173" s="13">
        <f t="shared" si="233"/>
        <v>0</v>
      </c>
      <c r="JV173" s="12">
        <f t="shared" si="234"/>
        <v>0</v>
      </c>
      <c r="JW173" s="12">
        <f t="shared" si="235"/>
        <v>0</v>
      </c>
      <c r="JX173" s="12">
        <f t="shared" si="236"/>
        <v>0</v>
      </c>
      <c r="JY173" s="12">
        <f t="shared" si="237"/>
        <v>0</v>
      </c>
      <c r="JZ173" s="12">
        <f t="shared" si="238"/>
        <v>0</v>
      </c>
      <c r="KA173" s="12">
        <f t="shared" si="239"/>
        <v>0</v>
      </c>
      <c r="KB173" s="12">
        <f t="shared" si="240"/>
        <v>0</v>
      </c>
      <c r="KC173" s="12">
        <f t="shared" si="241"/>
        <v>0</v>
      </c>
      <c r="KD173" s="12">
        <f t="shared" si="242"/>
        <v>0</v>
      </c>
      <c r="KE173" s="12">
        <f t="shared" si="243"/>
        <v>0</v>
      </c>
      <c r="KF173" s="12">
        <f t="shared" si="244"/>
        <v>0</v>
      </c>
      <c r="KG173" s="12">
        <f t="shared" si="245"/>
        <v>0</v>
      </c>
      <c r="KH173" s="12">
        <f t="shared" si="246"/>
        <v>0</v>
      </c>
      <c r="KI173" s="12">
        <f t="shared" si="247"/>
        <v>0</v>
      </c>
      <c r="KJ173" s="12">
        <f t="shared" si="248"/>
        <v>0</v>
      </c>
      <c r="KK173" s="12">
        <f t="shared" si="249"/>
        <v>0</v>
      </c>
      <c r="KL173" s="12">
        <f t="shared" si="250"/>
        <v>0</v>
      </c>
      <c r="KM173" s="12">
        <f t="shared" si="251"/>
        <v>0</v>
      </c>
      <c r="KN173" s="12">
        <f t="shared" si="252"/>
        <v>0</v>
      </c>
      <c r="KO173" s="12">
        <f t="shared" si="253"/>
        <v>0</v>
      </c>
      <c r="KP173" s="12">
        <f t="shared" si="254"/>
        <v>0</v>
      </c>
      <c r="KQ173" s="12">
        <f t="shared" si="255"/>
        <v>0</v>
      </c>
      <c r="KR173" s="12">
        <f t="shared" si="256"/>
        <v>0</v>
      </c>
      <c r="KS173" s="12">
        <f t="shared" si="257"/>
        <v>0</v>
      </c>
      <c r="KT173" s="12">
        <f t="shared" si="258"/>
        <v>0</v>
      </c>
      <c r="KU173" s="12">
        <f t="shared" si="259"/>
        <v>0</v>
      </c>
      <c r="KV173" s="12">
        <f t="shared" si="260"/>
        <v>0</v>
      </c>
      <c r="KW173" s="12">
        <f t="shared" si="261"/>
        <v>0</v>
      </c>
      <c r="KX173" s="12">
        <f t="shared" si="262"/>
        <v>0</v>
      </c>
      <c r="KY173" s="12">
        <f t="shared" si="263"/>
        <v>0</v>
      </c>
      <c r="KZ173" s="12">
        <f t="shared" si="264"/>
        <v>0</v>
      </c>
      <c r="LA173" s="12">
        <f t="shared" si="265"/>
        <v>0</v>
      </c>
      <c r="LB173" s="12">
        <f t="shared" si="266"/>
        <v>0</v>
      </c>
      <c r="LC173" s="12">
        <f t="shared" si="267"/>
        <v>0</v>
      </c>
      <c r="LD173" s="12">
        <f t="shared" si="268"/>
        <v>0</v>
      </c>
      <c r="LE173" s="12">
        <f t="shared" si="269"/>
        <v>0</v>
      </c>
      <c r="LF173" s="12">
        <f t="shared" si="270"/>
        <v>0</v>
      </c>
      <c r="LG173" s="12">
        <f t="shared" si="271"/>
        <v>0</v>
      </c>
      <c r="LH173" s="12">
        <f t="shared" si="272"/>
        <v>0</v>
      </c>
      <c r="LI173" s="12">
        <f t="shared" si="273"/>
        <v>0</v>
      </c>
      <c r="LJ173" s="12">
        <f t="shared" si="274"/>
        <v>0</v>
      </c>
      <c r="LK173" s="12">
        <f t="shared" si="275"/>
        <v>0</v>
      </c>
      <c r="LL173" s="12">
        <f t="shared" si="276"/>
        <v>0</v>
      </c>
      <c r="LM173" s="12">
        <f t="shared" si="277"/>
        <v>0</v>
      </c>
      <c r="LN173" s="12">
        <f t="shared" si="278"/>
        <v>0</v>
      </c>
      <c r="LO173" s="12">
        <f t="shared" si="279"/>
        <v>0</v>
      </c>
      <c r="LP173" s="12">
        <f t="shared" si="280"/>
        <v>0</v>
      </c>
      <c r="LQ173" s="12">
        <f t="shared" si="281"/>
        <v>0</v>
      </c>
      <c r="LR173" s="12">
        <f t="shared" si="282"/>
        <v>0</v>
      </c>
      <c r="LS173" s="12">
        <f t="shared" si="283"/>
        <v>0</v>
      </c>
      <c r="LT173" s="13">
        <f t="shared" si="284"/>
        <v>0</v>
      </c>
      <c r="LU173" s="13">
        <f t="shared" si="285"/>
        <v>0</v>
      </c>
      <c r="LV173" s="13">
        <f t="shared" si="286"/>
        <v>0</v>
      </c>
      <c r="LW173" s="13">
        <f t="shared" si="287"/>
        <v>0</v>
      </c>
      <c r="LX173" s="13">
        <f t="shared" si="288"/>
        <v>0</v>
      </c>
      <c r="LY173" s="13">
        <f t="shared" si="289"/>
        <v>0</v>
      </c>
      <c r="LZ173" s="13">
        <f t="shared" si="290"/>
        <v>0</v>
      </c>
      <c r="MA173" s="13">
        <f t="shared" si="291"/>
        <v>1</v>
      </c>
      <c r="MB173" s="13">
        <f t="shared" si="292"/>
        <v>0</v>
      </c>
      <c r="MC173" s="13">
        <f t="shared" si="293"/>
        <v>0</v>
      </c>
      <c r="MD173" s="13">
        <f t="shared" si="294"/>
        <v>0</v>
      </c>
      <c r="ME173" s="13">
        <f t="shared" si="295"/>
        <v>0</v>
      </c>
      <c r="MF173" s="13">
        <f t="shared" si="296"/>
        <v>0</v>
      </c>
      <c r="MG173" s="13">
        <f t="shared" si="297"/>
        <v>0</v>
      </c>
      <c r="MH173" s="13">
        <f t="shared" si="298"/>
        <v>0</v>
      </c>
      <c r="MI173" s="13">
        <f t="shared" si="299"/>
        <v>0</v>
      </c>
      <c r="MJ173" s="13">
        <f t="shared" si="300"/>
        <v>0</v>
      </c>
      <c r="MK173" s="13">
        <f t="shared" si="301"/>
        <v>0</v>
      </c>
      <c r="ML173" s="14">
        <f t="shared" si="302"/>
        <v>0</v>
      </c>
      <c r="MM173" s="14">
        <f t="shared" si="303"/>
        <v>0</v>
      </c>
      <c r="MN173" s="14">
        <f t="shared" si="304"/>
        <v>0</v>
      </c>
      <c r="MO173" s="14">
        <f t="shared" si="305"/>
        <v>0</v>
      </c>
      <c r="MP173" s="14">
        <f t="shared" si="306"/>
        <v>0</v>
      </c>
      <c r="MQ173" s="14">
        <f t="shared" si="307"/>
        <v>0</v>
      </c>
      <c r="MR173" s="14">
        <f t="shared" si="308"/>
        <v>0</v>
      </c>
      <c r="MS173" s="14">
        <f t="shared" si="309"/>
        <v>0</v>
      </c>
      <c r="MT173" s="14">
        <f t="shared" si="310"/>
        <v>0</v>
      </c>
      <c r="MU173" s="14">
        <f t="shared" si="311"/>
        <v>0</v>
      </c>
      <c r="MV173" s="14">
        <f t="shared" si="312"/>
        <v>0</v>
      </c>
      <c r="MW173" s="14">
        <f t="shared" si="313"/>
        <v>0</v>
      </c>
      <c r="MX173" s="14">
        <f t="shared" si="314"/>
        <v>0</v>
      </c>
      <c r="MY173" s="14">
        <f t="shared" si="315"/>
        <v>0</v>
      </c>
      <c r="MZ173" s="14">
        <f t="shared" si="316"/>
        <v>0</v>
      </c>
      <c r="NA173" s="14">
        <f t="shared" si="317"/>
        <v>0</v>
      </c>
      <c r="NB173" s="14">
        <f t="shared" si="318"/>
        <v>0</v>
      </c>
    </row>
    <row r="174" ht="15.75" customHeight="1">
      <c r="A174" s="2">
        <v>610.0</v>
      </c>
      <c r="B174" s="2" t="s">
        <v>3281</v>
      </c>
      <c r="C174" s="2" t="s">
        <v>3282</v>
      </c>
      <c r="D174" s="2" t="s">
        <v>3283</v>
      </c>
      <c r="E174" s="2">
        <v>2022.0</v>
      </c>
      <c r="F174" s="2" t="s">
        <v>3284</v>
      </c>
      <c r="G174" s="2">
        <v>15.0</v>
      </c>
      <c r="H174" s="2" t="s">
        <v>1160</v>
      </c>
      <c r="I174" s="2" t="s">
        <v>3285</v>
      </c>
      <c r="M174" s="2">
        <v>2.0</v>
      </c>
      <c r="N174" s="2" t="s">
        <v>3286</v>
      </c>
      <c r="O174" s="2" t="s">
        <v>3287</v>
      </c>
      <c r="P174" s="2" t="s">
        <v>3288</v>
      </c>
      <c r="Q174" s="2" t="s">
        <v>3289</v>
      </c>
      <c r="R174" s="2" t="s">
        <v>3290</v>
      </c>
      <c r="S174" s="2" t="s">
        <v>3291</v>
      </c>
      <c r="T174" s="2" t="s">
        <v>3292</v>
      </c>
      <c r="Y174" s="2" t="s">
        <v>3293</v>
      </c>
      <c r="AB174" s="2" t="s">
        <v>1303</v>
      </c>
      <c r="AG174" s="2" t="s">
        <v>3294</v>
      </c>
      <c r="AK174" s="2" t="s">
        <v>3284</v>
      </c>
      <c r="AL174" s="2" t="s">
        <v>384</v>
      </c>
      <c r="AM174" s="2" t="s">
        <v>1306</v>
      </c>
      <c r="AN174" s="2" t="s">
        <v>386</v>
      </c>
      <c r="AO174" s="2" t="s">
        <v>3295</v>
      </c>
      <c r="AP174" s="2" t="s">
        <v>386</v>
      </c>
      <c r="AQ174" s="2">
        <v>2378.0</v>
      </c>
      <c r="AR174" s="2" t="s">
        <v>3296</v>
      </c>
      <c r="AS174" s="2" t="b">
        <v>1</v>
      </c>
      <c r="AT174" s="3">
        <v>0.0</v>
      </c>
      <c r="AU174" s="4"/>
      <c r="AV174" s="4"/>
      <c r="AW174" s="5">
        <f t="shared" si="432"/>
        <v>0</v>
      </c>
      <c r="AX174" s="5">
        <f t="shared" si="4"/>
        <v>0</v>
      </c>
      <c r="AY174" s="5">
        <f t="shared" si="5"/>
        <v>0</v>
      </c>
      <c r="AZ174" s="5">
        <f t="shared" si="6"/>
        <v>0</v>
      </c>
      <c r="BA174" s="5">
        <f t="shared" si="7"/>
        <v>0</v>
      </c>
      <c r="BB174" s="5">
        <f t="shared" si="8"/>
        <v>0</v>
      </c>
      <c r="BC174" s="5">
        <f t="shared" si="9"/>
        <v>0</v>
      </c>
      <c r="BD174" s="5">
        <f t="shared" si="10"/>
        <v>0</v>
      </c>
      <c r="BE174" s="5">
        <f t="shared" si="11"/>
        <v>0</v>
      </c>
      <c r="BF174" s="5">
        <f t="shared" si="12"/>
        <v>0</v>
      </c>
      <c r="BG174" s="5">
        <f t="shared" si="13"/>
        <v>0</v>
      </c>
      <c r="BH174" s="5">
        <f t="shared" si="14"/>
        <v>0</v>
      </c>
      <c r="BI174" s="5">
        <f t="shared" si="15"/>
        <v>0</v>
      </c>
      <c r="BJ174" s="5">
        <f t="shared" si="16"/>
        <v>0</v>
      </c>
      <c r="BK174" s="5">
        <f t="shared" si="17"/>
        <v>0</v>
      </c>
      <c r="BL174" s="5">
        <f t="shared" si="18"/>
        <v>0</v>
      </c>
      <c r="BM174" s="5">
        <f t="shared" si="19"/>
        <v>0</v>
      </c>
      <c r="BN174" s="5">
        <f t="shared" si="20"/>
        <v>0</v>
      </c>
      <c r="BO174" s="5">
        <f t="shared" si="21"/>
        <v>0</v>
      </c>
      <c r="BP174" s="5">
        <f t="shared" si="22"/>
        <v>0</v>
      </c>
      <c r="BQ174" s="5">
        <f t="shared" si="23"/>
        <v>0</v>
      </c>
      <c r="BR174" s="5">
        <f t="shared" si="24"/>
        <v>0</v>
      </c>
      <c r="BS174" s="5">
        <f t="shared" si="25"/>
        <v>0</v>
      </c>
      <c r="BT174" s="5">
        <f t="shared" si="26"/>
        <v>0</v>
      </c>
      <c r="BU174" s="5">
        <f t="shared" si="27"/>
        <v>0</v>
      </c>
      <c r="BV174" s="5">
        <f t="shared" ref="BV174:BW174" si="703">IF(OR(ISNUMBER(SEARCH("grit",$D174)),ISNUMBER(SEARCH("grit",$T174)),ISNUMBER(SEARCH("grit",$R174)),ISNUMBER(SEARCH("grit",$S174)),
ISNUMBER(SEARCH("determination",$D174)),ISNUMBER(SEARCH("determination",$T174)),ISNUMBER(SEARCH("determination",$R174)),ISNUMBER(SEARCH("determination",$S174)),
ISNUMBER(SEARCH("tenacity",$D174)),ISNUMBER(SEARCH("tenacity",$T174)),ISNUMBER(SEARCH("tenacity",$R174)),ISNUMBER(SEARCH("tenacity",$S174)),
ISNUMBER(SEARCH("endurance",$D174)),ISNUMBER(SEARCH("endurance",$T174)),ISNUMBER(SEARCH("endurance",$R174)),ISNUMBER(SEARCH("endurance",$S174)),
ISNUMBER(SEARCH("fortitude",$D174)),ISNUMBER(SEARCH("fortitude",$T174)),ISNUMBER(SEARCH("fortitude",$R174)),ISNUMBER(SEARCH("fortitude",$S174)),
ISNUMBER(SEARCH("resolve",$D174)),ISNUMBER(SEARCH("resolve",$T174)),ISNUMBER(SEARCH("resolve",$R174)),ISNUMBER(SEARCH("resolve",$S174)),
ISNUMBER(SEARCH("stamina",$D174)),ISNUMBER(SEARCH("stamina",$T174)),ISNUMBER(SEARCH("stamina",$R174)),ISNUMBER(SEARCH("stamina",$S174)),
ISNUMBER(SEARCH("guts",$D174)),ISNUMBER(SEARCH("guts",$T174)),ISNUMBER(SEARCH("guts",$R174)),ISNUMBER(SEARCH("guts",$S174)),
ISNUMBER(SEARCH("spunk",$D174)),ISNUMBER(SEARCH("spunk",$T174)),ISNUMBER(SEARCH("spunk",$R174)),ISNUMBER(SEARCH("spunk",$S174))), 1, 0)</f>
        <v>1</v>
      </c>
      <c r="BW174" s="5">
        <f t="shared" si="703"/>
        <v>1</v>
      </c>
      <c r="BX174" s="5">
        <f t="shared" si="29"/>
        <v>0</v>
      </c>
      <c r="BY174" s="5">
        <f t="shared" si="30"/>
        <v>0</v>
      </c>
      <c r="BZ174" s="5">
        <f t="shared" si="31"/>
        <v>0</v>
      </c>
      <c r="CA174" s="5">
        <f t="shared" si="32"/>
        <v>0</v>
      </c>
      <c r="CB174" s="5">
        <f t="shared" si="33"/>
        <v>0</v>
      </c>
      <c r="CC174" s="5">
        <f t="shared" si="34"/>
        <v>0</v>
      </c>
      <c r="CD174" s="5">
        <f t="shared" si="35"/>
        <v>0</v>
      </c>
      <c r="CE174" s="5">
        <f t="shared" si="36"/>
        <v>0</v>
      </c>
      <c r="CF174" s="5">
        <f t="shared" si="37"/>
        <v>0</v>
      </c>
      <c r="CG174" s="5">
        <f t="shared" si="38"/>
        <v>0</v>
      </c>
      <c r="CH174" s="5">
        <f t="shared" si="39"/>
        <v>0</v>
      </c>
      <c r="CI174" s="5">
        <f t="shared" si="40"/>
        <v>0</v>
      </c>
      <c r="CJ174" s="5">
        <f t="shared" si="41"/>
        <v>0</v>
      </c>
      <c r="CK174" s="5">
        <f t="shared" si="42"/>
        <v>0</v>
      </c>
      <c r="CL174" s="5">
        <f t="shared" si="43"/>
        <v>0</v>
      </c>
      <c r="CM174" s="5">
        <f t="shared" si="44"/>
        <v>0</v>
      </c>
      <c r="CN174" s="5">
        <f t="shared" si="45"/>
        <v>0</v>
      </c>
      <c r="CO174" s="5">
        <f t="shared" si="46"/>
        <v>0</v>
      </c>
      <c r="CP174" s="6">
        <f t="shared" si="47"/>
        <v>0</v>
      </c>
      <c r="CQ174" s="6">
        <f t="shared" si="48"/>
        <v>0</v>
      </c>
      <c r="CR174" s="6">
        <f t="shared" si="49"/>
        <v>0</v>
      </c>
      <c r="CS174" s="6">
        <f t="shared" si="50"/>
        <v>0</v>
      </c>
      <c r="CT174" s="6">
        <f t="shared" si="584"/>
        <v>0</v>
      </c>
      <c r="CU174" s="6">
        <f t="shared" si="52"/>
        <v>0</v>
      </c>
      <c r="CV174" s="6">
        <f t="shared" si="53"/>
        <v>0</v>
      </c>
      <c r="CW174" s="6">
        <f t="shared" si="54"/>
        <v>0</v>
      </c>
      <c r="CX174" s="6">
        <f t="shared" si="55"/>
        <v>0</v>
      </c>
      <c r="CY174" s="6">
        <f t="shared" si="56"/>
        <v>0</v>
      </c>
      <c r="CZ174" s="6">
        <f t="shared" si="57"/>
        <v>0</v>
      </c>
      <c r="DA174" s="6">
        <f t="shared" si="58"/>
        <v>0</v>
      </c>
      <c r="DB174" s="6">
        <f t="shared" si="59"/>
        <v>0</v>
      </c>
      <c r="DC174" s="6">
        <f t="shared" si="60"/>
        <v>0</v>
      </c>
      <c r="DD174" s="6">
        <f t="shared" si="61"/>
        <v>0</v>
      </c>
      <c r="DE174" s="6">
        <f t="shared" si="62"/>
        <v>0</v>
      </c>
      <c r="DF174" s="6">
        <f t="shared" si="63"/>
        <v>0</v>
      </c>
      <c r="DG174" s="6">
        <f t="shared" si="64"/>
        <v>0</v>
      </c>
      <c r="DH174" s="6">
        <f t="shared" si="697"/>
        <v>0</v>
      </c>
      <c r="DI174" s="6">
        <f t="shared" si="66"/>
        <v>0</v>
      </c>
      <c r="DJ174" s="6">
        <f t="shared" si="653"/>
        <v>0</v>
      </c>
      <c r="DK174" s="7">
        <f t="shared" si="68"/>
        <v>0</v>
      </c>
      <c r="DL174" s="7">
        <f t="shared" si="498"/>
        <v>0</v>
      </c>
      <c r="DM174" s="7">
        <f t="shared" si="70"/>
        <v>0</v>
      </c>
      <c r="DN174" s="7">
        <f t="shared" si="71"/>
        <v>0</v>
      </c>
      <c r="DO174" s="7">
        <f t="shared" si="72"/>
        <v>1</v>
      </c>
      <c r="DP174" s="8">
        <f t="shared" si="73"/>
        <v>0</v>
      </c>
      <c r="DQ174" s="8">
        <f t="shared" si="74"/>
        <v>1</v>
      </c>
      <c r="DR174" s="7">
        <f t="shared" si="75"/>
        <v>0</v>
      </c>
      <c r="DS174" s="7">
        <f t="shared" si="76"/>
        <v>0</v>
      </c>
      <c r="DT174" s="7">
        <f t="shared" si="77"/>
        <v>0</v>
      </c>
      <c r="DU174" s="9">
        <f t="shared" si="78"/>
        <v>0</v>
      </c>
      <c r="DV174" s="9">
        <f t="shared" si="79"/>
        <v>0</v>
      </c>
      <c r="DW174" s="9">
        <f t="shared" si="80"/>
        <v>0</v>
      </c>
      <c r="DX174" s="9">
        <f t="shared" si="81"/>
        <v>0</v>
      </c>
      <c r="DY174" s="9">
        <f t="shared" si="82"/>
        <v>0</v>
      </c>
      <c r="DZ174" s="9">
        <f t="shared" si="83"/>
        <v>0</v>
      </c>
      <c r="EA174" s="9">
        <f t="shared" si="84"/>
        <v>0</v>
      </c>
      <c r="EB174" s="9">
        <f t="shared" si="85"/>
        <v>0</v>
      </c>
      <c r="EC174" s="9">
        <f t="shared" si="86"/>
        <v>0</v>
      </c>
      <c r="ED174" s="9">
        <f t="shared" si="87"/>
        <v>0</v>
      </c>
      <c r="EE174" s="9">
        <f t="shared" si="88"/>
        <v>0</v>
      </c>
      <c r="EF174" s="9">
        <f t="shared" si="89"/>
        <v>0</v>
      </c>
      <c r="EG174" s="9">
        <f t="shared" si="90"/>
        <v>0</v>
      </c>
      <c r="EH174" s="9">
        <f t="shared" si="91"/>
        <v>0</v>
      </c>
      <c r="EI174" s="9">
        <f t="shared" si="92"/>
        <v>0</v>
      </c>
      <c r="EJ174" s="10">
        <f t="shared" si="93"/>
        <v>0</v>
      </c>
      <c r="EK174" s="10">
        <f t="shared" si="94"/>
        <v>0</v>
      </c>
      <c r="EL174" s="10">
        <f t="shared" ref="EL174:EM174" si="704">IF(OR(ISNUMBER(SEARCH("ai software toolkit", $D174)), ISNUMBER(SEARCH("ai software toolkit", $T174)), ISNUMBER(SEARCH("ai software toolkit", $R174)), ISNUMBER(SEARCH("ai software toolkit", $S174))), 1, 0)</f>
        <v>0</v>
      </c>
      <c r="EM174" s="10">
        <f t="shared" si="704"/>
        <v>0</v>
      </c>
      <c r="EN174" s="10">
        <f t="shared" si="96"/>
        <v>0</v>
      </c>
      <c r="EO174" s="10">
        <f t="shared" si="97"/>
        <v>1</v>
      </c>
      <c r="EP174" s="10">
        <f t="shared" si="98"/>
        <v>0</v>
      </c>
      <c r="EQ174" s="10">
        <f t="shared" si="99"/>
        <v>0</v>
      </c>
      <c r="ER174" s="10">
        <f t="shared" si="100"/>
        <v>0</v>
      </c>
      <c r="ES174" s="10">
        <f t="shared" si="101"/>
        <v>0</v>
      </c>
      <c r="ET174" s="10">
        <f t="shared" si="102"/>
        <v>0</v>
      </c>
      <c r="EU174" s="10">
        <f t="shared" si="103"/>
        <v>0</v>
      </c>
      <c r="EV174" s="10">
        <f t="shared" si="104"/>
        <v>0</v>
      </c>
      <c r="EW174" s="10">
        <f t="shared" si="105"/>
        <v>0</v>
      </c>
      <c r="EX174" s="10">
        <f t="shared" si="106"/>
        <v>0</v>
      </c>
      <c r="EY174" s="10">
        <f t="shared" si="107"/>
        <v>0</v>
      </c>
      <c r="EZ174" s="10">
        <f t="shared" si="108"/>
        <v>0</v>
      </c>
      <c r="FA174" s="10">
        <f t="shared" si="109"/>
        <v>0</v>
      </c>
      <c r="FB174" s="10">
        <f t="shared" si="110"/>
        <v>0</v>
      </c>
      <c r="FC174" s="10">
        <f t="shared" si="111"/>
        <v>0</v>
      </c>
      <c r="FD174" s="10">
        <f t="shared" si="112"/>
        <v>0</v>
      </c>
      <c r="FE174" s="10">
        <f t="shared" si="113"/>
        <v>0</v>
      </c>
      <c r="FF174" s="10">
        <f t="shared" si="114"/>
        <v>0</v>
      </c>
      <c r="FG174" s="10">
        <f t="shared" si="115"/>
        <v>0</v>
      </c>
      <c r="FH174" s="10">
        <f t="shared" si="116"/>
        <v>0</v>
      </c>
      <c r="FI174" s="10">
        <f t="shared" si="117"/>
        <v>0</v>
      </c>
      <c r="FJ174" s="10">
        <f t="shared" si="118"/>
        <v>0</v>
      </c>
      <c r="FK174" s="10">
        <f t="shared" si="119"/>
        <v>0</v>
      </c>
      <c r="FL174" s="10">
        <f t="shared" si="120"/>
        <v>0</v>
      </c>
      <c r="FM174" s="10">
        <f t="shared" si="121"/>
        <v>0</v>
      </c>
      <c r="FN174" s="10">
        <f t="shared" si="122"/>
        <v>0</v>
      </c>
      <c r="FO174" s="10">
        <f t="shared" si="123"/>
        <v>0</v>
      </c>
      <c r="FP174" s="10">
        <f t="shared" si="124"/>
        <v>0</v>
      </c>
      <c r="FQ174" s="10">
        <f t="shared" si="125"/>
        <v>0</v>
      </c>
      <c r="FR174" s="11">
        <f>IF(
OR(
ISNUMBER(SEARCH("chatbot",$D174)),ISNUMBER(SEARCH("chatbot",$T174)),ISNUMBER(SEARCH("chatbot",$R173)),ISNUMBER(SEARCH("chatbot",$S174)),
ISNUMBER(SEARCH("virtual assistance",$D174)),ISNUMBER(SEARCH("virtual assistance",$T174)),ISNUMBER(SEARCH("virtual assistance",$R174)),ISNUMBER(SEARCH("virtual assistance",$S174))), 1, 0)</f>
        <v>0</v>
      </c>
      <c r="FS174" s="11">
        <f t="shared" si="127"/>
        <v>0</v>
      </c>
      <c r="FT174" s="11">
        <f t="shared" si="128"/>
        <v>0</v>
      </c>
      <c r="FU174" s="11">
        <f t="shared" si="129"/>
        <v>0</v>
      </c>
      <c r="FV174" s="11">
        <f t="shared" si="130"/>
        <v>0</v>
      </c>
      <c r="FW174" s="11">
        <f t="shared" si="131"/>
        <v>0</v>
      </c>
      <c r="FX174" s="11">
        <f t="shared" si="132"/>
        <v>0</v>
      </c>
      <c r="FY174" s="11">
        <f t="shared" si="133"/>
        <v>0</v>
      </c>
      <c r="FZ174" s="11">
        <f t="shared" si="134"/>
        <v>0</v>
      </c>
      <c r="GA174" s="11">
        <f t="shared" si="135"/>
        <v>0</v>
      </c>
      <c r="GB174" s="11">
        <f t="shared" si="136"/>
        <v>0</v>
      </c>
      <c r="GC174" s="11">
        <f t="shared" si="137"/>
        <v>0</v>
      </c>
      <c r="GD174" s="11">
        <f t="shared" si="138"/>
        <v>0</v>
      </c>
      <c r="GE174" s="11">
        <f t="shared" si="139"/>
        <v>0</v>
      </c>
      <c r="GF174" s="11">
        <f t="shared" si="140"/>
        <v>0</v>
      </c>
      <c r="GG174" s="11">
        <f t="shared" si="141"/>
        <v>0</v>
      </c>
      <c r="GH174" s="11">
        <f t="shared" si="142"/>
        <v>0</v>
      </c>
      <c r="GI174" s="11">
        <f t="shared" si="143"/>
        <v>0</v>
      </c>
      <c r="GJ174" s="11">
        <f t="shared" si="144"/>
        <v>0</v>
      </c>
      <c r="GK174" s="11">
        <f t="shared" si="145"/>
        <v>0</v>
      </c>
      <c r="GL174" s="11">
        <f t="shared" si="146"/>
        <v>0</v>
      </c>
      <c r="GM174" s="11">
        <f t="shared" si="147"/>
        <v>0</v>
      </c>
      <c r="GN174" s="11">
        <f t="shared" si="148"/>
        <v>0</v>
      </c>
      <c r="GO174" s="11">
        <f t="shared" si="149"/>
        <v>0</v>
      </c>
      <c r="GP174" s="11">
        <f t="shared" si="150"/>
        <v>0</v>
      </c>
      <c r="GQ174" s="11">
        <f t="shared" si="151"/>
        <v>0</v>
      </c>
      <c r="GR174" s="11">
        <f t="shared" si="152"/>
        <v>0</v>
      </c>
      <c r="GS174" s="11">
        <f t="shared" si="153"/>
        <v>0</v>
      </c>
      <c r="GT174" s="11">
        <f t="shared" si="154"/>
        <v>0</v>
      </c>
      <c r="GU174" s="12">
        <f t="shared" si="155"/>
        <v>0</v>
      </c>
      <c r="GV174" s="12">
        <f t="shared" si="156"/>
        <v>0</v>
      </c>
      <c r="GW174" s="12">
        <f t="shared" si="157"/>
        <v>0</v>
      </c>
      <c r="GX174" s="12">
        <f t="shared" si="158"/>
        <v>0</v>
      </c>
      <c r="GY174" s="12">
        <f t="shared" si="159"/>
        <v>0</v>
      </c>
      <c r="GZ174" s="12">
        <f t="shared" si="160"/>
        <v>0</v>
      </c>
      <c r="HA174" s="12">
        <f t="shared" si="161"/>
        <v>0</v>
      </c>
      <c r="HB174" s="12">
        <f t="shared" si="162"/>
        <v>0</v>
      </c>
      <c r="HC174" s="12">
        <f t="shared" si="163"/>
        <v>0</v>
      </c>
      <c r="HD174" s="12">
        <f t="shared" si="164"/>
        <v>0</v>
      </c>
      <c r="HE174" s="12">
        <f t="shared" si="165"/>
        <v>0</v>
      </c>
      <c r="HF174" s="12">
        <f t="shared" si="166"/>
        <v>0</v>
      </c>
      <c r="HG174" s="12">
        <f t="shared" si="167"/>
        <v>0</v>
      </c>
      <c r="HH174" s="12">
        <f t="shared" si="168"/>
        <v>0</v>
      </c>
      <c r="HI174" s="12">
        <f t="shared" si="169"/>
        <v>0</v>
      </c>
      <c r="HJ174" s="12">
        <f t="shared" si="170"/>
        <v>0</v>
      </c>
      <c r="HK174" s="12">
        <f t="shared" si="171"/>
        <v>0</v>
      </c>
      <c r="HL174" s="12">
        <f t="shared" si="172"/>
        <v>0</v>
      </c>
      <c r="HM174" s="12">
        <f t="shared" si="173"/>
        <v>0</v>
      </c>
      <c r="HN174" s="12">
        <f t="shared" si="174"/>
        <v>0</v>
      </c>
      <c r="HO174" s="12">
        <f t="shared" si="175"/>
        <v>0</v>
      </c>
      <c r="HP174" s="12">
        <f t="shared" si="176"/>
        <v>0</v>
      </c>
      <c r="HQ174" s="12">
        <f t="shared" si="177"/>
        <v>0</v>
      </c>
      <c r="HR174" s="12">
        <f t="shared" si="178"/>
        <v>0</v>
      </c>
      <c r="HS174" s="12">
        <f t="shared" si="179"/>
        <v>0</v>
      </c>
      <c r="HT174" s="12">
        <f t="shared" si="180"/>
        <v>0</v>
      </c>
      <c r="HU174" s="12">
        <f t="shared" si="181"/>
        <v>0</v>
      </c>
      <c r="HV174" s="12">
        <f t="shared" si="182"/>
        <v>0</v>
      </c>
      <c r="HW174" s="12">
        <f t="shared" si="183"/>
        <v>0</v>
      </c>
      <c r="HX174" s="12">
        <f t="shared" si="184"/>
        <v>0</v>
      </c>
      <c r="HY174" s="12">
        <f t="shared" si="185"/>
        <v>0</v>
      </c>
      <c r="HZ174" s="12">
        <f t="shared" si="186"/>
        <v>0</v>
      </c>
      <c r="IA174" s="12">
        <f t="shared" si="187"/>
        <v>0</v>
      </c>
      <c r="IB174" s="12">
        <f t="shared" si="188"/>
        <v>0</v>
      </c>
      <c r="IC174" s="12">
        <f t="shared" si="189"/>
        <v>0</v>
      </c>
      <c r="ID174" s="12">
        <f t="shared" si="190"/>
        <v>0</v>
      </c>
      <c r="IE174" s="12">
        <f t="shared" si="191"/>
        <v>0</v>
      </c>
      <c r="IF174" s="12">
        <f t="shared" si="192"/>
        <v>0</v>
      </c>
      <c r="IG174" s="12">
        <f t="shared" si="193"/>
        <v>0</v>
      </c>
      <c r="IH174" s="12">
        <f t="shared" si="194"/>
        <v>0</v>
      </c>
      <c r="II174" s="12">
        <f t="shared" si="195"/>
        <v>0</v>
      </c>
      <c r="IJ174" s="12">
        <f t="shared" si="196"/>
        <v>0</v>
      </c>
      <c r="IK174" s="12">
        <f t="shared" si="197"/>
        <v>0</v>
      </c>
      <c r="IL174" s="12">
        <f t="shared" si="198"/>
        <v>0</v>
      </c>
      <c r="IM174" s="12">
        <f t="shared" si="199"/>
        <v>0</v>
      </c>
      <c r="IN174" s="12">
        <f t="shared" si="200"/>
        <v>0</v>
      </c>
      <c r="IO174" s="12">
        <f t="shared" si="201"/>
        <v>0</v>
      </c>
      <c r="IP174" s="12">
        <f t="shared" si="202"/>
        <v>0</v>
      </c>
      <c r="IQ174" s="12">
        <f t="shared" si="203"/>
        <v>0</v>
      </c>
      <c r="IR174" s="12">
        <f t="shared" si="204"/>
        <v>0</v>
      </c>
      <c r="IS174" s="12">
        <f t="shared" si="205"/>
        <v>0</v>
      </c>
      <c r="IT174" s="12">
        <f t="shared" si="206"/>
        <v>0</v>
      </c>
      <c r="IU174" s="12">
        <f t="shared" si="207"/>
        <v>0</v>
      </c>
      <c r="IV174" s="12">
        <f t="shared" si="208"/>
        <v>0</v>
      </c>
      <c r="IW174" s="12">
        <f t="shared" si="209"/>
        <v>0</v>
      </c>
      <c r="IX174" s="12">
        <f t="shared" si="210"/>
        <v>0</v>
      </c>
      <c r="IY174" s="12">
        <f t="shared" si="211"/>
        <v>0</v>
      </c>
      <c r="IZ174" s="12">
        <f t="shared" si="212"/>
        <v>0</v>
      </c>
      <c r="JA174" s="13">
        <f t="shared" si="213"/>
        <v>0</v>
      </c>
      <c r="JB174" s="13">
        <f t="shared" si="214"/>
        <v>0</v>
      </c>
      <c r="JC174" s="13">
        <f t="shared" si="215"/>
        <v>0</v>
      </c>
      <c r="JD174" s="13">
        <f t="shared" si="216"/>
        <v>0</v>
      </c>
      <c r="JE174" s="13">
        <f t="shared" si="217"/>
        <v>0</v>
      </c>
      <c r="JF174" s="13">
        <f t="shared" si="218"/>
        <v>0</v>
      </c>
      <c r="JG174" s="13">
        <f t="shared" si="219"/>
        <v>0</v>
      </c>
      <c r="JH174" s="13">
        <f t="shared" si="220"/>
        <v>0</v>
      </c>
      <c r="JI174" s="13">
        <f t="shared" si="221"/>
        <v>0</v>
      </c>
      <c r="JJ174" s="13">
        <f t="shared" si="222"/>
        <v>0</v>
      </c>
      <c r="JK174" s="13">
        <f t="shared" si="223"/>
        <v>0</v>
      </c>
      <c r="JL174" s="13">
        <f t="shared" si="224"/>
        <v>0</v>
      </c>
      <c r="JM174" s="13">
        <f t="shared" si="225"/>
        <v>0</v>
      </c>
      <c r="JN174" s="13">
        <f t="shared" si="226"/>
        <v>0</v>
      </c>
      <c r="JO174" s="13">
        <f t="shared" si="227"/>
        <v>0</v>
      </c>
      <c r="JP174" s="13">
        <f t="shared" si="228"/>
        <v>0</v>
      </c>
      <c r="JQ174" s="13">
        <f t="shared" si="229"/>
        <v>0</v>
      </c>
      <c r="JR174" s="13">
        <f t="shared" si="230"/>
        <v>0</v>
      </c>
      <c r="JS174" s="13">
        <f t="shared" si="231"/>
        <v>0</v>
      </c>
      <c r="JT174" s="13">
        <f t="shared" si="232"/>
        <v>0</v>
      </c>
      <c r="JU174" s="13">
        <f t="shared" si="233"/>
        <v>0</v>
      </c>
      <c r="JV174" s="12">
        <f t="shared" si="234"/>
        <v>0</v>
      </c>
      <c r="JW174" s="12">
        <f t="shared" si="235"/>
        <v>0</v>
      </c>
      <c r="JX174" s="12">
        <f t="shared" si="236"/>
        <v>0</v>
      </c>
      <c r="JY174" s="12">
        <f t="shared" si="237"/>
        <v>0</v>
      </c>
      <c r="JZ174" s="12">
        <f t="shared" si="238"/>
        <v>0</v>
      </c>
      <c r="KA174" s="12">
        <f t="shared" si="239"/>
        <v>0</v>
      </c>
      <c r="KB174" s="12">
        <f t="shared" si="240"/>
        <v>0</v>
      </c>
      <c r="KC174" s="12">
        <f t="shared" si="241"/>
        <v>0</v>
      </c>
      <c r="KD174" s="12">
        <f t="shared" si="242"/>
        <v>0</v>
      </c>
      <c r="KE174" s="12">
        <f t="shared" si="243"/>
        <v>0</v>
      </c>
      <c r="KF174" s="12">
        <f t="shared" si="244"/>
        <v>0</v>
      </c>
      <c r="KG174" s="12">
        <f t="shared" si="245"/>
        <v>0</v>
      </c>
      <c r="KH174" s="12">
        <f t="shared" si="246"/>
        <v>0</v>
      </c>
      <c r="KI174" s="12">
        <f t="shared" si="247"/>
        <v>0</v>
      </c>
      <c r="KJ174" s="12">
        <f t="shared" si="248"/>
        <v>0</v>
      </c>
      <c r="KK174" s="12">
        <f t="shared" si="249"/>
        <v>0</v>
      </c>
      <c r="KL174" s="12">
        <f t="shared" si="250"/>
        <v>0</v>
      </c>
      <c r="KM174" s="12">
        <f t="shared" si="251"/>
        <v>0</v>
      </c>
      <c r="KN174" s="12">
        <f t="shared" si="252"/>
        <v>0</v>
      </c>
      <c r="KO174" s="12">
        <f t="shared" si="253"/>
        <v>0</v>
      </c>
      <c r="KP174" s="12">
        <f t="shared" si="254"/>
        <v>0</v>
      </c>
      <c r="KQ174" s="12">
        <f t="shared" si="255"/>
        <v>0</v>
      </c>
      <c r="KR174" s="12">
        <f t="shared" si="256"/>
        <v>0</v>
      </c>
      <c r="KS174" s="12">
        <f t="shared" si="257"/>
        <v>0</v>
      </c>
      <c r="KT174" s="12">
        <f t="shared" si="258"/>
        <v>0</v>
      </c>
      <c r="KU174" s="12">
        <f t="shared" si="259"/>
        <v>0</v>
      </c>
      <c r="KV174" s="12">
        <f t="shared" si="260"/>
        <v>0</v>
      </c>
      <c r="KW174" s="12">
        <f t="shared" si="261"/>
        <v>0</v>
      </c>
      <c r="KX174" s="12">
        <f t="shared" si="262"/>
        <v>0</v>
      </c>
      <c r="KY174" s="12">
        <f t="shared" si="263"/>
        <v>0</v>
      </c>
      <c r="KZ174" s="12">
        <f t="shared" si="264"/>
        <v>0</v>
      </c>
      <c r="LA174" s="12">
        <f t="shared" si="265"/>
        <v>0</v>
      </c>
      <c r="LB174" s="12">
        <f t="shared" si="266"/>
        <v>0</v>
      </c>
      <c r="LC174" s="12">
        <f t="shared" si="267"/>
        <v>0</v>
      </c>
      <c r="LD174" s="12">
        <f t="shared" si="268"/>
        <v>0</v>
      </c>
      <c r="LE174" s="12">
        <f t="shared" si="269"/>
        <v>0</v>
      </c>
      <c r="LF174" s="12">
        <f t="shared" si="270"/>
        <v>0</v>
      </c>
      <c r="LG174" s="12">
        <f t="shared" si="271"/>
        <v>0</v>
      </c>
      <c r="LH174" s="12">
        <f t="shared" si="272"/>
        <v>0</v>
      </c>
      <c r="LI174" s="12">
        <f t="shared" si="273"/>
        <v>0</v>
      </c>
      <c r="LJ174" s="12">
        <f t="shared" si="274"/>
        <v>0</v>
      </c>
      <c r="LK174" s="12">
        <f t="shared" si="275"/>
        <v>0</v>
      </c>
      <c r="LL174" s="12">
        <f t="shared" si="276"/>
        <v>0</v>
      </c>
      <c r="LM174" s="12">
        <f t="shared" si="277"/>
        <v>0</v>
      </c>
      <c r="LN174" s="12">
        <f t="shared" si="278"/>
        <v>0</v>
      </c>
      <c r="LO174" s="12">
        <f t="shared" si="279"/>
        <v>0</v>
      </c>
      <c r="LP174" s="12">
        <f t="shared" si="280"/>
        <v>0</v>
      </c>
      <c r="LQ174" s="12">
        <f t="shared" si="281"/>
        <v>0</v>
      </c>
      <c r="LR174" s="12">
        <f t="shared" si="282"/>
        <v>0</v>
      </c>
      <c r="LS174" s="12">
        <f t="shared" si="283"/>
        <v>0</v>
      </c>
      <c r="LT174" s="13">
        <f t="shared" si="284"/>
        <v>0</v>
      </c>
      <c r="LU174" s="13">
        <f t="shared" si="285"/>
        <v>0</v>
      </c>
      <c r="LV174" s="13">
        <f t="shared" si="286"/>
        <v>0</v>
      </c>
      <c r="LW174" s="13">
        <f t="shared" si="287"/>
        <v>0</v>
      </c>
      <c r="LX174" s="13">
        <f t="shared" si="288"/>
        <v>0</v>
      </c>
      <c r="LY174" s="13">
        <f t="shared" si="289"/>
        <v>0</v>
      </c>
      <c r="LZ174" s="13">
        <f t="shared" si="290"/>
        <v>0</v>
      </c>
      <c r="MA174" s="13">
        <f t="shared" si="291"/>
        <v>0</v>
      </c>
      <c r="MB174" s="13">
        <f t="shared" si="292"/>
        <v>0</v>
      </c>
      <c r="MC174" s="13">
        <f t="shared" si="293"/>
        <v>0</v>
      </c>
      <c r="MD174" s="13">
        <f t="shared" si="294"/>
        <v>0</v>
      </c>
      <c r="ME174" s="13">
        <f t="shared" si="295"/>
        <v>0</v>
      </c>
      <c r="MF174" s="13">
        <f t="shared" si="296"/>
        <v>0</v>
      </c>
      <c r="MG174" s="13">
        <f t="shared" si="297"/>
        <v>0</v>
      </c>
      <c r="MH174" s="13">
        <f t="shared" si="298"/>
        <v>0</v>
      </c>
      <c r="MI174" s="13">
        <f t="shared" si="299"/>
        <v>0</v>
      </c>
      <c r="MJ174" s="13">
        <f t="shared" si="300"/>
        <v>0</v>
      </c>
      <c r="MK174" s="13">
        <f t="shared" si="301"/>
        <v>0</v>
      </c>
      <c r="ML174" s="14">
        <f t="shared" si="302"/>
        <v>0</v>
      </c>
      <c r="MM174" s="14">
        <f t="shared" si="303"/>
        <v>0</v>
      </c>
      <c r="MN174" s="14">
        <f t="shared" si="304"/>
        <v>0</v>
      </c>
      <c r="MO174" s="14">
        <f t="shared" si="305"/>
        <v>0</v>
      </c>
      <c r="MP174" s="14">
        <f t="shared" si="306"/>
        <v>0</v>
      </c>
      <c r="MQ174" s="14">
        <f t="shared" si="307"/>
        <v>0</v>
      </c>
      <c r="MR174" s="14">
        <f t="shared" si="308"/>
        <v>0</v>
      </c>
      <c r="MS174" s="14">
        <f t="shared" si="309"/>
        <v>0</v>
      </c>
      <c r="MT174" s="14">
        <f t="shared" si="310"/>
        <v>0</v>
      </c>
      <c r="MU174" s="14">
        <f t="shared" si="311"/>
        <v>0</v>
      </c>
      <c r="MV174" s="14">
        <f t="shared" si="312"/>
        <v>0</v>
      </c>
      <c r="MW174" s="14">
        <f t="shared" si="313"/>
        <v>0</v>
      </c>
      <c r="MX174" s="14">
        <f t="shared" si="314"/>
        <v>0</v>
      </c>
      <c r="MY174" s="14">
        <f t="shared" si="315"/>
        <v>0</v>
      </c>
      <c r="MZ174" s="14">
        <f t="shared" si="316"/>
        <v>0</v>
      </c>
      <c r="NA174" s="14">
        <f t="shared" si="317"/>
        <v>0</v>
      </c>
      <c r="NB174" s="14">
        <f t="shared" si="318"/>
        <v>0</v>
      </c>
    </row>
    <row r="175" ht="15.75" customHeight="1">
      <c r="A175" s="2">
        <v>419.0</v>
      </c>
      <c r="B175" s="2" t="s">
        <v>3297</v>
      </c>
      <c r="C175" s="2" t="s">
        <v>3298</v>
      </c>
      <c r="D175" s="2" t="s">
        <v>3299</v>
      </c>
      <c r="E175" s="2">
        <v>2013.0</v>
      </c>
      <c r="F175" s="2" t="s">
        <v>3300</v>
      </c>
      <c r="G175" s="2" t="s">
        <v>3301</v>
      </c>
      <c r="H175" s="2" t="s">
        <v>392</v>
      </c>
      <c r="J175" s="2" t="s">
        <v>3302</v>
      </c>
      <c r="K175" s="2" t="s">
        <v>1635</v>
      </c>
      <c r="M175" s="2">
        <v>2.0</v>
      </c>
      <c r="O175" s="2" t="s">
        <v>3303</v>
      </c>
      <c r="P175" s="2" t="s">
        <v>3304</v>
      </c>
      <c r="Q175" s="2" t="s">
        <v>3305</v>
      </c>
      <c r="R175" s="2" t="s">
        <v>3306</v>
      </c>
      <c r="S175" s="2" t="s">
        <v>3307</v>
      </c>
      <c r="Y175" s="2" t="s">
        <v>3308</v>
      </c>
      <c r="AB175" s="2" t="s">
        <v>3309</v>
      </c>
      <c r="AG175" s="2" t="s">
        <v>3310</v>
      </c>
      <c r="AK175" s="2" t="s">
        <v>3311</v>
      </c>
      <c r="AL175" s="2" t="s">
        <v>384</v>
      </c>
      <c r="AN175" s="2" t="s">
        <v>386</v>
      </c>
      <c r="AO175" s="2" t="s">
        <v>3312</v>
      </c>
      <c r="AP175" s="2" t="s">
        <v>386</v>
      </c>
      <c r="AQ175" s="2">
        <v>1642.0</v>
      </c>
      <c r="AR175" s="2" t="s">
        <v>3313</v>
      </c>
      <c r="AS175" s="2" t="b">
        <v>0</v>
      </c>
      <c r="AT175" s="3">
        <v>0.0</v>
      </c>
      <c r="AU175" s="4">
        <v>1.0</v>
      </c>
      <c r="AV175" s="4"/>
      <c r="AW175" s="5">
        <f t="shared" si="432"/>
        <v>0</v>
      </c>
      <c r="AX175" s="5">
        <f t="shared" si="4"/>
        <v>0</v>
      </c>
      <c r="AY175" s="5">
        <f t="shared" si="5"/>
        <v>0</v>
      </c>
      <c r="AZ175" s="5">
        <f t="shared" si="6"/>
        <v>0</v>
      </c>
      <c r="BA175" s="5">
        <f t="shared" si="7"/>
        <v>0</v>
      </c>
      <c r="BB175" s="5">
        <f t="shared" si="8"/>
        <v>0</v>
      </c>
      <c r="BC175" s="5">
        <f t="shared" si="9"/>
        <v>0</v>
      </c>
      <c r="BD175" s="5">
        <f t="shared" si="10"/>
        <v>0</v>
      </c>
      <c r="BE175" s="5">
        <f t="shared" si="11"/>
        <v>0</v>
      </c>
      <c r="BF175" s="5">
        <f t="shared" si="12"/>
        <v>0</v>
      </c>
      <c r="BG175" s="5">
        <f t="shared" si="13"/>
        <v>0</v>
      </c>
      <c r="BH175" s="5">
        <f t="shared" si="14"/>
        <v>0</v>
      </c>
      <c r="BI175" s="5">
        <f t="shared" si="15"/>
        <v>0</v>
      </c>
      <c r="BJ175" s="5">
        <f t="shared" si="16"/>
        <v>0</v>
      </c>
      <c r="BK175" s="5">
        <f t="shared" si="17"/>
        <v>0</v>
      </c>
      <c r="BL175" s="5">
        <f t="shared" si="18"/>
        <v>0</v>
      </c>
      <c r="BM175" s="5">
        <f t="shared" si="19"/>
        <v>0</v>
      </c>
      <c r="BN175" s="5">
        <f t="shared" si="20"/>
        <v>0</v>
      </c>
      <c r="BO175" s="5">
        <f t="shared" si="21"/>
        <v>0</v>
      </c>
      <c r="BP175" s="5">
        <f t="shared" si="22"/>
        <v>0</v>
      </c>
      <c r="BQ175" s="5">
        <f t="shared" si="23"/>
        <v>0</v>
      </c>
      <c r="BR175" s="5">
        <f t="shared" si="24"/>
        <v>0</v>
      </c>
      <c r="BS175" s="5">
        <f t="shared" si="25"/>
        <v>0</v>
      </c>
      <c r="BT175" s="5">
        <f t="shared" si="26"/>
        <v>0</v>
      </c>
      <c r="BU175" s="5">
        <f t="shared" si="27"/>
        <v>0</v>
      </c>
      <c r="BV175" s="5">
        <f t="shared" ref="BV175:BW175" si="705">IF(OR(ISNUMBER(SEARCH("grit",$D175)),ISNUMBER(SEARCH("grit",$T175)),ISNUMBER(SEARCH("grit",$R175)),ISNUMBER(SEARCH("grit",$S175)),
ISNUMBER(SEARCH("determination",$D175)),ISNUMBER(SEARCH("determination",$T175)),ISNUMBER(SEARCH("determination",$R175)),ISNUMBER(SEARCH("determination",$S175)),
ISNUMBER(SEARCH("tenacity",$D175)),ISNUMBER(SEARCH("tenacity",$T175)),ISNUMBER(SEARCH("tenacity",$R175)),ISNUMBER(SEARCH("tenacity",$S175)),
ISNUMBER(SEARCH("endurance",$D175)),ISNUMBER(SEARCH("endurance",$T175)),ISNUMBER(SEARCH("endurance",$R175)),ISNUMBER(SEARCH("endurance",$S175)),
ISNUMBER(SEARCH("fortitude",$D175)),ISNUMBER(SEARCH("fortitude",$T175)),ISNUMBER(SEARCH("fortitude",$R175)),ISNUMBER(SEARCH("fortitude",$S175)),
ISNUMBER(SEARCH("resolve",$D175)),ISNUMBER(SEARCH("resolve",$T175)),ISNUMBER(SEARCH("resolve",$R175)),ISNUMBER(SEARCH("resolve",$S175)),
ISNUMBER(SEARCH("stamina",$D175)),ISNUMBER(SEARCH("stamina",$T175)),ISNUMBER(SEARCH("stamina",$R175)),ISNUMBER(SEARCH("stamina",$S175)),
ISNUMBER(SEARCH("guts",$D175)),ISNUMBER(SEARCH("guts",$T175)),ISNUMBER(SEARCH("guts",$R175)),ISNUMBER(SEARCH("guts",$S175)),
ISNUMBER(SEARCH("spunk",$D175)),ISNUMBER(SEARCH("spunk",$T175)),ISNUMBER(SEARCH("spunk",$R175)),ISNUMBER(SEARCH("spunk",$S175))), 1, 0)</f>
        <v>0</v>
      </c>
      <c r="BW175" s="5">
        <f t="shared" si="705"/>
        <v>0</v>
      </c>
      <c r="BX175" s="5">
        <f t="shared" si="29"/>
        <v>0</v>
      </c>
      <c r="BY175" s="5">
        <f t="shared" si="30"/>
        <v>0</v>
      </c>
      <c r="BZ175" s="5">
        <f t="shared" si="31"/>
        <v>0</v>
      </c>
      <c r="CA175" s="5">
        <f t="shared" si="32"/>
        <v>0</v>
      </c>
      <c r="CB175" s="5">
        <f t="shared" si="33"/>
        <v>0</v>
      </c>
      <c r="CC175" s="5">
        <f t="shared" si="34"/>
        <v>0</v>
      </c>
      <c r="CD175" s="5">
        <f t="shared" si="35"/>
        <v>0</v>
      </c>
      <c r="CE175" s="5">
        <f t="shared" si="36"/>
        <v>0</v>
      </c>
      <c r="CF175" s="5">
        <f t="shared" si="37"/>
        <v>0</v>
      </c>
      <c r="CG175" s="5">
        <f t="shared" si="38"/>
        <v>0</v>
      </c>
      <c r="CH175" s="5">
        <f t="shared" si="39"/>
        <v>0</v>
      </c>
      <c r="CI175" s="5">
        <f t="shared" si="40"/>
        <v>0</v>
      </c>
      <c r="CJ175" s="5">
        <f t="shared" si="41"/>
        <v>1</v>
      </c>
      <c r="CK175" s="5">
        <f t="shared" si="42"/>
        <v>1</v>
      </c>
      <c r="CL175" s="5">
        <f t="shared" si="43"/>
        <v>0</v>
      </c>
      <c r="CM175" s="5">
        <f t="shared" si="44"/>
        <v>0</v>
      </c>
      <c r="CN175" s="5">
        <f t="shared" si="45"/>
        <v>0</v>
      </c>
      <c r="CO175" s="5">
        <f t="shared" si="46"/>
        <v>0</v>
      </c>
      <c r="CP175" s="6">
        <f t="shared" si="47"/>
        <v>0</v>
      </c>
      <c r="CQ175" s="6">
        <f t="shared" si="48"/>
        <v>0</v>
      </c>
      <c r="CR175" s="6">
        <f t="shared" si="49"/>
        <v>0</v>
      </c>
      <c r="CS175" s="6">
        <f t="shared" si="50"/>
        <v>0</v>
      </c>
      <c r="CT175" s="6">
        <f t="shared" si="584"/>
        <v>0</v>
      </c>
      <c r="CU175" s="6">
        <f t="shared" si="52"/>
        <v>0</v>
      </c>
      <c r="CV175" s="6">
        <f t="shared" si="53"/>
        <v>0</v>
      </c>
      <c r="CW175" s="6">
        <f t="shared" si="54"/>
        <v>0</v>
      </c>
      <c r="CX175" s="6">
        <f t="shared" si="55"/>
        <v>0</v>
      </c>
      <c r="CY175" s="6">
        <f t="shared" si="56"/>
        <v>0</v>
      </c>
      <c r="CZ175" s="6">
        <f t="shared" si="57"/>
        <v>0</v>
      </c>
      <c r="DA175" s="6">
        <f t="shared" si="58"/>
        <v>0</v>
      </c>
      <c r="DB175" s="6">
        <f t="shared" si="59"/>
        <v>0</v>
      </c>
      <c r="DC175" s="6">
        <f t="shared" si="60"/>
        <v>0</v>
      </c>
      <c r="DD175" s="6">
        <f t="shared" si="61"/>
        <v>0</v>
      </c>
      <c r="DE175" s="6">
        <f t="shared" si="62"/>
        <v>0</v>
      </c>
      <c r="DF175" s="6">
        <f t="shared" si="63"/>
        <v>0</v>
      </c>
      <c r="DG175" s="6">
        <f t="shared" si="64"/>
        <v>0</v>
      </c>
      <c r="DH175" s="6">
        <f t="shared" si="697"/>
        <v>0</v>
      </c>
      <c r="DI175" s="6">
        <f t="shared" si="66"/>
        <v>0</v>
      </c>
      <c r="DJ175" s="6">
        <f t="shared" si="653"/>
        <v>0</v>
      </c>
      <c r="DK175" s="7">
        <f t="shared" si="68"/>
        <v>0</v>
      </c>
      <c r="DL175" s="7">
        <f t="shared" si="498"/>
        <v>0</v>
      </c>
      <c r="DM175" s="7">
        <f t="shared" si="70"/>
        <v>0</v>
      </c>
      <c r="DN175" s="7">
        <f t="shared" si="71"/>
        <v>0</v>
      </c>
      <c r="DO175" s="7">
        <f t="shared" si="72"/>
        <v>0</v>
      </c>
      <c r="DP175" s="8">
        <f t="shared" si="73"/>
        <v>0</v>
      </c>
      <c r="DQ175" s="8">
        <f t="shared" si="74"/>
        <v>1</v>
      </c>
      <c r="DR175" s="7">
        <f t="shared" si="75"/>
        <v>0</v>
      </c>
      <c r="DS175" s="7">
        <f t="shared" si="76"/>
        <v>0</v>
      </c>
      <c r="DT175" s="7">
        <f t="shared" si="77"/>
        <v>0</v>
      </c>
      <c r="DU175" s="9">
        <f t="shared" si="78"/>
        <v>0</v>
      </c>
      <c r="DV175" s="9">
        <f t="shared" si="79"/>
        <v>0</v>
      </c>
      <c r="DW175" s="9">
        <f t="shared" si="80"/>
        <v>0</v>
      </c>
      <c r="DX175" s="9">
        <f t="shared" si="81"/>
        <v>0</v>
      </c>
      <c r="DY175" s="9">
        <f t="shared" si="82"/>
        <v>0</v>
      </c>
      <c r="DZ175" s="9">
        <f t="shared" si="83"/>
        <v>0</v>
      </c>
      <c r="EA175" s="9">
        <f t="shared" si="84"/>
        <v>0</v>
      </c>
      <c r="EB175" s="9">
        <f t="shared" si="85"/>
        <v>0</v>
      </c>
      <c r="EC175" s="9">
        <f t="shared" si="86"/>
        <v>0</v>
      </c>
      <c r="ED175" s="9">
        <f t="shared" si="87"/>
        <v>0</v>
      </c>
      <c r="EE175" s="9">
        <f t="shared" si="88"/>
        <v>0</v>
      </c>
      <c r="EF175" s="9">
        <f t="shared" si="89"/>
        <v>0</v>
      </c>
      <c r="EG175" s="9">
        <f t="shared" si="90"/>
        <v>0</v>
      </c>
      <c r="EH175" s="9">
        <f t="shared" si="91"/>
        <v>0</v>
      </c>
      <c r="EI175" s="9">
        <f t="shared" si="92"/>
        <v>0</v>
      </c>
      <c r="EJ175" s="10">
        <f t="shared" si="93"/>
        <v>0</v>
      </c>
      <c r="EK175" s="10">
        <f t="shared" si="94"/>
        <v>0</v>
      </c>
      <c r="EL175" s="10">
        <f t="shared" ref="EL175:EM175" si="706">IF(OR(ISNUMBER(SEARCH("ai software toolkit", $D175)), ISNUMBER(SEARCH("ai software toolkit", $T175)), ISNUMBER(SEARCH("ai software toolkit", $R175)), ISNUMBER(SEARCH("ai software toolkit", $S175))), 1, 0)</f>
        <v>0</v>
      </c>
      <c r="EM175" s="10">
        <f t="shared" si="706"/>
        <v>0</v>
      </c>
      <c r="EN175" s="10">
        <f t="shared" si="96"/>
        <v>0</v>
      </c>
      <c r="EO175" s="10">
        <f t="shared" si="97"/>
        <v>0</v>
      </c>
      <c r="EP175" s="10">
        <f t="shared" si="98"/>
        <v>0</v>
      </c>
      <c r="EQ175" s="10">
        <f t="shared" si="99"/>
        <v>0</v>
      </c>
      <c r="ER175" s="10">
        <f t="shared" si="100"/>
        <v>0</v>
      </c>
      <c r="ES175" s="10">
        <f t="shared" si="101"/>
        <v>0</v>
      </c>
      <c r="ET175" s="10">
        <f t="shared" si="102"/>
        <v>0</v>
      </c>
      <c r="EU175" s="10">
        <f t="shared" si="103"/>
        <v>0</v>
      </c>
      <c r="EV175" s="10">
        <f t="shared" si="104"/>
        <v>0</v>
      </c>
      <c r="EW175" s="10">
        <f t="shared" si="105"/>
        <v>0</v>
      </c>
      <c r="EX175" s="10">
        <f t="shared" si="106"/>
        <v>0</v>
      </c>
      <c r="EY175" s="10">
        <f t="shared" si="107"/>
        <v>0</v>
      </c>
      <c r="EZ175" s="10">
        <f t="shared" si="108"/>
        <v>0</v>
      </c>
      <c r="FA175" s="10">
        <f t="shared" si="109"/>
        <v>0</v>
      </c>
      <c r="FB175" s="10">
        <f t="shared" si="110"/>
        <v>0</v>
      </c>
      <c r="FC175" s="10">
        <f t="shared" si="111"/>
        <v>0</v>
      </c>
      <c r="FD175" s="10">
        <f t="shared" si="112"/>
        <v>0</v>
      </c>
      <c r="FE175" s="10">
        <f t="shared" si="113"/>
        <v>0</v>
      </c>
      <c r="FF175" s="10">
        <f t="shared" si="114"/>
        <v>0</v>
      </c>
      <c r="FG175" s="10">
        <f t="shared" si="115"/>
        <v>0</v>
      </c>
      <c r="FH175" s="10">
        <f t="shared" si="116"/>
        <v>0</v>
      </c>
      <c r="FI175" s="10">
        <f t="shared" si="117"/>
        <v>0</v>
      </c>
      <c r="FJ175" s="10">
        <f t="shared" si="118"/>
        <v>0</v>
      </c>
      <c r="FK175" s="10">
        <f t="shared" si="119"/>
        <v>0</v>
      </c>
      <c r="FL175" s="10">
        <f t="shared" si="120"/>
        <v>0</v>
      </c>
      <c r="FM175" s="10">
        <f t="shared" si="121"/>
        <v>0</v>
      </c>
      <c r="FN175" s="10">
        <f t="shared" si="122"/>
        <v>0</v>
      </c>
      <c r="FO175" s="10">
        <f t="shared" si="123"/>
        <v>0</v>
      </c>
      <c r="FP175" s="10">
        <f t="shared" si="124"/>
        <v>0</v>
      </c>
      <c r="FQ175" s="10">
        <f t="shared" si="125"/>
        <v>0</v>
      </c>
      <c r="FR175" s="11">
        <f t="shared" ref="FR175:FR198" si="709">IF(
OR(
ISNUMBER(SEARCH("chatbot",$D175)),ISNUMBER(SEARCH("chatbot",$T175)),ISNUMBER(SEARCH("chatbot",#REF!)),ISNUMBER(SEARCH("chatbot",$S175)),
ISNUMBER(SEARCH("virtual assistance",$D175)),ISNUMBER(SEARCH("virtual assistance",$T175)),ISNUMBER(SEARCH("virtual assistance",$R175)),ISNUMBER(SEARCH("virtual assistance",$S175))), 1, 0)</f>
        <v>0</v>
      </c>
      <c r="FS175" s="11">
        <f t="shared" si="127"/>
        <v>0</v>
      </c>
      <c r="FT175" s="11">
        <f t="shared" si="128"/>
        <v>0</v>
      </c>
      <c r="FU175" s="11">
        <f t="shared" si="129"/>
        <v>0</v>
      </c>
      <c r="FV175" s="11">
        <f t="shared" si="130"/>
        <v>0</v>
      </c>
      <c r="FW175" s="11">
        <f t="shared" si="131"/>
        <v>0</v>
      </c>
      <c r="FX175" s="11">
        <f t="shared" si="132"/>
        <v>0</v>
      </c>
      <c r="FY175" s="11">
        <f t="shared" si="133"/>
        <v>0</v>
      </c>
      <c r="FZ175" s="11">
        <f t="shared" si="134"/>
        <v>0</v>
      </c>
      <c r="GA175" s="11">
        <f t="shared" si="135"/>
        <v>0</v>
      </c>
      <c r="GB175" s="11">
        <f t="shared" si="136"/>
        <v>0</v>
      </c>
      <c r="GC175" s="11">
        <f t="shared" si="137"/>
        <v>0</v>
      </c>
      <c r="GD175" s="11">
        <f t="shared" si="138"/>
        <v>0</v>
      </c>
      <c r="GE175" s="11">
        <f t="shared" si="139"/>
        <v>0</v>
      </c>
      <c r="GF175" s="11">
        <f t="shared" si="140"/>
        <v>0</v>
      </c>
      <c r="GG175" s="11">
        <f t="shared" si="141"/>
        <v>0</v>
      </c>
      <c r="GH175" s="11">
        <f t="shared" si="142"/>
        <v>0</v>
      </c>
      <c r="GI175" s="11">
        <f t="shared" si="143"/>
        <v>0</v>
      </c>
      <c r="GJ175" s="11">
        <f t="shared" si="144"/>
        <v>0</v>
      </c>
      <c r="GK175" s="11">
        <f t="shared" si="145"/>
        <v>0</v>
      </c>
      <c r="GL175" s="11">
        <f t="shared" si="146"/>
        <v>0</v>
      </c>
      <c r="GM175" s="11">
        <f t="shared" si="147"/>
        <v>0</v>
      </c>
      <c r="GN175" s="11">
        <f t="shared" si="148"/>
        <v>0</v>
      </c>
      <c r="GO175" s="11">
        <f t="shared" si="149"/>
        <v>0</v>
      </c>
      <c r="GP175" s="11">
        <f t="shared" si="150"/>
        <v>0</v>
      </c>
      <c r="GQ175" s="11">
        <f t="shared" si="151"/>
        <v>0</v>
      </c>
      <c r="GR175" s="11">
        <f t="shared" si="152"/>
        <v>0</v>
      </c>
      <c r="GS175" s="11">
        <f t="shared" si="153"/>
        <v>0</v>
      </c>
      <c r="GT175" s="11">
        <f t="shared" si="154"/>
        <v>0</v>
      </c>
      <c r="GU175" s="12">
        <f t="shared" si="155"/>
        <v>0</v>
      </c>
      <c r="GV175" s="12">
        <f t="shared" si="156"/>
        <v>0</v>
      </c>
      <c r="GW175" s="12">
        <f t="shared" si="157"/>
        <v>0</v>
      </c>
      <c r="GX175" s="12">
        <f t="shared" si="158"/>
        <v>0</v>
      </c>
      <c r="GY175" s="12">
        <f t="shared" si="159"/>
        <v>0</v>
      </c>
      <c r="GZ175" s="12">
        <f t="shared" si="160"/>
        <v>0</v>
      </c>
      <c r="HA175" s="12">
        <f t="shared" si="161"/>
        <v>0</v>
      </c>
      <c r="HB175" s="12">
        <f t="shared" si="162"/>
        <v>0</v>
      </c>
      <c r="HC175" s="12">
        <f t="shared" si="163"/>
        <v>0</v>
      </c>
      <c r="HD175" s="12">
        <f t="shared" si="164"/>
        <v>0</v>
      </c>
      <c r="HE175" s="12">
        <f t="shared" si="165"/>
        <v>0</v>
      </c>
      <c r="HF175" s="12">
        <f t="shared" si="166"/>
        <v>0</v>
      </c>
      <c r="HG175" s="12">
        <f t="shared" si="167"/>
        <v>0</v>
      </c>
      <c r="HH175" s="12">
        <f t="shared" si="168"/>
        <v>0</v>
      </c>
      <c r="HI175" s="12">
        <f t="shared" si="169"/>
        <v>0</v>
      </c>
      <c r="HJ175" s="12">
        <f t="shared" si="170"/>
        <v>0</v>
      </c>
      <c r="HK175" s="12">
        <f t="shared" si="171"/>
        <v>0</v>
      </c>
      <c r="HL175" s="12">
        <f t="shared" si="172"/>
        <v>0</v>
      </c>
      <c r="HM175" s="12">
        <f t="shared" si="173"/>
        <v>0</v>
      </c>
      <c r="HN175" s="12">
        <f t="shared" si="174"/>
        <v>0</v>
      </c>
      <c r="HO175" s="12">
        <f t="shared" si="175"/>
        <v>0</v>
      </c>
      <c r="HP175" s="12">
        <f t="shared" si="176"/>
        <v>0</v>
      </c>
      <c r="HQ175" s="12">
        <f t="shared" si="177"/>
        <v>0</v>
      </c>
      <c r="HR175" s="12">
        <f t="shared" si="178"/>
        <v>0</v>
      </c>
      <c r="HS175" s="12">
        <f t="shared" si="179"/>
        <v>0</v>
      </c>
      <c r="HT175" s="12">
        <f t="shared" si="180"/>
        <v>0</v>
      </c>
      <c r="HU175" s="12">
        <f t="shared" si="181"/>
        <v>0</v>
      </c>
      <c r="HV175" s="12">
        <f t="shared" si="182"/>
        <v>0</v>
      </c>
      <c r="HW175" s="12">
        <f t="shared" si="183"/>
        <v>0</v>
      </c>
      <c r="HX175" s="12">
        <f t="shared" si="184"/>
        <v>0</v>
      </c>
      <c r="HY175" s="12">
        <f t="shared" si="185"/>
        <v>0</v>
      </c>
      <c r="HZ175" s="12">
        <f t="shared" si="186"/>
        <v>0</v>
      </c>
      <c r="IA175" s="12">
        <f t="shared" si="187"/>
        <v>0</v>
      </c>
      <c r="IB175" s="12">
        <f t="shared" si="188"/>
        <v>0</v>
      </c>
      <c r="IC175" s="12">
        <f t="shared" si="189"/>
        <v>0</v>
      </c>
      <c r="ID175" s="12">
        <f t="shared" si="190"/>
        <v>0</v>
      </c>
      <c r="IE175" s="12">
        <f t="shared" si="191"/>
        <v>0</v>
      </c>
      <c r="IF175" s="12">
        <f t="shared" si="192"/>
        <v>0</v>
      </c>
      <c r="IG175" s="12">
        <f t="shared" si="193"/>
        <v>0</v>
      </c>
      <c r="IH175" s="12">
        <f t="shared" si="194"/>
        <v>0</v>
      </c>
      <c r="II175" s="12">
        <f t="shared" si="195"/>
        <v>0</v>
      </c>
      <c r="IJ175" s="12">
        <f t="shared" si="196"/>
        <v>0</v>
      </c>
      <c r="IK175" s="12">
        <f t="shared" si="197"/>
        <v>0</v>
      </c>
      <c r="IL175" s="12">
        <f t="shared" si="198"/>
        <v>0</v>
      </c>
      <c r="IM175" s="12">
        <f t="shared" si="199"/>
        <v>0</v>
      </c>
      <c r="IN175" s="12">
        <f t="shared" si="200"/>
        <v>0</v>
      </c>
      <c r="IO175" s="12">
        <f t="shared" si="201"/>
        <v>0</v>
      </c>
      <c r="IP175" s="12">
        <f t="shared" si="202"/>
        <v>0</v>
      </c>
      <c r="IQ175" s="12">
        <f t="shared" si="203"/>
        <v>0</v>
      </c>
      <c r="IR175" s="12">
        <f t="shared" si="204"/>
        <v>0</v>
      </c>
      <c r="IS175" s="12">
        <f t="shared" si="205"/>
        <v>0</v>
      </c>
      <c r="IT175" s="12">
        <f t="shared" si="206"/>
        <v>0</v>
      </c>
      <c r="IU175" s="12">
        <f t="shared" si="207"/>
        <v>0</v>
      </c>
      <c r="IV175" s="12">
        <f t="shared" si="208"/>
        <v>0</v>
      </c>
      <c r="IW175" s="12">
        <f t="shared" si="209"/>
        <v>0</v>
      </c>
      <c r="IX175" s="12">
        <f t="shared" si="210"/>
        <v>0</v>
      </c>
      <c r="IY175" s="12">
        <f t="shared" si="211"/>
        <v>0</v>
      </c>
      <c r="IZ175" s="12">
        <f t="shared" si="212"/>
        <v>0</v>
      </c>
      <c r="JA175" s="13">
        <f t="shared" si="213"/>
        <v>0</v>
      </c>
      <c r="JB175" s="13">
        <f t="shared" si="214"/>
        <v>0</v>
      </c>
      <c r="JC175" s="13">
        <f t="shared" si="215"/>
        <v>0</v>
      </c>
      <c r="JD175" s="13">
        <f t="shared" si="216"/>
        <v>0</v>
      </c>
      <c r="JE175" s="13">
        <f t="shared" si="217"/>
        <v>0</v>
      </c>
      <c r="JF175" s="13">
        <f t="shared" si="218"/>
        <v>0</v>
      </c>
      <c r="JG175" s="13">
        <f t="shared" si="219"/>
        <v>0</v>
      </c>
      <c r="JH175" s="13">
        <f t="shared" si="220"/>
        <v>0</v>
      </c>
      <c r="JI175" s="13">
        <f t="shared" si="221"/>
        <v>0</v>
      </c>
      <c r="JJ175" s="13">
        <f t="shared" si="222"/>
        <v>0</v>
      </c>
      <c r="JK175" s="13">
        <f t="shared" si="223"/>
        <v>0</v>
      </c>
      <c r="JL175" s="13">
        <f t="shared" si="224"/>
        <v>0</v>
      </c>
      <c r="JM175" s="13">
        <f t="shared" si="225"/>
        <v>0</v>
      </c>
      <c r="JN175" s="13">
        <f t="shared" si="226"/>
        <v>0</v>
      </c>
      <c r="JO175" s="13">
        <f t="shared" si="227"/>
        <v>0</v>
      </c>
      <c r="JP175" s="13">
        <f t="shared" si="228"/>
        <v>0</v>
      </c>
      <c r="JQ175" s="13">
        <f t="shared" si="229"/>
        <v>0</v>
      </c>
      <c r="JR175" s="13">
        <f t="shared" si="230"/>
        <v>0</v>
      </c>
      <c r="JS175" s="13">
        <f t="shared" si="231"/>
        <v>0</v>
      </c>
      <c r="JT175" s="13">
        <f t="shared" si="232"/>
        <v>0</v>
      </c>
      <c r="JU175" s="13">
        <f t="shared" si="233"/>
        <v>0</v>
      </c>
      <c r="JV175" s="12">
        <f t="shared" si="234"/>
        <v>0</v>
      </c>
      <c r="JW175" s="12">
        <f t="shared" si="235"/>
        <v>0</v>
      </c>
      <c r="JX175" s="12">
        <f t="shared" si="236"/>
        <v>0</v>
      </c>
      <c r="JY175" s="12">
        <f t="shared" si="237"/>
        <v>0</v>
      </c>
      <c r="JZ175" s="12">
        <f t="shared" si="238"/>
        <v>0</v>
      </c>
      <c r="KA175" s="12">
        <f t="shared" si="239"/>
        <v>0</v>
      </c>
      <c r="KB175" s="12">
        <f t="shared" si="240"/>
        <v>0</v>
      </c>
      <c r="KC175" s="12">
        <f t="shared" si="241"/>
        <v>0</v>
      </c>
      <c r="KD175" s="12">
        <f t="shared" si="242"/>
        <v>0</v>
      </c>
      <c r="KE175" s="12">
        <f t="shared" si="243"/>
        <v>0</v>
      </c>
      <c r="KF175" s="12">
        <f t="shared" si="244"/>
        <v>0</v>
      </c>
      <c r="KG175" s="12">
        <f t="shared" si="245"/>
        <v>0</v>
      </c>
      <c r="KH175" s="12">
        <f t="shared" si="246"/>
        <v>0</v>
      </c>
      <c r="KI175" s="12">
        <f t="shared" si="247"/>
        <v>0</v>
      </c>
      <c r="KJ175" s="12">
        <f t="shared" si="248"/>
        <v>0</v>
      </c>
      <c r="KK175" s="12">
        <f t="shared" si="249"/>
        <v>0</v>
      </c>
      <c r="KL175" s="12">
        <f t="shared" si="250"/>
        <v>0</v>
      </c>
      <c r="KM175" s="12">
        <f t="shared" si="251"/>
        <v>0</v>
      </c>
      <c r="KN175" s="12">
        <f t="shared" si="252"/>
        <v>0</v>
      </c>
      <c r="KO175" s="12">
        <f t="shared" si="253"/>
        <v>0</v>
      </c>
      <c r="KP175" s="12">
        <f t="shared" si="254"/>
        <v>0</v>
      </c>
      <c r="KQ175" s="12">
        <f t="shared" si="255"/>
        <v>0</v>
      </c>
      <c r="KR175" s="12">
        <f t="shared" si="256"/>
        <v>0</v>
      </c>
      <c r="KS175" s="12">
        <f t="shared" si="257"/>
        <v>0</v>
      </c>
      <c r="KT175" s="12">
        <f t="shared" si="258"/>
        <v>0</v>
      </c>
      <c r="KU175" s="12">
        <f t="shared" si="259"/>
        <v>0</v>
      </c>
      <c r="KV175" s="12">
        <f t="shared" si="260"/>
        <v>0</v>
      </c>
      <c r="KW175" s="12">
        <f t="shared" si="261"/>
        <v>0</v>
      </c>
      <c r="KX175" s="12">
        <f t="shared" si="262"/>
        <v>0</v>
      </c>
      <c r="KY175" s="12">
        <f t="shared" si="263"/>
        <v>0</v>
      </c>
      <c r="KZ175" s="12">
        <f t="shared" si="264"/>
        <v>0</v>
      </c>
      <c r="LA175" s="12">
        <f t="shared" si="265"/>
        <v>0</v>
      </c>
      <c r="LB175" s="12">
        <f t="shared" si="266"/>
        <v>0</v>
      </c>
      <c r="LC175" s="12">
        <f t="shared" si="267"/>
        <v>0</v>
      </c>
      <c r="LD175" s="12">
        <f t="shared" si="268"/>
        <v>0</v>
      </c>
      <c r="LE175" s="12">
        <f t="shared" si="269"/>
        <v>0</v>
      </c>
      <c r="LF175" s="12">
        <f t="shared" si="270"/>
        <v>0</v>
      </c>
      <c r="LG175" s="12">
        <f t="shared" si="271"/>
        <v>0</v>
      </c>
      <c r="LH175" s="12">
        <f t="shared" si="272"/>
        <v>0</v>
      </c>
      <c r="LI175" s="12">
        <f t="shared" si="273"/>
        <v>0</v>
      </c>
      <c r="LJ175" s="12">
        <f t="shared" si="274"/>
        <v>0</v>
      </c>
      <c r="LK175" s="12">
        <f t="shared" si="275"/>
        <v>0</v>
      </c>
      <c r="LL175" s="12">
        <f t="shared" si="276"/>
        <v>0</v>
      </c>
      <c r="LM175" s="12">
        <f t="shared" si="277"/>
        <v>0</v>
      </c>
      <c r="LN175" s="12">
        <f t="shared" si="278"/>
        <v>0</v>
      </c>
      <c r="LO175" s="12">
        <f t="shared" si="279"/>
        <v>0</v>
      </c>
      <c r="LP175" s="12">
        <f t="shared" si="280"/>
        <v>0</v>
      </c>
      <c r="LQ175" s="12">
        <f t="shared" si="281"/>
        <v>0</v>
      </c>
      <c r="LR175" s="12">
        <f t="shared" si="282"/>
        <v>0</v>
      </c>
      <c r="LS175" s="12">
        <f t="shared" si="283"/>
        <v>0</v>
      </c>
      <c r="LT175" s="13">
        <f t="shared" si="284"/>
        <v>0</v>
      </c>
      <c r="LU175" s="13">
        <f t="shared" si="285"/>
        <v>0</v>
      </c>
      <c r="LV175" s="13">
        <f t="shared" si="286"/>
        <v>1</v>
      </c>
      <c r="LW175" s="13">
        <f t="shared" si="287"/>
        <v>1</v>
      </c>
      <c r="LX175" s="13">
        <f t="shared" si="288"/>
        <v>0</v>
      </c>
      <c r="LY175" s="13">
        <f t="shared" si="289"/>
        <v>0</v>
      </c>
      <c r="LZ175" s="13">
        <f t="shared" si="290"/>
        <v>0</v>
      </c>
      <c r="MA175" s="13">
        <f t="shared" si="291"/>
        <v>0</v>
      </c>
      <c r="MB175" s="13">
        <f t="shared" si="292"/>
        <v>0</v>
      </c>
      <c r="MC175" s="13">
        <f t="shared" si="293"/>
        <v>0</v>
      </c>
      <c r="MD175" s="13">
        <f t="shared" si="294"/>
        <v>0</v>
      </c>
      <c r="ME175" s="13">
        <f t="shared" si="295"/>
        <v>0</v>
      </c>
      <c r="MF175" s="13">
        <f t="shared" si="296"/>
        <v>0</v>
      </c>
      <c r="MG175" s="13">
        <f t="shared" si="297"/>
        <v>0</v>
      </c>
      <c r="MH175" s="13">
        <f t="shared" si="298"/>
        <v>0</v>
      </c>
      <c r="MI175" s="13">
        <f t="shared" si="299"/>
        <v>0</v>
      </c>
      <c r="MJ175" s="13">
        <f t="shared" si="300"/>
        <v>0</v>
      </c>
      <c r="MK175" s="13">
        <f t="shared" si="301"/>
        <v>0</v>
      </c>
      <c r="ML175" s="14">
        <f t="shared" si="302"/>
        <v>0</v>
      </c>
      <c r="MM175" s="14">
        <f t="shared" si="303"/>
        <v>0</v>
      </c>
      <c r="MN175" s="14">
        <f t="shared" si="304"/>
        <v>0</v>
      </c>
      <c r="MO175" s="14">
        <f t="shared" si="305"/>
        <v>0</v>
      </c>
      <c r="MP175" s="14">
        <f t="shared" si="306"/>
        <v>0</v>
      </c>
      <c r="MQ175" s="14">
        <f t="shared" si="307"/>
        <v>0</v>
      </c>
      <c r="MR175" s="14">
        <f t="shared" si="308"/>
        <v>0</v>
      </c>
      <c r="MS175" s="14">
        <f t="shared" si="309"/>
        <v>0</v>
      </c>
      <c r="MT175" s="14">
        <f t="shared" si="310"/>
        <v>0</v>
      </c>
      <c r="MU175" s="14">
        <f t="shared" si="311"/>
        <v>0</v>
      </c>
      <c r="MV175" s="14">
        <f t="shared" si="312"/>
        <v>0</v>
      </c>
      <c r="MW175" s="14">
        <f t="shared" si="313"/>
        <v>0</v>
      </c>
      <c r="MX175" s="14">
        <f t="shared" si="314"/>
        <v>0</v>
      </c>
      <c r="MY175" s="14">
        <f t="shared" si="315"/>
        <v>0</v>
      </c>
      <c r="MZ175" s="14">
        <f t="shared" si="316"/>
        <v>0</v>
      </c>
      <c r="NA175" s="14">
        <f t="shared" si="317"/>
        <v>0</v>
      </c>
      <c r="NB175" s="14">
        <f t="shared" si="318"/>
        <v>0</v>
      </c>
    </row>
    <row r="176" ht="15.75" customHeight="1">
      <c r="A176" s="2">
        <v>726.0</v>
      </c>
      <c r="B176" s="2" t="s">
        <v>3314</v>
      </c>
      <c r="C176" s="2" t="s">
        <v>3315</v>
      </c>
      <c r="D176" s="2" t="s">
        <v>3316</v>
      </c>
      <c r="E176" s="2">
        <v>2022.0</v>
      </c>
      <c r="F176" s="2" t="s">
        <v>3317</v>
      </c>
      <c r="G176" s="2">
        <v>4.0</v>
      </c>
      <c r="I176" s="2" t="s">
        <v>3318</v>
      </c>
      <c r="M176" s="2">
        <v>2.0</v>
      </c>
      <c r="N176" s="2" t="s">
        <v>3319</v>
      </c>
      <c r="O176" s="2" t="s">
        <v>3320</v>
      </c>
      <c r="P176" s="2" t="s">
        <v>3321</v>
      </c>
      <c r="Q176" s="2" t="s">
        <v>3322</v>
      </c>
      <c r="R176" s="2" t="s">
        <v>3323</v>
      </c>
      <c r="S176" s="2" t="s">
        <v>3324</v>
      </c>
      <c r="Y176" s="2" t="s">
        <v>3325</v>
      </c>
      <c r="AB176" s="2" t="s">
        <v>646</v>
      </c>
      <c r="AG176" s="2" t="s">
        <v>3326</v>
      </c>
      <c r="AK176" s="2" t="s">
        <v>3327</v>
      </c>
      <c r="AL176" s="2" t="s">
        <v>384</v>
      </c>
      <c r="AM176" s="2" t="s">
        <v>1306</v>
      </c>
      <c r="AN176" s="2" t="s">
        <v>386</v>
      </c>
      <c r="AO176" s="2" t="s">
        <v>3328</v>
      </c>
      <c r="AP176" s="2" t="s">
        <v>386</v>
      </c>
      <c r="AQ176" s="2">
        <v>2857.0</v>
      </c>
      <c r="AR176" s="2" t="s">
        <v>3329</v>
      </c>
      <c r="AS176" s="2" t="b">
        <v>1</v>
      </c>
      <c r="AT176" s="3">
        <v>0.0</v>
      </c>
      <c r="AU176" s="4"/>
      <c r="AV176" s="4"/>
      <c r="AW176" s="5">
        <f t="shared" si="432"/>
        <v>0</v>
      </c>
      <c r="AX176" s="5">
        <f t="shared" si="4"/>
        <v>0</v>
      </c>
      <c r="AY176" s="5">
        <f t="shared" si="5"/>
        <v>0</v>
      </c>
      <c r="AZ176" s="5">
        <f t="shared" si="6"/>
        <v>0</v>
      </c>
      <c r="BA176" s="5">
        <f t="shared" si="7"/>
        <v>0</v>
      </c>
      <c r="BB176" s="5">
        <f t="shared" si="8"/>
        <v>0</v>
      </c>
      <c r="BC176" s="5">
        <f t="shared" si="9"/>
        <v>0</v>
      </c>
      <c r="BD176" s="5">
        <f t="shared" si="10"/>
        <v>0</v>
      </c>
      <c r="BE176" s="5">
        <f t="shared" si="11"/>
        <v>0</v>
      </c>
      <c r="BF176" s="5">
        <f t="shared" si="12"/>
        <v>0</v>
      </c>
      <c r="BG176" s="5">
        <f t="shared" si="13"/>
        <v>0</v>
      </c>
      <c r="BH176" s="5">
        <f t="shared" si="14"/>
        <v>0</v>
      </c>
      <c r="BI176" s="5">
        <f t="shared" si="15"/>
        <v>0</v>
      </c>
      <c r="BJ176" s="5">
        <f t="shared" si="16"/>
        <v>0</v>
      </c>
      <c r="BK176" s="5">
        <f t="shared" si="17"/>
        <v>0</v>
      </c>
      <c r="BL176" s="5">
        <f t="shared" si="18"/>
        <v>0</v>
      </c>
      <c r="BM176" s="5">
        <f t="shared" si="19"/>
        <v>0</v>
      </c>
      <c r="BN176" s="5">
        <f t="shared" si="20"/>
        <v>0</v>
      </c>
      <c r="BO176" s="5">
        <f t="shared" si="21"/>
        <v>0</v>
      </c>
      <c r="BP176" s="5">
        <f t="shared" si="22"/>
        <v>0</v>
      </c>
      <c r="BQ176" s="5">
        <f t="shared" si="23"/>
        <v>0</v>
      </c>
      <c r="BR176" s="5">
        <f t="shared" si="24"/>
        <v>0</v>
      </c>
      <c r="BS176" s="5">
        <f t="shared" si="25"/>
        <v>0</v>
      </c>
      <c r="BT176" s="5">
        <f t="shared" si="26"/>
        <v>0</v>
      </c>
      <c r="BU176" s="5">
        <f t="shared" si="27"/>
        <v>0</v>
      </c>
      <c r="BV176" s="5">
        <f t="shared" ref="BV176:BW176" si="707">IF(OR(ISNUMBER(SEARCH("grit",$D176)),ISNUMBER(SEARCH("grit",$T176)),ISNUMBER(SEARCH("grit",$R176)),ISNUMBER(SEARCH("grit",$S176)),
ISNUMBER(SEARCH("determination",$D176)),ISNUMBER(SEARCH("determination",$T176)),ISNUMBER(SEARCH("determination",$R176)),ISNUMBER(SEARCH("determination",$S176)),
ISNUMBER(SEARCH("tenacity",$D176)),ISNUMBER(SEARCH("tenacity",$T176)),ISNUMBER(SEARCH("tenacity",$R176)),ISNUMBER(SEARCH("tenacity",$S176)),
ISNUMBER(SEARCH("endurance",$D176)),ISNUMBER(SEARCH("endurance",$T176)),ISNUMBER(SEARCH("endurance",$R176)),ISNUMBER(SEARCH("endurance",$S176)),
ISNUMBER(SEARCH("fortitude",$D176)),ISNUMBER(SEARCH("fortitude",$T176)),ISNUMBER(SEARCH("fortitude",$R176)),ISNUMBER(SEARCH("fortitude",$S176)),
ISNUMBER(SEARCH("resolve",$D176)),ISNUMBER(SEARCH("resolve",$T176)),ISNUMBER(SEARCH("resolve",$R176)),ISNUMBER(SEARCH("resolve",$S176)),
ISNUMBER(SEARCH("stamina",$D176)),ISNUMBER(SEARCH("stamina",$T176)),ISNUMBER(SEARCH("stamina",$R176)),ISNUMBER(SEARCH("stamina",$S176)),
ISNUMBER(SEARCH("guts",$D176)),ISNUMBER(SEARCH("guts",$T176)),ISNUMBER(SEARCH("guts",$R176)),ISNUMBER(SEARCH("guts",$S176)),
ISNUMBER(SEARCH("spunk",$D176)),ISNUMBER(SEARCH("spunk",$T176)),ISNUMBER(SEARCH("spunk",$R176)),ISNUMBER(SEARCH("spunk",$S176))), 1, 0)</f>
        <v>0</v>
      </c>
      <c r="BW176" s="5">
        <f t="shared" si="707"/>
        <v>0</v>
      </c>
      <c r="BX176" s="5">
        <f t="shared" si="29"/>
        <v>0</v>
      </c>
      <c r="BY176" s="5">
        <f t="shared" si="30"/>
        <v>0</v>
      </c>
      <c r="BZ176" s="5">
        <f t="shared" si="31"/>
        <v>0</v>
      </c>
      <c r="CA176" s="5">
        <f t="shared" si="32"/>
        <v>0</v>
      </c>
      <c r="CB176" s="5">
        <f t="shared" si="33"/>
        <v>0</v>
      </c>
      <c r="CC176" s="5">
        <f t="shared" si="34"/>
        <v>0</v>
      </c>
      <c r="CD176" s="5">
        <f t="shared" si="35"/>
        <v>0</v>
      </c>
      <c r="CE176" s="5">
        <f t="shared" si="36"/>
        <v>0</v>
      </c>
      <c r="CF176" s="5">
        <f t="shared" si="37"/>
        <v>0</v>
      </c>
      <c r="CG176" s="5">
        <f t="shared" si="38"/>
        <v>0</v>
      </c>
      <c r="CH176" s="5">
        <f t="shared" si="39"/>
        <v>0</v>
      </c>
      <c r="CI176" s="5">
        <f t="shared" si="40"/>
        <v>0</v>
      </c>
      <c r="CJ176" s="5">
        <f t="shared" si="41"/>
        <v>0</v>
      </c>
      <c r="CK176" s="5">
        <f t="shared" si="42"/>
        <v>0</v>
      </c>
      <c r="CL176" s="5">
        <f t="shared" si="43"/>
        <v>0</v>
      </c>
      <c r="CM176" s="5">
        <f t="shared" si="44"/>
        <v>0</v>
      </c>
      <c r="CN176" s="5">
        <f t="shared" si="45"/>
        <v>0</v>
      </c>
      <c r="CO176" s="5">
        <f t="shared" si="46"/>
        <v>0</v>
      </c>
      <c r="CP176" s="6">
        <f t="shared" si="47"/>
        <v>0</v>
      </c>
      <c r="CQ176" s="6">
        <f t="shared" si="48"/>
        <v>0</v>
      </c>
      <c r="CR176" s="6">
        <f t="shared" si="49"/>
        <v>0</v>
      </c>
      <c r="CS176" s="6">
        <f t="shared" si="50"/>
        <v>0</v>
      </c>
      <c r="CT176" s="6">
        <f t="shared" si="584"/>
        <v>0</v>
      </c>
      <c r="CU176" s="6">
        <f t="shared" si="52"/>
        <v>0</v>
      </c>
      <c r="CV176" s="6">
        <f t="shared" si="53"/>
        <v>0</v>
      </c>
      <c r="CW176" s="6">
        <f t="shared" si="54"/>
        <v>0</v>
      </c>
      <c r="CX176" s="6">
        <f t="shared" si="55"/>
        <v>0</v>
      </c>
      <c r="CY176" s="6">
        <f t="shared" si="56"/>
        <v>0</v>
      </c>
      <c r="CZ176" s="6">
        <f t="shared" si="57"/>
        <v>0</v>
      </c>
      <c r="DA176" s="6">
        <f t="shared" si="58"/>
        <v>0</v>
      </c>
      <c r="DB176" s="6">
        <f t="shared" si="59"/>
        <v>0</v>
      </c>
      <c r="DC176" s="6">
        <f t="shared" si="60"/>
        <v>0</v>
      </c>
      <c r="DD176" s="6">
        <f t="shared" si="61"/>
        <v>0</v>
      </c>
      <c r="DE176" s="6">
        <f t="shared" si="62"/>
        <v>0</v>
      </c>
      <c r="DF176" s="6">
        <f t="shared" si="63"/>
        <v>0</v>
      </c>
      <c r="DG176" s="6">
        <f t="shared" si="64"/>
        <v>0</v>
      </c>
      <c r="DH176" s="6">
        <f t="shared" si="697"/>
        <v>0</v>
      </c>
      <c r="DI176" s="6">
        <f t="shared" si="66"/>
        <v>0</v>
      </c>
      <c r="DJ176" s="6">
        <f t="shared" si="653"/>
        <v>0</v>
      </c>
      <c r="DK176" s="7">
        <f t="shared" si="68"/>
        <v>0</v>
      </c>
      <c r="DL176" s="7">
        <f t="shared" si="498"/>
        <v>0</v>
      </c>
      <c r="DM176" s="7">
        <f t="shared" si="70"/>
        <v>0</v>
      </c>
      <c r="DN176" s="7">
        <f t="shared" si="71"/>
        <v>0</v>
      </c>
      <c r="DO176" s="7">
        <f t="shared" si="72"/>
        <v>1</v>
      </c>
      <c r="DP176" s="8">
        <f t="shared" si="73"/>
        <v>0</v>
      </c>
      <c r="DQ176" s="8">
        <f t="shared" si="74"/>
        <v>0</v>
      </c>
      <c r="DR176" s="7">
        <f t="shared" si="75"/>
        <v>0</v>
      </c>
      <c r="DS176" s="7">
        <f t="shared" si="76"/>
        <v>0</v>
      </c>
      <c r="DT176" s="7">
        <f t="shared" si="77"/>
        <v>0</v>
      </c>
      <c r="DU176" s="9">
        <f t="shared" si="78"/>
        <v>0</v>
      </c>
      <c r="DV176" s="9">
        <f t="shared" si="79"/>
        <v>0</v>
      </c>
      <c r="DW176" s="9">
        <f t="shared" si="80"/>
        <v>0</v>
      </c>
      <c r="DX176" s="9">
        <f t="shared" si="81"/>
        <v>0</v>
      </c>
      <c r="DY176" s="9">
        <f t="shared" si="82"/>
        <v>0</v>
      </c>
      <c r="DZ176" s="9">
        <f t="shared" si="83"/>
        <v>0</v>
      </c>
      <c r="EA176" s="9">
        <f t="shared" si="84"/>
        <v>0</v>
      </c>
      <c r="EB176" s="9">
        <f t="shared" si="85"/>
        <v>0</v>
      </c>
      <c r="EC176" s="9">
        <f t="shared" si="86"/>
        <v>0</v>
      </c>
      <c r="ED176" s="9">
        <f t="shared" si="87"/>
        <v>0</v>
      </c>
      <c r="EE176" s="9">
        <f t="shared" si="88"/>
        <v>0</v>
      </c>
      <c r="EF176" s="9">
        <f t="shared" si="89"/>
        <v>0</v>
      </c>
      <c r="EG176" s="9">
        <f t="shared" si="90"/>
        <v>0</v>
      </c>
      <c r="EH176" s="9">
        <f t="shared" si="91"/>
        <v>0</v>
      </c>
      <c r="EI176" s="9">
        <f t="shared" si="92"/>
        <v>0</v>
      </c>
      <c r="EJ176" s="10">
        <f t="shared" si="93"/>
        <v>0</v>
      </c>
      <c r="EK176" s="10">
        <f t="shared" si="94"/>
        <v>0</v>
      </c>
      <c r="EL176" s="10">
        <f t="shared" ref="EL176:EM176" si="708">IF(OR(ISNUMBER(SEARCH("ai software toolkit", $D176)), ISNUMBER(SEARCH("ai software toolkit", $T176)), ISNUMBER(SEARCH("ai software toolkit", $R176)), ISNUMBER(SEARCH("ai software toolkit", $S176))), 1, 0)</f>
        <v>0</v>
      </c>
      <c r="EM176" s="10">
        <f t="shared" si="708"/>
        <v>0</v>
      </c>
      <c r="EN176" s="10">
        <f t="shared" si="96"/>
        <v>0</v>
      </c>
      <c r="EO176" s="10">
        <f t="shared" si="97"/>
        <v>0</v>
      </c>
      <c r="EP176" s="10">
        <f t="shared" si="98"/>
        <v>0</v>
      </c>
      <c r="EQ176" s="10">
        <f t="shared" si="99"/>
        <v>0</v>
      </c>
      <c r="ER176" s="10">
        <f t="shared" si="100"/>
        <v>0</v>
      </c>
      <c r="ES176" s="10">
        <f t="shared" si="101"/>
        <v>0</v>
      </c>
      <c r="ET176" s="10">
        <f t="shared" si="102"/>
        <v>0</v>
      </c>
      <c r="EU176" s="10">
        <f t="shared" si="103"/>
        <v>0</v>
      </c>
      <c r="EV176" s="10">
        <f t="shared" si="104"/>
        <v>0</v>
      </c>
      <c r="EW176" s="10">
        <f t="shared" si="105"/>
        <v>0</v>
      </c>
      <c r="EX176" s="10">
        <f t="shared" si="106"/>
        <v>0</v>
      </c>
      <c r="EY176" s="10">
        <f t="shared" si="107"/>
        <v>0</v>
      </c>
      <c r="EZ176" s="10">
        <f t="shared" si="108"/>
        <v>0</v>
      </c>
      <c r="FA176" s="10">
        <f t="shared" si="109"/>
        <v>0</v>
      </c>
      <c r="FB176" s="10">
        <f t="shared" si="110"/>
        <v>0</v>
      </c>
      <c r="FC176" s="10">
        <f t="shared" si="111"/>
        <v>0</v>
      </c>
      <c r="FD176" s="10">
        <f t="shared" si="112"/>
        <v>0</v>
      </c>
      <c r="FE176" s="10">
        <f t="shared" si="113"/>
        <v>1</v>
      </c>
      <c r="FF176" s="10">
        <f t="shared" si="114"/>
        <v>0</v>
      </c>
      <c r="FG176" s="10">
        <f t="shared" si="115"/>
        <v>0</v>
      </c>
      <c r="FH176" s="10">
        <f t="shared" si="116"/>
        <v>0</v>
      </c>
      <c r="FI176" s="10">
        <f t="shared" si="117"/>
        <v>0</v>
      </c>
      <c r="FJ176" s="10">
        <f t="shared" si="118"/>
        <v>0</v>
      </c>
      <c r="FK176" s="10">
        <f t="shared" si="119"/>
        <v>0</v>
      </c>
      <c r="FL176" s="10">
        <f t="shared" si="120"/>
        <v>0</v>
      </c>
      <c r="FM176" s="10">
        <f t="shared" si="121"/>
        <v>0</v>
      </c>
      <c r="FN176" s="10">
        <f t="shared" si="122"/>
        <v>0</v>
      </c>
      <c r="FO176" s="10">
        <f t="shared" si="123"/>
        <v>0</v>
      </c>
      <c r="FP176" s="10">
        <f t="shared" si="124"/>
        <v>0</v>
      </c>
      <c r="FQ176" s="10">
        <f t="shared" si="125"/>
        <v>0</v>
      </c>
      <c r="FR176" s="11">
        <f t="shared" si="709"/>
        <v>0</v>
      </c>
      <c r="FS176" s="11">
        <f t="shared" si="127"/>
        <v>0</v>
      </c>
      <c r="FT176" s="11">
        <f t="shared" si="128"/>
        <v>0</v>
      </c>
      <c r="FU176" s="11">
        <f t="shared" si="129"/>
        <v>0</v>
      </c>
      <c r="FV176" s="11">
        <f t="shared" si="130"/>
        <v>0</v>
      </c>
      <c r="FW176" s="11">
        <f t="shared" si="131"/>
        <v>0</v>
      </c>
      <c r="FX176" s="11">
        <f t="shared" si="132"/>
        <v>0</v>
      </c>
      <c r="FY176" s="11">
        <f t="shared" si="133"/>
        <v>0</v>
      </c>
      <c r="FZ176" s="11">
        <f t="shared" si="134"/>
        <v>0</v>
      </c>
      <c r="GA176" s="11">
        <f t="shared" si="135"/>
        <v>0</v>
      </c>
      <c r="GB176" s="11">
        <f t="shared" si="136"/>
        <v>0</v>
      </c>
      <c r="GC176" s="11">
        <f t="shared" si="137"/>
        <v>0</v>
      </c>
      <c r="GD176" s="11">
        <f t="shared" si="138"/>
        <v>0</v>
      </c>
      <c r="GE176" s="11">
        <f t="shared" si="139"/>
        <v>0</v>
      </c>
      <c r="GF176" s="11">
        <f t="shared" si="140"/>
        <v>0</v>
      </c>
      <c r="GG176" s="11">
        <f t="shared" si="141"/>
        <v>0</v>
      </c>
      <c r="GH176" s="11">
        <f t="shared" si="142"/>
        <v>0</v>
      </c>
      <c r="GI176" s="11">
        <f t="shared" si="143"/>
        <v>0</v>
      </c>
      <c r="GJ176" s="11">
        <f t="shared" si="144"/>
        <v>0</v>
      </c>
      <c r="GK176" s="11">
        <f t="shared" si="145"/>
        <v>0</v>
      </c>
      <c r="GL176" s="11">
        <f t="shared" si="146"/>
        <v>0</v>
      </c>
      <c r="GM176" s="11">
        <f t="shared" si="147"/>
        <v>0</v>
      </c>
      <c r="GN176" s="11">
        <f t="shared" si="148"/>
        <v>0</v>
      </c>
      <c r="GO176" s="11">
        <f t="shared" si="149"/>
        <v>0</v>
      </c>
      <c r="GP176" s="11">
        <f t="shared" si="150"/>
        <v>0</v>
      </c>
      <c r="GQ176" s="11">
        <f t="shared" si="151"/>
        <v>0</v>
      </c>
      <c r="GR176" s="11">
        <f t="shared" si="152"/>
        <v>0</v>
      </c>
      <c r="GS176" s="11">
        <f t="shared" si="153"/>
        <v>0</v>
      </c>
      <c r="GT176" s="11">
        <f t="shared" si="154"/>
        <v>0</v>
      </c>
      <c r="GU176" s="12">
        <f t="shared" si="155"/>
        <v>0</v>
      </c>
      <c r="GV176" s="12">
        <f t="shared" si="156"/>
        <v>0</v>
      </c>
      <c r="GW176" s="12">
        <f t="shared" si="157"/>
        <v>0</v>
      </c>
      <c r="GX176" s="12">
        <f t="shared" si="158"/>
        <v>0</v>
      </c>
      <c r="GY176" s="12">
        <f t="shared" si="159"/>
        <v>0</v>
      </c>
      <c r="GZ176" s="12">
        <f t="shared" si="160"/>
        <v>0</v>
      </c>
      <c r="HA176" s="12">
        <f t="shared" si="161"/>
        <v>0</v>
      </c>
      <c r="HB176" s="12">
        <f t="shared" si="162"/>
        <v>0</v>
      </c>
      <c r="HC176" s="12">
        <f t="shared" si="163"/>
        <v>0</v>
      </c>
      <c r="HD176" s="12">
        <f t="shared" si="164"/>
        <v>0</v>
      </c>
      <c r="HE176" s="12">
        <f t="shared" si="165"/>
        <v>0</v>
      </c>
      <c r="HF176" s="12">
        <f t="shared" si="166"/>
        <v>0</v>
      </c>
      <c r="HG176" s="12">
        <f t="shared" si="167"/>
        <v>0</v>
      </c>
      <c r="HH176" s="12">
        <f t="shared" si="168"/>
        <v>0</v>
      </c>
      <c r="HI176" s="12">
        <f t="shared" si="169"/>
        <v>0</v>
      </c>
      <c r="HJ176" s="12">
        <f t="shared" si="170"/>
        <v>0</v>
      </c>
      <c r="HK176" s="12">
        <f t="shared" si="171"/>
        <v>0</v>
      </c>
      <c r="HL176" s="12">
        <f t="shared" si="172"/>
        <v>0</v>
      </c>
      <c r="HM176" s="12">
        <f t="shared" si="173"/>
        <v>0</v>
      </c>
      <c r="HN176" s="12">
        <f t="shared" si="174"/>
        <v>0</v>
      </c>
      <c r="HO176" s="12">
        <f t="shared" si="175"/>
        <v>0</v>
      </c>
      <c r="HP176" s="12">
        <f t="shared" si="176"/>
        <v>0</v>
      </c>
      <c r="HQ176" s="12">
        <f t="shared" si="177"/>
        <v>0</v>
      </c>
      <c r="HR176" s="12">
        <f t="shared" si="178"/>
        <v>0</v>
      </c>
      <c r="HS176" s="12">
        <f t="shared" si="179"/>
        <v>0</v>
      </c>
      <c r="HT176" s="12">
        <f t="shared" si="180"/>
        <v>0</v>
      </c>
      <c r="HU176" s="12">
        <f t="shared" si="181"/>
        <v>0</v>
      </c>
      <c r="HV176" s="12">
        <f t="shared" si="182"/>
        <v>0</v>
      </c>
      <c r="HW176" s="12">
        <f t="shared" si="183"/>
        <v>0</v>
      </c>
      <c r="HX176" s="12">
        <f t="shared" si="184"/>
        <v>0</v>
      </c>
      <c r="HY176" s="12">
        <f t="shared" si="185"/>
        <v>0</v>
      </c>
      <c r="HZ176" s="12">
        <f t="shared" si="186"/>
        <v>0</v>
      </c>
      <c r="IA176" s="12">
        <f t="shared" si="187"/>
        <v>0</v>
      </c>
      <c r="IB176" s="12">
        <f t="shared" si="188"/>
        <v>0</v>
      </c>
      <c r="IC176" s="12">
        <f t="shared" si="189"/>
        <v>0</v>
      </c>
      <c r="ID176" s="12">
        <f t="shared" si="190"/>
        <v>0</v>
      </c>
      <c r="IE176" s="12">
        <f t="shared" si="191"/>
        <v>0</v>
      </c>
      <c r="IF176" s="12">
        <f t="shared" si="192"/>
        <v>0</v>
      </c>
      <c r="IG176" s="12">
        <f t="shared" si="193"/>
        <v>0</v>
      </c>
      <c r="IH176" s="12">
        <f t="shared" si="194"/>
        <v>0</v>
      </c>
      <c r="II176" s="12">
        <f t="shared" si="195"/>
        <v>0</v>
      </c>
      <c r="IJ176" s="12">
        <f t="shared" si="196"/>
        <v>0</v>
      </c>
      <c r="IK176" s="12">
        <f t="shared" si="197"/>
        <v>0</v>
      </c>
      <c r="IL176" s="12">
        <f t="shared" si="198"/>
        <v>0</v>
      </c>
      <c r="IM176" s="12">
        <f t="shared" si="199"/>
        <v>0</v>
      </c>
      <c r="IN176" s="12">
        <f t="shared" si="200"/>
        <v>0</v>
      </c>
      <c r="IO176" s="12">
        <f t="shared" si="201"/>
        <v>0</v>
      </c>
      <c r="IP176" s="12">
        <f t="shared" si="202"/>
        <v>0</v>
      </c>
      <c r="IQ176" s="12">
        <f t="shared" si="203"/>
        <v>0</v>
      </c>
      <c r="IR176" s="12">
        <f t="shared" si="204"/>
        <v>0</v>
      </c>
      <c r="IS176" s="12">
        <f t="shared" si="205"/>
        <v>0</v>
      </c>
      <c r="IT176" s="12">
        <f t="shared" si="206"/>
        <v>0</v>
      </c>
      <c r="IU176" s="12">
        <f t="shared" si="207"/>
        <v>0</v>
      </c>
      <c r="IV176" s="12">
        <f t="shared" si="208"/>
        <v>0</v>
      </c>
      <c r="IW176" s="12">
        <f t="shared" si="209"/>
        <v>0</v>
      </c>
      <c r="IX176" s="12">
        <f t="shared" si="210"/>
        <v>0</v>
      </c>
      <c r="IY176" s="12">
        <f t="shared" si="211"/>
        <v>0</v>
      </c>
      <c r="IZ176" s="12">
        <f t="shared" si="212"/>
        <v>1</v>
      </c>
      <c r="JA176" s="13">
        <f t="shared" si="213"/>
        <v>0</v>
      </c>
      <c r="JB176" s="13">
        <f t="shared" si="214"/>
        <v>0</v>
      </c>
      <c r="JC176" s="13">
        <f t="shared" si="215"/>
        <v>0</v>
      </c>
      <c r="JD176" s="13">
        <f t="shared" si="216"/>
        <v>0</v>
      </c>
      <c r="JE176" s="13">
        <f t="shared" si="217"/>
        <v>0</v>
      </c>
      <c r="JF176" s="13">
        <f t="shared" si="218"/>
        <v>0</v>
      </c>
      <c r="JG176" s="13">
        <f t="shared" si="219"/>
        <v>0</v>
      </c>
      <c r="JH176" s="13">
        <f t="shared" si="220"/>
        <v>0</v>
      </c>
      <c r="JI176" s="13">
        <f t="shared" si="221"/>
        <v>0</v>
      </c>
      <c r="JJ176" s="13">
        <f t="shared" si="222"/>
        <v>0</v>
      </c>
      <c r="JK176" s="13">
        <f t="shared" si="223"/>
        <v>0</v>
      </c>
      <c r="JL176" s="13">
        <f t="shared" si="224"/>
        <v>0</v>
      </c>
      <c r="JM176" s="13">
        <f t="shared" si="225"/>
        <v>0</v>
      </c>
      <c r="JN176" s="13">
        <f t="shared" si="226"/>
        <v>0</v>
      </c>
      <c r="JO176" s="13">
        <f t="shared" si="227"/>
        <v>0</v>
      </c>
      <c r="JP176" s="13">
        <f t="shared" si="228"/>
        <v>0</v>
      </c>
      <c r="JQ176" s="13">
        <f t="shared" si="229"/>
        <v>0</v>
      </c>
      <c r="JR176" s="13">
        <f t="shared" si="230"/>
        <v>0</v>
      </c>
      <c r="JS176" s="13">
        <f t="shared" si="231"/>
        <v>0</v>
      </c>
      <c r="JT176" s="13">
        <f t="shared" si="232"/>
        <v>0</v>
      </c>
      <c r="JU176" s="13">
        <f t="shared" si="233"/>
        <v>0</v>
      </c>
      <c r="JV176" s="12">
        <f t="shared" si="234"/>
        <v>0</v>
      </c>
      <c r="JW176" s="12">
        <f t="shared" si="235"/>
        <v>0</v>
      </c>
      <c r="JX176" s="12">
        <f t="shared" si="236"/>
        <v>0</v>
      </c>
      <c r="JY176" s="12">
        <f t="shared" si="237"/>
        <v>0</v>
      </c>
      <c r="JZ176" s="12">
        <f t="shared" si="238"/>
        <v>0</v>
      </c>
      <c r="KA176" s="12">
        <f t="shared" si="239"/>
        <v>0</v>
      </c>
      <c r="KB176" s="12">
        <f t="shared" si="240"/>
        <v>0</v>
      </c>
      <c r="KC176" s="12">
        <f t="shared" si="241"/>
        <v>0</v>
      </c>
      <c r="KD176" s="12">
        <f t="shared" si="242"/>
        <v>0</v>
      </c>
      <c r="KE176" s="12">
        <f t="shared" si="243"/>
        <v>0</v>
      </c>
      <c r="KF176" s="12">
        <f t="shared" si="244"/>
        <v>0</v>
      </c>
      <c r="KG176" s="12">
        <f t="shared" si="245"/>
        <v>0</v>
      </c>
      <c r="KH176" s="12">
        <f t="shared" si="246"/>
        <v>0</v>
      </c>
      <c r="KI176" s="12">
        <f t="shared" si="247"/>
        <v>0</v>
      </c>
      <c r="KJ176" s="12">
        <f t="shared" si="248"/>
        <v>0</v>
      </c>
      <c r="KK176" s="12">
        <f t="shared" si="249"/>
        <v>0</v>
      </c>
      <c r="KL176" s="12">
        <f t="shared" si="250"/>
        <v>0</v>
      </c>
      <c r="KM176" s="12">
        <f t="shared" si="251"/>
        <v>0</v>
      </c>
      <c r="KN176" s="12">
        <f t="shared" si="252"/>
        <v>0</v>
      </c>
      <c r="KO176" s="12">
        <f t="shared" si="253"/>
        <v>0</v>
      </c>
      <c r="KP176" s="12">
        <f t="shared" si="254"/>
        <v>0</v>
      </c>
      <c r="KQ176" s="12">
        <f t="shared" si="255"/>
        <v>0</v>
      </c>
      <c r="KR176" s="12">
        <f t="shared" si="256"/>
        <v>0</v>
      </c>
      <c r="KS176" s="12">
        <f t="shared" si="257"/>
        <v>0</v>
      </c>
      <c r="KT176" s="12">
        <f t="shared" si="258"/>
        <v>0</v>
      </c>
      <c r="KU176" s="12">
        <f t="shared" si="259"/>
        <v>0</v>
      </c>
      <c r="KV176" s="12">
        <f t="shared" si="260"/>
        <v>0</v>
      </c>
      <c r="KW176" s="12">
        <f t="shared" si="261"/>
        <v>0</v>
      </c>
      <c r="KX176" s="12">
        <f t="shared" si="262"/>
        <v>0</v>
      </c>
      <c r="KY176" s="12">
        <f t="shared" si="263"/>
        <v>0</v>
      </c>
      <c r="KZ176" s="12">
        <f t="shared" si="264"/>
        <v>0</v>
      </c>
      <c r="LA176" s="12">
        <f t="shared" si="265"/>
        <v>0</v>
      </c>
      <c r="LB176" s="12">
        <f t="shared" si="266"/>
        <v>0</v>
      </c>
      <c r="LC176" s="12">
        <f t="shared" si="267"/>
        <v>0</v>
      </c>
      <c r="LD176" s="12">
        <f t="shared" si="268"/>
        <v>0</v>
      </c>
      <c r="LE176" s="12">
        <f t="shared" si="269"/>
        <v>0</v>
      </c>
      <c r="LF176" s="12">
        <f t="shared" si="270"/>
        <v>0</v>
      </c>
      <c r="LG176" s="12">
        <f t="shared" si="271"/>
        <v>0</v>
      </c>
      <c r="LH176" s="12">
        <f t="shared" si="272"/>
        <v>0</v>
      </c>
      <c r="LI176" s="12">
        <f t="shared" si="273"/>
        <v>0</v>
      </c>
      <c r="LJ176" s="12">
        <f t="shared" si="274"/>
        <v>0</v>
      </c>
      <c r="LK176" s="12">
        <f t="shared" si="275"/>
        <v>0</v>
      </c>
      <c r="LL176" s="12">
        <f t="shared" si="276"/>
        <v>0</v>
      </c>
      <c r="LM176" s="12">
        <f t="shared" si="277"/>
        <v>0</v>
      </c>
      <c r="LN176" s="12">
        <f t="shared" si="278"/>
        <v>0</v>
      </c>
      <c r="LO176" s="12">
        <f t="shared" si="279"/>
        <v>0</v>
      </c>
      <c r="LP176" s="12">
        <f t="shared" si="280"/>
        <v>0</v>
      </c>
      <c r="LQ176" s="12">
        <f t="shared" si="281"/>
        <v>0</v>
      </c>
      <c r="LR176" s="12">
        <f t="shared" si="282"/>
        <v>0</v>
      </c>
      <c r="LS176" s="12">
        <f t="shared" si="283"/>
        <v>0</v>
      </c>
      <c r="LT176" s="13">
        <f t="shared" si="284"/>
        <v>0</v>
      </c>
      <c r="LU176" s="13">
        <f t="shared" si="285"/>
        <v>0</v>
      </c>
      <c r="LV176" s="13">
        <f t="shared" si="286"/>
        <v>0</v>
      </c>
      <c r="LW176" s="13">
        <f t="shared" si="287"/>
        <v>0</v>
      </c>
      <c r="LX176" s="13">
        <f t="shared" si="288"/>
        <v>0</v>
      </c>
      <c r="LY176" s="13">
        <f t="shared" si="289"/>
        <v>0</v>
      </c>
      <c r="LZ176" s="13">
        <f t="shared" si="290"/>
        <v>0</v>
      </c>
      <c r="MA176" s="13">
        <f t="shared" si="291"/>
        <v>0</v>
      </c>
      <c r="MB176" s="13">
        <f t="shared" si="292"/>
        <v>0</v>
      </c>
      <c r="MC176" s="13">
        <f t="shared" si="293"/>
        <v>0</v>
      </c>
      <c r="MD176" s="13">
        <f t="shared" si="294"/>
        <v>0</v>
      </c>
      <c r="ME176" s="13">
        <f t="shared" si="295"/>
        <v>0</v>
      </c>
      <c r="MF176" s="13">
        <f t="shared" si="296"/>
        <v>0</v>
      </c>
      <c r="MG176" s="13">
        <f t="shared" si="297"/>
        <v>0</v>
      </c>
      <c r="MH176" s="13">
        <f t="shared" si="298"/>
        <v>0</v>
      </c>
      <c r="MI176" s="13">
        <f t="shared" si="299"/>
        <v>0</v>
      </c>
      <c r="MJ176" s="13">
        <f t="shared" si="300"/>
        <v>0</v>
      </c>
      <c r="MK176" s="13">
        <f t="shared" si="301"/>
        <v>0</v>
      </c>
      <c r="ML176" s="14">
        <f t="shared" si="302"/>
        <v>1</v>
      </c>
      <c r="MM176" s="14">
        <f t="shared" si="303"/>
        <v>1</v>
      </c>
      <c r="MN176" s="14">
        <f t="shared" si="304"/>
        <v>1</v>
      </c>
      <c r="MO176" s="14">
        <f t="shared" si="305"/>
        <v>1</v>
      </c>
      <c r="MP176" s="14">
        <f t="shared" si="306"/>
        <v>1</v>
      </c>
      <c r="MQ176" s="14">
        <f t="shared" si="307"/>
        <v>0</v>
      </c>
      <c r="MR176" s="14">
        <f t="shared" si="308"/>
        <v>0</v>
      </c>
      <c r="MS176" s="14">
        <f t="shared" si="309"/>
        <v>0</v>
      </c>
      <c r="MT176" s="14">
        <f t="shared" si="310"/>
        <v>0</v>
      </c>
      <c r="MU176" s="14">
        <f t="shared" si="311"/>
        <v>0</v>
      </c>
      <c r="MV176" s="14">
        <f t="shared" si="312"/>
        <v>0</v>
      </c>
      <c r="MW176" s="14">
        <f t="shared" si="313"/>
        <v>0</v>
      </c>
      <c r="MX176" s="14">
        <f t="shared" si="314"/>
        <v>0</v>
      </c>
      <c r="MY176" s="14">
        <f t="shared" si="315"/>
        <v>0</v>
      </c>
      <c r="MZ176" s="14">
        <f t="shared" si="316"/>
        <v>0</v>
      </c>
      <c r="NA176" s="14">
        <f t="shared" si="317"/>
        <v>0</v>
      </c>
      <c r="NB176" s="14">
        <f t="shared" si="318"/>
        <v>1</v>
      </c>
    </row>
    <row r="177" ht="15.75" customHeight="1">
      <c r="A177" s="2">
        <v>533.0</v>
      </c>
      <c r="B177" s="2" t="s">
        <v>3330</v>
      </c>
      <c r="C177" s="2" t="s">
        <v>3331</v>
      </c>
      <c r="D177" s="2" t="s">
        <v>3332</v>
      </c>
      <c r="E177" s="2">
        <v>2023.0</v>
      </c>
      <c r="F177" s="2" t="s">
        <v>3333</v>
      </c>
      <c r="M177" s="2">
        <v>2.0</v>
      </c>
      <c r="N177" s="2" t="s">
        <v>3334</v>
      </c>
      <c r="O177" s="2" t="s">
        <v>3335</v>
      </c>
      <c r="P177" s="2" t="s">
        <v>3336</v>
      </c>
      <c r="Q177" s="2" t="s">
        <v>3337</v>
      </c>
      <c r="R177" s="2" t="s">
        <v>3338</v>
      </c>
      <c r="S177" s="2" t="s">
        <v>3339</v>
      </c>
      <c r="T177" s="2" t="s">
        <v>3340</v>
      </c>
      <c r="Y177" s="2" t="s">
        <v>3341</v>
      </c>
      <c r="AB177" s="2" t="s">
        <v>554</v>
      </c>
      <c r="AG177" s="2" t="s">
        <v>3342</v>
      </c>
      <c r="AK177" s="2" t="s">
        <v>3343</v>
      </c>
      <c r="AL177" s="2" t="s">
        <v>2966</v>
      </c>
      <c r="AM177" s="2" t="s">
        <v>2613</v>
      </c>
      <c r="AN177" s="2" t="s">
        <v>386</v>
      </c>
      <c r="AO177" s="2" t="s">
        <v>3344</v>
      </c>
      <c r="AP177" s="2" t="s">
        <v>386</v>
      </c>
      <c r="AQ177" s="2">
        <v>2065.0</v>
      </c>
      <c r="AR177" s="2" t="s">
        <v>3345</v>
      </c>
      <c r="AS177" s="2" t="b">
        <v>1</v>
      </c>
      <c r="AT177" s="3">
        <v>0.0</v>
      </c>
      <c r="AU177" s="4"/>
      <c r="AV177" s="4"/>
      <c r="AW177" s="5">
        <f t="shared" si="432"/>
        <v>0</v>
      </c>
      <c r="AX177" s="5">
        <f t="shared" si="4"/>
        <v>0</v>
      </c>
      <c r="AY177" s="5">
        <f t="shared" si="5"/>
        <v>0</v>
      </c>
      <c r="AZ177" s="5">
        <f t="shared" si="6"/>
        <v>0</v>
      </c>
      <c r="BA177" s="5">
        <f t="shared" si="7"/>
        <v>0</v>
      </c>
      <c r="BB177" s="5">
        <f t="shared" si="8"/>
        <v>0</v>
      </c>
      <c r="BC177" s="5">
        <f t="shared" si="9"/>
        <v>0</v>
      </c>
      <c r="BD177" s="5">
        <f t="shared" si="10"/>
        <v>0</v>
      </c>
      <c r="BE177" s="5">
        <f t="shared" si="11"/>
        <v>0</v>
      </c>
      <c r="BF177" s="5">
        <f t="shared" si="12"/>
        <v>0</v>
      </c>
      <c r="BG177" s="5">
        <f t="shared" si="13"/>
        <v>0</v>
      </c>
      <c r="BH177" s="5">
        <f t="shared" si="14"/>
        <v>0</v>
      </c>
      <c r="BI177" s="5">
        <f t="shared" si="15"/>
        <v>0</v>
      </c>
      <c r="BJ177" s="5">
        <f t="shared" si="16"/>
        <v>0</v>
      </c>
      <c r="BK177" s="5">
        <f t="shared" si="17"/>
        <v>0</v>
      </c>
      <c r="BL177" s="5">
        <f t="shared" si="18"/>
        <v>0</v>
      </c>
      <c r="BM177" s="5">
        <f t="shared" si="19"/>
        <v>0</v>
      </c>
      <c r="BN177" s="5">
        <f t="shared" si="20"/>
        <v>0</v>
      </c>
      <c r="BO177" s="5">
        <f t="shared" si="21"/>
        <v>0</v>
      </c>
      <c r="BP177" s="5">
        <f t="shared" si="22"/>
        <v>0</v>
      </c>
      <c r="BQ177" s="5">
        <f t="shared" si="23"/>
        <v>0</v>
      </c>
      <c r="BR177" s="5">
        <f t="shared" si="24"/>
        <v>0</v>
      </c>
      <c r="BS177" s="5">
        <f t="shared" si="25"/>
        <v>0</v>
      </c>
      <c r="BT177" s="5">
        <f t="shared" si="26"/>
        <v>0</v>
      </c>
      <c r="BU177" s="5">
        <f t="shared" si="27"/>
        <v>1</v>
      </c>
      <c r="BV177" s="5">
        <f t="shared" ref="BV177:BW177" si="710">IF(OR(ISNUMBER(SEARCH("grit",$D177)),ISNUMBER(SEARCH("grit",$T177)),ISNUMBER(SEARCH("grit",$R177)),ISNUMBER(SEARCH("grit",$S177)),
ISNUMBER(SEARCH("determination",$D177)),ISNUMBER(SEARCH("determination",$T177)),ISNUMBER(SEARCH("determination",$R177)),ISNUMBER(SEARCH("determination",$S177)),
ISNUMBER(SEARCH("tenacity",$D177)),ISNUMBER(SEARCH("tenacity",$T177)),ISNUMBER(SEARCH("tenacity",$R177)),ISNUMBER(SEARCH("tenacity",$S177)),
ISNUMBER(SEARCH("endurance",$D177)),ISNUMBER(SEARCH("endurance",$T177)),ISNUMBER(SEARCH("endurance",$R177)),ISNUMBER(SEARCH("endurance",$S177)),
ISNUMBER(SEARCH("fortitude",$D177)),ISNUMBER(SEARCH("fortitude",$T177)),ISNUMBER(SEARCH("fortitude",$R177)),ISNUMBER(SEARCH("fortitude",$S177)),
ISNUMBER(SEARCH("resolve",$D177)),ISNUMBER(SEARCH("resolve",$T177)),ISNUMBER(SEARCH("resolve",$R177)),ISNUMBER(SEARCH("resolve",$S177)),
ISNUMBER(SEARCH("stamina",$D177)),ISNUMBER(SEARCH("stamina",$T177)),ISNUMBER(SEARCH("stamina",$R177)),ISNUMBER(SEARCH("stamina",$S177)),
ISNUMBER(SEARCH("guts",$D177)),ISNUMBER(SEARCH("guts",$T177)),ISNUMBER(SEARCH("guts",$R177)),ISNUMBER(SEARCH("guts",$S177)),
ISNUMBER(SEARCH("spunk",$D177)),ISNUMBER(SEARCH("spunk",$T177)),ISNUMBER(SEARCH("spunk",$R177)),ISNUMBER(SEARCH("spunk",$S177))), 1, 0)</f>
        <v>0</v>
      </c>
      <c r="BW177" s="5">
        <f t="shared" si="710"/>
        <v>0</v>
      </c>
      <c r="BX177" s="5">
        <f t="shared" si="29"/>
        <v>0</v>
      </c>
      <c r="BY177" s="5">
        <f t="shared" si="30"/>
        <v>0</v>
      </c>
      <c r="BZ177" s="5">
        <f t="shared" si="31"/>
        <v>0</v>
      </c>
      <c r="CA177" s="5">
        <f t="shared" si="32"/>
        <v>0</v>
      </c>
      <c r="CB177" s="5">
        <f t="shared" si="33"/>
        <v>0</v>
      </c>
      <c r="CC177" s="5">
        <f t="shared" si="34"/>
        <v>0</v>
      </c>
      <c r="CD177" s="5">
        <f t="shared" si="35"/>
        <v>0</v>
      </c>
      <c r="CE177" s="5">
        <f t="shared" si="36"/>
        <v>0</v>
      </c>
      <c r="CF177" s="5">
        <f t="shared" si="37"/>
        <v>0</v>
      </c>
      <c r="CG177" s="5">
        <f t="shared" si="38"/>
        <v>0</v>
      </c>
      <c r="CH177" s="5">
        <f t="shared" si="39"/>
        <v>0</v>
      </c>
      <c r="CI177" s="5">
        <f t="shared" si="40"/>
        <v>0</v>
      </c>
      <c r="CJ177" s="5">
        <f t="shared" si="41"/>
        <v>0</v>
      </c>
      <c r="CK177" s="5">
        <f t="shared" si="42"/>
        <v>0</v>
      </c>
      <c r="CL177" s="5">
        <f t="shared" si="43"/>
        <v>0</v>
      </c>
      <c r="CM177" s="5">
        <f t="shared" si="44"/>
        <v>0</v>
      </c>
      <c r="CN177" s="5">
        <f t="shared" si="45"/>
        <v>0</v>
      </c>
      <c r="CO177" s="5">
        <f t="shared" si="46"/>
        <v>0</v>
      </c>
      <c r="CP177" s="6">
        <f t="shared" si="47"/>
        <v>0</v>
      </c>
      <c r="CQ177" s="6">
        <f t="shared" si="48"/>
        <v>0</v>
      </c>
      <c r="CR177" s="6">
        <f t="shared" si="49"/>
        <v>0</v>
      </c>
      <c r="CS177" s="6">
        <f t="shared" si="50"/>
        <v>0</v>
      </c>
      <c r="CT177" s="6">
        <f t="shared" si="584"/>
        <v>0</v>
      </c>
      <c r="CU177" s="6">
        <f t="shared" si="52"/>
        <v>0</v>
      </c>
      <c r="CV177" s="6">
        <f t="shared" si="53"/>
        <v>0</v>
      </c>
      <c r="CW177" s="6">
        <f t="shared" si="54"/>
        <v>0</v>
      </c>
      <c r="CX177" s="6">
        <f t="shared" si="55"/>
        <v>0</v>
      </c>
      <c r="CY177" s="6">
        <f t="shared" si="56"/>
        <v>0</v>
      </c>
      <c r="CZ177" s="6">
        <f t="shared" si="57"/>
        <v>0</v>
      </c>
      <c r="DA177" s="6">
        <f t="shared" si="58"/>
        <v>0</v>
      </c>
      <c r="DB177" s="6">
        <f t="shared" si="59"/>
        <v>0</v>
      </c>
      <c r="DC177" s="6">
        <f t="shared" si="60"/>
        <v>0</v>
      </c>
      <c r="DD177" s="6">
        <f t="shared" si="61"/>
        <v>0</v>
      </c>
      <c r="DE177" s="6">
        <f t="shared" si="62"/>
        <v>0</v>
      </c>
      <c r="DF177" s="6">
        <f t="shared" si="63"/>
        <v>0</v>
      </c>
      <c r="DG177" s="6">
        <f t="shared" si="64"/>
        <v>0</v>
      </c>
      <c r="DH177" s="6">
        <f t="shared" si="697"/>
        <v>0</v>
      </c>
      <c r="DI177" s="6">
        <f t="shared" si="66"/>
        <v>0</v>
      </c>
      <c r="DJ177" s="6">
        <f t="shared" si="653"/>
        <v>0</v>
      </c>
      <c r="DK177" s="7">
        <f t="shared" si="68"/>
        <v>0</v>
      </c>
      <c r="DL177" s="7">
        <f t="shared" si="498"/>
        <v>0</v>
      </c>
      <c r="DM177" s="7">
        <f t="shared" si="70"/>
        <v>0</v>
      </c>
      <c r="DN177" s="7">
        <f t="shared" si="71"/>
        <v>0</v>
      </c>
      <c r="DO177" s="7">
        <f t="shared" si="72"/>
        <v>0</v>
      </c>
      <c r="DP177" s="8">
        <f t="shared" si="73"/>
        <v>0</v>
      </c>
      <c r="DQ177" s="8">
        <f t="shared" si="74"/>
        <v>1</v>
      </c>
      <c r="DR177" s="7">
        <f t="shared" si="75"/>
        <v>0</v>
      </c>
      <c r="DS177" s="7">
        <f t="shared" si="76"/>
        <v>0</v>
      </c>
      <c r="DT177" s="7">
        <f t="shared" si="77"/>
        <v>0</v>
      </c>
      <c r="DU177" s="9">
        <f t="shared" si="78"/>
        <v>0</v>
      </c>
      <c r="DV177" s="9">
        <f t="shared" si="79"/>
        <v>0</v>
      </c>
      <c r="DW177" s="9">
        <f t="shared" si="80"/>
        <v>0</v>
      </c>
      <c r="DX177" s="9">
        <f t="shared" si="81"/>
        <v>0</v>
      </c>
      <c r="DY177" s="9">
        <f t="shared" si="82"/>
        <v>0</v>
      </c>
      <c r="DZ177" s="9">
        <f t="shared" si="83"/>
        <v>0</v>
      </c>
      <c r="EA177" s="9">
        <f t="shared" si="84"/>
        <v>0</v>
      </c>
      <c r="EB177" s="9">
        <f t="shared" si="85"/>
        <v>0</v>
      </c>
      <c r="EC177" s="9">
        <f t="shared" si="86"/>
        <v>0</v>
      </c>
      <c r="ED177" s="9">
        <f t="shared" si="87"/>
        <v>0</v>
      </c>
      <c r="EE177" s="9">
        <f t="shared" si="88"/>
        <v>0</v>
      </c>
      <c r="EF177" s="9">
        <f t="shared" si="89"/>
        <v>0</v>
      </c>
      <c r="EG177" s="9">
        <f t="shared" si="90"/>
        <v>0</v>
      </c>
      <c r="EH177" s="9">
        <f t="shared" si="91"/>
        <v>0</v>
      </c>
      <c r="EI177" s="9">
        <f t="shared" si="92"/>
        <v>0</v>
      </c>
      <c r="EJ177" s="10">
        <f t="shared" si="93"/>
        <v>0</v>
      </c>
      <c r="EK177" s="10">
        <f t="shared" si="94"/>
        <v>0</v>
      </c>
      <c r="EL177" s="10">
        <f t="shared" ref="EL177:EM177" si="711">IF(OR(ISNUMBER(SEARCH("ai software toolkit", $D177)), ISNUMBER(SEARCH("ai software toolkit", $T177)), ISNUMBER(SEARCH("ai software toolkit", $R177)), ISNUMBER(SEARCH("ai software toolkit", $S177))), 1, 0)</f>
        <v>0</v>
      </c>
      <c r="EM177" s="10">
        <f t="shared" si="711"/>
        <v>0</v>
      </c>
      <c r="EN177" s="10">
        <f t="shared" si="96"/>
        <v>0</v>
      </c>
      <c r="EO177" s="10">
        <f t="shared" si="97"/>
        <v>0</v>
      </c>
      <c r="EP177" s="10">
        <f t="shared" si="98"/>
        <v>0</v>
      </c>
      <c r="EQ177" s="10">
        <f t="shared" si="99"/>
        <v>0</v>
      </c>
      <c r="ER177" s="10">
        <f t="shared" si="100"/>
        <v>0</v>
      </c>
      <c r="ES177" s="10">
        <f t="shared" si="101"/>
        <v>0</v>
      </c>
      <c r="ET177" s="10">
        <f t="shared" si="102"/>
        <v>0</v>
      </c>
      <c r="EU177" s="10">
        <f t="shared" si="103"/>
        <v>0</v>
      </c>
      <c r="EV177" s="10">
        <f t="shared" si="104"/>
        <v>1</v>
      </c>
      <c r="EW177" s="10">
        <f t="shared" si="105"/>
        <v>0</v>
      </c>
      <c r="EX177" s="10">
        <f t="shared" si="106"/>
        <v>0</v>
      </c>
      <c r="EY177" s="10">
        <f t="shared" si="107"/>
        <v>0</v>
      </c>
      <c r="EZ177" s="10">
        <f t="shared" si="108"/>
        <v>0</v>
      </c>
      <c r="FA177" s="10">
        <f t="shared" si="109"/>
        <v>0</v>
      </c>
      <c r="FB177" s="10">
        <f t="shared" si="110"/>
        <v>0</v>
      </c>
      <c r="FC177" s="10">
        <f t="shared" si="111"/>
        <v>0</v>
      </c>
      <c r="FD177" s="10">
        <f t="shared" si="112"/>
        <v>0</v>
      </c>
      <c r="FE177" s="10">
        <f t="shared" si="113"/>
        <v>0</v>
      </c>
      <c r="FF177" s="10">
        <f t="shared" si="114"/>
        <v>0</v>
      </c>
      <c r="FG177" s="10">
        <f t="shared" si="115"/>
        <v>0</v>
      </c>
      <c r="FH177" s="10">
        <f t="shared" si="116"/>
        <v>0</v>
      </c>
      <c r="FI177" s="10">
        <f t="shared" si="117"/>
        <v>0</v>
      </c>
      <c r="FJ177" s="10">
        <f t="shared" si="118"/>
        <v>0</v>
      </c>
      <c r="FK177" s="10">
        <f t="shared" si="119"/>
        <v>0</v>
      </c>
      <c r="FL177" s="10">
        <f t="shared" si="120"/>
        <v>0</v>
      </c>
      <c r="FM177" s="10">
        <f t="shared" si="121"/>
        <v>0</v>
      </c>
      <c r="FN177" s="10">
        <f t="shared" si="122"/>
        <v>0</v>
      </c>
      <c r="FO177" s="10">
        <f t="shared" si="123"/>
        <v>0</v>
      </c>
      <c r="FP177" s="10">
        <f t="shared" si="124"/>
        <v>0</v>
      </c>
      <c r="FQ177" s="10">
        <f t="shared" si="125"/>
        <v>0</v>
      </c>
      <c r="FR177" s="11">
        <f t="shared" si="709"/>
        <v>0</v>
      </c>
      <c r="FS177" s="11">
        <f t="shared" si="127"/>
        <v>0</v>
      </c>
      <c r="FT177" s="11">
        <f t="shared" si="128"/>
        <v>0</v>
      </c>
      <c r="FU177" s="11">
        <f t="shared" si="129"/>
        <v>0</v>
      </c>
      <c r="FV177" s="11">
        <f t="shared" si="130"/>
        <v>0</v>
      </c>
      <c r="FW177" s="11">
        <f t="shared" si="131"/>
        <v>0</v>
      </c>
      <c r="FX177" s="11">
        <f t="shared" si="132"/>
        <v>0</v>
      </c>
      <c r="FY177" s="11">
        <f t="shared" si="133"/>
        <v>0</v>
      </c>
      <c r="FZ177" s="11">
        <f t="shared" si="134"/>
        <v>0</v>
      </c>
      <c r="GA177" s="11">
        <f t="shared" si="135"/>
        <v>0</v>
      </c>
      <c r="GB177" s="11">
        <f t="shared" si="136"/>
        <v>0</v>
      </c>
      <c r="GC177" s="11">
        <f t="shared" si="137"/>
        <v>0</v>
      </c>
      <c r="GD177" s="11">
        <f t="shared" si="138"/>
        <v>0</v>
      </c>
      <c r="GE177" s="11">
        <f t="shared" si="139"/>
        <v>0</v>
      </c>
      <c r="GF177" s="11">
        <f t="shared" si="140"/>
        <v>0</v>
      </c>
      <c r="GG177" s="11">
        <f t="shared" si="141"/>
        <v>0</v>
      </c>
      <c r="GH177" s="11">
        <f t="shared" si="142"/>
        <v>0</v>
      </c>
      <c r="GI177" s="11">
        <f t="shared" si="143"/>
        <v>0</v>
      </c>
      <c r="GJ177" s="11">
        <f t="shared" si="144"/>
        <v>0</v>
      </c>
      <c r="GK177" s="11">
        <f t="shared" si="145"/>
        <v>0</v>
      </c>
      <c r="GL177" s="11">
        <f t="shared" si="146"/>
        <v>0</v>
      </c>
      <c r="GM177" s="11">
        <f t="shared" si="147"/>
        <v>0</v>
      </c>
      <c r="GN177" s="11">
        <f t="shared" si="148"/>
        <v>0</v>
      </c>
      <c r="GO177" s="11">
        <f t="shared" si="149"/>
        <v>0</v>
      </c>
      <c r="GP177" s="11">
        <f t="shared" si="150"/>
        <v>0</v>
      </c>
      <c r="GQ177" s="11">
        <f t="shared" si="151"/>
        <v>0</v>
      </c>
      <c r="GR177" s="11">
        <f t="shared" si="152"/>
        <v>0</v>
      </c>
      <c r="GS177" s="11">
        <f t="shared" si="153"/>
        <v>0</v>
      </c>
      <c r="GT177" s="11">
        <f t="shared" si="154"/>
        <v>0</v>
      </c>
      <c r="GU177" s="12">
        <f t="shared" si="155"/>
        <v>0</v>
      </c>
      <c r="GV177" s="12">
        <f t="shared" si="156"/>
        <v>0</v>
      </c>
      <c r="GW177" s="12">
        <f t="shared" si="157"/>
        <v>0</v>
      </c>
      <c r="GX177" s="12">
        <f t="shared" si="158"/>
        <v>0</v>
      </c>
      <c r="GY177" s="12">
        <f t="shared" si="159"/>
        <v>0</v>
      </c>
      <c r="GZ177" s="12">
        <f t="shared" si="160"/>
        <v>0</v>
      </c>
      <c r="HA177" s="12">
        <f t="shared" si="161"/>
        <v>0</v>
      </c>
      <c r="HB177" s="12">
        <f t="shared" si="162"/>
        <v>0</v>
      </c>
      <c r="HC177" s="12">
        <f t="shared" si="163"/>
        <v>0</v>
      </c>
      <c r="HD177" s="12">
        <f t="shared" si="164"/>
        <v>0</v>
      </c>
      <c r="HE177" s="12">
        <f t="shared" si="165"/>
        <v>0</v>
      </c>
      <c r="HF177" s="12">
        <f t="shared" si="166"/>
        <v>0</v>
      </c>
      <c r="HG177" s="12">
        <f t="shared" si="167"/>
        <v>0</v>
      </c>
      <c r="HH177" s="12">
        <f t="shared" si="168"/>
        <v>0</v>
      </c>
      <c r="HI177" s="12">
        <f t="shared" si="169"/>
        <v>0</v>
      </c>
      <c r="HJ177" s="12">
        <f t="shared" si="170"/>
        <v>0</v>
      </c>
      <c r="HK177" s="12">
        <f t="shared" si="171"/>
        <v>0</v>
      </c>
      <c r="HL177" s="12">
        <f t="shared" si="172"/>
        <v>0</v>
      </c>
      <c r="HM177" s="12">
        <f t="shared" si="173"/>
        <v>0</v>
      </c>
      <c r="HN177" s="12">
        <f t="shared" si="174"/>
        <v>0</v>
      </c>
      <c r="HO177" s="12">
        <f t="shared" si="175"/>
        <v>0</v>
      </c>
      <c r="HP177" s="12">
        <f t="shared" si="176"/>
        <v>0</v>
      </c>
      <c r="HQ177" s="12">
        <f t="shared" si="177"/>
        <v>0</v>
      </c>
      <c r="HR177" s="12">
        <f t="shared" si="178"/>
        <v>0</v>
      </c>
      <c r="HS177" s="12">
        <f t="shared" si="179"/>
        <v>0</v>
      </c>
      <c r="HT177" s="12">
        <f t="shared" si="180"/>
        <v>0</v>
      </c>
      <c r="HU177" s="12">
        <f t="shared" si="181"/>
        <v>0</v>
      </c>
      <c r="HV177" s="12">
        <f t="shared" si="182"/>
        <v>0</v>
      </c>
      <c r="HW177" s="12">
        <f t="shared" si="183"/>
        <v>0</v>
      </c>
      <c r="HX177" s="12">
        <f t="shared" si="184"/>
        <v>0</v>
      </c>
      <c r="HY177" s="12">
        <f t="shared" si="185"/>
        <v>0</v>
      </c>
      <c r="HZ177" s="12">
        <f t="shared" si="186"/>
        <v>0</v>
      </c>
      <c r="IA177" s="12">
        <f t="shared" si="187"/>
        <v>0</v>
      </c>
      <c r="IB177" s="12">
        <f t="shared" si="188"/>
        <v>0</v>
      </c>
      <c r="IC177" s="12">
        <f t="shared" si="189"/>
        <v>0</v>
      </c>
      <c r="ID177" s="12">
        <f t="shared" si="190"/>
        <v>0</v>
      </c>
      <c r="IE177" s="12">
        <f t="shared" si="191"/>
        <v>0</v>
      </c>
      <c r="IF177" s="12">
        <f t="shared" si="192"/>
        <v>0</v>
      </c>
      <c r="IG177" s="12">
        <f t="shared" si="193"/>
        <v>0</v>
      </c>
      <c r="IH177" s="12">
        <f t="shared" si="194"/>
        <v>0</v>
      </c>
      <c r="II177" s="12">
        <f t="shared" si="195"/>
        <v>0</v>
      </c>
      <c r="IJ177" s="12">
        <f t="shared" si="196"/>
        <v>0</v>
      </c>
      <c r="IK177" s="12">
        <f t="shared" si="197"/>
        <v>0</v>
      </c>
      <c r="IL177" s="12">
        <f t="shared" si="198"/>
        <v>0</v>
      </c>
      <c r="IM177" s="12">
        <f t="shared" si="199"/>
        <v>0</v>
      </c>
      <c r="IN177" s="12">
        <f t="shared" si="200"/>
        <v>0</v>
      </c>
      <c r="IO177" s="12">
        <f t="shared" si="201"/>
        <v>0</v>
      </c>
      <c r="IP177" s="12">
        <f t="shared" si="202"/>
        <v>0</v>
      </c>
      <c r="IQ177" s="12">
        <f t="shared" si="203"/>
        <v>0</v>
      </c>
      <c r="IR177" s="12">
        <f t="shared" si="204"/>
        <v>0</v>
      </c>
      <c r="IS177" s="12">
        <f t="shared" si="205"/>
        <v>0</v>
      </c>
      <c r="IT177" s="12">
        <f t="shared" si="206"/>
        <v>0</v>
      </c>
      <c r="IU177" s="12">
        <f t="shared" si="207"/>
        <v>0</v>
      </c>
      <c r="IV177" s="12">
        <f t="shared" si="208"/>
        <v>0</v>
      </c>
      <c r="IW177" s="12">
        <f t="shared" si="209"/>
        <v>0</v>
      </c>
      <c r="IX177" s="12">
        <f t="shared" si="210"/>
        <v>0</v>
      </c>
      <c r="IY177" s="12">
        <f t="shared" si="211"/>
        <v>0</v>
      </c>
      <c r="IZ177" s="12">
        <f t="shared" si="212"/>
        <v>0</v>
      </c>
      <c r="JA177" s="13">
        <f t="shared" si="213"/>
        <v>0</v>
      </c>
      <c r="JB177" s="13">
        <f t="shared" si="214"/>
        <v>0</v>
      </c>
      <c r="JC177" s="13">
        <f t="shared" si="215"/>
        <v>0</v>
      </c>
      <c r="JD177" s="13">
        <f t="shared" si="216"/>
        <v>0</v>
      </c>
      <c r="JE177" s="13">
        <f t="shared" si="217"/>
        <v>0</v>
      </c>
      <c r="JF177" s="13">
        <f t="shared" si="218"/>
        <v>0</v>
      </c>
      <c r="JG177" s="13">
        <f t="shared" si="219"/>
        <v>0</v>
      </c>
      <c r="JH177" s="13">
        <f t="shared" si="220"/>
        <v>0</v>
      </c>
      <c r="JI177" s="13">
        <f t="shared" si="221"/>
        <v>0</v>
      </c>
      <c r="JJ177" s="13">
        <f t="shared" si="222"/>
        <v>0</v>
      </c>
      <c r="JK177" s="13">
        <f t="shared" si="223"/>
        <v>0</v>
      </c>
      <c r="JL177" s="13">
        <f t="shared" si="224"/>
        <v>0</v>
      </c>
      <c r="JM177" s="13">
        <f t="shared" si="225"/>
        <v>0</v>
      </c>
      <c r="JN177" s="13">
        <f t="shared" si="226"/>
        <v>0</v>
      </c>
      <c r="JO177" s="13">
        <f t="shared" si="227"/>
        <v>0</v>
      </c>
      <c r="JP177" s="13">
        <f t="shared" si="228"/>
        <v>0</v>
      </c>
      <c r="JQ177" s="13">
        <f t="shared" si="229"/>
        <v>0</v>
      </c>
      <c r="JR177" s="13">
        <f t="shared" si="230"/>
        <v>0</v>
      </c>
      <c r="JS177" s="13">
        <f t="shared" si="231"/>
        <v>0</v>
      </c>
      <c r="JT177" s="13">
        <f t="shared" si="232"/>
        <v>0</v>
      </c>
      <c r="JU177" s="13">
        <f t="shared" si="233"/>
        <v>0</v>
      </c>
      <c r="JV177" s="12">
        <f t="shared" si="234"/>
        <v>0</v>
      </c>
      <c r="JW177" s="12">
        <f t="shared" si="235"/>
        <v>0</v>
      </c>
      <c r="JX177" s="12">
        <f t="shared" si="236"/>
        <v>0</v>
      </c>
      <c r="JY177" s="12">
        <f t="shared" si="237"/>
        <v>0</v>
      </c>
      <c r="JZ177" s="12">
        <f t="shared" si="238"/>
        <v>0</v>
      </c>
      <c r="KA177" s="12">
        <f t="shared" si="239"/>
        <v>0</v>
      </c>
      <c r="KB177" s="12">
        <f t="shared" si="240"/>
        <v>0</v>
      </c>
      <c r="KC177" s="12">
        <f t="shared" si="241"/>
        <v>0</v>
      </c>
      <c r="KD177" s="12">
        <f t="shared" si="242"/>
        <v>0</v>
      </c>
      <c r="KE177" s="12">
        <f t="shared" si="243"/>
        <v>0</v>
      </c>
      <c r="KF177" s="12">
        <f t="shared" si="244"/>
        <v>0</v>
      </c>
      <c r="KG177" s="12">
        <f t="shared" si="245"/>
        <v>0</v>
      </c>
      <c r="KH177" s="12">
        <f t="shared" si="246"/>
        <v>0</v>
      </c>
      <c r="KI177" s="12">
        <f t="shared" si="247"/>
        <v>0</v>
      </c>
      <c r="KJ177" s="12">
        <f t="shared" si="248"/>
        <v>0</v>
      </c>
      <c r="KK177" s="12">
        <f t="shared" si="249"/>
        <v>0</v>
      </c>
      <c r="KL177" s="12">
        <f t="shared" si="250"/>
        <v>0</v>
      </c>
      <c r="KM177" s="12">
        <f t="shared" si="251"/>
        <v>0</v>
      </c>
      <c r="KN177" s="12">
        <f t="shared" si="252"/>
        <v>0</v>
      </c>
      <c r="KO177" s="12">
        <f t="shared" si="253"/>
        <v>0</v>
      </c>
      <c r="KP177" s="12">
        <f t="shared" si="254"/>
        <v>0</v>
      </c>
      <c r="KQ177" s="12">
        <f t="shared" si="255"/>
        <v>0</v>
      </c>
      <c r="KR177" s="12">
        <f t="shared" si="256"/>
        <v>0</v>
      </c>
      <c r="KS177" s="12">
        <f t="shared" si="257"/>
        <v>0</v>
      </c>
      <c r="KT177" s="12">
        <f t="shared" si="258"/>
        <v>0</v>
      </c>
      <c r="KU177" s="12">
        <f t="shared" si="259"/>
        <v>0</v>
      </c>
      <c r="KV177" s="12">
        <f t="shared" si="260"/>
        <v>0</v>
      </c>
      <c r="KW177" s="12">
        <f t="shared" si="261"/>
        <v>0</v>
      </c>
      <c r="KX177" s="12">
        <f t="shared" si="262"/>
        <v>0</v>
      </c>
      <c r="KY177" s="12">
        <f t="shared" si="263"/>
        <v>0</v>
      </c>
      <c r="KZ177" s="12">
        <f t="shared" si="264"/>
        <v>0</v>
      </c>
      <c r="LA177" s="12">
        <f t="shared" si="265"/>
        <v>0</v>
      </c>
      <c r="LB177" s="12">
        <f t="shared" si="266"/>
        <v>0</v>
      </c>
      <c r="LC177" s="12">
        <f t="shared" si="267"/>
        <v>0</v>
      </c>
      <c r="LD177" s="12">
        <f t="shared" si="268"/>
        <v>0</v>
      </c>
      <c r="LE177" s="12">
        <f t="shared" si="269"/>
        <v>0</v>
      </c>
      <c r="LF177" s="12">
        <f t="shared" si="270"/>
        <v>0</v>
      </c>
      <c r="LG177" s="12">
        <f t="shared" si="271"/>
        <v>0</v>
      </c>
      <c r="LH177" s="12">
        <f t="shared" si="272"/>
        <v>0</v>
      </c>
      <c r="LI177" s="12">
        <f t="shared" si="273"/>
        <v>0</v>
      </c>
      <c r="LJ177" s="12">
        <f t="shared" si="274"/>
        <v>0</v>
      </c>
      <c r="LK177" s="12">
        <f t="shared" si="275"/>
        <v>0</v>
      </c>
      <c r="LL177" s="12">
        <f t="shared" si="276"/>
        <v>0</v>
      </c>
      <c r="LM177" s="12">
        <f t="shared" si="277"/>
        <v>0</v>
      </c>
      <c r="LN177" s="12">
        <f t="shared" si="278"/>
        <v>0</v>
      </c>
      <c r="LO177" s="12">
        <f t="shared" si="279"/>
        <v>0</v>
      </c>
      <c r="LP177" s="12">
        <f t="shared" si="280"/>
        <v>0</v>
      </c>
      <c r="LQ177" s="12">
        <f t="shared" si="281"/>
        <v>0</v>
      </c>
      <c r="LR177" s="12">
        <f t="shared" si="282"/>
        <v>0</v>
      </c>
      <c r="LS177" s="12">
        <f t="shared" si="283"/>
        <v>0</v>
      </c>
      <c r="LT177" s="13">
        <f t="shared" si="284"/>
        <v>0</v>
      </c>
      <c r="LU177" s="13">
        <f t="shared" si="285"/>
        <v>0</v>
      </c>
      <c r="LV177" s="13">
        <f t="shared" si="286"/>
        <v>0</v>
      </c>
      <c r="LW177" s="13">
        <f t="shared" si="287"/>
        <v>0</v>
      </c>
      <c r="LX177" s="13">
        <f t="shared" si="288"/>
        <v>0</v>
      </c>
      <c r="LY177" s="13">
        <f t="shared" si="289"/>
        <v>0</v>
      </c>
      <c r="LZ177" s="13">
        <f t="shared" si="290"/>
        <v>0</v>
      </c>
      <c r="MA177" s="13">
        <f t="shared" si="291"/>
        <v>0</v>
      </c>
      <c r="MB177" s="13">
        <f t="shared" si="292"/>
        <v>0</v>
      </c>
      <c r="MC177" s="13">
        <f t="shared" si="293"/>
        <v>0</v>
      </c>
      <c r="MD177" s="13">
        <f t="shared" si="294"/>
        <v>0</v>
      </c>
      <c r="ME177" s="13">
        <f t="shared" si="295"/>
        <v>0</v>
      </c>
      <c r="MF177" s="13">
        <f t="shared" si="296"/>
        <v>0</v>
      </c>
      <c r="MG177" s="13">
        <f t="shared" si="297"/>
        <v>0</v>
      </c>
      <c r="MH177" s="13">
        <f t="shared" si="298"/>
        <v>0</v>
      </c>
      <c r="MI177" s="13">
        <f t="shared" si="299"/>
        <v>0</v>
      </c>
      <c r="MJ177" s="13">
        <f t="shared" si="300"/>
        <v>0</v>
      </c>
      <c r="MK177" s="13">
        <f t="shared" si="301"/>
        <v>0</v>
      </c>
      <c r="ML177" s="14">
        <f t="shared" si="302"/>
        <v>0</v>
      </c>
      <c r="MM177" s="14">
        <f t="shared" si="303"/>
        <v>0</v>
      </c>
      <c r="MN177" s="14">
        <f t="shared" si="304"/>
        <v>1</v>
      </c>
      <c r="MO177" s="14">
        <f t="shared" si="305"/>
        <v>1</v>
      </c>
      <c r="MP177" s="14">
        <f t="shared" si="306"/>
        <v>0</v>
      </c>
      <c r="MQ177" s="14">
        <f t="shared" si="307"/>
        <v>0</v>
      </c>
      <c r="MR177" s="14">
        <f t="shared" si="308"/>
        <v>0</v>
      </c>
      <c r="MS177" s="14">
        <f t="shared" si="309"/>
        <v>0</v>
      </c>
      <c r="MT177" s="14">
        <f t="shared" si="310"/>
        <v>0</v>
      </c>
      <c r="MU177" s="14">
        <f t="shared" si="311"/>
        <v>0</v>
      </c>
      <c r="MV177" s="14">
        <f t="shared" si="312"/>
        <v>0</v>
      </c>
      <c r="MW177" s="14">
        <f t="shared" si="313"/>
        <v>0</v>
      </c>
      <c r="MX177" s="14">
        <f t="shared" si="314"/>
        <v>0</v>
      </c>
      <c r="MY177" s="14">
        <f t="shared" si="315"/>
        <v>0</v>
      </c>
      <c r="MZ177" s="14">
        <f t="shared" si="316"/>
        <v>0</v>
      </c>
      <c r="NA177" s="14">
        <f t="shared" si="317"/>
        <v>0</v>
      </c>
      <c r="NB177" s="14">
        <f t="shared" si="318"/>
        <v>0</v>
      </c>
    </row>
    <row r="178" ht="15.75" customHeight="1">
      <c r="A178" s="2">
        <v>74.0</v>
      </c>
      <c r="B178" s="2" t="s">
        <v>3346</v>
      </c>
      <c r="C178" s="2" t="s">
        <v>3347</v>
      </c>
      <c r="D178" s="2" t="s">
        <v>3348</v>
      </c>
      <c r="E178" s="2">
        <v>2021.0</v>
      </c>
      <c r="F178" s="2" t="s">
        <v>3349</v>
      </c>
      <c r="G178" s="2" t="s">
        <v>510</v>
      </c>
      <c r="I178" s="2" t="s">
        <v>3350</v>
      </c>
      <c r="M178" s="2">
        <v>2.0</v>
      </c>
      <c r="N178" s="2" t="s">
        <v>3351</v>
      </c>
      <c r="O178" s="2" t="s">
        <v>3352</v>
      </c>
      <c r="P178" s="2" t="s">
        <v>3353</v>
      </c>
      <c r="Q178" s="2" t="s">
        <v>3354</v>
      </c>
      <c r="R178" s="2" t="s">
        <v>3355</v>
      </c>
      <c r="S178" s="2" t="s">
        <v>3356</v>
      </c>
      <c r="Y178" s="2" t="s">
        <v>3357</v>
      </c>
      <c r="AB178" s="2" t="s">
        <v>1039</v>
      </c>
      <c r="AG178" s="2" t="s">
        <v>3358</v>
      </c>
      <c r="AK178" s="2" t="s">
        <v>3359</v>
      </c>
      <c r="AL178" s="2" t="s">
        <v>384</v>
      </c>
      <c r="AM178" s="2" t="s">
        <v>484</v>
      </c>
      <c r="AN178" s="2" t="s">
        <v>386</v>
      </c>
      <c r="AO178" s="2" t="s">
        <v>3360</v>
      </c>
      <c r="AP178" s="2" t="s">
        <v>386</v>
      </c>
      <c r="AQ178" s="2">
        <v>239.0</v>
      </c>
      <c r="AR178" s="2" t="s">
        <v>3361</v>
      </c>
      <c r="AS178" s="2" t="b">
        <v>0</v>
      </c>
      <c r="AT178" s="3">
        <v>0.0</v>
      </c>
      <c r="AU178" s="4"/>
      <c r="AV178" s="4">
        <v>1.0</v>
      </c>
      <c r="AW178" s="5">
        <f t="shared" si="432"/>
        <v>0</v>
      </c>
      <c r="AX178" s="5">
        <f t="shared" si="4"/>
        <v>0</v>
      </c>
      <c r="AY178" s="5">
        <f t="shared" si="5"/>
        <v>0</v>
      </c>
      <c r="AZ178" s="5">
        <f t="shared" si="6"/>
        <v>0</v>
      </c>
      <c r="BA178" s="5">
        <f t="shared" si="7"/>
        <v>0</v>
      </c>
      <c r="BB178" s="5">
        <f t="shared" si="8"/>
        <v>0</v>
      </c>
      <c r="BC178" s="5">
        <f t="shared" si="9"/>
        <v>0</v>
      </c>
      <c r="BD178" s="5">
        <f t="shared" si="10"/>
        <v>0</v>
      </c>
      <c r="BE178" s="5">
        <f t="shared" si="11"/>
        <v>0</v>
      </c>
      <c r="BF178" s="5">
        <f t="shared" si="12"/>
        <v>0</v>
      </c>
      <c r="BG178" s="5">
        <f t="shared" si="13"/>
        <v>0</v>
      </c>
      <c r="BH178" s="5">
        <f t="shared" si="14"/>
        <v>0</v>
      </c>
      <c r="BI178" s="5">
        <f t="shared" si="15"/>
        <v>0</v>
      </c>
      <c r="BJ178" s="5">
        <f t="shared" si="16"/>
        <v>0</v>
      </c>
      <c r="BK178" s="5">
        <f t="shared" si="17"/>
        <v>0</v>
      </c>
      <c r="BL178" s="5">
        <f t="shared" si="18"/>
        <v>0</v>
      </c>
      <c r="BM178" s="5">
        <f t="shared" si="19"/>
        <v>0</v>
      </c>
      <c r="BN178" s="5">
        <f t="shared" si="20"/>
        <v>0</v>
      </c>
      <c r="BO178" s="5">
        <f t="shared" si="21"/>
        <v>0</v>
      </c>
      <c r="BP178" s="5">
        <f t="shared" si="22"/>
        <v>0</v>
      </c>
      <c r="BQ178" s="5">
        <f t="shared" si="23"/>
        <v>0</v>
      </c>
      <c r="BR178" s="5">
        <f t="shared" si="24"/>
        <v>0</v>
      </c>
      <c r="BS178" s="5">
        <f t="shared" si="25"/>
        <v>0</v>
      </c>
      <c r="BT178" s="5">
        <f t="shared" si="26"/>
        <v>0</v>
      </c>
      <c r="BU178" s="5">
        <f t="shared" si="27"/>
        <v>0</v>
      </c>
      <c r="BV178" s="5">
        <f t="shared" ref="BV178:BW178" si="712">IF(OR(ISNUMBER(SEARCH("grit",$D178)),ISNUMBER(SEARCH("grit",$T178)),ISNUMBER(SEARCH("grit",$R178)),ISNUMBER(SEARCH("grit",$S178)),
ISNUMBER(SEARCH("determination",$D178)),ISNUMBER(SEARCH("determination",$T178)),ISNUMBER(SEARCH("determination",$R178)),ISNUMBER(SEARCH("determination",$S178)),
ISNUMBER(SEARCH("tenacity",$D178)),ISNUMBER(SEARCH("tenacity",$T178)),ISNUMBER(SEARCH("tenacity",$R178)),ISNUMBER(SEARCH("tenacity",$S178)),
ISNUMBER(SEARCH("endurance",$D178)),ISNUMBER(SEARCH("endurance",$T178)),ISNUMBER(SEARCH("endurance",$R178)),ISNUMBER(SEARCH("endurance",$S178)),
ISNUMBER(SEARCH("fortitude",$D178)),ISNUMBER(SEARCH("fortitude",$T178)),ISNUMBER(SEARCH("fortitude",$R178)),ISNUMBER(SEARCH("fortitude",$S178)),
ISNUMBER(SEARCH("resolve",$D178)),ISNUMBER(SEARCH("resolve",$T178)),ISNUMBER(SEARCH("resolve",$R178)),ISNUMBER(SEARCH("resolve",$S178)),
ISNUMBER(SEARCH("stamina",$D178)),ISNUMBER(SEARCH("stamina",$T178)),ISNUMBER(SEARCH("stamina",$R178)),ISNUMBER(SEARCH("stamina",$S178)),
ISNUMBER(SEARCH("guts",$D178)),ISNUMBER(SEARCH("guts",$T178)),ISNUMBER(SEARCH("guts",$R178)),ISNUMBER(SEARCH("guts",$S178)),
ISNUMBER(SEARCH("spunk",$D178)),ISNUMBER(SEARCH("spunk",$T178)),ISNUMBER(SEARCH("spunk",$R178)),ISNUMBER(SEARCH("spunk",$S178))), 1, 0)</f>
        <v>0</v>
      </c>
      <c r="BW178" s="5">
        <f t="shared" si="712"/>
        <v>0</v>
      </c>
      <c r="BX178" s="5">
        <f t="shared" si="29"/>
        <v>0</v>
      </c>
      <c r="BY178" s="5">
        <f t="shared" si="30"/>
        <v>0</v>
      </c>
      <c r="BZ178" s="5">
        <f t="shared" si="31"/>
        <v>0</v>
      </c>
      <c r="CA178" s="5">
        <f t="shared" si="32"/>
        <v>0</v>
      </c>
      <c r="CB178" s="5">
        <f t="shared" si="33"/>
        <v>0</v>
      </c>
      <c r="CC178" s="5">
        <f t="shared" si="34"/>
        <v>0</v>
      </c>
      <c r="CD178" s="5">
        <f t="shared" si="35"/>
        <v>0</v>
      </c>
      <c r="CE178" s="5">
        <f t="shared" si="36"/>
        <v>0</v>
      </c>
      <c r="CF178" s="5">
        <f t="shared" si="37"/>
        <v>0</v>
      </c>
      <c r="CG178" s="5">
        <f t="shared" si="38"/>
        <v>0</v>
      </c>
      <c r="CH178" s="5">
        <f t="shared" si="39"/>
        <v>0</v>
      </c>
      <c r="CI178" s="5">
        <f t="shared" si="40"/>
        <v>0</v>
      </c>
      <c r="CJ178" s="5">
        <f t="shared" si="41"/>
        <v>0</v>
      </c>
      <c r="CK178" s="5">
        <f t="shared" si="42"/>
        <v>0</v>
      </c>
      <c r="CL178" s="5">
        <f t="shared" si="43"/>
        <v>0</v>
      </c>
      <c r="CM178" s="5">
        <f t="shared" si="44"/>
        <v>0</v>
      </c>
      <c r="CN178" s="5">
        <f t="shared" si="45"/>
        <v>0</v>
      </c>
      <c r="CO178" s="5">
        <f t="shared" si="46"/>
        <v>0</v>
      </c>
      <c r="CP178" s="6">
        <f t="shared" si="47"/>
        <v>0</v>
      </c>
      <c r="CQ178" s="6">
        <f t="shared" si="48"/>
        <v>0</v>
      </c>
      <c r="CR178" s="6">
        <f t="shared" si="49"/>
        <v>0</v>
      </c>
      <c r="CS178" s="6">
        <f t="shared" si="50"/>
        <v>0</v>
      </c>
      <c r="CT178" s="6">
        <f t="shared" si="584"/>
        <v>0</v>
      </c>
      <c r="CU178" s="6">
        <f t="shared" si="52"/>
        <v>0</v>
      </c>
      <c r="CV178" s="6">
        <f t="shared" si="53"/>
        <v>0</v>
      </c>
      <c r="CW178" s="6">
        <f t="shared" si="54"/>
        <v>0</v>
      </c>
      <c r="CX178" s="6">
        <f t="shared" si="55"/>
        <v>0</v>
      </c>
      <c r="CY178" s="6">
        <f t="shared" si="56"/>
        <v>0</v>
      </c>
      <c r="CZ178" s="6">
        <f t="shared" si="57"/>
        <v>0</v>
      </c>
      <c r="DA178" s="6">
        <f t="shared" si="58"/>
        <v>0</v>
      </c>
      <c r="DB178" s="6">
        <f t="shared" si="59"/>
        <v>0</v>
      </c>
      <c r="DC178" s="6">
        <f t="shared" si="60"/>
        <v>0</v>
      </c>
      <c r="DD178" s="6">
        <f t="shared" si="61"/>
        <v>0</v>
      </c>
      <c r="DE178" s="6">
        <f t="shared" si="62"/>
        <v>0</v>
      </c>
      <c r="DF178" s="6">
        <f t="shared" si="63"/>
        <v>0</v>
      </c>
      <c r="DG178" s="6">
        <f t="shared" si="64"/>
        <v>0</v>
      </c>
      <c r="DH178" s="6">
        <f t="shared" si="697"/>
        <v>0</v>
      </c>
      <c r="DI178" s="6">
        <f t="shared" si="66"/>
        <v>0</v>
      </c>
      <c r="DJ178" s="6">
        <f t="shared" si="653"/>
        <v>0</v>
      </c>
      <c r="DK178" s="7">
        <f t="shared" si="68"/>
        <v>0</v>
      </c>
      <c r="DL178" s="7">
        <f t="shared" si="498"/>
        <v>0</v>
      </c>
      <c r="DM178" s="7">
        <f t="shared" si="70"/>
        <v>0</v>
      </c>
      <c r="DN178" s="7">
        <f t="shared" si="71"/>
        <v>0</v>
      </c>
      <c r="DO178" s="7">
        <f t="shared" si="72"/>
        <v>0</v>
      </c>
      <c r="DP178" s="8">
        <f t="shared" si="73"/>
        <v>0</v>
      </c>
      <c r="DQ178" s="8">
        <f t="shared" si="74"/>
        <v>0</v>
      </c>
      <c r="DR178" s="7">
        <f t="shared" si="75"/>
        <v>0</v>
      </c>
      <c r="DS178" s="7">
        <f t="shared" si="76"/>
        <v>0</v>
      </c>
      <c r="DT178" s="7">
        <f t="shared" si="77"/>
        <v>0</v>
      </c>
      <c r="DU178" s="9">
        <f t="shared" si="78"/>
        <v>0</v>
      </c>
      <c r="DV178" s="9">
        <f t="shared" si="79"/>
        <v>0</v>
      </c>
      <c r="DW178" s="9">
        <f t="shared" si="80"/>
        <v>0</v>
      </c>
      <c r="DX178" s="9">
        <f t="shared" si="81"/>
        <v>0</v>
      </c>
      <c r="DY178" s="9">
        <f t="shared" si="82"/>
        <v>0</v>
      </c>
      <c r="DZ178" s="9">
        <f t="shared" si="83"/>
        <v>0</v>
      </c>
      <c r="EA178" s="9">
        <f t="shared" si="84"/>
        <v>0</v>
      </c>
      <c r="EB178" s="9">
        <f t="shared" si="85"/>
        <v>0</v>
      </c>
      <c r="EC178" s="9">
        <f t="shared" si="86"/>
        <v>0</v>
      </c>
      <c r="ED178" s="9">
        <f t="shared" si="87"/>
        <v>0</v>
      </c>
      <c r="EE178" s="9">
        <f t="shared" si="88"/>
        <v>0</v>
      </c>
      <c r="EF178" s="9">
        <f t="shared" si="89"/>
        <v>0</v>
      </c>
      <c r="EG178" s="9">
        <f t="shared" si="90"/>
        <v>0</v>
      </c>
      <c r="EH178" s="9">
        <f t="shared" si="91"/>
        <v>0</v>
      </c>
      <c r="EI178" s="9">
        <f t="shared" si="92"/>
        <v>0</v>
      </c>
      <c r="EJ178" s="10">
        <f t="shared" si="93"/>
        <v>0</v>
      </c>
      <c r="EK178" s="10">
        <f t="shared" si="94"/>
        <v>0</v>
      </c>
      <c r="EL178" s="10">
        <f t="shared" ref="EL178:EM178" si="713">IF(OR(ISNUMBER(SEARCH("ai software toolkit", $D178)), ISNUMBER(SEARCH("ai software toolkit", $T178)), ISNUMBER(SEARCH("ai software toolkit", $R178)), ISNUMBER(SEARCH("ai software toolkit", $S178))), 1, 0)</f>
        <v>0</v>
      </c>
      <c r="EM178" s="10">
        <f t="shared" si="713"/>
        <v>0</v>
      </c>
      <c r="EN178" s="10">
        <f t="shared" si="96"/>
        <v>0</v>
      </c>
      <c r="EO178" s="10">
        <f t="shared" si="97"/>
        <v>1</v>
      </c>
      <c r="EP178" s="10">
        <f t="shared" si="98"/>
        <v>0</v>
      </c>
      <c r="EQ178" s="10">
        <f t="shared" si="99"/>
        <v>0</v>
      </c>
      <c r="ER178" s="10">
        <f t="shared" si="100"/>
        <v>0</v>
      </c>
      <c r="ES178" s="10">
        <f t="shared" si="101"/>
        <v>0</v>
      </c>
      <c r="ET178" s="10">
        <f t="shared" si="102"/>
        <v>0</v>
      </c>
      <c r="EU178" s="10">
        <f t="shared" si="103"/>
        <v>0</v>
      </c>
      <c r="EV178" s="10">
        <f t="shared" si="104"/>
        <v>0</v>
      </c>
      <c r="EW178" s="10">
        <f t="shared" si="105"/>
        <v>0</v>
      </c>
      <c r="EX178" s="10">
        <f t="shared" si="106"/>
        <v>0</v>
      </c>
      <c r="EY178" s="10">
        <f t="shared" si="107"/>
        <v>0</v>
      </c>
      <c r="EZ178" s="10">
        <f t="shared" si="108"/>
        <v>0</v>
      </c>
      <c r="FA178" s="10">
        <f t="shared" si="109"/>
        <v>0</v>
      </c>
      <c r="FB178" s="10">
        <f t="shared" si="110"/>
        <v>0</v>
      </c>
      <c r="FC178" s="10">
        <f t="shared" si="111"/>
        <v>0</v>
      </c>
      <c r="FD178" s="10">
        <f t="shared" si="112"/>
        <v>0</v>
      </c>
      <c r="FE178" s="10">
        <f t="shared" si="113"/>
        <v>0</v>
      </c>
      <c r="FF178" s="10">
        <f t="shared" si="114"/>
        <v>0</v>
      </c>
      <c r="FG178" s="10">
        <f t="shared" si="115"/>
        <v>0</v>
      </c>
      <c r="FH178" s="10">
        <f t="shared" si="116"/>
        <v>0</v>
      </c>
      <c r="FI178" s="10">
        <f t="shared" si="117"/>
        <v>0</v>
      </c>
      <c r="FJ178" s="10">
        <f t="shared" si="118"/>
        <v>0</v>
      </c>
      <c r="FK178" s="10">
        <f t="shared" si="119"/>
        <v>0</v>
      </c>
      <c r="FL178" s="10">
        <f t="shared" si="120"/>
        <v>0</v>
      </c>
      <c r="FM178" s="10">
        <f t="shared" si="121"/>
        <v>0</v>
      </c>
      <c r="FN178" s="10">
        <f t="shared" si="122"/>
        <v>0</v>
      </c>
      <c r="FO178" s="10">
        <f t="shared" si="123"/>
        <v>0</v>
      </c>
      <c r="FP178" s="10">
        <f t="shared" si="124"/>
        <v>0</v>
      </c>
      <c r="FQ178" s="10">
        <f t="shared" si="125"/>
        <v>0</v>
      </c>
      <c r="FR178" s="11">
        <f t="shared" si="709"/>
        <v>0</v>
      </c>
      <c r="FS178" s="11">
        <f t="shared" si="127"/>
        <v>0</v>
      </c>
      <c r="FT178" s="11">
        <f t="shared" si="128"/>
        <v>0</v>
      </c>
      <c r="FU178" s="11">
        <f t="shared" si="129"/>
        <v>0</v>
      </c>
      <c r="FV178" s="11">
        <f t="shared" si="130"/>
        <v>0</v>
      </c>
      <c r="FW178" s="11">
        <f t="shared" si="131"/>
        <v>0</v>
      </c>
      <c r="FX178" s="11">
        <f t="shared" si="132"/>
        <v>0</v>
      </c>
      <c r="FY178" s="11">
        <f t="shared" si="133"/>
        <v>0</v>
      </c>
      <c r="FZ178" s="11">
        <f t="shared" si="134"/>
        <v>0</v>
      </c>
      <c r="GA178" s="11">
        <f t="shared" si="135"/>
        <v>0</v>
      </c>
      <c r="GB178" s="11">
        <f t="shared" si="136"/>
        <v>0</v>
      </c>
      <c r="GC178" s="11">
        <f t="shared" si="137"/>
        <v>0</v>
      </c>
      <c r="GD178" s="11">
        <f t="shared" si="138"/>
        <v>0</v>
      </c>
      <c r="GE178" s="11">
        <f t="shared" si="139"/>
        <v>0</v>
      </c>
      <c r="GF178" s="11">
        <f t="shared" si="140"/>
        <v>0</v>
      </c>
      <c r="GG178" s="11">
        <f t="shared" si="141"/>
        <v>0</v>
      </c>
      <c r="GH178" s="11">
        <f t="shared" si="142"/>
        <v>0</v>
      </c>
      <c r="GI178" s="11">
        <f t="shared" si="143"/>
        <v>0</v>
      </c>
      <c r="GJ178" s="11">
        <f t="shared" si="144"/>
        <v>0</v>
      </c>
      <c r="GK178" s="11">
        <f t="shared" si="145"/>
        <v>0</v>
      </c>
      <c r="GL178" s="11">
        <f t="shared" si="146"/>
        <v>0</v>
      </c>
      <c r="GM178" s="11">
        <f t="shared" si="147"/>
        <v>0</v>
      </c>
      <c r="GN178" s="11">
        <f t="shared" si="148"/>
        <v>0</v>
      </c>
      <c r="GO178" s="11">
        <f t="shared" si="149"/>
        <v>0</v>
      </c>
      <c r="GP178" s="11">
        <f t="shared" si="150"/>
        <v>0</v>
      </c>
      <c r="GQ178" s="11">
        <f t="shared" si="151"/>
        <v>0</v>
      </c>
      <c r="GR178" s="11">
        <f t="shared" si="152"/>
        <v>0</v>
      </c>
      <c r="GS178" s="11">
        <f t="shared" si="153"/>
        <v>0</v>
      </c>
      <c r="GT178" s="11">
        <f t="shared" si="154"/>
        <v>0</v>
      </c>
      <c r="GU178" s="12">
        <f t="shared" si="155"/>
        <v>0</v>
      </c>
      <c r="GV178" s="12">
        <f t="shared" si="156"/>
        <v>0</v>
      </c>
      <c r="GW178" s="12">
        <f t="shared" si="157"/>
        <v>0</v>
      </c>
      <c r="GX178" s="12">
        <f t="shared" si="158"/>
        <v>0</v>
      </c>
      <c r="GY178" s="12">
        <f t="shared" si="159"/>
        <v>0</v>
      </c>
      <c r="GZ178" s="12">
        <f t="shared" si="160"/>
        <v>0</v>
      </c>
      <c r="HA178" s="12">
        <f t="shared" si="161"/>
        <v>0</v>
      </c>
      <c r="HB178" s="12">
        <f t="shared" si="162"/>
        <v>0</v>
      </c>
      <c r="HC178" s="12">
        <f t="shared" si="163"/>
        <v>0</v>
      </c>
      <c r="HD178" s="12">
        <f t="shared" si="164"/>
        <v>0</v>
      </c>
      <c r="HE178" s="12">
        <f t="shared" si="165"/>
        <v>0</v>
      </c>
      <c r="HF178" s="12">
        <f t="shared" si="166"/>
        <v>0</v>
      </c>
      <c r="HG178" s="12">
        <f t="shared" si="167"/>
        <v>0</v>
      </c>
      <c r="HH178" s="12">
        <f t="shared" si="168"/>
        <v>0</v>
      </c>
      <c r="HI178" s="12">
        <f t="shared" si="169"/>
        <v>0</v>
      </c>
      <c r="HJ178" s="12">
        <f t="shared" si="170"/>
        <v>0</v>
      </c>
      <c r="HK178" s="12">
        <f t="shared" si="171"/>
        <v>0</v>
      </c>
      <c r="HL178" s="12">
        <f t="shared" si="172"/>
        <v>0</v>
      </c>
      <c r="HM178" s="12">
        <f t="shared" si="173"/>
        <v>0</v>
      </c>
      <c r="HN178" s="12">
        <f t="shared" si="174"/>
        <v>0</v>
      </c>
      <c r="HO178" s="12">
        <f t="shared" si="175"/>
        <v>0</v>
      </c>
      <c r="HP178" s="12">
        <f t="shared" si="176"/>
        <v>0</v>
      </c>
      <c r="HQ178" s="12">
        <f t="shared" si="177"/>
        <v>0</v>
      </c>
      <c r="HR178" s="12">
        <f t="shared" si="178"/>
        <v>0</v>
      </c>
      <c r="HS178" s="12">
        <f t="shared" si="179"/>
        <v>0</v>
      </c>
      <c r="HT178" s="12">
        <f t="shared" si="180"/>
        <v>0</v>
      </c>
      <c r="HU178" s="12">
        <f t="shared" si="181"/>
        <v>0</v>
      </c>
      <c r="HV178" s="12">
        <f t="shared" si="182"/>
        <v>0</v>
      </c>
      <c r="HW178" s="12">
        <f t="shared" si="183"/>
        <v>0</v>
      </c>
      <c r="HX178" s="12">
        <f t="shared" si="184"/>
        <v>0</v>
      </c>
      <c r="HY178" s="12">
        <f t="shared" si="185"/>
        <v>0</v>
      </c>
      <c r="HZ178" s="12">
        <f t="shared" si="186"/>
        <v>0</v>
      </c>
      <c r="IA178" s="12">
        <f t="shared" si="187"/>
        <v>0</v>
      </c>
      <c r="IB178" s="12">
        <f t="shared" si="188"/>
        <v>0</v>
      </c>
      <c r="IC178" s="12">
        <f t="shared" si="189"/>
        <v>0</v>
      </c>
      <c r="ID178" s="12">
        <f t="shared" si="190"/>
        <v>0</v>
      </c>
      <c r="IE178" s="12">
        <f t="shared" si="191"/>
        <v>0</v>
      </c>
      <c r="IF178" s="12">
        <f t="shared" si="192"/>
        <v>0</v>
      </c>
      <c r="IG178" s="12">
        <f t="shared" si="193"/>
        <v>0</v>
      </c>
      <c r="IH178" s="12">
        <f t="shared" si="194"/>
        <v>0</v>
      </c>
      <c r="II178" s="12">
        <f t="shared" si="195"/>
        <v>0</v>
      </c>
      <c r="IJ178" s="12">
        <f t="shared" si="196"/>
        <v>0</v>
      </c>
      <c r="IK178" s="12">
        <f t="shared" si="197"/>
        <v>0</v>
      </c>
      <c r="IL178" s="12">
        <f t="shared" si="198"/>
        <v>0</v>
      </c>
      <c r="IM178" s="12">
        <f t="shared" si="199"/>
        <v>0</v>
      </c>
      <c r="IN178" s="12">
        <f t="shared" si="200"/>
        <v>0</v>
      </c>
      <c r="IO178" s="12">
        <f t="shared" si="201"/>
        <v>0</v>
      </c>
      <c r="IP178" s="12">
        <f t="shared" si="202"/>
        <v>0</v>
      </c>
      <c r="IQ178" s="12">
        <f t="shared" si="203"/>
        <v>0</v>
      </c>
      <c r="IR178" s="12">
        <f t="shared" si="204"/>
        <v>0</v>
      </c>
      <c r="IS178" s="12">
        <f t="shared" si="205"/>
        <v>0</v>
      </c>
      <c r="IT178" s="12">
        <f t="shared" si="206"/>
        <v>0</v>
      </c>
      <c r="IU178" s="12">
        <f t="shared" si="207"/>
        <v>0</v>
      </c>
      <c r="IV178" s="12">
        <f t="shared" si="208"/>
        <v>0</v>
      </c>
      <c r="IW178" s="12">
        <f t="shared" si="209"/>
        <v>0</v>
      </c>
      <c r="IX178" s="12">
        <f t="shared" si="210"/>
        <v>0</v>
      </c>
      <c r="IY178" s="12">
        <f t="shared" si="211"/>
        <v>0</v>
      </c>
      <c r="IZ178" s="12">
        <f t="shared" si="212"/>
        <v>0</v>
      </c>
      <c r="JA178" s="13">
        <f t="shared" si="213"/>
        <v>0</v>
      </c>
      <c r="JB178" s="13">
        <f t="shared" si="214"/>
        <v>0</v>
      </c>
      <c r="JC178" s="13">
        <f t="shared" si="215"/>
        <v>0</v>
      </c>
      <c r="JD178" s="13">
        <f t="shared" si="216"/>
        <v>0</v>
      </c>
      <c r="JE178" s="13">
        <f t="shared" si="217"/>
        <v>0</v>
      </c>
      <c r="JF178" s="13">
        <f t="shared" si="218"/>
        <v>0</v>
      </c>
      <c r="JG178" s="13">
        <f t="shared" si="219"/>
        <v>0</v>
      </c>
      <c r="JH178" s="13">
        <f t="shared" si="220"/>
        <v>0</v>
      </c>
      <c r="JI178" s="13">
        <f t="shared" si="221"/>
        <v>0</v>
      </c>
      <c r="JJ178" s="13">
        <f t="shared" si="222"/>
        <v>0</v>
      </c>
      <c r="JK178" s="13">
        <f t="shared" si="223"/>
        <v>0</v>
      </c>
      <c r="JL178" s="13">
        <f t="shared" si="224"/>
        <v>0</v>
      </c>
      <c r="JM178" s="13">
        <f t="shared" si="225"/>
        <v>0</v>
      </c>
      <c r="JN178" s="13">
        <f t="shared" si="226"/>
        <v>0</v>
      </c>
      <c r="JO178" s="13">
        <f t="shared" si="227"/>
        <v>0</v>
      </c>
      <c r="JP178" s="13">
        <f t="shared" si="228"/>
        <v>0</v>
      </c>
      <c r="JQ178" s="13">
        <f t="shared" si="229"/>
        <v>0</v>
      </c>
      <c r="JR178" s="13">
        <f t="shared" si="230"/>
        <v>0</v>
      </c>
      <c r="JS178" s="13">
        <f t="shared" si="231"/>
        <v>0</v>
      </c>
      <c r="JT178" s="13">
        <f t="shared" si="232"/>
        <v>0</v>
      </c>
      <c r="JU178" s="13">
        <f t="shared" si="233"/>
        <v>0</v>
      </c>
      <c r="JV178" s="12">
        <f t="shared" si="234"/>
        <v>0</v>
      </c>
      <c r="JW178" s="12">
        <f t="shared" si="235"/>
        <v>0</v>
      </c>
      <c r="JX178" s="12">
        <f t="shared" si="236"/>
        <v>0</v>
      </c>
      <c r="JY178" s="12">
        <f t="shared" si="237"/>
        <v>0</v>
      </c>
      <c r="JZ178" s="12">
        <f t="shared" si="238"/>
        <v>0</v>
      </c>
      <c r="KA178" s="12">
        <f t="shared" si="239"/>
        <v>0</v>
      </c>
      <c r="KB178" s="12">
        <f t="shared" si="240"/>
        <v>0</v>
      </c>
      <c r="KC178" s="12">
        <f t="shared" si="241"/>
        <v>0</v>
      </c>
      <c r="KD178" s="12">
        <f t="shared" si="242"/>
        <v>0</v>
      </c>
      <c r="KE178" s="12">
        <f t="shared" si="243"/>
        <v>0</v>
      </c>
      <c r="KF178" s="12">
        <f t="shared" si="244"/>
        <v>0</v>
      </c>
      <c r="KG178" s="12">
        <f t="shared" si="245"/>
        <v>0</v>
      </c>
      <c r="KH178" s="12">
        <f t="shared" si="246"/>
        <v>0</v>
      </c>
      <c r="KI178" s="12">
        <f t="shared" si="247"/>
        <v>0</v>
      </c>
      <c r="KJ178" s="12">
        <f t="shared" si="248"/>
        <v>0</v>
      </c>
      <c r="KK178" s="12">
        <f t="shared" si="249"/>
        <v>0</v>
      </c>
      <c r="KL178" s="12">
        <f t="shared" si="250"/>
        <v>0</v>
      </c>
      <c r="KM178" s="12">
        <f t="shared" si="251"/>
        <v>0</v>
      </c>
      <c r="KN178" s="12">
        <f t="shared" si="252"/>
        <v>0</v>
      </c>
      <c r="KO178" s="12">
        <f t="shared" si="253"/>
        <v>0</v>
      </c>
      <c r="KP178" s="12">
        <f t="shared" si="254"/>
        <v>0</v>
      </c>
      <c r="KQ178" s="12">
        <f t="shared" si="255"/>
        <v>0</v>
      </c>
      <c r="KR178" s="12">
        <f t="shared" si="256"/>
        <v>0</v>
      </c>
      <c r="KS178" s="12">
        <f t="shared" si="257"/>
        <v>0</v>
      </c>
      <c r="KT178" s="12">
        <f t="shared" si="258"/>
        <v>0</v>
      </c>
      <c r="KU178" s="12">
        <f t="shared" si="259"/>
        <v>0</v>
      </c>
      <c r="KV178" s="12">
        <f t="shared" si="260"/>
        <v>0</v>
      </c>
      <c r="KW178" s="12">
        <f t="shared" si="261"/>
        <v>0</v>
      </c>
      <c r="KX178" s="12">
        <f t="shared" si="262"/>
        <v>0</v>
      </c>
      <c r="KY178" s="12">
        <f t="shared" si="263"/>
        <v>0</v>
      </c>
      <c r="KZ178" s="12">
        <f t="shared" si="264"/>
        <v>0</v>
      </c>
      <c r="LA178" s="12">
        <f t="shared" si="265"/>
        <v>0</v>
      </c>
      <c r="LB178" s="12">
        <f t="shared" si="266"/>
        <v>0</v>
      </c>
      <c r="LC178" s="12">
        <f t="shared" si="267"/>
        <v>0</v>
      </c>
      <c r="LD178" s="12">
        <f t="shared" si="268"/>
        <v>0</v>
      </c>
      <c r="LE178" s="12">
        <f t="shared" si="269"/>
        <v>0</v>
      </c>
      <c r="LF178" s="12">
        <f t="shared" si="270"/>
        <v>0</v>
      </c>
      <c r="LG178" s="12">
        <f t="shared" si="271"/>
        <v>0</v>
      </c>
      <c r="LH178" s="12">
        <f t="shared" si="272"/>
        <v>0</v>
      </c>
      <c r="LI178" s="12">
        <f t="shared" si="273"/>
        <v>0</v>
      </c>
      <c r="LJ178" s="12">
        <f t="shared" si="274"/>
        <v>0</v>
      </c>
      <c r="LK178" s="12">
        <f t="shared" si="275"/>
        <v>0</v>
      </c>
      <c r="LL178" s="12">
        <f t="shared" si="276"/>
        <v>0</v>
      </c>
      <c r="LM178" s="12">
        <f t="shared" si="277"/>
        <v>0</v>
      </c>
      <c r="LN178" s="12">
        <f t="shared" si="278"/>
        <v>0</v>
      </c>
      <c r="LO178" s="12">
        <f t="shared" si="279"/>
        <v>0</v>
      </c>
      <c r="LP178" s="12">
        <f t="shared" si="280"/>
        <v>0</v>
      </c>
      <c r="LQ178" s="12">
        <f t="shared" si="281"/>
        <v>0</v>
      </c>
      <c r="LR178" s="12">
        <f t="shared" si="282"/>
        <v>0</v>
      </c>
      <c r="LS178" s="12">
        <f t="shared" si="283"/>
        <v>0</v>
      </c>
      <c r="LT178" s="13">
        <f t="shared" si="284"/>
        <v>0</v>
      </c>
      <c r="LU178" s="13">
        <f t="shared" si="285"/>
        <v>0</v>
      </c>
      <c r="LV178" s="13">
        <f t="shared" si="286"/>
        <v>0</v>
      </c>
      <c r="LW178" s="13">
        <f t="shared" si="287"/>
        <v>0</v>
      </c>
      <c r="LX178" s="13">
        <f t="shared" si="288"/>
        <v>0</v>
      </c>
      <c r="LY178" s="13">
        <f t="shared" si="289"/>
        <v>0</v>
      </c>
      <c r="LZ178" s="13">
        <f t="shared" si="290"/>
        <v>0</v>
      </c>
      <c r="MA178" s="13">
        <f t="shared" si="291"/>
        <v>0</v>
      </c>
      <c r="MB178" s="13">
        <f t="shared" si="292"/>
        <v>0</v>
      </c>
      <c r="MC178" s="13">
        <f t="shared" si="293"/>
        <v>0</v>
      </c>
      <c r="MD178" s="13">
        <f t="shared" si="294"/>
        <v>0</v>
      </c>
      <c r="ME178" s="13">
        <f t="shared" si="295"/>
        <v>0</v>
      </c>
      <c r="MF178" s="13">
        <f t="shared" si="296"/>
        <v>0</v>
      </c>
      <c r="MG178" s="13">
        <f t="shared" si="297"/>
        <v>0</v>
      </c>
      <c r="MH178" s="13">
        <f t="shared" si="298"/>
        <v>0</v>
      </c>
      <c r="MI178" s="13">
        <f t="shared" si="299"/>
        <v>0</v>
      </c>
      <c r="MJ178" s="13">
        <f t="shared" si="300"/>
        <v>0</v>
      </c>
      <c r="MK178" s="13">
        <f t="shared" si="301"/>
        <v>0</v>
      </c>
      <c r="ML178" s="14">
        <f t="shared" si="302"/>
        <v>0</v>
      </c>
      <c r="MM178" s="14">
        <f t="shared" si="303"/>
        <v>1</v>
      </c>
      <c r="MN178" s="14">
        <f t="shared" si="304"/>
        <v>1</v>
      </c>
      <c r="MO178" s="14">
        <f t="shared" si="305"/>
        <v>1</v>
      </c>
      <c r="MP178" s="14">
        <f t="shared" si="306"/>
        <v>0</v>
      </c>
      <c r="MQ178" s="14">
        <f t="shared" si="307"/>
        <v>0</v>
      </c>
      <c r="MR178" s="14">
        <f t="shared" si="308"/>
        <v>0</v>
      </c>
      <c r="MS178" s="14">
        <f t="shared" si="309"/>
        <v>0</v>
      </c>
      <c r="MT178" s="14">
        <f t="shared" si="310"/>
        <v>0</v>
      </c>
      <c r="MU178" s="14">
        <f t="shared" si="311"/>
        <v>1</v>
      </c>
      <c r="MV178" s="14">
        <f t="shared" si="312"/>
        <v>0</v>
      </c>
      <c r="MW178" s="14">
        <f t="shared" si="313"/>
        <v>0</v>
      </c>
      <c r="MX178" s="14">
        <f t="shared" si="314"/>
        <v>0</v>
      </c>
      <c r="MY178" s="14">
        <f t="shared" si="315"/>
        <v>0</v>
      </c>
      <c r="MZ178" s="14">
        <f t="shared" si="316"/>
        <v>0</v>
      </c>
      <c r="NA178" s="14">
        <f t="shared" si="317"/>
        <v>0</v>
      </c>
      <c r="NB178" s="14">
        <f t="shared" si="318"/>
        <v>0</v>
      </c>
    </row>
    <row r="179" ht="15.75" customHeight="1">
      <c r="A179" s="2">
        <v>71.0</v>
      </c>
      <c r="B179" s="2" t="s">
        <v>3362</v>
      </c>
      <c r="C179" s="2" t="s">
        <v>3363</v>
      </c>
      <c r="D179" s="2" t="s">
        <v>3364</v>
      </c>
      <c r="E179" s="2">
        <v>2021.0</v>
      </c>
      <c r="F179" s="2" t="s">
        <v>1178</v>
      </c>
      <c r="G179" s="2" t="s">
        <v>510</v>
      </c>
      <c r="I179" s="2" t="s">
        <v>3365</v>
      </c>
      <c r="M179" s="2">
        <v>2.0</v>
      </c>
      <c r="N179" s="2" t="s">
        <v>3366</v>
      </c>
      <c r="O179" s="2" t="s">
        <v>3367</v>
      </c>
      <c r="P179" s="2" t="s">
        <v>3368</v>
      </c>
      <c r="Q179" s="2" t="s">
        <v>3369</v>
      </c>
      <c r="R179" s="2" t="s">
        <v>3370</v>
      </c>
      <c r="S179" s="2" t="s">
        <v>3371</v>
      </c>
      <c r="Y179" s="2" t="s">
        <v>3372</v>
      </c>
      <c r="AB179" s="2" t="s">
        <v>1039</v>
      </c>
      <c r="AG179" s="2" t="s">
        <v>1187</v>
      </c>
      <c r="AK179" s="2" t="s">
        <v>1188</v>
      </c>
      <c r="AL179" s="2" t="s">
        <v>384</v>
      </c>
      <c r="AM179" s="2" t="s">
        <v>484</v>
      </c>
      <c r="AN179" s="2" t="s">
        <v>386</v>
      </c>
      <c r="AO179" s="2" t="s">
        <v>3373</v>
      </c>
      <c r="AP179" s="2" t="s">
        <v>386</v>
      </c>
      <c r="AQ179" s="2">
        <v>215.0</v>
      </c>
      <c r="AR179" s="2" t="s">
        <v>3374</v>
      </c>
      <c r="AS179" s="2" t="b">
        <v>0</v>
      </c>
      <c r="AT179" s="3">
        <v>0.0</v>
      </c>
      <c r="AU179" s="4"/>
      <c r="AV179" s="4">
        <v>1.0</v>
      </c>
      <c r="AW179" s="5">
        <f t="shared" si="432"/>
        <v>0</v>
      </c>
      <c r="AX179" s="5">
        <f t="shared" si="4"/>
        <v>0</v>
      </c>
      <c r="AY179" s="5">
        <f t="shared" si="5"/>
        <v>0</v>
      </c>
      <c r="AZ179" s="5">
        <f t="shared" si="6"/>
        <v>0</v>
      </c>
      <c r="BA179" s="5">
        <f t="shared" si="7"/>
        <v>0</v>
      </c>
      <c r="BB179" s="5">
        <f t="shared" si="8"/>
        <v>0</v>
      </c>
      <c r="BC179" s="5">
        <f t="shared" si="9"/>
        <v>0</v>
      </c>
      <c r="BD179" s="5">
        <f t="shared" si="10"/>
        <v>0</v>
      </c>
      <c r="BE179" s="5">
        <f t="shared" si="11"/>
        <v>0</v>
      </c>
      <c r="BF179" s="5">
        <f t="shared" si="12"/>
        <v>0</v>
      </c>
      <c r="BG179" s="5">
        <f t="shared" si="13"/>
        <v>0</v>
      </c>
      <c r="BH179" s="5">
        <f t="shared" si="14"/>
        <v>0</v>
      </c>
      <c r="BI179" s="5">
        <f t="shared" si="15"/>
        <v>0</v>
      </c>
      <c r="BJ179" s="5">
        <f t="shared" si="16"/>
        <v>0</v>
      </c>
      <c r="BK179" s="5">
        <f t="shared" si="17"/>
        <v>0</v>
      </c>
      <c r="BL179" s="5">
        <f t="shared" si="18"/>
        <v>0</v>
      </c>
      <c r="BM179" s="5">
        <f t="shared" si="19"/>
        <v>0</v>
      </c>
      <c r="BN179" s="5">
        <f t="shared" si="20"/>
        <v>0</v>
      </c>
      <c r="BO179" s="5">
        <f t="shared" si="21"/>
        <v>0</v>
      </c>
      <c r="BP179" s="5">
        <f t="shared" si="22"/>
        <v>0</v>
      </c>
      <c r="BQ179" s="5">
        <f t="shared" si="23"/>
        <v>0</v>
      </c>
      <c r="BR179" s="5">
        <f t="shared" si="24"/>
        <v>0</v>
      </c>
      <c r="BS179" s="5">
        <f t="shared" si="25"/>
        <v>0</v>
      </c>
      <c r="BT179" s="5">
        <f t="shared" si="26"/>
        <v>0</v>
      </c>
      <c r="BU179" s="5">
        <f t="shared" si="27"/>
        <v>0</v>
      </c>
      <c r="BV179" s="5">
        <f t="shared" ref="BV179:BW179" si="714">IF(OR(ISNUMBER(SEARCH("grit",$D179)),ISNUMBER(SEARCH("grit",$T179)),ISNUMBER(SEARCH("grit",$R179)),ISNUMBER(SEARCH("grit",$S179)),
ISNUMBER(SEARCH("determination",$D179)),ISNUMBER(SEARCH("determination",$T179)),ISNUMBER(SEARCH("determination",$R179)),ISNUMBER(SEARCH("determination",$S179)),
ISNUMBER(SEARCH("tenacity",$D179)),ISNUMBER(SEARCH("tenacity",$T179)),ISNUMBER(SEARCH("tenacity",$R179)),ISNUMBER(SEARCH("tenacity",$S179)),
ISNUMBER(SEARCH("endurance",$D179)),ISNUMBER(SEARCH("endurance",$T179)),ISNUMBER(SEARCH("endurance",$R179)),ISNUMBER(SEARCH("endurance",$S179)),
ISNUMBER(SEARCH("fortitude",$D179)),ISNUMBER(SEARCH("fortitude",$T179)),ISNUMBER(SEARCH("fortitude",$R179)),ISNUMBER(SEARCH("fortitude",$S179)),
ISNUMBER(SEARCH("resolve",$D179)),ISNUMBER(SEARCH("resolve",$T179)),ISNUMBER(SEARCH("resolve",$R179)),ISNUMBER(SEARCH("resolve",$S179)),
ISNUMBER(SEARCH("stamina",$D179)),ISNUMBER(SEARCH("stamina",$T179)),ISNUMBER(SEARCH("stamina",$R179)),ISNUMBER(SEARCH("stamina",$S179)),
ISNUMBER(SEARCH("guts",$D179)),ISNUMBER(SEARCH("guts",$T179)),ISNUMBER(SEARCH("guts",$R179)),ISNUMBER(SEARCH("guts",$S179)),
ISNUMBER(SEARCH("spunk",$D179)),ISNUMBER(SEARCH("spunk",$T179)),ISNUMBER(SEARCH("spunk",$R179)),ISNUMBER(SEARCH("spunk",$S179))), 1, 0)</f>
        <v>0</v>
      </c>
      <c r="BW179" s="5">
        <f t="shared" si="714"/>
        <v>0</v>
      </c>
      <c r="BX179" s="5">
        <f t="shared" si="29"/>
        <v>0</v>
      </c>
      <c r="BY179" s="5">
        <f t="shared" si="30"/>
        <v>0</v>
      </c>
      <c r="BZ179" s="5">
        <f t="shared" si="31"/>
        <v>0</v>
      </c>
      <c r="CA179" s="5">
        <f t="shared" si="32"/>
        <v>0</v>
      </c>
      <c r="CB179" s="5">
        <f t="shared" si="33"/>
        <v>0</v>
      </c>
      <c r="CC179" s="5">
        <f t="shared" si="34"/>
        <v>0</v>
      </c>
      <c r="CD179" s="5">
        <f t="shared" si="35"/>
        <v>0</v>
      </c>
      <c r="CE179" s="5">
        <f t="shared" si="36"/>
        <v>0</v>
      </c>
      <c r="CF179" s="5">
        <f t="shared" si="37"/>
        <v>0</v>
      </c>
      <c r="CG179" s="5">
        <f t="shared" si="38"/>
        <v>0</v>
      </c>
      <c r="CH179" s="5">
        <f t="shared" si="39"/>
        <v>0</v>
      </c>
      <c r="CI179" s="5">
        <f t="shared" si="40"/>
        <v>0</v>
      </c>
      <c r="CJ179" s="5">
        <f t="shared" si="41"/>
        <v>0</v>
      </c>
      <c r="CK179" s="5">
        <f t="shared" si="42"/>
        <v>0</v>
      </c>
      <c r="CL179" s="5">
        <f t="shared" si="43"/>
        <v>0</v>
      </c>
      <c r="CM179" s="5">
        <f t="shared" si="44"/>
        <v>0</v>
      </c>
      <c r="CN179" s="5">
        <f t="shared" si="45"/>
        <v>0</v>
      </c>
      <c r="CO179" s="5">
        <f t="shared" si="46"/>
        <v>0</v>
      </c>
      <c r="CP179" s="6">
        <f t="shared" si="47"/>
        <v>0</v>
      </c>
      <c r="CQ179" s="6">
        <f t="shared" si="48"/>
        <v>0</v>
      </c>
      <c r="CR179" s="6">
        <f t="shared" si="49"/>
        <v>0</v>
      </c>
      <c r="CS179" s="6">
        <f t="shared" si="50"/>
        <v>0</v>
      </c>
      <c r="CT179" s="6">
        <f t="shared" si="584"/>
        <v>0</v>
      </c>
      <c r="CU179" s="6">
        <f t="shared" si="52"/>
        <v>0</v>
      </c>
      <c r="CV179" s="6">
        <f t="shared" si="53"/>
        <v>0</v>
      </c>
      <c r="CW179" s="6">
        <f t="shared" si="54"/>
        <v>0</v>
      </c>
      <c r="CX179" s="6">
        <f t="shared" si="55"/>
        <v>0</v>
      </c>
      <c r="CY179" s="6">
        <f t="shared" si="56"/>
        <v>0</v>
      </c>
      <c r="CZ179" s="6">
        <f t="shared" si="57"/>
        <v>0</v>
      </c>
      <c r="DA179" s="6">
        <f t="shared" si="58"/>
        <v>0</v>
      </c>
      <c r="DB179" s="6">
        <f t="shared" si="59"/>
        <v>0</v>
      </c>
      <c r="DC179" s="6">
        <f t="shared" si="60"/>
        <v>0</v>
      </c>
      <c r="DD179" s="6">
        <f t="shared" si="61"/>
        <v>0</v>
      </c>
      <c r="DE179" s="6">
        <f t="shared" si="62"/>
        <v>0</v>
      </c>
      <c r="DF179" s="6">
        <f t="shared" si="63"/>
        <v>0</v>
      </c>
      <c r="DG179" s="6">
        <f t="shared" si="64"/>
        <v>0</v>
      </c>
      <c r="DH179" s="6">
        <f t="shared" si="697"/>
        <v>0</v>
      </c>
      <c r="DI179" s="6">
        <f t="shared" si="66"/>
        <v>1</v>
      </c>
      <c r="DJ179" s="6">
        <f t="shared" si="653"/>
        <v>0</v>
      </c>
      <c r="DK179" s="7">
        <f t="shared" si="68"/>
        <v>0</v>
      </c>
      <c r="DL179" s="7">
        <f t="shared" si="498"/>
        <v>0</v>
      </c>
      <c r="DM179" s="7">
        <f t="shared" si="70"/>
        <v>0</v>
      </c>
      <c r="DN179" s="7">
        <f t="shared" si="71"/>
        <v>0</v>
      </c>
      <c r="DO179" s="7">
        <f t="shared" si="72"/>
        <v>0</v>
      </c>
      <c r="DP179" s="8">
        <f t="shared" si="73"/>
        <v>0</v>
      </c>
      <c r="DQ179" s="8">
        <f t="shared" si="74"/>
        <v>1</v>
      </c>
      <c r="DR179" s="7">
        <f t="shared" si="75"/>
        <v>0</v>
      </c>
      <c r="DS179" s="7">
        <f t="shared" si="76"/>
        <v>0</v>
      </c>
      <c r="DT179" s="7">
        <f t="shared" si="77"/>
        <v>0</v>
      </c>
      <c r="DU179" s="9">
        <f t="shared" si="78"/>
        <v>0</v>
      </c>
      <c r="DV179" s="9">
        <f t="shared" si="79"/>
        <v>0</v>
      </c>
      <c r="DW179" s="9">
        <f t="shared" si="80"/>
        <v>0</v>
      </c>
      <c r="DX179" s="9">
        <f t="shared" si="81"/>
        <v>0</v>
      </c>
      <c r="DY179" s="9">
        <f t="shared" si="82"/>
        <v>0</v>
      </c>
      <c r="DZ179" s="9">
        <f t="shared" si="83"/>
        <v>0</v>
      </c>
      <c r="EA179" s="9">
        <f t="shared" si="84"/>
        <v>0</v>
      </c>
      <c r="EB179" s="9">
        <f t="shared" si="85"/>
        <v>0</v>
      </c>
      <c r="EC179" s="9">
        <f t="shared" si="86"/>
        <v>0</v>
      </c>
      <c r="ED179" s="9">
        <f t="shared" si="87"/>
        <v>0</v>
      </c>
      <c r="EE179" s="9">
        <f t="shared" si="88"/>
        <v>0</v>
      </c>
      <c r="EF179" s="9">
        <f t="shared" si="89"/>
        <v>0</v>
      </c>
      <c r="EG179" s="9">
        <f t="shared" si="90"/>
        <v>0</v>
      </c>
      <c r="EH179" s="9">
        <f t="shared" si="91"/>
        <v>0</v>
      </c>
      <c r="EI179" s="9">
        <f t="shared" si="92"/>
        <v>0</v>
      </c>
      <c r="EJ179" s="10">
        <f t="shared" si="93"/>
        <v>0</v>
      </c>
      <c r="EK179" s="10">
        <f t="shared" si="94"/>
        <v>0</v>
      </c>
      <c r="EL179" s="10">
        <f t="shared" ref="EL179:EM179" si="715">IF(OR(ISNUMBER(SEARCH("ai software toolkit", $D179)), ISNUMBER(SEARCH("ai software toolkit", $T179)), ISNUMBER(SEARCH("ai software toolkit", $R179)), ISNUMBER(SEARCH("ai software toolkit", $S179))), 1, 0)</f>
        <v>0</v>
      </c>
      <c r="EM179" s="10">
        <f t="shared" si="715"/>
        <v>0</v>
      </c>
      <c r="EN179" s="10">
        <f t="shared" si="96"/>
        <v>0</v>
      </c>
      <c r="EO179" s="10">
        <f t="shared" si="97"/>
        <v>0</v>
      </c>
      <c r="EP179" s="10">
        <f t="shared" si="98"/>
        <v>0</v>
      </c>
      <c r="EQ179" s="10">
        <f t="shared" si="99"/>
        <v>0</v>
      </c>
      <c r="ER179" s="10">
        <f t="shared" si="100"/>
        <v>0</v>
      </c>
      <c r="ES179" s="10">
        <f t="shared" si="101"/>
        <v>0</v>
      </c>
      <c r="ET179" s="10">
        <f t="shared" si="102"/>
        <v>0</v>
      </c>
      <c r="EU179" s="10">
        <f t="shared" si="103"/>
        <v>0</v>
      </c>
      <c r="EV179" s="10">
        <f t="shared" si="104"/>
        <v>0</v>
      </c>
      <c r="EW179" s="10">
        <f t="shared" si="105"/>
        <v>0</v>
      </c>
      <c r="EX179" s="10">
        <f t="shared" si="106"/>
        <v>0</v>
      </c>
      <c r="EY179" s="10">
        <f t="shared" si="107"/>
        <v>0</v>
      </c>
      <c r="EZ179" s="10">
        <f t="shared" si="108"/>
        <v>0</v>
      </c>
      <c r="FA179" s="10">
        <f t="shared" si="109"/>
        <v>0</v>
      </c>
      <c r="FB179" s="10">
        <f t="shared" si="110"/>
        <v>0</v>
      </c>
      <c r="FC179" s="10">
        <f t="shared" si="111"/>
        <v>0</v>
      </c>
      <c r="FD179" s="10">
        <f t="shared" si="112"/>
        <v>0</v>
      </c>
      <c r="FE179" s="10">
        <f t="shared" si="113"/>
        <v>0</v>
      </c>
      <c r="FF179" s="10">
        <f t="shared" si="114"/>
        <v>0</v>
      </c>
      <c r="FG179" s="10">
        <f t="shared" si="115"/>
        <v>0</v>
      </c>
      <c r="FH179" s="10">
        <f t="shared" si="116"/>
        <v>0</v>
      </c>
      <c r="FI179" s="10">
        <f t="shared" si="117"/>
        <v>0</v>
      </c>
      <c r="FJ179" s="10">
        <f t="shared" si="118"/>
        <v>0</v>
      </c>
      <c r="FK179" s="10">
        <f t="shared" si="119"/>
        <v>0</v>
      </c>
      <c r="FL179" s="10">
        <f t="shared" si="120"/>
        <v>0</v>
      </c>
      <c r="FM179" s="10">
        <f t="shared" si="121"/>
        <v>0</v>
      </c>
      <c r="FN179" s="10">
        <f t="shared" si="122"/>
        <v>0</v>
      </c>
      <c r="FO179" s="10">
        <f t="shared" si="123"/>
        <v>0</v>
      </c>
      <c r="FP179" s="10">
        <f t="shared" si="124"/>
        <v>1</v>
      </c>
      <c r="FQ179" s="10">
        <f t="shared" si="125"/>
        <v>0</v>
      </c>
      <c r="FR179" s="11">
        <f t="shared" si="709"/>
        <v>0</v>
      </c>
      <c r="FS179" s="11">
        <f t="shared" si="127"/>
        <v>0</v>
      </c>
      <c r="FT179" s="11">
        <f t="shared" si="128"/>
        <v>0</v>
      </c>
      <c r="FU179" s="11">
        <f t="shared" si="129"/>
        <v>0</v>
      </c>
      <c r="FV179" s="11">
        <f t="shared" si="130"/>
        <v>0</v>
      </c>
      <c r="FW179" s="11">
        <f t="shared" si="131"/>
        <v>0</v>
      </c>
      <c r="FX179" s="11">
        <f t="shared" si="132"/>
        <v>0</v>
      </c>
      <c r="FY179" s="11">
        <f t="shared" si="133"/>
        <v>0</v>
      </c>
      <c r="FZ179" s="11">
        <f t="shared" si="134"/>
        <v>0</v>
      </c>
      <c r="GA179" s="11">
        <f t="shared" si="135"/>
        <v>0</v>
      </c>
      <c r="GB179" s="11">
        <f t="shared" si="136"/>
        <v>0</v>
      </c>
      <c r="GC179" s="11">
        <f t="shared" si="137"/>
        <v>0</v>
      </c>
      <c r="GD179" s="11">
        <f t="shared" si="138"/>
        <v>0</v>
      </c>
      <c r="GE179" s="11">
        <f t="shared" si="139"/>
        <v>0</v>
      </c>
      <c r="GF179" s="11">
        <f t="shared" si="140"/>
        <v>0</v>
      </c>
      <c r="GG179" s="11">
        <f t="shared" si="141"/>
        <v>0</v>
      </c>
      <c r="GH179" s="11">
        <f t="shared" si="142"/>
        <v>0</v>
      </c>
      <c r="GI179" s="11">
        <f t="shared" si="143"/>
        <v>0</v>
      </c>
      <c r="GJ179" s="11">
        <f t="shared" si="144"/>
        <v>0</v>
      </c>
      <c r="GK179" s="11">
        <f t="shared" si="145"/>
        <v>0</v>
      </c>
      <c r="GL179" s="11">
        <f t="shared" si="146"/>
        <v>0</v>
      </c>
      <c r="GM179" s="11">
        <f t="shared" si="147"/>
        <v>0</v>
      </c>
      <c r="GN179" s="11">
        <f t="shared" si="148"/>
        <v>0</v>
      </c>
      <c r="GO179" s="11">
        <f t="shared" si="149"/>
        <v>0</v>
      </c>
      <c r="GP179" s="11">
        <f t="shared" si="150"/>
        <v>0</v>
      </c>
      <c r="GQ179" s="11">
        <f t="shared" si="151"/>
        <v>1</v>
      </c>
      <c r="GR179" s="11">
        <f t="shared" si="152"/>
        <v>0</v>
      </c>
      <c r="GS179" s="11">
        <f t="shared" si="153"/>
        <v>0</v>
      </c>
      <c r="GT179" s="11">
        <f t="shared" si="154"/>
        <v>0</v>
      </c>
      <c r="GU179" s="12">
        <f t="shared" si="155"/>
        <v>0</v>
      </c>
      <c r="GV179" s="12">
        <f t="shared" si="156"/>
        <v>0</v>
      </c>
      <c r="GW179" s="12">
        <f t="shared" si="157"/>
        <v>0</v>
      </c>
      <c r="GX179" s="12">
        <f t="shared" si="158"/>
        <v>0</v>
      </c>
      <c r="GY179" s="12">
        <f t="shared" si="159"/>
        <v>0</v>
      </c>
      <c r="GZ179" s="12">
        <f t="shared" si="160"/>
        <v>0</v>
      </c>
      <c r="HA179" s="12">
        <f t="shared" si="161"/>
        <v>0</v>
      </c>
      <c r="HB179" s="12">
        <f t="shared" si="162"/>
        <v>0</v>
      </c>
      <c r="HC179" s="12">
        <f t="shared" si="163"/>
        <v>0</v>
      </c>
      <c r="HD179" s="12">
        <f t="shared" si="164"/>
        <v>0</v>
      </c>
      <c r="HE179" s="12">
        <f t="shared" si="165"/>
        <v>0</v>
      </c>
      <c r="HF179" s="12">
        <f t="shared" si="166"/>
        <v>0</v>
      </c>
      <c r="HG179" s="12">
        <f t="shared" si="167"/>
        <v>0</v>
      </c>
      <c r="HH179" s="12">
        <f t="shared" si="168"/>
        <v>0</v>
      </c>
      <c r="HI179" s="12">
        <f t="shared" si="169"/>
        <v>0</v>
      </c>
      <c r="HJ179" s="12">
        <f t="shared" si="170"/>
        <v>0</v>
      </c>
      <c r="HK179" s="12">
        <f t="shared" si="171"/>
        <v>0</v>
      </c>
      <c r="HL179" s="12">
        <f t="shared" si="172"/>
        <v>0</v>
      </c>
      <c r="HM179" s="12">
        <f t="shared" si="173"/>
        <v>0</v>
      </c>
      <c r="HN179" s="12">
        <f t="shared" si="174"/>
        <v>0</v>
      </c>
      <c r="HO179" s="12">
        <f t="shared" si="175"/>
        <v>0</v>
      </c>
      <c r="HP179" s="12">
        <f t="shared" si="176"/>
        <v>0</v>
      </c>
      <c r="HQ179" s="12">
        <f t="shared" si="177"/>
        <v>0</v>
      </c>
      <c r="HR179" s="12">
        <f t="shared" si="178"/>
        <v>0</v>
      </c>
      <c r="HS179" s="12">
        <f t="shared" si="179"/>
        <v>0</v>
      </c>
      <c r="HT179" s="12">
        <f t="shared" si="180"/>
        <v>0</v>
      </c>
      <c r="HU179" s="12">
        <f t="shared" si="181"/>
        <v>0</v>
      </c>
      <c r="HV179" s="12">
        <f t="shared" si="182"/>
        <v>0</v>
      </c>
      <c r="HW179" s="12">
        <f t="shared" si="183"/>
        <v>0</v>
      </c>
      <c r="HX179" s="12">
        <f t="shared" si="184"/>
        <v>0</v>
      </c>
      <c r="HY179" s="12">
        <f t="shared" si="185"/>
        <v>0</v>
      </c>
      <c r="HZ179" s="12">
        <f t="shared" si="186"/>
        <v>0</v>
      </c>
      <c r="IA179" s="12">
        <f t="shared" si="187"/>
        <v>0</v>
      </c>
      <c r="IB179" s="12">
        <f t="shared" si="188"/>
        <v>0</v>
      </c>
      <c r="IC179" s="12">
        <f t="shared" si="189"/>
        <v>0</v>
      </c>
      <c r="ID179" s="12">
        <f t="shared" si="190"/>
        <v>0</v>
      </c>
      <c r="IE179" s="12">
        <f t="shared" si="191"/>
        <v>0</v>
      </c>
      <c r="IF179" s="12">
        <f t="shared" si="192"/>
        <v>0</v>
      </c>
      <c r="IG179" s="12">
        <f t="shared" si="193"/>
        <v>0</v>
      </c>
      <c r="IH179" s="12">
        <f t="shared" si="194"/>
        <v>0</v>
      </c>
      <c r="II179" s="12">
        <f t="shared" si="195"/>
        <v>0</v>
      </c>
      <c r="IJ179" s="12">
        <f t="shared" si="196"/>
        <v>0</v>
      </c>
      <c r="IK179" s="12">
        <f t="shared" si="197"/>
        <v>0</v>
      </c>
      <c r="IL179" s="12">
        <f t="shared" si="198"/>
        <v>0</v>
      </c>
      <c r="IM179" s="12">
        <f t="shared" si="199"/>
        <v>0</v>
      </c>
      <c r="IN179" s="12">
        <f t="shared" si="200"/>
        <v>0</v>
      </c>
      <c r="IO179" s="12">
        <f t="shared" si="201"/>
        <v>0</v>
      </c>
      <c r="IP179" s="12">
        <f t="shared" si="202"/>
        <v>0</v>
      </c>
      <c r="IQ179" s="12">
        <f t="shared" si="203"/>
        <v>0</v>
      </c>
      <c r="IR179" s="12">
        <f t="shared" si="204"/>
        <v>0</v>
      </c>
      <c r="IS179" s="12">
        <f t="shared" si="205"/>
        <v>0</v>
      </c>
      <c r="IT179" s="12">
        <f t="shared" si="206"/>
        <v>0</v>
      </c>
      <c r="IU179" s="12">
        <f t="shared" si="207"/>
        <v>0</v>
      </c>
      <c r="IV179" s="12">
        <f t="shared" si="208"/>
        <v>0</v>
      </c>
      <c r="IW179" s="12">
        <f t="shared" si="209"/>
        <v>0</v>
      </c>
      <c r="IX179" s="12">
        <f t="shared" si="210"/>
        <v>0</v>
      </c>
      <c r="IY179" s="12">
        <f t="shared" si="211"/>
        <v>0</v>
      </c>
      <c r="IZ179" s="12">
        <f t="shared" si="212"/>
        <v>0</v>
      </c>
      <c r="JA179" s="13">
        <f t="shared" si="213"/>
        <v>0</v>
      </c>
      <c r="JB179" s="13">
        <f t="shared" si="214"/>
        <v>0</v>
      </c>
      <c r="JC179" s="13">
        <f t="shared" si="215"/>
        <v>0</v>
      </c>
      <c r="JD179" s="13">
        <f t="shared" si="216"/>
        <v>0</v>
      </c>
      <c r="JE179" s="13">
        <f t="shared" si="217"/>
        <v>0</v>
      </c>
      <c r="JF179" s="13">
        <f t="shared" si="218"/>
        <v>0</v>
      </c>
      <c r="JG179" s="13">
        <f t="shared" si="219"/>
        <v>0</v>
      </c>
      <c r="JH179" s="13">
        <f t="shared" si="220"/>
        <v>0</v>
      </c>
      <c r="JI179" s="13">
        <f t="shared" si="221"/>
        <v>0</v>
      </c>
      <c r="JJ179" s="13">
        <f t="shared" si="222"/>
        <v>0</v>
      </c>
      <c r="JK179" s="13">
        <f t="shared" si="223"/>
        <v>0</v>
      </c>
      <c r="JL179" s="13">
        <f t="shared" si="224"/>
        <v>0</v>
      </c>
      <c r="JM179" s="13">
        <f t="shared" si="225"/>
        <v>0</v>
      </c>
      <c r="JN179" s="13">
        <f t="shared" si="226"/>
        <v>0</v>
      </c>
      <c r="JO179" s="13">
        <f t="shared" si="227"/>
        <v>0</v>
      </c>
      <c r="JP179" s="13">
        <f t="shared" si="228"/>
        <v>0</v>
      </c>
      <c r="JQ179" s="13">
        <f t="shared" si="229"/>
        <v>0</v>
      </c>
      <c r="JR179" s="13">
        <f t="shared" si="230"/>
        <v>0</v>
      </c>
      <c r="JS179" s="13">
        <f t="shared" si="231"/>
        <v>0</v>
      </c>
      <c r="JT179" s="13">
        <f t="shared" si="232"/>
        <v>0</v>
      </c>
      <c r="JU179" s="13">
        <f t="shared" si="233"/>
        <v>0</v>
      </c>
      <c r="JV179" s="12">
        <f t="shared" si="234"/>
        <v>0</v>
      </c>
      <c r="JW179" s="12">
        <f t="shared" si="235"/>
        <v>0</v>
      </c>
      <c r="JX179" s="12">
        <f t="shared" si="236"/>
        <v>0</v>
      </c>
      <c r="JY179" s="12">
        <f t="shared" si="237"/>
        <v>0</v>
      </c>
      <c r="JZ179" s="12">
        <f t="shared" si="238"/>
        <v>0</v>
      </c>
      <c r="KA179" s="12">
        <f t="shared" si="239"/>
        <v>0</v>
      </c>
      <c r="KB179" s="12">
        <f t="shared" si="240"/>
        <v>0</v>
      </c>
      <c r="KC179" s="12">
        <f t="shared" si="241"/>
        <v>0</v>
      </c>
      <c r="KD179" s="12">
        <f t="shared" si="242"/>
        <v>0</v>
      </c>
      <c r="KE179" s="12">
        <f t="shared" si="243"/>
        <v>0</v>
      </c>
      <c r="KF179" s="12">
        <f t="shared" si="244"/>
        <v>0</v>
      </c>
      <c r="KG179" s="12">
        <f t="shared" si="245"/>
        <v>0</v>
      </c>
      <c r="KH179" s="12">
        <f t="shared" si="246"/>
        <v>0</v>
      </c>
      <c r="KI179" s="12">
        <f t="shared" si="247"/>
        <v>0</v>
      </c>
      <c r="KJ179" s="12">
        <f t="shared" si="248"/>
        <v>0</v>
      </c>
      <c r="KK179" s="12">
        <f t="shared" si="249"/>
        <v>0</v>
      </c>
      <c r="KL179" s="12">
        <f t="shared" si="250"/>
        <v>0</v>
      </c>
      <c r="KM179" s="12">
        <f t="shared" si="251"/>
        <v>0</v>
      </c>
      <c r="KN179" s="12">
        <f t="shared" si="252"/>
        <v>0</v>
      </c>
      <c r="KO179" s="12">
        <f t="shared" si="253"/>
        <v>0</v>
      </c>
      <c r="KP179" s="12">
        <f t="shared" si="254"/>
        <v>0</v>
      </c>
      <c r="KQ179" s="12">
        <f t="shared" si="255"/>
        <v>0</v>
      </c>
      <c r="KR179" s="12">
        <f t="shared" si="256"/>
        <v>0</v>
      </c>
      <c r="KS179" s="12">
        <f t="shared" si="257"/>
        <v>0</v>
      </c>
      <c r="KT179" s="12">
        <f t="shared" si="258"/>
        <v>0</v>
      </c>
      <c r="KU179" s="12">
        <f t="shared" si="259"/>
        <v>0</v>
      </c>
      <c r="KV179" s="12">
        <f t="shared" si="260"/>
        <v>0</v>
      </c>
      <c r="KW179" s="12">
        <f t="shared" si="261"/>
        <v>0</v>
      </c>
      <c r="KX179" s="12">
        <f t="shared" si="262"/>
        <v>0</v>
      </c>
      <c r="KY179" s="12">
        <f t="shared" si="263"/>
        <v>0</v>
      </c>
      <c r="KZ179" s="12">
        <f t="shared" si="264"/>
        <v>0</v>
      </c>
      <c r="LA179" s="12">
        <f t="shared" si="265"/>
        <v>0</v>
      </c>
      <c r="LB179" s="12">
        <f t="shared" si="266"/>
        <v>0</v>
      </c>
      <c r="LC179" s="12">
        <f t="shared" si="267"/>
        <v>0</v>
      </c>
      <c r="LD179" s="12">
        <f t="shared" si="268"/>
        <v>0</v>
      </c>
      <c r="LE179" s="12">
        <f t="shared" si="269"/>
        <v>0</v>
      </c>
      <c r="LF179" s="12">
        <f t="shared" si="270"/>
        <v>0</v>
      </c>
      <c r="LG179" s="12">
        <f t="shared" si="271"/>
        <v>0</v>
      </c>
      <c r="LH179" s="12">
        <f t="shared" si="272"/>
        <v>0</v>
      </c>
      <c r="LI179" s="12">
        <f t="shared" si="273"/>
        <v>0</v>
      </c>
      <c r="LJ179" s="12">
        <f t="shared" si="274"/>
        <v>0</v>
      </c>
      <c r="LK179" s="12">
        <f t="shared" si="275"/>
        <v>0</v>
      </c>
      <c r="LL179" s="12">
        <f t="shared" si="276"/>
        <v>0</v>
      </c>
      <c r="LM179" s="12">
        <f t="shared" si="277"/>
        <v>0</v>
      </c>
      <c r="LN179" s="12">
        <f t="shared" si="278"/>
        <v>0</v>
      </c>
      <c r="LO179" s="12">
        <f t="shared" si="279"/>
        <v>0</v>
      </c>
      <c r="LP179" s="12">
        <f t="shared" si="280"/>
        <v>0</v>
      </c>
      <c r="LQ179" s="12">
        <f t="shared" si="281"/>
        <v>0</v>
      </c>
      <c r="LR179" s="12">
        <f t="shared" si="282"/>
        <v>0</v>
      </c>
      <c r="LS179" s="12">
        <f t="shared" si="283"/>
        <v>0</v>
      </c>
      <c r="LT179" s="13">
        <f t="shared" si="284"/>
        <v>0</v>
      </c>
      <c r="LU179" s="13">
        <f t="shared" si="285"/>
        <v>0</v>
      </c>
      <c r="LV179" s="13">
        <f t="shared" si="286"/>
        <v>0</v>
      </c>
      <c r="LW179" s="13">
        <f t="shared" si="287"/>
        <v>0</v>
      </c>
      <c r="LX179" s="13">
        <f t="shared" si="288"/>
        <v>0</v>
      </c>
      <c r="LY179" s="13">
        <f t="shared" si="289"/>
        <v>0</v>
      </c>
      <c r="LZ179" s="13">
        <f t="shared" si="290"/>
        <v>0</v>
      </c>
      <c r="MA179" s="13">
        <f t="shared" si="291"/>
        <v>0</v>
      </c>
      <c r="MB179" s="13">
        <f t="shared" si="292"/>
        <v>1</v>
      </c>
      <c r="MC179" s="13">
        <f t="shared" si="293"/>
        <v>0</v>
      </c>
      <c r="MD179" s="13">
        <f t="shared" si="294"/>
        <v>0</v>
      </c>
      <c r="ME179" s="13">
        <f t="shared" si="295"/>
        <v>0</v>
      </c>
      <c r="MF179" s="13">
        <f t="shared" si="296"/>
        <v>0</v>
      </c>
      <c r="MG179" s="13">
        <f t="shared" si="297"/>
        <v>0</v>
      </c>
      <c r="MH179" s="13">
        <f t="shared" si="298"/>
        <v>0</v>
      </c>
      <c r="MI179" s="13">
        <f t="shared" si="299"/>
        <v>0</v>
      </c>
      <c r="MJ179" s="13">
        <f t="shared" si="300"/>
        <v>0</v>
      </c>
      <c r="MK179" s="13">
        <f t="shared" si="301"/>
        <v>0</v>
      </c>
      <c r="ML179" s="14">
        <f t="shared" si="302"/>
        <v>0</v>
      </c>
      <c r="MM179" s="14">
        <f t="shared" si="303"/>
        <v>0</v>
      </c>
      <c r="MN179" s="14">
        <f t="shared" si="304"/>
        <v>0</v>
      </c>
      <c r="MO179" s="14">
        <f t="shared" si="305"/>
        <v>0</v>
      </c>
      <c r="MP179" s="14">
        <f t="shared" si="306"/>
        <v>1</v>
      </c>
      <c r="MQ179" s="14">
        <f t="shared" si="307"/>
        <v>0</v>
      </c>
      <c r="MR179" s="14">
        <f t="shared" si="308"/>
        <v>0</v>
      </c>
      <c r="MS179" s="14">
        <f t="shared" si="309"/>
        <v>0</v>
      </c>
      <c r="MT179" s="14">
        <f t="shared" si="310"/>
        <v>0</v>
      </c>
      <c r="MU179" s="14">
        <f t="shared" si="311"/>
        <v>0</v>
      </c>
      <c r="MV179" s="14">
        <f t="shared" si="312"/>
        <v>0</v>
      </c>
      <c r="MW179" s="14">
        <f t="shared" si="313"/>
        <v>0</v>
      </c>
      <c r="MX179" s="14">
        <f t="shared" si="314"/>
        <v>0</v>
      </c>
      <c r="MY179" s="14">
        <f t="shared" si="315"/>
        <v>0</v>
      </c>
      <c r="MZ179" s="14">
        <f t="shared" si="316"/>
        <v>0</v>
      </c>
      <c r="NA179" s="14">
        <f t="shared" si="317"/>
        <v>0</v>
      </c>
      <c r="NB179" s="14">
        <f t="shared" si="318"/>
        <v>0</v>
      </c>
    </row>
    <row r="180" ht="15.75" customHeight="1">
      <c r="A180" s="2">
        <v>546.0</v>
      </c>
      <c r="B180" s="2" t="s">
        <v>3375</v>
      </c>
      <c r="C180" s="2" t="s">
        <v>3376</v>
      </c>
      <c r="D180" s="2" t="s">
        <v>3377</v>
      </c>
      <c r="E180" s="2">
        <v>2023.0</v>
      </c>
      <c r="F180" s="2" t="s">
        <v>3378</v>
      </c>
      <c r="G180" s="2">
        <v>39.0</v>
      </c>
      <c r="H180" s="2" t="s">
        <v>1160</v>
      </c>
      <c r="J180" s="2" t="s">
        <v>3379</v>
      </c>
      <c r="K180" s="2" t="s">
        <v>3380</v>
      </c>
      <c r="M180" s="2">
        <v>2.0</v>
      </c>
      <c r="N180" s="2" t="s">
        <v>3381</v>
      </c>
      <c r="O180" s="2" t="s">
        <v>3382</v>
      </c>
      <c r="P180" s="2" t="s">
        <v>3383</v>
      </c>
      <c r="Q180" s="2" t="s">
        <v>3384</v>
      </c>
      <c r="R180" s="2" t="s">
        <v>3385</v>
      </c>
      <c r="T180" s="2" t="s">
        <v>3386</v>
      </c>
      <c r="Y180" s="2" t="s">
        <v>3387</v>
      </c>
      <c r="AB180" s="2" t="s">
        <v>1059</v>
      </c>
      <c r="AG180" s="2" t="s">
        <v>3388</v>
      </c>
      <c r="AK180" s="2" t="s">
        <v>3389</v>
      </c>
      <c r="AL180" s="2" t="s">
        <v>384</v>
      </c>
      <c r="AM180" s="2" t="s">
        <v>385</v>
      </c>
      <c r="AN180" s="2" t="s">
        <v>386</v>
      </c>
      <c r="AO180" s="2" t="s">
        <v>3390</v>
      </c>
      <c r="AP180" s="2" t="s">
        <v>386</v>
      </c>
      <c r="AQ180" s="2">
        <v>2114.0</v>
      </c>
      <c r="AR180" s="2" t="s">
        <v>3391</v>
      </c>
      <c r="AS180" s="2" t="b">
        <v>1</v>
      </c>
      <c r="AT180" s="3">
        <v>0.0</v>
      </c>
      <c r="AU180" s="4"/>
      <c r="AV180" s="4"/>
      <c r="AW180" s="5">
        <f t="shared" si="432"/>
        <v>0</v>
      </c>
      <c r="AX180" s="5">
        <f t="shared" si="4"/>
        <v>0</v>
      </c>
      <c r="AY180" s="5">
        <f t="shared" si="5"/>
        <v>0</v>
      </c>
      <c r="AZ180" s="5">
        <f t="shared" si="6"/>
        <v>0</v>
      </c>
      <c r="BA180" s="5">
        <f t="shared" si="7"/>
        <v>0</v>
      </c>
      <c r="BB180" s="5">
        <f t="shared" si="8"/>
        <v>0</v>
      </c>
      <c r="BC180" s="5">
        <f t="shared" si="9"/>
        <v>0</v>
      </c>
      <c r="BD180" s="5">
        <f t="shared" si="10"/>
        <v>0</v>
      </c>
      <c r="BE180" s="5">
        <f t="shared" si="11"/>
        <v>0</v>
      </c>
      <c r="BF180" s="5">
        <f t="shared" si="12"/>
        <v>0</v>
      </c>
      <c r="BG180" s="5">
        <f t="shared" si="13"/>
        <v>0</v>
      </c>
      <c r="BH180" s="5">
        <f t="shared" si="14"/>
        <v>0</v>
      </c>
      <c r="BI180" s="5">
        <f t="shared" si="15"/>
        <v>0</v>
      </c>
      <c r="BJ180" s="5">
        <f t="shared" si="16"/>
        <v>0</v>
      </c>
      <c r="BK180" s="5">
        <f t="shared" si="17"/>
        <v>0</v>
      </c>
      <c r="BL180" s="5">
        <f t="shared" si="18"/>
        <v>0</v>
      </c>
      <c r="BM180" s="5">
        <f t="shared" si="19"/>
        <v>0</v>
      </c>
      <c r="BN180" s="5">
        <f t="shared" si="20"/>
        <v>0</v>
      </c>
      <c r="BO180" s="5">
        <f t="shared" si="21"/>
        <v>0</v>
      </c>
      <c r="BP180" s="5">
        <f t="shared" si="22"/>
        <v>0</v>
      </c>
      <c r="BQ180" s="5">
        <f t="shared" si="23"/>
        <v>0</v>
      </c>
      <c r="BR180" s="5">
        <f t="shared" si="24"/>
        <v>0</v>
      </c>
      <c r="BS180" s="5">
        <f t="shared" si="25"/>
        <v>0</v>
      </c>
      <c r="BT180" s="5">
        <f t="shared" si="26"/>
        <v>0</v>
      </c>
      <c r="BU180" s="5">
        <f t="shared" si="27"/>
        <v>0</v>
      </c>
      <c r="BV180" s="5">
        <f t="shared" ref="BV180:BW180" si="716">IF(OR(ISNUMBER(SEARCH("grit",$D180)),ISNUMBER(SEARCH("grit",$T180)),ISNUMBER(SEARCH("grit",$R180)),ISNUMBER(SEARCH("grit",$S180)),
ISNUMBER(SEARCH("determination",$D180)),ISNUMBER(SEARCH("determination",$T180)),ISNUMBER(SEARCH("determination",$R180)),ISNUMBER(SEARCH("determination",$S180)),
ISNUMBER(SEARCH("tenacity",$D180)),ISNUMBER(SEARCH("tenacity",$T180)),ISNUMBER(SEARCH("tenacity",$R180)),ISNUMBER(SEARCH("tenacity",$S180)),
ISNUMBER(SEARCH("endurance",$D180)),ISNUMBER(SEARCH("endurance",$T180)),ISNUMBER(SEARCH("endurance",$R180)),ISNUMBER(SEARCH("endurance",$S180)),
ISNUMBER(SEARCH("fortitude",$D180)),ISNUMBER(SEARCH("fortitude",$T180)),ISNUMBER(SEARCH("fortitude",$R180)),ISNUMBER(SEARCH("fortitude",$S180)),
ISNUMBER(SEARCH("resolve",$D180)),ISNUMBER(SEARCH("resolve",$T180)),ISNUMBER(SEARCH("resolve",$R180)),ISNUMBER(SEARCH("resolve",$S180)),
ISNUMBER(SEARCH("stamina",$D180)),ISNUMBER(SEARCH("stamina",$T180)),ISNUMBER(SEARCH("stamina",$R180)),ISNUMBER(SEARCH("stamina",$S180)),
ISNUMBER(SEARCH("guts",$D180)),ISNUMBER(SEARCH("guts",$T180)),ISNUMBER(SEARCH("guts",$R180)),ISNUMBER(SEARCH("guts",$S180)),
ISNUMBER(SEARCH("spunk",$D180)),ISNUMBER(SEARCH("spunk",$T180)),ISNUMBER(SEARCH("spunk",$R180)),ISNUMBER(SEARCH("spunk",$S180))), 1, 0)</f>
        <v>0</v>
      </c>
      <c r="BW180" s="5">
        <f t="shared" si="716"/>
        <v>0</v>
      </c>
      <c r="BX180" s="5">
        <f t="shared" si="29"/>
        <v>0</v>
      </c>
      <c r="BY180" s="5">
        <f t="shared" si="30"/>
        <v>0</v>
      </c>
      <c r="BZ180" s="5">
        <f t="shared" si="31"/>
        <v>0</v>
      </c>
      <c r="CA180" s="5">
        <f t="shared" si="32"/>
        <v>0</v>
      </c>
      <c r="CB180" s="5">
        <f t="shared" si="33"/>
        <v>0</v>
      </c>
      <c r="CC180" s="5">
        <f t="shared" si="34"/>
        <v>0</v>
      </c>
      <c r="CD180" s="5">
        <f t="shared" si="35"/>
        <v>0</v>
      </c>
      <c r="CE180" s="5">
        <f t="shared" si="36"/>
        <v>0</v>
      </c>
      <c r="CF180" s="5">
        <f t="shared" si="37"/>
        <v>0</v>
      </c>
      <c r="CG180" s="5">
        <f t="shared" si="38"/>
        <v>0</v>
      </c>
      <c r="CH180" s="5">
        <f t="shared" si="39"/>
        <v>0</v>
      </c>
      <c r="CI180" s="5">
        <f t="shared" si="40"/>
        <v>0</v>
      </c>
      <c r="CJ180" s="5">
        <f t="shared" si="41"/>
        <v>0</v>
      </c>
      <c r="CK180" s="5">
        <f t="shared" si="42"/>
        <v>0</v>
      </c>
      <c r="CL180" s="5">
        <f t="shared" si="43"/>
        <v>0</v>
      </c>
      <c r="CM180" s="5">
        <f t="shared" si="44"/>
        <v>0</v>
      </c>
      <c r="CN180" s="5">
        <f t="shared" si="45"/>
        <v>0</v>
      </c>
      <c r="CO180" s="5">
        <f t="shared" si="46"/>
        <v>0</v>
      </c>
      <c r="CP180" s="6">
        <f t="shared" si="47"/>
        <v>0</v>
      </c>
      <c r="CQ180" s="6">
        <f t="shared" si="48"/>
        <v>0</v>
      </c>
      <c r="CR180" s="6">
        <f t="shared" si="49"/>
        <v>0</v>
      </c>
      <c r="CS180" s="6">
        <f t="shared" si="50"/>
        <v>0</v>
      </c>
      <c r="CT180" s="6">
        <f t="shared" si="584"/>
        <v>0</v>
      </c>
      <c r="CU180" s="6">
        <f t="shared" si="52"/>
        <v>0</v>
      </c>
      <c r="CV180" s="6">
        <f t="shared" si="53"/>
        <v>0</v>
      </c>
      <c r="CW180" s="6">
        <f t="shared" si="54"/>
        <v>0</v>
      </c>
      <c r="CX180" s="6">
        <f t="shared" si="55"/>
        <v>0</v>
      </c>
      <c r="CY180" s="6">
        <f t="shared" si="56"/>
        <v>0</v>
      </c>
      <c r="CZ180" s="6">
        <f t="shared" si="57"/>
        <v>0</v>
      </c>
      <c r="DA180" s="6">
        <f t="shared" si="58"/>
        <v>0</v>
      </c>
      <c r="DB180" s="6">
        <f t="shared" si="59"/>
        <v>0</v>
      </c>
      <c r="DC180" s="6">
        <f t="shared" si="60"/>
        <v>0</v>
      </c>
      <c r="DD180" s="6">
        <f t="shared" si="61"/>
        <v>0</v>
      </c>
      <c r="DE180" s="6">
        <f t="shared" si="62"/>
        <v>0</v>
      </c>
      <c r="DF180" s="6">
        <f t="shared" si="63"/>
        <v>0</v>
      </c>
      <c r="DG180" s="6">
        <f t="shared" si="64"/>
        <v>0</v>
      </c>
      <c r="DH180" s="6">
        <f t="shared" si="697"/>
        <v>0</v>
      </c>
      <c r="DI180" s="6">
        <f t="shared" si="66"/>
        <v>0</v>
      </c>
      <c r="DJ180" s="6">
        <f t="shared" si="653"/>
        <v>0</v>
      </c>
      <c r="DK180" s="7">
        <f t="shared" si="68"/>
        <v>0</v>
      </c>
      <c r="DL180" s="7">
        <f t="shared" si="498"/>
        <v>0</v>
      </c>
      <c r="DM180" s="7">
        <f t="shared" si="70"/>
        <v>1</v>
      </c>
      <c r="DN180" s="7">
        <f t="shared" si="71"/>
        <v>0</v>
      </c>
      <c r="DO180" s="7">
        <f t="shared" si="72"/>
        <v>0</v>
      </c>
      <c r="DP180" s="8">
        <f t="shared" si="73"/>
        <v>0</v>
      </c>
      <c r="DQ180" s="8">
        <f t="shared" si="74"/>
        <v>1</v>
      </c>
      <c r="DR180" s="7">
        <f t="shared" si="75"/>
        <v>0</v>
      </c>
      <c r="DS180" s="7">
        <f t="shared" si="76"/>
        <v>0</v>
      </c>
      <c r="DT180" s="7">
        <f t="shared" si="77"/>
        <v>0</v>
      </c>
      <c r="DU180" s="9">
        <f t="shared" si="78"/>
        <v>0</v>
      </c>
      <c r="DV180" s="9">
        <f t="shared" si="79"/>
        <v>0</v>
      </c>
      <c r="DW180" s="9">
        <f t="shared" si="80"/>
        <v>0</v>
      </c>
      <c r="DX180" s="9">
        <f t="shared" si="81"/>
        <v>0</v>
      </c>
      <c r="DY180" s="9">
        <f t="shared" si="82"/>
        <v>0</v>
      </c>
      <c r="DZ180" s="9">
        <f t="shared" si="83"/>
        <v>0</v>
      </c>
      <c r="EA180" s="9">
        <f t="shared" si="84"/>
        <v>0</v>
      </c>
      <c r="EB180" s="9">
        <f t="shared" si="85"/>
        <v>0</v>
      </c>
      <c r="EC180" s="9">
        <f t="shared" si="86"/>
        <v>0</v>
      </c>
      <c r="ED180" s="9">
        <f t="shared" si="87"/>
        <v>0</v>
      </c>
      <c r="EE180" s="9">
        <f t="shared" si="88"/>
        <v>0</v>
      </c>
      <c r="EF180" s="9">
        <f t="shared" si="89"/>
        <v>0</v>
      </c>
      <c r="EG180" s="9">
        <f t="shared" si="90"/>
        <v>0</v>
      </c>
      <c r="EH180" s="9">
        <f t="shared" si="91"/>
        <v>0</v>
      </c>
      <c r="EI180" s="9">
        <f t="shared" si="92"/>
        <v>0</v>
      </c>
      <c r="EJ180" s="10">
        <f t="shared" si="93"/>
        <v>0</v>
      </c>
      <c r="EK180" s="10">
        <f t="shared" si="94"/>
        <v>0</v>
      </c>
      <c r="EL180" s="10">
        <f t="shared" ref="EL180:EM180" si="717">IF(OR(ISNUMBER(SEARCH("ai software toolkit", $D180)), ISNUMBER(SEARCH("ai software toolkit", $T180)), ISNUMBER(SEARCH("ai software toolkit", $R180)), ISNUMBER(SEARCH("ai software toolkit", $S180))), 1, 0)</f>
        <v>0</v>
      </c>
      <c r="EM180" s="10">
        <f t="shared" si="717"/>
        <v>0</v>
      </c>
      <c r="EN180" s="10">
        <f t="shared" si="96"/>
        <v>0</v>
      </c>
      <c r="EO180" s="10">
        <f t="shared" si="97"/>
        <v>0</v>
      </c>
      <c r="EP180" s="10">
        <f t="shared" si="98"/>
        <v>0</v>
      </c>
      <c r="EQ180" s="10">
        <f t="shared" si="99"/>
        <v>0</v>
      </c>
      <c r="ER180" s="10">
        <f t="shared" si="100"/>
        <v>0</v>
      </c>
      <c r="ES180" s="10">
        <f t="shared" si="101"/>
        <v>0</v>
      </c>
      <c r="ET180" s="10">
        <f t="shared" si="102"/>
        <v>0</v>
      </c>
      <c r="EU180" s="10">
        <f t="shared" si="103"/>
        <v>0</v>
      </c>
      <c r="EV180" s="10">
        <f t="shared" si="104"/>
        <v>0</v>
      </c>
      <c r="EW180" s="10">
        <f t="shared" si="105"/>
        <v>0</v>
      </c>
      <c r="EX180" s="10">
        <f t="shared" si="106"/>
        <v>0</v>
      </c>
      <c r="EY180" s="10">
        <f t="shared" si="107"/>
        <v>0</v>
      </c>
      <c r="EZ180" s="10">
        <f t="shared" si="108"/>
        <v>0</v>
      </c>
      <c r="FA180" s="10">
        <f t="shared" si="109"/>
        <v>0</v>
      </c>
      <c r="FB180" s="10">
        <f t="shared" si="110"/>
        <v>0</v>
      </c>
      <c r="FC180" s="10">
        <f t="shared" si="111"/>
        <v>0</v>
      </c>
      <c r="FD180" s="10">
        <f t="shared" si="112"/>
        <v>0</v>
      </c>
      <c r="FE180" s="10">
        <f t="shared" si="113"/>
        <v>0</v>
      </c>
      <c r="FF180" s="10">
        <f t="shared" si="114"/>
        <v>0</v>
      </c>
      <c r="FG180" s="10">
        <f t="shared" si="115"/>
        <v>0</v>
      </c>
      <c r="FH180" s="10">
        <f t="shared" si="116"/>
        <v>0</v>
      </c>
      <c r="FI180" s="10">
        <f t="shared" si="117"/>
        <v>0</v>
      </c>
      <c r="FJ180" s="10">
        <f t="shared" si="118"/>
        <v>0</v>
      </c>
      <c r="FK180" s="10">
        <f t="shared" si="119"/>
        <v>0</v>
      </c>
      <c r="FL180" s="10">
        <f t="shared" si="120"/>
        <v>0</v>
      </c>
      <c r="FM180" s="10">
        <f t="shared" si="121"/>
        <v>0</v>
      </c>
      <c r="FN180" s="10">
        <f t="shared" si="122"/>
        <v>0</v>
      </c>
      <c r="FO180" s="10">
        <f t="shared" si="123"/>
        <v>0</v>
      </c>
      <c r="FP180" s="10">
        <f t="shared" si="124"/>
        <v>0</v>
      </c>
      <c r="FQ180" s="10">
        <f t="shared" si="125"/>
        <v>0</v>
      </c>
      <c r="FR180" s="11">
        <f t="shared" si="709"/>
        <v>0</v>
      </c>
      <c r="FS180" s="11">
        <f t="shared" si="127"/>
        <v>0</v>
      </c>
      <c r="FT180" s="11">
        <f t="shared" si="128"/>
        <v>0</v>
      </c>
      <c r="FU180" s="11">
        <f t="shared" si="129"/>
        <v>0</v>
      </c>
      <c r="FV180" s="11">
        <f t="shared" si="130"/>
        <v>0</v>
      </c>
      <c r="FW180" s="11">
        <f t="shared" si="131"/>
        <v>0</v>
      </c>
      <c r="FX180" s="11">
        <f t="shared" si="132"/>
        <v>0</v>
      </c>
      <c r="FY180" s="11">
        <f t="shared" si="133"/>
        <v>0</v>
      </c>
      <c r="FZ180" s="11">
        <f t="shared" si="134"/>
        <v>0</v>
      </c>
      <c r="GA180" s="11">
        <f t="shared" si="135"/>
        <v>0</v>
      </c>
      <c r="GB180" s="11">
        <f t="shared" si="136"/>
        <v>0</v>
      </c>
      <c r="GC180" s="11">
        <f t="shared" si="137"/>
        <v>0</v>
      </c>
      <c r="GD180" s="11">
        <f t="shared" si="138"/>
        <v>0</v>
      </c>
      <c r="GE180" s="11">
        <f t="shared" si="139"/>
        <v>0</v>
      </c>
      <c r="GF180" s="11">
        <f t="shared" si="140"/>
        <v>0</v>
      </c>
      <c r="GG180" s="11">
        <f t="shared" si="141"/>
        <v>0</v>
      </c>
      <c r="GH180" s="11">
        <f t="shared" si="142"/>
        <v>0</v>
      </c>
      <c r="GI180" s="11">
        <f t="shared" si="143"/>
        <v>0</v>
      </c>
      <c r="GJ180" s="11">
        <f t="shared" si="144"/>
        <v>0</v>
      </c>
      <c r="GK180" s="11">
        <f t="shared" si="145"/>
        <v>0</v>
      </c>
      <c r="GL180" s="11">
        <f t="shared" si="146"/>
        <v>0</v>
      </c>
      <c r="GM180" s="11">
        <f t="shared" si="147"/>
        <v>0</v>
      </c>
      <c r="GN180" s="11">
        <f t="shared" si="148"/>
        <v>0</v>
      </c>
      <c r="GO180" s="11">
        <f t="shared" si="149"/>
        <v>0</v>
      </c>
      <c r="GP180" s="11">
        <f t="shared" si="150"/>
        <v>0</v>
      </c>
      <c r="GQ180" s="11">
        <f t="shared" si="151"/>
        <v>0</v>
      </c>
      <c r="GR180" s="11">
        <f t="shared" si="152"/>
        <v>0</v>
      </c>
      <c r="GS180" s="11">
        <f t="shared" si="153"/>
        <v>0</v>
      </c>
      <c r="GT180" s="11">
        <f t="shared" si="154"/>
        <v>0</v>
      </c>
      <c r="GU180" s="12">
        <f t="shared" si="155"/>
        <v>0</v>
      </c>
      <c r="GV180" s="12">
        <f t="shared" si="156"/>
        <v>0</v>
      </c>
      <c r="GW180" s="12">
        <f t="shared" si="157"/>
        <v>0</v>
      </c>
      <c r="GX180" s="12">
        <f t="shared" si="158"/>
        <v>0</v>
      </c>
      <c r="GY180" s="12">
        <f t="shared" si="159"/>
        <v>0</v>
      </c>
      <c r="GZ180" s="12">
        <f t="shared" si="160"/>
        <v>0</v>
      </c>
      <c r="HA180" s="12">
        <f t="shared" si="161"/>
        <v>0</v>
      </c>
      <c r="HB180" s="12">
        <f t="shared" si="162"/>
        <v>0</v>
      </c>
      <c r="HC180" s="12">
        <f t="shared" si="163"/>
        <v>0</v>
      </c>
      <c r="HD180" s="12">
        <f t="shared" si="164"/>
        <v>0</v>
      </c>
      <c r="HE180" s="12">
        <f t="shared" si="165"/>
        <v>0</v>
      </c>
      <c r="HF180" s="12">
        <f t="shared" si="166"/>
        <v>0</v>
      </c>
      <c r="HG180" s="12">
        <f t="shared" si="167"/>
        <v>0</v>
      </c>
      <c r="HH180" s="12">
        <f t="shared" si="168"/>
        <v>0</v>
      </c>
      <c r="HI180" s="12">
        <f t="shared" si="169"/>
        <v>0</v>
      </c>
      <c r="HJ180" s="12">
        <f t="shared" si="170"/>
        <v>0</v>
      </c>
      <c r="HK180" s="12">
        <f t="shared" si="171"/>
        <v>0</v>
      </c>
      <c r="HL180" s="12">
        <f t="shared" si="172"/>
        <v>0</v>
      </c>
      <c r="HM180" s="12">
        <f t="shared" si="173"/>
        <v>0</v>
      </c>
      <c r="HN180" s="12">
        <f t="shared" si="174"/>
        <v>0</v>
      </c>
      <c r="HO180" s="12">
        <f t="shared" si="175"/>
        <v>0</v>
      </c>
      <c r="HP180" s="12">
        <f t="shared" si="176"/>
        <v>0</v>
      </c>
      <c r="HQ180" s="12">
        <f t="shared" si="177"/>
        <v>0</v>
      </c>
      <c r="HR180" s="12">
        <f t="shared" si="178"/>
        <v>0</v>
      </c>
      <c r="HS180" s="12">
        <f t="shared" si="179"/>
        <v>0</v>
      </c>
      <c r="HT180" s="12">
        <f t="shared" si="180"/>
        <v>0</v>
      </c>
      <c r="HU180" s="12">
        <f t="shared" si="181"/>
        <v>0</v>
      </c>
      <c r="HV180" s="12">
        <f t="shared" si="182"/>
        <v>0</v>
      </c>
      <c r="HW180" s="12">
        <f t="shared" si="183"/>
        <v>0</v>
      </c>
      <c r="HX180" s="12">
        <f t="shared" si="184"/>
        <v>0</v>
      </c>
      <c r="HY180" s="12">
        <f t="shared" si="185"/>
        <v>0</v>
      </c>
      <c r="HZ180" s="12">
        <f t="shared" si="186"/>
        <v>0</v>
      </c>
      <c r="IA180" s="12">
        <f t="shared" si="187"/>
        <v>0</v>
      </c>
      <c r="IB180" s="12">
        <f t="shared" si="188"/>
        <v>0</v>
      </c>
      <c r="IC180" s="12">
        <f t="shared" si="189"/>
        <v>0</v>
      </c>
      <c r="ID180" s="12">
        <f t="shared" si="190"/>
        <v>0</v>
      </c>
      <c r="IE180" s="12">
        <f t="shared" si="191"/>
        <v>0</v>
      </c>
      <c r="IF180" s="12">
        <f t="shared" si="192"/>
        <v>0</v>
      </c>
      <c r="IG180" s="12">
        <f t="shared" si="193"/>
        <v>0</v>
      </c>
      <c r="IH180" s="12">
        <f t="shared" si="194"/>
        <v>0</v>
      </c>
      <c r="II180" s="12">
        <f t="shared" si="195"/>
        <v>0</v>
      </c>
      <c r="IJ180" s="12">
        <f t="shared" si="196"/>
        <v>0</v>
      </c>
      <c r="IK180" s="12">
        <f t="shared" si="197"/>
        <v>0</v>
      </c>
      <c r="IL180" s="12">
        <f t="shared" si="198"/>
        <v>0</v>
      </c>
      <c r="IM180" s="12">
        <f t="shared" si="199"/>
        <v>0</v>
      </c>
      <c r="IN180" s="12">
        <f t="shared" si="200"/>
        <v>0</v>
      </c>
      <c r="IO180" s="12">
        <f t="shared" si="201"/>
        <v>0</v>
      </c>
      <c r="IP180" s="12">
        <f t="shared" si="202"/>
        <v>0</v>
      </c>
      <c r="IQ180" s="12">
        <f t="shared" si="203"/>
        <v>0</v>
      </c>
      <c r="IR180" s="12">
        <f t="shared" si="204"/>
        <v>0</v>
      </c>
      <c r="IS180" s="12">
        <f t="shared" si="205"/>
        <v>0</v>
      </c>
      <c r="IT180" s="12">
        <f t="shared" si="206"/>
        <v>0</v>
      </c>
      <c r="IU180" s="12">
        <f t="shared" si="207"/>
        <v>0</v>
      </c>
      <c r="IV180" s="12">
        <f t="shared" si="208"/>
        <v>0</v>
      </c>
      <c r="IW180" s="12">
        <f t="shared" si="209"/>
        <v>0</v>
      </c>
      <c r="IX180" s="12">
        <f t="shared" si="210"/>
        <v>0</v>
      </c>
      <c r="IY180" s="12">
        <f t="shared" si="211"/>
        <v>0</v>
      </c>
      <c r="IZ180" s="12">
        <f t="shared" si="212"/>
        <v>0</v>
      </c>
      <c r="JA180" s="13">
        <f t="shared" si="213"/>
        <v>0</v>
      </c>
      <c r="JB180" s="13">
        <f t="shared" si="214"/>
        <v>0</v>
      </c>
      <c r="JC180" s="13">
        <f t="shared" si="215"/>
        <v>0</v>
      </c>
      <c r="JD180" s="13">
        <f t="shared" si="216"/>
        <v>0</v>
      </c>
      <c r="JE180" s="13">
        <f t="shared" si="217"/>
        <v>0</v>
      </c>
      <c r="JF180" s="13">
        <f t="shared" si="218"/>
        <v>0</v>
      </c>
      <c r="JG180" s="13">
        <f t="shared" si="219"/>
        <v>0</v>
      </c>
      <c r="JH180" s="13">
        <f t="shared" si="220"/>
        <v>0</v>
      </c>
      <c r="JI180" s="13">
        <f t="shared" si="221"/>
        <v>0</v>
      </c>
      <c r="JJ180" s="13">
        <f t="shared" si="222"/>
        <v>0</v>
      </c>
      <c r="JK180" s="13">
        <f t="shared" si="223"/>
        <v>0</v>
      </c>
      <c r="JL180" s="13">
        <f t="shared" si="224"/>
        <v>0</v>
      </c>
      <c r="JM180" s="13">
        <f t="shared" si="225"/>
        <v>0</v>
      </c>
      <c r="JN180" s="13">
        <f t="shared" si="226"/>
        <v>0</v>
      </c>
      <c r="JO180" s="13">
        <f t="shared" si="227"/>
        <v>0</v>
      </c>
      <c r="JP180" s="13">
        <f t="shared" si="228"/>
        <v>0</v>
      </c>
      <c r="JQ180" s="13">
        <f t="shared" si="229"/>
        <v>0</v>
      </c>
      <c r="JR180" s="13">
        <f t="shared" si="230"/>
        <v>0</v>
      </c>
      <c r="JS180" s="13">
        <f t="shared" si="231"/>
        <v>0</v>
      </c>
      <c r="JT180" s="13">
        <f t="shared" si="232"/>
        <v>0</v>
      </c>
      <c r="JU180" s="13">
        <f t="shared" si="233"/>
        <v>0</v>
      </c>
      <c r="JV180" s="12">
        <f t="shared" si="234"/>
        <v>0</v>
      </c>
      <c r="JW180" s="12">
        <f t="shared" si="235"/>
        <v>0</v>
      </c>
      <c r="JX180" s="12">
        <f t="shared" si="236"/>
        <v>0</v>
      </c>
      <c r="JY180" s="12">
        <f t="shared" si="237"/>
        <v>0</v>
      </c>
      <c r="JZ180" s="12">
        <f t="shared" si="238"/>
        <v>0</v>
      </c>
      <c r="KA180" s="12">
        <f t="shared" si="239"/>
        <v>0</v>
      </c>
      <c r="KB180" s="12">
        <f t="shared" si="240"/>
        <v>0</v>
      </c>
      <c r="KC180" s="12">
        <f t="shared" si="241"/>
        <v>0</v>
      </c>
      <c r="KD180" s="12">
        <f t="shared" si="242"/>
        <v>0</v>
      </c>
      <c r="KE180" s="12">
        <f t="shared" si="243"/>
        <v>0</v>
      </c>
      <c r="KF180" s="12">
        <f t="shared" si="244"/>
        <v>0</v>
      </c>
      <c r="KG180" s="12">
        <f t="shared" si="245"/>
        <v>0</v>
      </c>
      <c r="KH180" s="12">
        <f t="shared" si="246"/>
        <v>0</v>
      </c>
      <c r="KI180" s="12">
        <f t="shared" si="247"/>
        <v>0</v>
      </c>
      <c r="KJ180" s="12">
        <f t="shared" si="248"/>
        <v>0</v>
      </c>
      <c r="KK180" s="12">
        <f t="shared" si="249"/>
        <v>0</v>
      </c>
      <c r="KL180" s="12">
        <f t="shared" si="250"/>
        <v>0</v>
      </c>
      <c r="KM180" s="12">
        <f t="shared" si="251"/>
        <v>0</v>
      </c>
      <c r="KN180" s="12">
        <f t="shared" si="252"/>
        <v>0</v>
      </c>
      <c r="KO180" s="12">
        <f t="shared" si="253"/>
        <v>0</v>
      </c>
      <c r="KP180" s="12">
        <f t="shared" si="254"/>
        <v>0</v>
      </c>
      <c r="KQ180" s="12">
        <f t="shared" si="255"/>
        <v>0</v>
      </c>
      <c r="KR180" s="12">
        <f t="shared" si="256"/>
        <v>0</v>
      </c>
      <c r="KS180" s="12">
        <f t="shared" si="257"/>
        <v>0</v>
      </c>
      <c r="KT180" s="12">
        <f t="shared" si="258"/>
        <v>0</v>
      </c>
      <c r="KU180" s="12">
        <f t="shared" si="259"/>
        <v>0</v>
      </c>
      <c r="KV180" s="12">
        <f t="shared" si="260"/>
        <v>0</v>
      </c>
      <c r="KW180" s="12">
        <f t="shared" si="261"/>
        <v>0</v>
      </c>
      <c r="KX180" s="12">
        <f t="shared" si="262"/>
        <v>0</v>
      </c>
      <c r="KY180" s="12">
        <f t="shared" si="263"/>
        <v>0</v>
      </c>
      <c r="KZ180" s="12">
        <f t="shared" si="264"/>
        <v>0</v>
      </c>
      <c r="LA180" s="12">
        <f t="shared" si="265"/>
        <v>0</v>
      </c>
      <c r="LB180" s="12">
        <f t="shared" si="266"/>
        <v>0</v>
      </c>
      <c r="LC180" s="12">
        <f t="shared" si="267"/>
        <v>0</v>
      </c>
      <c r="LD180" s="12">
        <f t="shared" si="268"/>
        <v>0</v>
      </c>
      <c r="LE180" s="12">
        <f t="shared" si="269"/>
        <v>0</v>
      </c>
      <c r="LF180" s="12">
        <f t="shared" si="270"/>
        <v>0</v>
      </c>
      <c r="LG180" s="12">
        <f t="shared" si="271"/>
        <v>0</v>
      </c>
      <c r="LH180" s="12">
        <f t="shared" si="272"/>
        <v>0</v>
      </c>
      <c r="LI180" s="12">
        <f t="shared" si="273"/>
        <v>0</v>
      </c>
      <c r="LJ180" s="12">
        <f t="shared" si="274"/>
        <v>0</v>
      </c>
      <c r="LK180" s="12">
        <f t="shared" si="275"/>
        <v>0</v>
      </c>
      <c r="LL180" s="12">
        <f t="shared" si="276"/>
        <v>0</v>
      </c>
      <c r="LM180" s="12">
        <f t="shared" si="277"/>
        <v>0</v>
      </c>
      <c r="LN180" s="12">
        <f t="shared" si="278"/>
        <v>0</v>
      </c>
      <c r="LO180" s="12">
        <f t="shared" si="279"/>
        <v>0</v>
      </c>
      <c r="LP180" s="12">
        <f t="shared" si="280"/>
        <v>0</v>
      </c>
      <c r="LQ180" s="12">
        <f t="shared" si="281"/>
        <v>0</v>
      </c>
      <c r="LR180" s="12">
        <f t="shared" si="282"/>
        <v>0</v>
      </c>
      <c r="LS180" s="12">
        <f t="shared" si="283"/>
        <v>0</v>
      </c>
      <c r="LT180" s="13">
        <f t="shared" si="284"/>
        <v>0</v>
      </c>
      <c r="LU180" s="13">
        <f t="shared" si="285"/>
        <v>0</v>
      </c>
      <c r="LV180" s="13">
        <f t="shared" si="286"/>
        <v>0</v>
      </c>
      <c r="LW180" s="13">
        <f t="shared" si="287"/>
        <v>0</v>
      </c>
      <c r="LX180" s="13">
        <f t="shared" si="288"/>
        <v>0</v>
      </c>
      <c r="LY180" s="13">
        <f t="shared" si="289"/>
        <v>0</v>
      </c>
      <c r="LZ180" s="13">
        <f t="shared" si="290"/>
        <v>0</v>
      </c>
      <c r="MA180" s="13">
        <f t="shared" si="291"/>
        <v>1</v>
      </c>
      <c r="MB180" s="13">
        <f t="shared" si="292"/>
        <v>0</v>
      </c>
      <c r="MC180" s="13">
        <f t="shared" si="293"/>
        <v>0</v>
      </c>
      <c r="MD180" s="13">
        <f t="shared" si="294"/>
        <v>0</v>
      </c>
      <c r="ME180" s="13">
        <f t="shared" si="295"/>
        <v>0</v>
      </c>
      <c r="MF180" s="13">
        <f t="shared" si="296"/>
        <v>0</v>
      </c>
      <c r="MG180" s="13">
        <f t="shared" si="297"/>
        <v>0</v>
      </c>
      <c r="MH180" s="13">
        <f t="shared" si="298"/>
        <v>0</v>
      </c>
      <c r="MI180" s="13">
        <f t="shared" si="299"/>
        <v>0</v>
      </c>
      <c r="MJ180" s="13">
        <f t="shared" si="300"/>
        <v>0</v>
      </c>
      <c r="MK180" s="13">
        <f t="shared" si="301"/>
        <v>0</v>
      </c>
      <c r="ML180" s="14">
        <f t="shared" si="302"/>
        <v>0</v>
      </c>
      <c r="MM180" s="14">
        <f t="shared" si="303"/>
        <v>0</v>
      </c>
      <c r="MN180" s="14">
        <f t="shared" si="304"/>
        <v>0</v>
      </c>
      <c r="MO180" s="14">
        <f t="shared" si="305"/>
        <v>0</v>
      </c>
      <c r="MP180" s="14">
        <f t="shared" si="306"/>
        <v>1</v>
      </c>
      <c r="MQ180" s="14">
        <f t="shared" si="307"/>
        <v>0</v>
      </c>
      <c r="MR180" s="14">
        <f t="shared" si="308"/>
        <v>0</v>
      </c>
      <c r="MS180" s="14">
        <f t="shared" si="309"/>
        <v>0</v>
      </c>
      <c r="MT180" s="14">
        <f t="shared" si="310"/>
        <v>0</v>
      </c>
      <c r="MU180" s="14">
        <f t="shared" si="311"/>
        <v>1</v>
      </c>
      <c r="MV180" s="14">
        <f t="shared" si="312"/>
        <v>0</v>
      </c>
      <c r="MW180" s="14">
        <f t="shared" si="313"/>
        <v>0</v>
      </c>
      <c r="MX180" s="14">
        <f t="shared" si="314"/>
        <v>0</v>
      </c>
      <c r="MY180" s="14">
        <f t="shared" si="315"/>
        <v>0</v>
      </c>
      <c r="MZ180" s="14">
        <f t="shared" si="316"/>
        <v>0</v>
      </c>
      <c r="NA180" s="14">
        <f t="shared" si="317"/>
        <v>0</v>
      </c>
      <c r="NB180" s="14">
        <f t="shared" si="318"/>
        <v>0</v>
      </c>
    </row>
    <row r="181" ht="15.75" customHeight="1">
      <c r="A181" s="2">
        <v>382.0</v>
      </c>
      <c r="B181" s="2" t="s">
        <v>3392</v>
      </c>
      <c r="C181" s="2" t="s">
        <v>3393</v>
      </c>
      <c r="D181" s="2" t="s">
        <v>3394</v>
      </c>
      <c r="E181" s="2">
        <v>2016.0</v>
      </c>
      <c r="F181" s="2" t="s">
        <v>3395</v>
      </c>
      <c r="G181" s="2" t="s">
        <v>3396</v>
      </c>
      <c r="H181" s="2" t="s">
        <v>392</v>
      </c>
      <c r="I181" s="2" t="s">
        <v>3397</v>
      </c>
      <c r="M181" s="2">
        <v>2.0</v>
      </c>
      <c r="N181" s="2" t="s">
        <v>3398</v>
      </c>
      <c r="O181" s="2" t="s">
        <v>3399</v>
      </c>
      <c r="P181" s="2" t="s">
        <v>3400</v>
      </c>
      <c r="Q181" s="2" t="s">
        <v>3401</v>
      </c>
      <c r="R181" s="2" t="s">
        <v>3402</v>
      </c>
      <c r="S181" s="2" t="s">
        <v>3403</v>
      </c>
      <c r="T181" s="2" t="s">
        <v>3404</v>
      </c>
      <c r="Y181" s="2" t="s">
        <v>3405</v>
      </c>
      <c r="AB181" s="2" t="s">
        <v>3406</v>
      </c>
      <c r="AG181" s="2" t="s">
        <v>3407</v>
      </c>
      <c r="AK181" s="2" t="s">
        <v>3408</v>
      </c>
      <c r="AL181" s="2" t="s">
        <v>384</v>
      </c>
      <c r="AM181" s="2" t="s">
        <v>484</v>
      </c>
      <c r="AN181" s="2" t="s">
        <v>386</v>
      </c>
      <c r="AO181" s="2" t="s">
        <v>3409</v>
      </c>
      <c r="AP181" s="2" t="s">
        <v>386</v>
      </c>
      <c r="AQ181" s="2">
        <v>1511.0</v>
      </c>
      <c r="AR181" s="2" t="s">
        <v>3410</v>
      </c>
      <c r="AS181" s="2" t="b">
        <v>0</v>
      </c>
      <c r="AT181" s="3">
        <v>0.0</v>
      </c>
      <c r="AU181" s="4"/>
      <c r="AV181" s="4"/>
      <c r="AW181" s="5">
        <f t="shared" si="432"/>
        <v>0</v>
      </c>
      <c r="AX181" s="5">
        <f t="shared" si="4"/>
        <v>0</v>
      </c>
      <c r="AY181" s="5">
        <f t="shared" si="5"/>
        <v>0</v>
      </c>
      <c r="AZ181" s="5">
        <f t="shared" si="6"/>
        <v>0</v>
      </c>
      <c r="BA181" s="5">
        <f t="shared" si="7"/>
        <v>0</v>
      </c>
      <c r="BB181" s="5">
        <f t="shared" si="8"/>
        <v>0</v>
      </c>
      <c r="BC181" s="5">
        <f t="shared" si="9"/>
        <v>0</v>
      </c>
      <c r="BD181" s="5">
        <f t="shared" si="10"/>
        <v>0</v>
      </c>
      <c r="BE181" s="5">
        <f t="shared" si="11"/>
        <v>0</v>
      </c>
      <c r="BF181" s="5">
        <f t="shared" si="12"/>
        <v>0</v>
      </c>
      <c r="BG181" s="5">
        <f t="shared" si="13"/>
        <v>0</v>
      </c>
      <c r="BH181" s="5">
        <f t="shared" si="14"/>
        <v>0</v>
      </c>
      <c r="BI181" s="5">
        <f t="shared" si="15"/>
        <v>0</v>
      </c>
      <c r="BJ181" s="5">
        <f t="shared" si="16"/>
        <v>0</v>
      </c>
      <c r="BK181" s="5">
        <f t="shared" si="17"/>
        <v>0</v>
      </c>
      <c r="BL181" s="5">
        <f t="shared" si="18"/>
        <v>0</v>
      </c>
      <c r="BM181" s="5">
        <f t="shared" si="19"/>
        <v>0</v>
      </c>
      <c r="BN181" s="5">
        <f t="shared" si="20"/>
        <v>0</v>
      </c>
      <c r="BO181" s="5">
        <f t="shared" si="21"/>
        <v>0</v>
      </c>
      <c r="BP181" s="5">
        <f t="shared" si="22"/>
        <v>0</v>
      </c>
      <c r="BQ181" s="5">
        <f t="shared" si="23"/>
        <v>0</v>
      </c>
      <c r="BR181" s="5">
        <f t="shared" si="24"/>
        <v>0</v>
      </c>
      <c r="BS181" s="5">
        <f t="shared" si="25"/>
        <v>1</v>
      </c>
      <c r="BT181" s="5">
        <f t="shared" si="26"/>
        <v>0</v>
      </c>
      <c r="BU181" s="5">
        <f t="shared" si="27"/>
        <v>0</v>
      </c>
      <c r="BV181" s="5">
        <f t="shared" ref="BV181:BW181" si="718">IF(OR(ISNUMBER(SEARCH("grit",$D181)),ISNUMBER(SEARCH("grit",$T181)),ISNUMBER(SEARCH("grit",$R181)),ISNUMBER(SEARCH("grit",$S181)),
ISNUMBER(SEARCH("determination",$D181)),ISNUMBER(SEARCH("determination",$T181)),ISNUMBER(SEARCH("determination",$R181)),ISNUMBER(SEARCH("determination",$S181)),
ISNUMBER(SEARCH("tenacity",$D181)),ISNUMBER(SEARCH("tenacity",$T181)),ISNUMBER(SEARCH("tenacity",$R181)),ISNUMBER(SEARCH("tenacity",$S181)),
ISNUMBER(SEARCH("endurance",$D181)),ISNUMBER(SEARCH("endurance",$T181)),ISNUMBER(SEARCH("endurance",$R181)),ISNUMBER(SEARCH("endurance",$S181)),
ISNUMBER(SEARCH("fortitude",$D181)),ISNUMBER(SEARCH("fortitude",$T181)),ISNUMBER(SEARCH("fortitude",$R181)),ISNUMBER(SEARCH("fortitude",$S181)),
ISNUMBER(SEARCH("resolve",$D181)),ISNUMBER(SEARCH("resolve",$T181)),ISNUMBER(SEARCH("resolve",$R181)),ISNUMBER(SEARCH("resolve",$S181)),
ISNUMBER(SEARCH("stamina",$D181)),ISNUMBER(SEARCH("stamina",$T181)),ISNUMBER(SEARCH("stamina",$R181)),ISNUMBER(SEARCH("stamina",$S181)),
ISNUMBER(SEARCH("guts",$D181)),ISNUMBER(SEARCH("guts",$T181)),ISNUMBER(SEARCH("guts",$R181)),ISNUMBER(SEARCH("guts",$S181)),
ISNUMBER(SEARCH("spunk",$D181)),ISNUMBER(SEARCH("spunk",$T181)),ISNUMBER(SEARCH("spunk",$R181)),ISNUMBER(SEARCH("spunk",$S181))), 1, 0)</f>
        <v>0</v>
      </c>
      <c r="BW181" s="5">
        <f t="shared" si="718"/>
        <v>0</v>
      </c>
      <c r="BX181" s="5">
        <f t="shared" si="29"/>
        <v>0</v>
      </c>
      <c r="BY181" s="5">
        <f t="shared" si="30"/>
        <v>0</v>
      </c>
      <c r="BZ181" s="5">
        <f t="shared" si="31"/>
        <v>0</v>
      </c>
      <c r="CA181" s="5">
        <f t="shared" si="32"/>
        <v>0</v>
      </c>
      <c r="CB181" s="5">
        <f t="shared" si="33"/>
        <v>0</v>
      </c>
      <c r="CC181" s="5">
        <f t="shared" si="34"/>
        <v>0</v>
      </c>
      <c r="CD181" s="5">
        <f t="shared" si="35"/>
        <v>0</v>
      </c>
      <c r="CE181" s="5">
        <f t="shared" si="36"/>
        <v>0</v>
      </c>
      <c r="CF181" s="5">
        <f t="shared" si="37"/>
        <v>0</v>
      </c>
      <c r="CG181" s="5">
        <f t="shared" si="38"/>
        <v>0</v>
      </c>
      <c r="CH181" s="5">
        <f t="shared" si="39"/>
        <v>0</v>
      </c>
      <c r="CI181" s="5">
        <f t="shared" si="40"/>
        <v>0</v>
      </c>
      <c r="CJ181" s="5">
        <f t="shared" si="41"/>
        <v>0</v>
      </c>
      <c r="CK181" s="5">
        <f t="shared" si="42"/>
        <v>0</v>
      </c>
      <c r="CL181" s="5">
        <f t="shared" si="43"/>
        <v>0</v>
      </c>
      <c r="CM181" s="5">
        <f t="shared" si="44"/>
        <v>0</v>
      </c>
      <c r="CN181" s="5">
        <f t="shared" si="45"/>
        <v>0</v>
      </c>
      <c r="CO181" s="5">
        <f t="shared" si="46"/>
        <v>0</v>
      </c>
      <c r="CP181" s="6">
        <f t="shared" si="47"/>
        <v>0</v>
      </c>
      <c r="CQ181" s="6">
        <f t="shared" si="48"/>
        <v>0</v>
      </c>
      <c r="CR181" s="6">
        <f t="shared" si="49"/>
        <v>0</v>
      </c>
      <c r="CS181" s="6">
        <f t="shared" si="50"/>
        <v>1</v>
      </c>
      <c r="CT181" s="6">
        <f t="shared" si="584"/>
        <v>0</v>
      </c>
      <c r="CU181" s="6">
        <f t="shared" si="52"/>
        <v>0</v>
      </c>
      <c r="CV181" s="6">
        <f t="shared" si="53"/>
        <v>0</v>
      </c>
      <c r="CW181" s="6">
        <f t="shared" si="54"/>
        <v>0</v>
      </c>
      <c r="CX181" s="6">
        <f t="shared" si="55"/>
        <v>0</v>
      </c>
      <c r="CY181" s="6">
        <f t="shared" si="56"/>
        <v>0</v>
      </c>
      <c r="CZ181" s="6">
        <f t="shared" si="57"/>
        <v>0</v>
      </c>
      <c r="DA181" s="6">
        <f t="shared" si="58"/>
        <v>0</v>
      </c>
      <c r="DB181" s="6">
        <f t="shared" si="59"/>
        <v>0</v>
      </c>
      <c r="DC181" s="6">
        <f t="shared" si="60"/>
        <v>0</v>
      </c>
      <c r="DD181" s="6">
        <f t="shared" si="61"/>
        <v>0</v>
      </c>
      <c r="DE181" s="6">
        <f t="shared" si="62"/>
        <v>0</v>
      </c>
      <c r="DF181" s="6">
        <f t="shared" si="63"/>
        <v>0</v>
      </c>
      <c r="DG181" s="6">
        <f t="shared" si="64"/>
        <v>0</v>
      </c>
      <c r="DH181" s="6">
        <f t="shared" si="697"/>
        <v>0</v>
      </c>
      <c r="DI181" s="6">
        <f t="shared" si="66"/>
        <v>0</v>
      </c>
      <c r="DJ181" s="6">
        <f t="shared" si="653"/>
        <v>0</v>
      </c>
      <c r="DK181" s="7">
        <f t="shared" si="68"/>
        <v>0</v>
      </c>
      <c r="DL181" s="7">
        <f t="shared" si="498"/>
        <v>0</v>
      </c>
      <c r="DM181" s="7">
        <f t="shared" si="70"/>
        <v>0</v>
      </c>
      <c r="DN181" s="7">
        <f t="shared" si="71"/>
        <v>0</v>
      </c>
      <c r="DO181" s="7">
        <f t="shared" si="72"/>
        <v>1</v>
      </c>
      <c r="DP181" s="8">
        <f t="shared" si="73"/>
        <v>0</v>
      </c>
      <c r="DQ181" s="8">
        <f t="shared" si="74"/>
        <v>1</v>
      </c>
      <c r="DR181" s="7">
        <f t="shared" si="75"/>
        <v>0</v>
      </c>
      <c r="DS181" s="7">
        <f t="shared" si="76"/>
        <v>0</v>
      </c>
      <c r="DT181" s="7">
        <f t="shared" si="77"/>
        <v>0</v>
      </c>
      <c r="DU181" s="9">
        <f t="shared" si="78"/>
        <v>0</v>
      </c>
      <c r="DV181" s="9">
        <f t="shared" si="79"/>
        <v>0</v>
      </c>
      <c r="DW181" s="9">
        <f t="shared" si="80"/>
        <v>0</v>
      </c>
      <c r="DX181" s="9">
        <f t="shared" si="81"/>
        <v>0</v>
      </c>
      <c r="DY181" s="9">
        <f t="shared" si="82"/>
        <v>0</v>
      </c>
      <c r="DZ181" s="9">
        <f t="shared" si="83"/>
        <v>0</v>
      </c>
      <c r="EA181" s="9">
        <f t="shared" si="84"/>
        <v>0</v>
      </c>
      <c r="EB181" s="9">
        <f t="shared" si="85"/>
        <v>0</v>
      </c>
      <c r="EC181" s="9">
        <f t="shared" si="86"/>
        <v>1</v>
      </c>
      <c r="ED181" s="9">
        <f t="shared" si="87"/>
        <v>0</v>
      </c>
      <c r="EE181" s="9">
        <f t="shared" si="88"/>
        <v>1</v>
      </c>
      <c r="EF181" s="9">
        <f t="shared" si="89"/>
        <v>0</v>
      </c>
      <c r="EG181" s="9">
        <f t="shared" si="90"/>
        <v>0</v>
      </c>
      <c r="EH181" s="9">
        <f t="shared" si="91"/>
        <v>0</v>
      </c>
      <c r="EI181" s="9">
        <f t="shared" si="92"/>
        <v>0</v>
      </c>
      <c r="EJ181" s="10">
        <f t="shared" si="93"/>
        <v>0</v>
      </c>
      <c r="EK181" s="10">
        <f t="shared" si="94"/>
        <v>0</v>
      </c>
      <c r="EL181" s="10">
        <f t="shared" ref="EL181:EM181" si="719">IF(OR(ISNUMBER(SEARCH("ai software toolkit", $D181)), ISNUMBER(SEARCH("ai software toolkit", $T181)), ISNUMBER(SEARCH("ai software toolkit", $R181)), ISNUMBER(SEARCH("ai software toolkit", $S181))), 1, 0)</f>
        <v>0</v>
      </c>
      <c r="EM181" s="10">
        <f t="shared" si="719"/>
        <v>0</v>
      </c>
      <c r="EN181" s="10">
        <f t="shared" si="96"/>
        <v>0</v>
      </c>
      <c r="EO181" s="10">
        <f t="shared" si="97"/>
        <v>0</v>
      </c>
      <c r="EP181" s="10">
        <f t="shared" si="98"/>
        <v>0</v>
      </c>
      <c r="EQ181" s="10">
        <f t="shared" si="99"/>
        <v>0</v>
      </c>
      <c r="ER181" s="10">
        <f t="shared" si="100"/>
        <v>0</v>
      </c>
      <c r="ES181" s="10">
        <f t="shared" si="101"/>
        <v>0</v>
      </c>
      <c r="ET181" s="10">
        <f t="shared" si="102"/>
        <v>0</v>
      </c>
      <c r="EU181" s="10">
        <f t="shared" si="103"/>
        <v>0</v>
      </c>
      <c r="EV181" s="10">
        <f t="shared" si="104"/>
        <v>0</v>
      </c>
      <c r="EW181" s="10">
        <f t="shared" si="105"/>
        <v>0</v>
      </c>
      <c r="EX181" s="10">
        <f t="shared" si="106"/>
        <v>0</v>
      </c>
      <c r="EY181" s="10">
        <f t="shared" si="107"/>
        <v>0</v>
      </c>
      <c r="EZ181" s="10">
        <f t="shared" si="108"/>
        <v>0</v>
      </c>
      <c r="FA181" s="10">
        <f t="shared" si="109"/>
        <v>0</v>
      </c>
      <c r="FB181" s="10">
        <f t="shared" si="110"/>
        <v>0</v>
      </c>
      <c r="FC181" s="10">
        <f t="shared" si="111"/>
        <v>0</v>
      </c>
      <c r="FD181" s="10">
        <f t="shared" si="112"/>
        <v>0</v>
      </c>
      <c r="FE181" s="10">
        <f t="shared" si="113"/>
        <v>0</v>
      </c>
      <c r="FF181" s="10">
        <f t="shared" si="114"/>
        <v>0</v>
      </c>
      <c r="FG181" s="10">
        <f t="shared" si="115"/>
        <v>0</v>
      </c>
      <c r="FH181" s="10">
        <f t="shared" si="116"/>
        <v>0</v>
      </c>
      <c r="FI181" s="10">
        <f t="shared" si="117"/>
        <v>0</v>
      </c>
      <c r="FJ181" s="10">
        <f t="shared" si="118"/>
        <v>0</v>
      </c>
      <c r="FK181" s="10">
        <f t="shared" si="119"/>
        <v>0</v>
      </c>
      <c r="FL181" s="10">
        <f t="shared" si="120"/>
        <v>0</v>
      </c>
      <c r="FM181" s="10">
        <f t="shared" si="121"/>
        <v>0</v>
      </c>
      <c r="FN181" s="10">
        <f t="shared" si="122"/>
        <v>0</v>
      </c>
      <c r="FO181" s="10">
        <f t="shared" si="123"/>
        <v>0</v>
      </c>
      <c r="FP181" s="10">
        <f t="shared" si="124"/>
        <v>0</v>
      </c>
      <c r="FQ181" s="10">
        <f t="shared" si="125"/>
        <v>0</v>
      </c>
      <c r="FR181" s="11">
        <f t="shared" si="709"/>
        <v>0</v>
      </c>
      <c r="FS181" s="11">
        <f t="shared" si="127"/>
        <v>0</v>
      </c>
      <c r="FT181" s="11">
        <f t="shared" si="128"/>
        <v>0</v>
      </c>
      <c r="FU181" s="11">
        <f t="shared" si="129"/>
        <v>0</v>
      </c>
      <c r="FV181" s="11">
        <f t="shared" si="130"/>
        <v>0</v>
      </c>
      <c r="FW181" s="11">
        <f t="shared" si="131"/>
        <v>0</v>
      </c>
      <c r="FX181" s="11">
        <f t="shared" si="132"/>
        <v>0</v>
      </c>
      <c r="FY181" s="11">
        <f t="shared" si="133"/>
        <v>0</v>
      </c>
      <c r="FZ181" s="11">
        <f t="shared" si="134"/>
        <v>0</v>
      </c>
      <c r="GA181" s="11">
        <f t="shared" si="135"/>
        <v>0</v>
      </c>
      <c r="GB181" s="11">
        <f t="shared" si="136"/>
        <v>0</v>
      </c>
      <c r="GC181" s="11">
        <f t="shared" si="137"/>
        <v>0</v>
      </c>
      <c r="GD181" s="11">
        <f t="shared" si="138"/>
        <v>0</v>
      </c>
      <c r="GE181" s="11">
        <f t="shared" si="139"/>
        <v>0</v>
      </c>
      <c r="GF181" s="11">
        <f t="shared" si="140"/>
        <v>0</v>
      </c>
      <c r="GG181" s="11">
        <f t="shared" si="141"/>
        <v>0</v>
      </c>
      <c r="GH181" s="11">
        <f t="shared" si="142"/>
        <v>0</v>
      </c>
      <c r="GI181" s="11">
        <f t="shared" si="143"/>
        <v>0</v>
      </c>
      <c r="GJ181" s="11">
        <f t="shared" si="144"/>
        <v>0</v>
      </c>
      <c r="GK181" s="11">
        <f t="shared" si="145"/>
        <v>0</v>
      </c>
      <c r="GL181" s="11">
        <f t="shared" si="146"/>
        <v>0</v>
      </c>
      <c r="GM181" s="11">
        <f t="shared" si="147"/>
        <v>0</v>
      </c>
      <c r="GN181" s="11">
        <f t="shared" si="148"/>
        <v>0</v>
      </c>
      <c r="GO181" s="11">
        <f t="shared" si="149"/>
        <v>0</v>
      </c>
      <c r="GP181" s="11">
        <f t="shared" si="150"/>
        <v>0</v>
      </c>
      <c r="GQ181" s="11">
        <f t="shared" si="151"/>
        <v>0</v>
      </c>
      <c r="GR181" s="11">
        <f t="shared" si="152"/>
        <v>0</v>
      </c>
      <c r="GS181" s="11">
        <f t="shared" si="153"/>
        <v>0</v>
      </c>
      <c r="GT181" s="11">
        <f t="shared" si="154"/>
        <v>1</v>
      </c>
      <c r="GU181" s="12">
        <f t="shared" si="155"/>
        <v>0</v>
      </c>
      <c r="GV181" s="12">
        <f t="shared" si="156"/>
        <v>0</v>
      </c>
      <c r="GW181" s="12">
        <f t="shared" si="157"/>
        <v>0</v>
      </c>
      <c r="GX181" s="12">
        <f t="shared" si="158"/>
        <v>0</v>
      </c>
      <c r="GY181" s="12">
        <f t="shared" si="159"/>
        <v>0</v>
      </c>
      <c r="GZ181" s="12">
        <f t="shared" si="160"/>
        <v>0</v>
      </c>
      <c r="HA181" s="12">
        <f t="shared" si="161"/>
        <v>0</v>
      </c>
      <c r="HB181" s="12">
        <f t="shared" si="162"/>
        <v>0</v>
      </c>
      <c r="HC181" s="12">
        <f t="shared" si="163"/>
        <v>0</v>
      </c>
      <c r="HD181" s="12">
        <f t="shared" si="164"/>
        <v>0</v>
      </c>
      <c r="HE181" s="12">
        <f t="shared" si="165"/>
        <v>0</v>
      </c>
      <c r="HF181" s="12">
        <f t="shared" si="166"/>
        <v>0</v>
      </c>
      <c r="HG181" s="12">
        <f t="shared" si="167"/>
        <v>0</v>
      </c>
      <c r="HH181" s="12">
        <f t="shared" si="168"/>
        <v>0</v>
      </c>
      <c r="HI181" s="12">
        <f t="shared" si="169"/>
        <v>0</v>
      </c>
      <c r="HJ181" s="12">
        <f t="shared" si="170"/>
        <v>0</v>
      </c>
      <c r="HK181" s="12">
        <f t="shared" si="171"/>
        <v>0</v>
      </c>
      <c r="HL181" s="12">
        <f t="shared" si="172"/>
        <v>0</v>
      </c>
      <c r="HM181" s="12">
        <f t="shared" si="173"/>
        <v>0</v>
      </c>
      <c r="HN181" s="12">
        <f t="shared" si="174"/>
        <v>0</v>
      </c>
      <c r="HO181" s="12">
        <f t="shared" si="175"/>
        <v>0</v>
      </c>
      <c r="HP181" s="12">
        <f t="shared" si="176"/>
        <v>0</v>
      </c>
      <c r="HQ181" s="12">
        <f t="shared" si="177"/>
        <v>0</v>
      </c>
      <c r="HR181" s="12">
        <f t="shared" si="178"/>
        <v>0</v>
      </c>
      <c r="HS181" s="12">
        <f t="shared" si="179"/>
        <v>0</v>
      </c>
      <c r="HT181" s="12">
        <f t="shared" si="180"/>
        <v>0</v>
      </c>
      <c r="HU181" s="12">
        <f t="shared" si="181"/>
        <v>0</v>
      </c>
      <c r="HV181" s="12">
        <f t="shared" si="182"/>
        <v>1</v>
      </c>
      <c r="HW181" s="12">
        <f t="shared" si="183"/>
        <v>0</v>
      </c>
      <c r="HX181" s="12">
        <f t="shared" si="184"/>
        <v>0</v>
      </c>
      <c r="HY181" s="12">
        <f t="shared" si="185"/>
        <v>0</v>
      </c>
      <c r="HZ181" s="12">
        <f t="shared" si="186"/>
        <v>0</v>
      </c>
      <c r="IA181" s="12">
        <f t="shared" si="187"/>
        <v>0</v>
      </c>
      <c r="IB181" s="12">
        <f t="shared" si="188"/>
        <v>0</v>
      </c>
      <c r="IC181" s="12">
        <f t="shared" si="189"/>
        <v>0</v>
      </c>
      <c r="ID181" s="12">
        <f t="shared" si="190"/>
        <v>0</v>
      </c>
      <c r="IE181" s="12">
        <f t="shared" si="191"/>
        <v>0</v>
      </c>
      <c r="IF181" s="12">
        <f t="shared" si="192"/>
        <v>0</v>
      </c>
      <c r="IG181" s="12">
        <f t="shared" si="193"/>
        <v>0</v>
      </c>
      <c r="IH181" s="12">
        <f t="shared" si="194"/>
        <v>0</v>
      </c>
      <c r="II181" s="12">
        <f t="shared" si="195"/>
        <v>0</v>
      </c>
      <c r="IJ181" s="12">
        <f t="shared" si="196"/>
        <v>0</v>
      </c>
      <c r="IK181" s="12">
        <f t="shared" si="197"/>
        <v>0</v>
      </c>
      <c r="IL181" s="12">
        <f t="shared" si="198"/>
        <v>0</v>
      </c>
      <c r="IM181" s="12">
        <f t="shared" si="199"/>
        <v>0</v>
      </c>
      <c r="IN181" s="12">
        <f t="shared" si="200"/>
        <v>0</v>
      </c>
      <c r="IO181" s="12">
        <f t="shared" si="201"/>
        <v>0</v>
      </c>
      <c r="IP181" s="12">
        <f t="shared" si="202"/>
        <v>0</v>
      </c>
      <c r="IQ181" s="12">
        <f t="shared" si="203"/>
        <v>0</v>
      </c>
      <c r="IR181" s="12">
        <f t="shared" si="204"/>
        <v>0</v>
      </c>
      <c r="IS181" s="12">
        <f t="shared" si="205"/>
        <v>0</v>
      </c>
      <c r="IT181" s="12">
        <f t="shared" si="206"/>
        <v>0</v>
      </c>
      <c r="IU181" s="12">
        <f t="shared" si="207"/>
        <v>0</v>
      </c>
      <c r="IV181" s="12">
        <f t="shared" si="208"/>
        <v>0</v>
      </c>
      <c r="IW181" s="12">
        <f t="shared" si="209"/>
        <v>0</v>
      </c>
      <c r="IX181" s="12">
        <f t="shared" si="210"/>
        <v>0</v>
      </c>
      <c r="IY181" s="12">
        <f t="shared" si="211"/>
        <v>0</v>
      </c>
      <c r="IZ181" s="12">
        <f t="shared" si="212"/>
        <v>0</v>
      </c>
      <c r="JA181" s="13">
        <f t="shared" si="213"/>
        <v>0</v>
      </c>
      <c r="JB181" s="13">
        <f t="shared" si="214"/>
        <v>0</v>
      </c>
      <c r="JC181" s="13">
        <f t="shared" si="215"/>
        <v>0</v>
      </c>
      <c r="JD181" s="13">
        <f t="shared" si="216"/>
        <v>0</v>
      </c>
      <c r="JE181" s="13">
        <f t="shared" si="217"/>
        <v>0</v>
      </c>
      <c r="JF181" s="13">
        <f t="shared" si="218"/>
        <v>0</v>
      </c>
      <c r="JG181" s="13">
        <f t="shared" si="219"/>
        <v>0</v>
      </c>
      <c r="JH181" s="13">
        <f t="shared" si="220"/>
        <v>0</v>
      </c>
      <c r="JI181" s="13">
        <f t="shared" si="221"/>
        <v>0</v>
      </c>
      <c r="JJ181" s="13">
        <f t="shared" si="222"/>
        <v>0</v>
      </c>
      <c r="JK181" s="13">
        <f t="shared" si="223"/>
        <v>0</v>
      </c>
      <c r="JL181" s="13">
        <f t="shared" si="224"/>
        <v>0</v>
      </c>
      <c r="JM181" s="13">
        <f t="shared" si="225"/>
        <v>0</v>
      </c>
      <c r="JN181" s="13">
        <f t="shared" si="226"/>
        <v>0</v>
      </c>
      <c r="JO181" s="13">
        <f t="shared" si="227"/>
        <v>1</v>
      </c>
      <c r="JP181" s="13">
        <f t="shared" si="228"/>
        <v>0</v>
      </c>
      <c r="JQ181" s="13">
        <f t="shared" si="229"/>
        <v>0</v>
      </c>
      <c r="JR181" s="13">
        <f t="shared" si="230"/>
        <v>0</v>
      </c>
      <c r="JS181" s="13">
        <f t="shared" si="231"/>
        <v>0</v>
      </c>
      <c r="JT181" s="13">
        <f t="shared" si="232"/>
        <v>0</v>
      </c>
      <c r="JU181" s="13">
        <f t="shared" si="233"/>
        <v>0</v>
      </c>
      <c r="JV181" s="12">
        <f t="shared" si="234"/>
        <v>0</v>
      </c>
      <c r="JW181" s="12">
        <f t="shared" si="235"/>
        <v>0</v>
      </c>
      <c r="JX181" s="12">
        <f t="shared" si="236"/>
        <v>0</v>
      </c>
      <c r="JY181" s="12">
        <f t="shared" si="237"/>
        <v>0</v>
      </c>
      <c r="JZ181" s="12">
        <f t="shared" si="238"/>
        <v>0</v>
      </c>
      <c r="KA181" s="12">
        <f t="shared" si="239"/>
        <v>0</v>
      </c>
      <c r="KB181" s="12">
        <f t="shared" si="240"/>
        <v>0</v>
      </c>
      <c r="KC181" s="12">
        <f t="shared" si="241"/>
        <v>0</v>
      </c>
      <c r="KD181" s="12">
        <f t="shared" si="242"/>
        <v>0</v>
      </c>
      <c r="KE181" s="12">
        <f t="shared" si="243"/>
        <v>0</v>
      </c>
      <c r="KF181" s="12">
        <f t="shared" si="244"/>
        <v>0</v>
      </c>
      <c r="KG181" s="12">
        <f t="shared" si="245"/>
        <v>0</v>
      </c>
      <c r="KH181" s="12">
        <f t="shared" si="246"/>
        <v>0</v>
      </c>
      <c r="KI181" s="12">
        <f t="shared" si="247"/>
        <v>0</v>
      </c>
      <c r="KJ181" s="12">
        <f t="shared" si="248"/>
        <v>0</v>
      </c>
      <c r="KK181" s="12">
        <f t="shared" si="249"/>
        <v>0</v>
      </c>
      <c r="KL181" s="12">
        <f t="shared" si="250"/>
        <v>0</v>
      </c>
      <c r="KM181" s="12">
        <f t="shared" si="251"/>
        <v>0</v>
      </c>
      <c r="KN181" s="12">
        <f t="shared" si="252"/>
        <v>0</v>
      </c>
      <c r="KO181" s="12">
        <f t="shared" si="253"/>
        <v>0</v>
      </c>
      <c r="KP181" s="12">
        <f t="shared" si="254"/>
        <v>0</v>
      </c>
      <c r="KQ181" s="12">
        <f t="shared" si="255"/>
        <v>0</v>
      </c>
      <c r="KR181" s="12">
        <f t="shared" si="256"/>
        <v>0</v>
      </c>
      <c r="KS181" s="12">
        <f t="shared" si="257"/>
        <v>0</v>
      </c>
      <c r="KT181" s="12">
        <f t="shared" si="258"/>
        <v>0</v>
      </c>
      <c r="KU181" s="12">
        <f t="shared" si="259"/>
        <v>0</v>
      </c>
      <c r="KV181" s="12">
        <f t="shared" si="260"/>
        <v>0</v>
      </c>
      <c r="KW181" s="12">
        <f t="shared" si="261"/>
        <v>0</v>
      </c>
      <c r="KX181" s="12">
        <f t="shared" si="262"/>
        <v>0</v>
      </c>
      <c r="KY181" s="12">
        <f t="shared" si="263"/>
        <v>0</v>
      </c>
      <c r="KZ181" s="12">
        <f t="shared" si="264"/>
        <v>0</v>
      </c>
      <c r="LA181" s="12">
        <f t="shared" si="265"/>
        <v>0</v>
      </c>
      <c r="LB181" s="12">
        <f t="shared" si="266"/>
        <v>0</v>
      </c>
      <c r="LC181" s="12">
        <f t="shared" si="267"/>
        <v>0</v>
      </c>
      <c r="LD181" s="12">
        <f t="shared" si="268"/>
        <v>0</v>
      </c>
      <c r="LE181" s="12">
        <f t="shared" si="269"/>
        <v>0</v>
      </c>
      <c r="LF181" s="12">
        <f t="shared" si="270"/>
        <v>0</v>
      </c>
      <c r="LG181" s="12">
        <f t="shared" si="271"/>
        <v>0</v>
      </c>
      <c r="LH181" s="12">
        <f t="shared" si="272"/>
        <v>0</v>
      </c>
      <c r="LI181" s="12">
        <f t="shared" si="273"/>
        <v>0</v>
      </c>
      <c r="LJ181" s="12">
        <f t="shared" si="274"/>
        <v>0</v>
      </c>
      <c r="LK181" s="12">
        <f t="shared" si="275"/>
        <v>0</v>
      </c>
      <c r="LL181" s="12">
        <f t="shared" si="276"/>
        <v>0</v>
      </c>
      <c r="LM181" s="12">
        <f t="shared" si="277"/>
        <v>0</v>
      </c>
      <c r="LN181" s="12">
        <f t="shared" si="278"/>
        <v>0</v>
      </c>
      <c r="LO181" s="12">
        <f t="shared" si="279"/>
        <v>0</v>
      </c>
      <c r="LP181" s="12">
        <f t="shared" si="280"/>
        <v>0</v>
      </c>
      <c r="LQ181" s="12">
        <f t="shared" si="281"/>
        <v>0</v>
      </c>
      <c r="LR181" s="12">
        <f t="shared" si="282"/>
        <v>0</v>
      </c>
      <c r="LS181" s="12">
        <f t="shared" si="283"/>
        <v>0</v>
      </c>
      <c r="LT181" s="13">
        <f t="shared" si="284"/>
        <v>0</v>
      </c>
      <c r="LU181" s="13">
        <f t="shared" si="285"/>
        <v>0</v>
      </c>
      <c r="LV181" s="13">
        <f t="shared" si="286"/>
        <v>0</v>
      </c>
      <c r="LW181" s="13">
        <f t="shared" si="287"/>
        <v>0</v>
      </c>
      <c r="LX181" s="13">
        <f t="shared" si="288"/>
        <v>0</v>
      </c>
      <c r="LY181" s="13">
        <f t="shared" si="289"/>
        <v>0</v>
      </c>
      <c r="LZ181" s="13">
        <f t="shared" si="290"/>
        <v>0</v>
      </c>
      <c r="MA181" s="13">
        <f t="shared" si="291"/>
        <v>0</v>
      </c>
      <c r="MB181" s="13">
        <f t="shared" si="292"/>
        <v>0</v>
      </c>
      <c r="MC181" s="13">
        <f t="shared" si="293"/>
        <v>0</v>
      </c>
      <c r="MD181" s="13">
        <f t="shared" si="294"/>
        <v>0</v>
      </c>
      <c r="ME181" s="13">
        <f t="shared" si="295"/>
        <v>0</v>
      </c>
      <c r="MF181" s="13">
        <f t="shared" si="296"/>
        <v>0</v>
      </c>
      <c r="MG181" s="13">
        <f t="shared" si="297"/>
        <v>0</v>
      </c>
      <c r="MH181" s="13">
        <f t="shared" si="298"/>
        <v>0</v>
      </c>
      <c r="MI181" s="13">
        <f t="shared" si="299"/>
        <v>0</v>
      </c>
      <c r="MJ181" s="13">
        <f t="shared" si="300"/>
        <v>0</v>
      </c>
      <c r="MK181" s="13">
        <f t="shared" si="301"/>
        <v>0</v>
      </c>
      <c r="ML181" s="14">
        <f t="shared" si="302"/>
        <v>0</v>
      </c>
      <c r="MM181" s="14">
        <f t="shared" si="303"/>
        <v>0</v>
      </c>
      <c r="MN181" s="14">
        <f t="shared" si="304"/>
        <v>0</v>
      </c>
      <c r="MO181" s="14">
        <f t="shared" si="305"/>
        <v>0</v>
      </c>
      <c r="MP181" s="14">
        <f t="shared" si="306"/>
        <v>0</v>
      </c>
      <c r="MQ181" s="14">
        <f t="shared" si="307"/>
        <v>0</v>
      </c>
      <c r="MR181" s="14">
        <f t="shared" si="308"/>
        <v>0</v>
      </c>
      <c r="MS181" s="14">
        <f t="shared" si="309"/>
        <v>0</v>
      </c>
      <c r="MT181" s="14">
        <f t="shared" si="310"/>
        <v>0</v>
      </c>
      <c r="MU181" s="14">
        <f t="shared" si="311"/>
        <v>0</v>
      </c>
      <c r="MV181" s="14">
        <f t="shared" si="312"/>
        <v>0</v>
      </c>
      <c r="MW181" s="14">
        <f t="shared" si="313"/>
        <v>0</v>
      </c>
      <c r="MX181" s="14">
        <f t="shared" si="314"/>
        <v>0</v>
      </c>
      <c r="MY181" s="14">
        <f t="shared" si="315"/>
        <v>0</v>
      </c>
      <c r="MZ181" s="14">
        <f t="shared" si="316"/>
        <v>0</v>
      </c>
      <c r="NA181" s="14">
        <f t="shared" si="317"/>
        <v>0</v>
      </c>
      <c r="NB181" s="14">
        <f t="shared" si="318"/>
        <v>0</v>
      </c>
    </row>
    <row r="182" ht="15.75" customHeight="1">
      <c r="A182" s="2">
        <v>429.0</v>
      </c>
      <c r="B182" s="2" t="s">
        <v>3411</v>
      </c>
      <c r="C182" s="2" t="s">
        <v>3412</v>
      </c>
      <c r="D182" s="2" t="s">
        <v>3413</v>
      </c>
      <c r="E182" s="2">
        <v>2021.0</v>
      </c>
      <c r="F182" s="2" t="s">
        <v>3395</v>
      </c>
      <c r="G182" s="2" t="s">
        <v>528</v>
      </c>
      <c r="J182" s="2" t="s">
        <v>392</v>
      </c>
      <c r="K182" s="2" t="s">
        <v>657</v>
      </c>
      <c r="M182" s="2">
        <v>2.0</v>
      </c>
      <c r="N182" s="2" t="s">
        <v>3414</v>
      </c>
      <c r="O182" s="2" t="s">
        <v>3415</v>
      </c>
      <c r="P182" s="2" t="s">
        <v>3416</v>
      </c>
      <c r="Q182" s="2" t="s">
        <v>3417</v>
      </c>
      <c r="R182" s="2" t="s">
        <v>3418</v>
      </c>
      <c r="S182" s="2" t="s">
        <v>3419</v>
      </c>
      <c r="T182" s="2" t="s">
        <v>3420</v>
      </c>
      <c r="Y182" s="2" t="s">
        <v>3421</v>
      </c>
      <c r="AB182" s="2" t="s">
        <v>3406</v>
      </c>
      <c r="AG182" s="2" t="s">
        <v>3407</v>
      </c>
      <c r="AK182" s="2" t="s">
        <v>3408</v>
      </c>
      <c r="AL182" s="2" t="s">
        <v>384</v>
      </c>
      <c r="AM182" s="2" t="s">
        <v>484</v>
      </c>
      <c r="AN182" s="2" t="s">
        <v>386</v>
      </c>
      <c r="AO182" s="2" t="s">
        <v>3422</v>
      </c>
      <c r="AP182" s="2" t="s">
        <v>386</v>
      </c>
      <c r="AQ182" s="2">
        <v>486.0</v>
      </c>
      <c r="AR182" s="2" t="s">
        <v>3413</v>
      </c>
      <c r="AS182" s="2" t="b">
        <v>0</v>
      </c>
      <c r="AT182" s="3">
        <v>0.0</v>
      </c>
      <c r="AU182" s="4"/>
      <c r="AV182" s="4"/>
      <c r="AW182" s="5">
        <f t="shared" si="432"/>
        <v>0</v>
      </c>
      <c r="AX182" s="5">
        <f t="shared" si="4"/>
        <v>0</v>
      </c>
      <c r="AY182" s="5">
        <f t="shared" si="5"/>
        <v>0</v>
      </c>
      <c r="AZ182" s="5">
        <f t="shared" si="6"/>
        <v>0</v>
      </c>
      <c r="BA182" s="5">
        <f t="shared" si="7"/>
        <v>0</v>
      </c>
      <c r="BB182" s="5">
        <f t="shared" si="8"/>
        <v>1</v>
      </c>
      <c r="BC182" s="5">
        <f t="shared" si="9"/>
        <v>0</v>
      </c>
      <c r="BD182" s="5">
        <f t="shared" si="10"/>
        <v>0</v>
      </c>
      <c r="BE182" s="5">
        <f t="shared" si="11"/>
        <v>0</v>
      </c>
      <c r="BF182" s="5">
        <f t="shared" si="12"/>
        <v>0</v>
      </c>
      <c r="BG182" s="5">
        <f t="shared" si="13"/>
        <v>0</v>
      </c>
      <c r="BH182" s="5">
        <f t="shared" si="14"/>
        <v>0</v>
      </c>
      <c r="BI182" s="5">
        <f t="shared" si="15"/>
        <v>0</v>
      </c>
      <c r="BJ182" s="5">
        <f t="shared" si="16"/>
        <v>0</v>
      </c>
      <c r="BK182" s="5">
        <f t="shared" si="17"/>
        <v>0</v>
      </c>
      <c r="BL182" s="5">
        <f t="shared" si="18"/>
        <v>0</v>
      </c>
      <c r="BM182" s="5">
        <f t="shared" si="19"/>
        <v>0</v>
      </c>
      <c r="BN182" s="5">
        <f t="shared" si="20"/>
        <v>0</v>
      </c>
      <c r="BO182" s="5">
        <f t="shared" si="21"/>
        <v>0</v>
      </c>
      <c r="BP182" s="5">
        <f t="shared" si="22"/>
        <v>0</v>
      </c>
      <c r="BQ182" s="5">
        <f t="shared" si="23"/>
        <v>0</v>
      </c>
      <c r="BR182" s="5">
        <f t="shared" si="24"/>
        <v>0</v>
      </c>
      <c r="BS182" s="5">
        <f t="shared" si="25"/>
        <v>0</v>
      </c>
      <c r="BT182" s="5">
        <f t="shared" si="26"/>
        <v>0</v>
      </c>
      <c r="BU182" s="5">
        <f t="shared" si="27"/>
        <v>0</v>
      </c>
      <c r="BV182" s="5">
        <f t="shared" ref="BV182:BW182" si="720">IF(OR(ISNUMBER(SEARCH("grit",$D182)),ISNUMBER(SEARCH("grit",$T182)),ISNUMBER(SEARCH("grit",$R182)),ISNUMBER(SEARCH("grit",$S182)),
ISNUMBER(SEARCH("determination",$D182)),ISNUMBER(SEARCH("determination",$T182)),ISNUMBER(SEARCH("determination",$R182)),ISNUMBER(SEARCH("determination",$S182)),
ISNUMBER(SEARCH("tenacity",$D182)),ISNUMBER(SEARCH("tenacity",$T182)),ISNUMBER(SEARCH("tenacity",$R182)),ISNUMBER(SEARCH("tenacity",$S182)),
ISNUMBER(SEARCH("endurance",$D182)),ISNUMBER(SEARCH("endurance",$T182)),ISNUMBER(SEARCH("endurance",$R182)),ISNUMBER(SEARCH("endurance",$S182)),
ISNUMBER(SEARCH("fortitude",$D182)),ISNUMBER(SEARCH("fortitude",$T182)),ISNUMBER(SEARCH("fortitude",$R182)),ISNUMBER(SEARCH("fortitude",$S182)),
ISNUMBER(SEARCH("resolve",$D182)),ISNUMBER(SEARCH("resolve",$T182)),ISNUMBER(SEARCH("resolve",$R182)),ISNUMBER(SEARCH("resolve",$S182)),
ISNUMBER(SEARCH("stamina",$D182)),ISNUMBER(SEARCH("stamina",$T182)),ISNUMBER(SEARCH("stamina",$R182)),ISNUMBER(SEARCH("stamina",$S182)),
ISNUMBER(SEARCH("guts",$D182)),ISNUMBER(SEARCH("guts",$T182)),ISNUMBER(SEARCH("guts",$R182)),ISNUMBER(SEARCH("guts",$S182)),
ISNUMBER(SEARCH("spunk",$D182)),ISNUMBER(SEARCH("spunk",$T182)),ISNUMBER(SEARCH("spunk",$R182)),ISNUMBER(SEARCH("spunk",$S182))), 1, 0)</f>
        <v>0</v>
      </c>
      <c r="BW182" s="5">
        <f t="shared" si="720"/>
        <v>0</v>
      </c>
      <c r="BX182" s="5">
        <f t="shared" si="29"/>
        <v>0</v>
      </c>
      <c r="BY182" s="5">
        <f t="shared" si="30"/>
        <v>0</v>
      </c>
      <c r="BZ182" s="5">
        <f t="shared" si="31"/>
        <v>0</v>
      </c>
      <c r="CA182" s="5">
        <f t="shared" si="32"/>
        <v>0</v>
      </c>
      <c r="CB182" s="5">
        <f t="shared" si="33"/>
        <v>0</v>
      </c>
      <c r="CC182" s="5">
        <f t="shared" si="34"/>
        <v>0</v>
      </c>
      <c r="CD182" s="5">
        <f t="shared" si="35"/>
        <v>0</v>
      </c>
      <c r="CE182" s="5">
        <f t="shared" si="36"/>
        <v>0</v>
      </c>
      <c r="CF182" s="5">
        <f t="shared" si="37"/>
        <v>0</v>
      </c>
      <c r="CG182" s="5">
        <f t="shared" si="38"/>
        <v>0</v>
      </c>
      <c r="CH182" s="5">
        <f t="shared" si="39"/>
        <v>0</v>
      </c>
      <c r="CI182" s="5">
        <f t="shared" si="40"/>
        <v>0</v>
      </c>
      <c r="CJ182" s="5">
        <f t="shared" si="41"/>
        <v>0</v>
      </c>
      <c r="CK182" s="5">
        <f t="shared" si="42"/>
        <v>0</v>
      </c>
      <c r="CL182" s="5">
        <f t="shared" si="43"/>
        <v>0</v>
      </c>
      <c r="CM182" s="5">
        <f t="shared" si="44"/>
        <v>0</v>
      </c>
      <c r="CN182" s="5">
        <f t="shared" si="45"/>
        <v>0</v>
      </c>
      <c r="CO182" s="5">
        <f t="shared" si="46"/>
        <v>0</v>
      </c>
      <c r="CP182" s="6">
        <f t="shared" si="47"/>
        <v>0</v>
      </c>
      <c r="CQ182" s="6">
        <f t="shared" si="48"/>
        <v>0</v>
      </c>
      <c r="CR182" s="6">
        <f t="shared" si="49"/>
        <v>0</v>
      </c>
      <c r="CS182" s="6">
        <f t="shared" si="50"/>
        <v>0</v>
      </c>
      <c r="CT182" s="6">
        <f t="shared" si="584"/>
        <v>0</v>
      </c>
      <c r="CU182" s="6">
        <f t="shared" si="52"/>
        <v>0</v>
      </c>
      <c r="CV182" s="6">
        <f t="shared" si="53"/>
        <v>0</v>
      </c>
      <c r="CW182" s="6">
        <f t="shared" si="54"/>
        <v>0</v>
      </c>
      <c r="CX182" s="6">
        <f t="shared" si="55"/>
        <v>0</v>
      </c>
      <c r="CY182" s="6">
        <f t="shared" si="56"/>
        <v>0</v>
      </c>
      <c r="CZ182" s="6">
        <f t="shared" si="57"/>
        <v>0</v>
      </c>
      <c r="DA182" s="6">
        <f t="shared" si="58"/>
        <v>1</v>
      </c>
      <c r="DB182" s="6">
        <f t="shared" si="59"/>
        <v>0</v>
      </c>
      <c r="DC182" s="6">
        <f t="shared" si="60"/>
        <v>0</v>
      </c>
      <c r="DD182" s="6">
        <f t="shared" si="61"/>
        <v>0</v>
      </c>
      <c r="DE182" s="6">
        <f t="shared" si="62"/>
        <v>0</v>
      </c>
      <c r="DF182" s="6">
        <f t="shared" si="63"/>
        <v>0</v>
      </c>
      <c r="DG182" s="6">
        <f t="shared" si="64"/>
        <v>0</v>
      </c>
      <c r="DH182" s="6">
        <f t="shared" si="697"/>
        <v>0</v>
      </c>
      <c r="DI182" s="6">
        <f t="shared" si="66"/>
        <v>0</v>
      </c>
      <c r="DJ182" s="6">
        <f t="shared" si="653"/>
        <v>0</v>
      </c>
      <c r="DK182" s="7">
        <f t="shared" si="68"/>
        <v>0</v>
      </c>
      <c r="DL182" s="7">
        <f t="shared" si="498"/>
        <v>0</v>
      </c>
      <c r="DM182" s="7">
        <f t="shared" si="70"/>
        <v>0</v>
      </c>
      <c r="DN182" s="7">
        <f t="shared" si="71"/>
        <v>0</v>
      </c>
      <c r="DO182" s="7">
        <f t="shared" si="72"/>
        <v>0</v>
      </c>
      <c r="DP182" s="8">
        <f t="shared" si="73"/>
        <v>0</v>
      </c>
      <c r="DQ182" s="8">
        <f t="shared" si="74"/>
        <v>1</v>
      </c>
      <c r="DR182" s="7">
        <f t="shared" si="75"/>
        <v>0</v>
      </c>
      <c r="DS182" s="7">
        <f t="shared" si="76"/>
        <v>0</v>
      </c>
      <c r="DT182" s="7">
        <f t="shared" si="77"/>
        <v>1</v>
      </c>
      <c r="DU182" s="9">
        <f t="shared" si="78"/>
        <v>0</v>
      </c>
      <c r="DV182" s="9">
        <f t="shared" si="79"/>
        <v>0</v>
      </c>
      <c r="DW182" s="9">
        <f t="shared" si="80"/>
        <v>0</v>
      </c>
      <c r="DX182" s="9">
        <f t="shared" si="81"/>
        <v>0</v>
      </c>
      <c r="DY182" s="9">
        <f t="shared" si="82"/>
        <v>0</v>
      </c>
      <c r="DZ182" s="9">
        <f t="shared" si="83"/>
        <v>0</v>
      </c>
      <c r="EA182" s="9">
        <f t="shared" si="84"/>
        <v>0</v>
      </c>
      <c r="EB182" s="9">
        <f t="shared" si="85"/>
        <v>0</v>
      </c>
      <c r="EC182" s="9">
        <f t="shared" si="86"/>
        <v>0</v>
      </c>
      <c r="ED182" s="9">
        <f t="shared" si="87"/>
        <v>0</v>
      </c>
      <c r="EE182" s="9">
        <f t="shared" si="88"/>
        <v>0</v>
      </c>
      <c r="EF182" s="9">
        <f t="shared" si="89"/>
        <v>0</v>
      </c>
      <c r="EG182" s="9">
        <f t="shared" si="90"/>
        <v>0</v>
      </c>
      <c r="EH182" s="9">
        <f t="shared" si="91"/>
        <v>0</v>
      </c>
      <c r="EI182" s="9">
        <f t="shared" si="92"/>
        <v>0</v>
      </c>
      <c r="EJ182" s="10">
        <f t="shared" si="93"/>
        <v>0</v>
      </c>
      <c r="EK182" s="10">
        <f t="shared" si="94"/>
        <v>0</v>
      </c>
      <c r="EL182" s="10">
        <f t="shared" ref="EL182:EM182" si="721">IF(OR(ISNUMBER(SEARCH("ai software toolkit", $D182)), ISNUMBER(SEARCH("ai software toolkit", $T182)), ISNUMBER(SEARCH("ai software toolkit", $R182)), ISNUMBER(SEARCH("ai software toolkit", $S182))), 1, 0)</f>
        <v>0</v>
      </c>
      <c r="EM182" s="10">
        <f t="shared" si="721"/>
        <v>0</v>
      </c>
      <c r="EN182" s="10">
        <f t="shared" si="96"/>
        <v>0</v>
      </c>
      <c r="EO182" s="10">
        <f t="shared" si="97"/>
        <v>0</v>
      </c>
      <c r="EP182" s="10">
        <f t="shared" si="98"/>
        <v>0</v>
      </c>
      <c r="EQ182" s="10">
        <f t="shared" si="99"/>
        <v>0</v>
      </c>
      <c r="ER182" s="10">
        <f t="shared" si="100"/>
        <v>0</v>
      </c>
      <c r="ES182" s="10">
        <f t="shared" si="101"/>
        <v>0</v>
      </c>
      <c r="ET182" s="10">
        <f t="shared" si="102"/>
        <v>0</v>
      </c>
      <c r="EU182" s="10">
        <f t="shared" si="103"/>
        <v>0</v>
      </c>
      <c r="EV182" s="10">
        <f t="shared" si="104"/>
        <v>0</v>
      </c>
      <c r="EW182" s="10">
        <f t="shared" si="105"/>
        <v>0</v>
      </c>
      <c r="EX182" s="10">
        <f t="shared" si="106"/>
        <v>0</v>
      </c>
      <c r="EY182" s="10">
        <f t="shared" si="107"/>
        <v>0</v>
      </c>
      <c r="EZ182" s="10">
        <f t="shared" si="108"/>
        <v>0</v>
      </c>
      <c r="FA182" s="10">
        <f t="shared" si="109"/>
        <v>0</v>
      </c>
      <c r="FB182" s="10">
        <f t="shared" si="110"/>
        <v>0</v>
      </c>
      <c r="FC182" s="10">
        <f t="shared" si="111"/>
        <v>0</v>
      </c>
      <c r="FD182" s="10">
        <f t="shared" si="112"/>
        <v>0</v>
      </c>
      <c r="FE182" s="10">
        <f t="shared" si="113"/>
        <v>0</v>
      </c>
      <c r="FF182" s="10">
        <f t="shared" si="114"/>
        <v>0</v>
      </c>
      <c r="FG182" s="10">
        <f t="shared" si="115"/>
        <v>0</v>
      </c>
      <c r="FH182" s="10">
        <f t="shared" si="116"/>
        <v>0</v>
      </c>
      <c r="FI182" s="10">
        <f t="shared" si="117"/>
        <v>0</v>
      </c>
      <c r="FJ182" s="10">
        <f t="shared" si="118"/>
        <v>0</v>
      </c>
      <c r="FK182" s="10">
        <f t="shared" si="119"/>
        <v>0</v>
      </c>
      <c r="FL182" s="10">
        <f t="shared" si="120"/>
        <v>0</v>
      </c>
      <c r="FM182" s="10">
        <f t="shared" si="121"/>
        <v>0</v>
      </c>
      <c r="FN182" s="10">
        <f t="shared" si="122"/>
        <v>0</v>
      </c>
      <c r="FO182" s="10">
        <f t="shared" si="123"/>
        <v>0</v>
      </c>
      <c r="FP182" s="10">
        <f t="shared" si="124"/>
        <v>0</v>
      </c>
      <c r="FQ182" s="10">
        <f t="shared" si="125"/>
        <v>0</v>
      </c>
      <c r="FR182" s="11">
        <f t="shared" si="709"/>
        <v>0</v>
      </c>
      <c r="FS182" s="11">
        <f t="shared" si="127"/>
        <v>0</v>
      </c>
      <c r="FT182" s="11">
        <f t="shared" si="128"/>
        <v>0</v>
      </c>
      <c r="FU182" s="11">
        <f t="shared" si="129"/>
        <v>0</v>
      </c>
      <c r="FV182" s="11">
        <f t="shared" si="130"/>
        <v>0</v>
      </c>
      <c r="FW182" s="11">
        <f t="shared" si="131"/>
        <v>0</v>
      </c>
      <c r="FX182" s="11">
        <f t="shared" si="132"/>
        <v>0</v>
      </c>
      <c r="FY182" s="11">
        <f t="shared" si="133"/>
        <v>0</v>
      </c>
      <c r="FZ182" s="11">
        <f t="shared" si="134"/>
        <v>1</v>
      </c>
      <c r="GA182" s="11">
        <f t="shared" si="135"/>
        <v>0</v>
      </c>
      <c r="GB182" s="11">
        <f t="shared" si="136"/>
        <v>0</v>
      </c>
      <c r="GC182" s="11">
        <f t="shared" si="137"/>
        <v>0</v>
      </c>
      <c r="GD182" s="11">
        <f t="shared" si="138"/>
        <v>0</v>
      </c>
      <c r="GE182" s="11">
        <f t="shared" si="139"/>
        <v>0</v>
      </c>
      <c r="GF182" s="11">
        <f t="shared" si="140"/>
        <v>0</v>
      </c>
      <c r="GG182" s="11">
        <f t="shared" si="141"/>
        <v>0</v>
      </c>
      <c r="GH182" s="11">
        <f t="shared" si="142"/>
        <v>0</v>
      </c>
      <c r="GI182" s="11">
        <f t="shared" si="143"/>
        <v>0</v>
      </c>
      <c r="GJ182" s="11">
        <f t="shared" si="144"/>
        <v>0</v>
      </c>
      <c r="GK182" s="11">
        <f t="shared" si="145"/>
        <v>0</v>
      </c>
      <c r="GL182" s="11">
        <f t="shared" si="146"/>
        <v>0</v>
      </c>
      <c r="GM182" s="11">
        <f t="shared" si="147"/>
        <v>0</v>
      </c>
      <c r="GN182" s="11">
        <f t="shared" si="148"/>
        <v>0</v>
      </c>
      <c r="GO182" s="11">
        <f t="shared" si="149"/>
        <v>0</v>
      </c>
      <c r="GP182" s="11">
        <f t="shared" si="150"/>
        <v>0</v>
      </c>
      <c r="GQ182" s="11">
        <f t="shared" si="151"/>
        <v>0</v>
      </c>
      <c r="GR182" s="11">
        <f t="shared" si="152"/>
        <v>0</v>
      </c>
      <c r="GS182" s="11">
        <f t="shared" si="153"/>
        <v>0</v>
      </c>
      <c r="GT182" s="11">
        <f t="shared" si="154"/>
        <v>0</v>
      </c>
      <c r="GU182" s="12">
        <f t="shared" si="155"/>
        <v>0</v>
      </c>
      <c r="GV182" s="12">
        <f t="shared" si="156"/>
        <v>0</v>
      </c>
      <c r="GW182" s="12">
        <f t="shared" si="157"/>
        <v>0</v>
      </c>
      <c r="GX182" s="12">
        <f t="shared" si="158"/>
        <v>0</v>
      </c>
      <c r="GY182" s="12">
        <f t="shared" si="159"/>
        <v>0</v>
      </c>
      <c r="GZ182" s="12">
        <f t="shared" si="160"/>
        <v>0</v>
      </c>
      <c r="HA182" s="12">
        <f t="shared" si="161"/>
        <v>0</v>
      </c>
      <c r="HB182" s="12">
        <f t="shared" si="162"/>
        <v>0</v>
      </c>
      <c r="HC182" s="12">
        <f t="shared" si="163"/>
        <v>0</v>
      </c>
      <c r="HD182" s="12">
        <f t="shared" si="164"/>
        <v>0</v>
      </c>
      <c r="HE182" s="12">
        <f t="shared" si="165"/>
        <v>0</v>
      </c>
      <c r="HF182" s="12">
        <f t="shared" si="166"/>
        <v>0</v>
      </c>
      <c r="HG182" s="12">
        <f t="shared" si="167"/>
        <v>0</v>
      </c>
      <c r="HH182" s="12">
        <f t="shared" si="168"/>
        <v>0</v>
      </c>
      <c r="HI182" s="12">
        <f t="shared" si="169"/>
        <v>0</v>
      </c>
      <c r="HJ182" s="12">
        <f t="shared" si="170"/>
        <v>0</v>
      </c>
      <c r="HK182" s="12">
        <f t="shared" si="171"/>
        <v>0</v>
      </c>
      <c r="HL182" s="12">
        <f t="shared" si="172"/>
        <v>0</v>
      </c>
      <c r="HM182" s="12">
        <f t="shared" si="173"/>
        <v>0</v>
      </c>
      <c r="HN182" s="12">
        <f t="shared" si="174"/>
        <v>0</v>
      </c>
      <c r="HO182" s="12">
        <f t="shared" si="175"/>
        <v>0</v>
      </c>
      <c r="HP182" s="12">
        <f t="shared" si="176"/>
        <v>0</v>
      </c>
      <c r="HQ182" s="12">
        <f t="shared" si="177"/>
        <v>0</v>
      </c>
      <c r="HR182" s="12">
        <f t="shared" si="178"/>
        <v>0</v>
      </c>
      <c r="HS182" s="12">
        <f t="shared" si="179"/>
        <v>0</v>
      </c>
      <c r="HT182" s="12">
        <f t="shared" si="180"/>
        <v>0</v>
      </c>
      <c r="HU182" s="12">
        <f t="shared" si="181"/>
        <v>0</v>
      </c>
      <c r="HV182" s="12">
        <f t="shared" si="182"/>
        <v>0</v>
      </c>
      <c r="HW182" s="12">
        <f t="shared" si="183"/>
        <v>0</v>
      </c>
      <c r="HX182" s="12">
        <f t="shared" si="184"/>
        <v>0</v>
      </c>
      <c r="HY182" s="12">
        <f t="shared" si="185"/>
        <v>0</v>
      </c>
      <c r="HZ182" s="12">
        <f t="shared" si="186"/>
        <v>0</v>
      </c>
      <c r="IA182" s="12">
        <f t="shared" si="187"/>
        <v>0</v>
      </c>
      <c r="IB182" s="12">
        <f t="shared" si="188"/>
        <v>0</v>
      </c>
      <c r="IC182" s="12">
        <f t="shared" si="189"/>
        <v>0</v>
      </c>
      <c r="ID182" s="12">
        <f t="shared" si="190"/>
        <v>0</v>
      </c>
      <c r="IE182" s="12">
        <f t="shared" si="191"/>
        <v>0</v>
      </c>
      <c r="IF182" s="12">
        <f t="shared" si="192"/>
        <v>0</v>
      </c>
      <c r="IG182" s="12">
        <f t="shared" si="193"/>
        <v>0</v>
      </c>
      <c r="IH182" s="12">
        <f t="shared" si="194"/>
        <v>0</v>
      </c>
      <c r="II182" s="12">
        <f t="shared" si="195"/>
        <v>0</v>
      </c>
      <c r="IJ182" s="12">
        <f t="shared" si="196"/>
        <v>0</v>
      </c>
      <c r="IK182" s="12">
        <f t="shared" si="197"/>
        <v>0</v>
      </c>
      <c r="IL182" s="12">
        <f t="shared" si="198"/>
        <v>0</v>
      </c>
      <c r="IM182" s="12">
        <f t="shared" si="199"/>
        <v>0</v>
      </c>
      <c r="IN182" s="12">
        <f t="shared" si="200"/>
        <v>0</v>
      </c>
      <c r="IO182" s="12">
        <f t="shared" si="201"/>
        <v>0</v>
      </c>
      <c r="IP182" s="12">
        <f t="shared" si="202"/>
        <v>0</v>
      </c>
      <c r="IQ182" s="12">
        <f t="shared" si="203"/>
        <v>0</v>
      </c>
      <c r="IR182" s="12">
        <f t="shared" si="204"/>
        <v>0</v>
      </c>
      <c r="IS182" s="12">
        <f t="shared" si="205"/>
        <v>0</v>
      </c>
      <c r="IT182" s="12">
        <f t="shared" si="206"/>
        <v>0</v>
      </c>
      <c r="IU182" s="12">
        <f t="shared" si="207"/>
        <v>0</v>
      </c>
      <c r="IV182" s="12">
        <f t="shared" si="208"/>
        <v>0</v>
      </c>
      <c r="IW182" s="12">
        <f t="shared" si="209"/>
        <v>0</v>
      </c>
      <c r="IX182" s="12">
        <f t="shared" si="210"/>
        <v>0</v>
      </c>
      <c r="IY182" s="12">
        <f t="shared" si="211"/>
        <v>0</v>
      </c>
      <c r="IZ182" s="12">
        <f t="shared" si="212"/>
        <v>0</v>
      </c>
      <c r="JA182" s="13">
        <f t="shared" si="213"/>
        <v>0</v>
      </c>
      <c r="JB182" s="13">
        <f t="shared" si="214"/>
        <v>0</v>
      </c>
      <c r="JC182" s="13">
        <f t="shared" si="215"/>
        <v>0</v>
      </c>
      <c r="JD182" s="13">
        <f t="shared" si="216"/>
        <v>0</v>
      </c>
      <c r="JE182" s="13">
        <f t="shared" si="217"/>
        <v>0</v>
      </c>
      <c r="JF182" s="13">
        <f t="shared" si="218"/>
        <v>0</v>
      </c>
      <c r="JG182" s="13">
        <f t="shared" si="219"/>
        <v>0</v>
      </c>
      <c r="JH182" s="13">
        <f t="shared" si="220"/>
        <v>0</v>
      </c>
      <c r="JI182" s="13">
        <f t="shared" si="221"/>
        <v>0</v>
      </c>
      <c r="JJ182" s="13">
        <f t="shared" si="222"/>
        <v>0</v>
      </c>
      <c r="JK182" s="13">
        <f t="shared" si="223"/>
        <v>0</v>
      </c>
      <c r="JL182" s="13">
        <f t="shared" si="224"/>
        <v>0</v>
      </c>
      <c r="JM182" s="13">
        <f t="shared" si="225"/>
        <v>0</v>
      </c>
      <c r="JN182" s="13">
        <f t="shared" si="226"/>
        <v>0</v>
      </c>
      <c r="JO182" s="13">
        <f t="shared" si="227"/>
        <v>0</v>
      </c>
      <c r="JP182" s="13">
        <f t="shared" si="228"/>
        <v>0</v>
      </c>
      <c r="JQ182" s="13">
        <f t="shared" si="229"/>
        <v>0</v>
      </c>
      <c r="JR182" s="13">
        <f t="shared" si="230"/>
        <v>0</v>
      </c>
      <c r="JS182" s="13">
        <f t="shared" si="231"/>
        <v>0</v>
      </c>
      <c r="JT182" s="13">
        <f t="shared" si="232"/>
        <v>0</v>
      </c>
      <c r="JU182" s="13">
        <f t="shared" si="233"/>
        <v>0</v>
      </c>
      <c r="JV182" s="12">
        <f t="shared" si="234"/>
        <v>0</v>
      </c>
      <c r="JW182" s="12">
        <f t="shared" si="235"/>
        <v>0</v>
      </c>
      <c r="JX182" s="12">
        <f t="shared" si="236"/>
        <v>0</v>
      </c>
      <c r="JY182" s="12">
        <f t="shared" si="237"/>
        <v>0</v>
      </c>
      <c r="JZ182" s="12">
        <f t="shared" si="238"/>
        <v>0</v>
      </c>
      <c r="KA182" s="12">
        <f t="shared" si="239"/>
        <v>0</v>
      </c>
      <c r="KB182" s="12">
        <f t="shared" si="240"/>
        <v>0</v>
      </c>
      <c r="KC182" s="12">
        <f t="shared" si="241"/>
        <v>0</v>
      </c>
      <c r="KD182" s="12">
        <f t="shared" si="242"/>
        <v>0</v>
      </c>
      <c r="KE182" s="12">
        <f t="shared" si="243"/>
        <v>0</v>
      </c>
      <c r="KF182" s="12">
        <f t="shared" si="244"/>
        <v>0</v>
      </c>
      <c r="KG182" s="12">
        <f t="shared" si="245"/>
        <v>0</v>
      </c>
      <c r="KH182" s="12">
        <f t="shared" si="246"/>
        <v>0</v>
      </c>
      <c r="KI182" s="12">
        <f t="shared" si="247"/>
        <v>0</v>
      </c>
      <c r="KJ182" s="12">
        <f t="shared" si="248"/>
        <v>0</v>
      </c>
      <c r="KK182" s="12">
        <f t="shared" si="249"/>
        <v>0</v>
      </c>
      <c r="KL182" s="12">
        <f t="shared" si="250"/>
        <v>0</v>
      </c>
      <c r="KM182" s="12">
        <f t="shared" si="251"/>
        <v>0</v>
      </c>
      <c r="KN182" s="12">
        <f t="shared" si="252"/>
        <v>0</v>
      </c>
      <c r="KO182" s="12">
        <f t="shared" si="253"/>
        <v>0</v>
      </c>
      <c r="KP182" s="12">
        <f t="shared" si="254"/>
        <v>0</v>
      </c>
      <c r="KQ182" s="12">
        <f t="shared" si="255"/>
        <v>0</v>
      </c>
      <c r="KR182" s="12">
        <f t="shared" si="256"/>
        <v>0</v>
      </c>
      <c r="KS182" s="12">
        <f t="shared" si="257"/>
        <v>0</v>
      </c>
      <c r="KT182" s="12">
        <f t="shared" si="258"/>
        <v>0</v>
      </c>
      <c r="KU182" s="12">
        <f t="shared" si="259"/>
        <v>0</v>
      </c>
      <c r="KV182" s="12">
        <f t="shared" si="260"/>
        <v>0</v>
      </c>
      <c r="KW182" s="12">
        <f t="shared" si="261"/>
        <v>0</v>
      </c>
      <c r="KX182" s="12">
        <f t="shared" si="262"/>
        <v>0</v>
      </c>
      <c r="KY182" s="12">
        <f t="shared" si="263"/>
        <v>0</v>
      </c>
      <c r="KZ182" s="12">
        <f t="shared" si="264"/>
        <v>0</v>
      </c>
      <c r="LA182" s="12">
        <f t="shared" si="265"/>
        <v>0</v>
      </c>
      <c r="LB182" s="12">
        <f t="shared" si="266"/>
        <v>0</v>
      </c>
      <c r="LC182" s="12">
        <f t="shared" si="267"/>
        <v>0</v>
      </c>
      <c r="LD182" s="12">
        <f t="shared" si="268"/>
        <v>0</v>
      </c>
      <c r="LE182" s="12">
        <f t="shared" si="269"/>
        <v>0</v>
      </c>
      <c r="LF182" s="12">
        <f t="shared" si="270"/>
        <v>0</v>
      </c>
      <c r="LG182" s="12">
        <f t="shared" si="271"/>
        <v>0</v>
      </c>
      <c r="LH182" s="12">
        <f t="shared" si="272"/>
        <v>0</v>
      </c>
      <c r="LI182" s="12">
        <f t="shared" si="273"/>
        <v>0</v>
      </c>
      <c r="LJ182" s="12">
        <f t="shared" si="274"/>
        <v>0</v>
      </c>
      <c r="LK182" s="12">
        <f t="shared" si="275"/>
        <v>0</v>
      </c>
      <c r="LL182" s="12">
        <f t="shared" si="276"/>
        <v>0</v>
      </c>
      <c r="LM182" s="12">
        <f t="shared" si="277"/>
        <v>0</v>
      </c>
      <c r="LN182" s="12">
        <f t="shared" si="278"/>
        <v>0</v>
      </c>
      <c r="LO182" s="12">
        <f t="shared" si="279"/>
        <v>0</v>
      </c>
      <c r="LP182" s="12">
        <f t="shared" si="280"/>
        <v>0</v>
      </c>
      <c r="LQ182" s="12">
        <f t="shared" si="281"/>
        <v>0</v>
      </c>
      <c r="LR182" s="12">
        <f t="shared" si="282"/>
        <v>0</v>
      </c>
      <c r="LS182" s="12">
        <f t="shared" si="283"/>
        <v>0</v>
      </c>
      <c r="LT182" s="13">
        <f t="shared" si="284"/>
        <v>0</v>
      </c>
      <c r="LU182" s="13">
        <f t="shared" si="285"/>
        <v>0</v>
      </c>
      <c r="LV182" s="13">
        <f t="shared" si="286"/>
        <v>0</v>
      </c>
      <c r="LW182" s="13">
        <f t="shared" si="287"/>
        <v>0</v>
      </c>
      <c r="LX182" s="13">
        <f t="shared" si="288"/>
        <v>0</v>
      </c>
      <c r="LY182" s="13">
        <f t="shared" si="289"/>
        <v>0</v>
      </c>
      <c r="LZ182" s="13">
        <f t="shared" si="290"/>
        <v>0</v>
      </c>
      <c r="MA182" s="13">
        <f t="shared" si="291"/>
        <v>0</v>
      </c>
      <c r="MB182" s="13">
        <f t="shared" si="292"/>
        <v>0</v>
      </c>
      <c r="MC182" s="13">
        <f t="shared" si="293"/>
        <v>0</v>
      </c>
      <c r="MD182" s="13">
        <f t="shared" si="294"/>
        <v>0</v>
      </c>
      <c r="ME182" s="13">
        <f t="shared" si="295"/>
        <v>0</v>
      </c>
      <c r="MF182" s="13">
        <f t="shared" si="296"/>
        <v>0</v>
      </c>
      <c r="MG182" s="13">
        <f t="shared" si="297"/>
        <v>1</v>
      </c>
      <c r="MH182" s="13">
        <f t="shared" si="298"/>
        <v>0</v>
      </c>
      <c r="MI182" s="13">
        <f t="shared" si="299"/>
        <v>0</v>
      </c>
      <c r="MJ182" s="13">
        <f t="shared" si="300"/>
        <v>0</v>
      </c>
      <c r="MK182" s="13">
        <f t="shared" si="301"/>
        <v>0</v>
      </c>
      <c r="ML182" s="14">
        <f t="shared" si="302"/>
        <v>0</v>
      </c>
      <c r="MM182" s="14">
        <f t="shared" si="303"/>
        <v>0</v>
      </c>
      <c r="MN182" s="14">
        <f t="shared" si="304"/>
        <v>0</v>
      </c>
      <c r="MO182" s="14">
        <f t="shared" si="305"/>
        <v>0</v>
      </c>
      <c r="MP182" s="14">
        <f t="shared" si="306"/>
        <v>0</v>
      </c>
      <c r="MQ182" s="14">
        <f t="shared" si="307"/>
        <v>0</v>
      </c>
      <c r="MR182" s="14">
        <f t="shared" si="308"/>
        <v>0</v>
      </c>
      <c r="MS182" s="14">
        <f t="shared" si="309"/>
        <v>0</v>
      </c>
      <c r="MT182" s="14">
        <f t="shared" si="310"/>
        <v>0</v>
      </c>
      <c r="MU182" s="14">
        <f t="shared" si="311"/>
        <v>0</v>
      </c>
      <c r="MV182" s="14">
        <f t="shared" si="312"/>
        <v>0</v>
      </c>
      <c r="MW182" s="14">
        <f t="shared" si="313"/>
        <v>0</v>
      </c>
      <c r="MX182" s="14">
        <f t="shared" si="314"/>
        <v>0</v>
      </c>
      <c r="MY182" s="14">
        <f t="shared" si="315"/>
        <v>0</v>
      </c>
      <c r="MZ182" s="14">
        <f t="shared" si="316"/>
        <v>0</v>
      </c>
      <c r="NA182" s="14">
        <f t="shared" si="317"/>
        <v>0</v>
      </c>
      <c r="NB182" s="14">
        <f t="shared" si="318"/>
        <v>0</v>
      </c>
    </row>
    <row r="183" ht="15.75" customHeight="1">
      <c r="A183" s="2">
        <v>49.0</v>
      </c>
      <c r="B183" s="2" t="s">
        <v>3423</v>
      </c>
      <c r="C183" s="2" t="s">
        <v>3424</v>
      </c>
      <c r="D183" s="2" t="s">
        <v>3425</v>
      </c>
      <c r="E183" s="2">
        <v>2021.0</v>
      </c>
      <c r="F183" s="2" t="s">
        <v>1837</v>
      </c>
      <c r="G183" s="2" t="s">
        <v>1069</v>
      </c>
      <c r="H183" s="2" t="s">
        <v>393</v>
      </c>
      <c r="I183" s="2" t="s">
        <v>3426</v>
      </c>
      <c r="M183" s="2">
        <v>2.0</v>
      </c>
      <c r="N183" s="2" t="s">
        <v>3427</v>
      </c>
      <c r="O183" s="2" t="s">
        <v>3428</v>
      </c>
      <c r="P183" s="2" t="s">
        <v>3429</v>
      </c>
      <c r="Q183" s="2" t="s">
        <v>3430</v>
      </c>
      <c r="R183" s="2" t="s">
        <v>3431</v>
      </c>
      <c r="S183" s="2" t="s">
        <v>3432</v>
      </c>
      <c r="Y183" s="2" t="s">
        <v>3433</v>
      </c>
      <c r="AB183" s="2" t="s">
        <v>1303</v>
      </c>
      <c r="AG183" s="2" t="s">
        <v>1846</v>
      </c>
      <c r="AK183" s="2" t="s">
        <v>1837</v>
      </c>
      <c r="AL183" s="2" t="s">
        <v>384</v>
      </c>
      <c r="AM183" s="2" t="s">
        <v>1306</v>
      </c>
      <c r="AN183" s="2" t="s">
        <v>386</v>
      </c>
      <c r="AO183" s="2" t="s">
        <v>3434</v>
      </c>
      <c r="AP183" s="2" t="s">
        <v>386</v>
      </c>
      <c r="AQ183" s="2">
        <v>140.0</v>
      </c>
      <c r="AR183" s="2" t="s">
        <v>3425</v>
      </c>
      <c r="AS183" s="2" t="b">
        <v>1</v>
      </c>
      <c r="AT183" s="3">
        <v>0.0</v>
      </c>
      <c r="AU183" s="4">
        <v>1.0</v>
      </c>
      <c r="AV183" s="4">
        <v>1.0</v>
      </c>
      <c r="AW183" s="5">
        <f t="shared" si="432"/>
        <v>0</v>
      </c>
      <c r="AX183" s="5">
        <f t="shared" si="4"/>
        <v>0</v>
      </c>
      <c r="AY183" s="5">
        <f t="shared" si="5"/>
        <v>0</v>
      </c>
      <c r="AZ183" s="5">
        <f t="shared" si="6"/>
        <v>0</v>
      </c>
      <c r="BA183" s="5">
        <f t="shared" si="7"/>
        <v>0</v>
      </c>
      <c r="BB183" s="5">
        <f t="shared" si="8"/>
        <v>0</v>
      </c>
      <c r="BC183" s="5">
        <f t="shared" si="9"/>
        <v>0</v>
      </c>
      <c r="BD183" s="5">
        <f t="shared" si="10"/>
        <v>0</v>
      </c>
      <c r="BE183" s="5">
        <f t="shared" si="11"/>
        <v>0</v>
      </c>
      <c r="BF183" s="5">
        <f t="shared" si="12"/>
        <v>0</v>
      </c>
      <c r="BG183" s="5">
        <f t="shared" si="13"/>
        <v>0</v>
      </c>
      <c r="BH183" s="5">
        <f t="shared" si="14"/>
        <v>0</v>
      </c>
      <c r="BI183" s="5">
        <f t="shared" si="15"/>
        <v>0</v>
      </c>
      <c r="BJ183" s="5">
        <f t="shared" si="16"/>
        <v>0</v>
      </c>
      <c r="BK183" s="5">
        <f t="shared" si="17"/>
        <v>0</v>
      </c>
      <c r="BL183" s="5">
        <f t="shared" si="18"/>
        <v>0</v>
      </c>
      <c r="BM183" s="5">
        <f t="shared" si="19"/>
        <v>0</v>
      </c>
      <c r="BN183" s="5">
        <f t="shared" si="20"/>
        <v>0</v>
      </c>
      <c r="BO183" s="5">
        <f t="shared" si="21"/>
        <v>0</v>
      </c>
      <c r="BP183" s="5">
        <f t="shared" si="22"/>
        <v>0</v>
      </c>
      <c r="BQ183" s="5">
        <f t="shared" si="23"/>
        <v>0</v>
      </c>
      <c r="BR183" s="5">
        <f t="shared" si="24"/>
        <v>0</v>
      </c>
      <c r="BS183" s="5">
        <f t="shared" si="25"/>
        <v>1</v>
      </c>
      <c r="BT183" s="5">
        <f t="shared" si="26"/>
        <v>0</v>
      </c>
      <c r="BU183" s="5">
        <f t="shared" si="27"/>
        <v>0</v>
      </c>
      <c r="BV183" s="5">
        <f t="shared" ref="BV183:BW183" si="722">IF(OR(ISNUMBER(SEARCH("grit",$D183)),ISNUMBER(SEARCH("grit",$T183)),ISNUMBER(SEARCH("grit",$R183)),ISNUMBER(SEARCH("grit",$S183)),
ISNUMBER(SEARCH("determination",$D183)),ISNUMBER(SEARCH("determination",$T183)),ISNUMBER(SEARCH("determination",$R183)),ISNUMBER(SEARCH("determination",$S183)),
ISNUMBER(SEARCH("tenacity",$D183)),ISNUMBER(SEARCH("tenacity",$T183)),ISNUMBER(SEARCH("tenacity",$R183)),ISNUMBER(SEARCH("tenacity",$S183)),
ISNUMBER(SEARCH("endurance",$D183)),ISNUMBER(SEARCH("endurance",$T183)),ISNUMBER(SEARCH("endurance",$R183)),ISNUMBER(SEARCH("endurance",$S183)),
ISNUMBER(SEARCH("fortitude",$D183)),ISNUMBER(SEARCH("fortitude",$T183)),ISNUMBER(SEARCH("fortitude",$R183)),ISNUMBER(SEARCH("fortitude",$S183)),
ISNUMBER(SEARCH("resolve",$D183)),ISNUMBER(SEARCH("resolve",$T183)),ISNUMBER(SEARCH("resolve",$R183)),ISNUMBER(SEARCH("resolve",$S183)),
ISNUMBER(SEARCH("stamina",$D183)),ISNUMBER(SEARCH("stamina",$T183)),ISNUMBER(SEARCH("stamina",$R183)),ISNUMBER(SEARCH("stamina",$S183)),
ISNUMBER(SEARCH("guts",$D183)),ISNUMBER(SEARCH("guts",$T183)),ISNUMBER(SEARCH("guts",$R183)),ISNUMBER(SEARCH("guts",$S183)),
ISNUMBER(SEARCH("spunk",$D183)),ISNUMBER(SEARCH("spunk",$T183)),ISNUMBER(SEARCH("spunk",$R183)),ISNUMBER(SEARCH("spunk",$S183))), 1, 0)</f>
        <v>0</v>
      </c>
      <c r="BW183" s="5">
        <f t="shared" si="722"/>
        <v>0</v>
      </c>
      <c r="BX183" s="5">
        <f t="shared" si="29"/>
        <v>0</v>
      </c>
      <c r="BY183" s="5">
        <f t="shared" si="30"/>
        <v>0</v>
      </c>
      <c r="BZ183" s="5">
        <f t="shared" si="31"/>
        <v>0</v>
      </c>
      <c r="CA183" s="5">
        <f t="shared" si="32"/>
        <v>0</v>
      </c>
      <c r="CB183" s="5">
        <f t="shared" si="33"/>
        <v>0</v>
      </c>
      <c r="CC183" s="5">
        <f t="shared" si="34"/>
        <v>0</v>
      </c>
      <c r="CD183" s="5">
        <f t="shared" si="35"/>
        <v>0</v>
      </c>
      <c r="CE183" s="5">
        <f t="shared" si="36"/>
        <v>0</v>
      </c>
      <c r="CF183" s="5">
        <f t="shared" si="37"/>
        <v>0</v>
      </c>
      <c r="CG183" s="5">
        <f t="shared" si="38"/>
        <v>0</v>
      </c>
      <c r="CH183" s="5">
        <f t="shared" si="39"/>
        <v>0</v>
      </c>
      <c r="CI183" s="5">
        <f t="shared" si="40"/>
        <v>0</v>
      </c>
      <c r="CJ183" s="5">
        <f t="shared" si="41"/>
        <v>0</v>
      </c>
      <c r="CK183" s="5">
        <f t="shared" si="42"/>
        <v>0</v>
      </c>
      <c r="CL183" s="5">
        <f t="shared" si="43"/>
        <v>0</v>
      </c>
      <c r="CM183" s="5">
        <f t="shared" si="44"/>
        <v>0</v>
      </c>
      <c r="CN183" s="5">
        <f t="shared" si="45"/>
        <v>0</v>
      </c>
      <c r="CO183" s="5">
        <f t="shared" si="46"/>
        <v>0</v>
      </c>
      <c r="CP183" s="6">
        <f t="shared" si="47"/>
        <v>0</v>
      </c>
      <c r="CQ183" s="6">
        <f t="shared" si="48"/>
        <v>0</v>
      </c>
      <c r="CR183" s="6">
        <f t="shared" si="49"/>
        <v>0</v>
      </c>
      <c r="CS183" s="6">
        <f t="shared" si="50"/>
        <v>0</v>
      </c>
      <c r="CT183" s="6">
        <f t="shared" si="584"/>
        <v>0</v>
      </c>
      <c r="CU183" s="6">
        <f t="shared" si="52"/>
        <v>0</v>
      </c>
      <c r="CV183" s="6">
        <f t="shared" si="53"/>
        <v>0</v>
      </c>
      <c r="CW183" s="6">
        <f t="shared" si="54"/>
        <v>0</v>
      </c>
      <c r="CX183" s="6">
        <f t="shared" si="55"/>
        <v>0</v>
      </c>
      <c r="CY183" s="6">
        <f t="shared" si="56"/>
        <v>0</v>
      </c>
      <c r="CZ183" s="6">
        <f t="shared" si="57"/>
        <v>0</v>
      </c>
      <c r="DA183" s="6">
        <f t="shared" si="58"/>
        <v>0</v>
      </c>
      <c r="DB183" s="6">
        <f t="shared" si="59"/>
        <v>0</v>
      </c>
      <c r="DC183" s="6">
        <f t="shared" si="60"/>
        <v>0</v>
      </c>
      <c r="DD183" s="6">
        <f t="shared" si="61"/>
        <v>0</v>
      </c>
      <c r="DE183" s="6">
        <f t="shared" si="62"/>
        <v>0</v>
      </c>
      <c r="DF183" s="6">
        <f t="shared" si="63"/>
        <v>0</v>
      </c>
      <c r="DG183" s="6">
        <f t="shared" si="64"/>
        <v>0</v>
      </c>
      <c r="DH183" s="6">
        <f t="shared" si="697"/>
        <v>0</v>
      </c>
      <c r="DI183" s="6">
        <f t="shared" si="66"/>
        <v>0</v>
      </c>
      <c r="DJ183" s="6">
        <f t="shared" si="653"/>
        <v>0</v>
      </c>
      <c r="DK183" s="7">
        <f t="shared" si="68"/>
        <v>0</v>
      </c>
      <c r="DL183" s="7">
        <f t="shared" si="498"/>
        <v>0</v>
      </c>
      <c r="DM183" s="7">
        <f t="shared" si="70"/>
        <v>0</v>
      </c>
      <c r="DN183" s="7">
        <f t="shared" si="71"/>
        <v>0</v>
      </c>
      <c r="DO183" s="7">
        <f t="shared" si="72"/>
        <v>0</v>
      </c>
      <c r="DP183" s="8">
        <f t="shared" si="73"/>
        <v>0</v>
      </c>
      <c r="DQ183" s="8">
        <f t="shared" si="74"/>
        <v>1</v>
      </c>
      <c r="DR183" s="7">
        <f t="shared" si="75"/>
        <v>0</v>
      </c>
      <c r="DS183" s="7">
        <f t="shared" si="76"/>
        <v>0</v>
      </c>
      <c r="DT183" s="7">
        <f t="shared" si="77"/>
        <v>0</v>
      </c>
      <c r="DU183" s="9">
        <f t="shared" si="78"/>
        <v>0</v>
      </c>
      <c r="DV183" s="9">
        <f t="shared" si="79"/>
        <v>0</v>
      </c>
      <c r="DW183" s="9">
        <f t="shared" si="80"/>
        <v>0</v>
      </c>
      <c r="DX183" s="9">
        <f t="shared" si="81"/>
        <v>0</v>
      </c>
      <c r="DY183" s="9">
        <f t="shared" si="82"/>
        <v>0</v>
      </c>
      <c r="DZ183" s="9">
        <f t="shared" si="83"/>
        <v>0</v>
      </c>
      <c r="EA183" s="9">
        <f t="shared" si="84"/>
        <v>0</v>
      </c>
      <c r="EB183" s="9">
        <f t="shared" si="85"/>
        <v>0</v>
      </c>
      <c r="EC183" s="9">
        <f t="shared" si="86"/>
        <v>0</v>
      </c>
      <c r="ED183" s="9">
        <f t="shared" si="87"/>
        <v>0</v>
      </c>
      <c r="EE183" s="9">
        <f t="shared" si="88"/>
        <v>0</v>
      </c>
      <c r="EF183" s="9">
        <f t="shared" si="89"/>
        <v>0</v>
      </c>
      <c r="EG183" s="9">
        <f t="shared" si="90"/>
        <v>0</v>
      </c>
      <c r="EH183" s="9">
        <f t="shared" si="91"/>
        <v>0</v>
      </c>
      <c r="EI183" s="9">
        <f t="shared" si="92"/>
        <v>0</v>
      </c>
      <c r="EJ183" s="10">
        <f t="shared" si="93"/>
        <v>0</v>
      </c>
      <c r="EK183" s="10">
        <f t="shared" si="94"/>
        <v>0</v>
      </c>
      <c r="EL183" s="10">
        <f t="shared" ref="EL183:EM183" si="723">IF(OR(ISNUMBER(SEARCH("ai software toolkit", $D183)), ISNUMBER(SEARCH("ai software toolkit", $T183)), ISNUMBER(SEARCH("ai software toolkit", $R183)), ISNUMBER(SEARCH("ai software toolkit", $S183))), 1, 0)</f>
        <v>0</v>
      </c>
      <c r="EM183" s="10">
        <f t="shared" si="723"/>
        <v>0</v>
      </c>
      <c r="EN183" s="10">
        <f t="shared" si="96"/>
        <v>0</v>
      </c>
      <c r="EO183" s="10">
        <f t="shared" si="97"/>
        <v>0</v>
      </c>
      <c r="EP183" s="10">
        <f t="shared" si="98"/>
        <v>0</v>
      </c>
      <c r="EQ183" s="10">
        <f t="shared" si="99"/>
        <v>0</v>
      </c>
      <c r="ER183" s="10">
        <f t="shared" si="100"/>
        <v>0</v>
      </c>
      <c r="ES183" s="10">
        <f t="shared" si="101"/>
        <v>0</v>
      </c>
      <c r="ET183" s="10">
        <f t="shared" si="102"/>
        <v>0</v>
      </c>
      <c r="EU183" s="10">
        <f t="shared" si="103"/>
        <v>0</v>
      </c>
      <c r="EV183" s="10">
        <f t="shared" si="104"/>
        <v>0</v>
      </c>
      <c r="EW183" s="10">
        <f t="shared" si="105"/>
        <v>0</v>
      </c>
      <c r="EX183" s="10">
        <f t="shared" si="106"/>
        <v>0</v>
      </c>
      <c r="EY183" s="10">
        <f t="shared" si="107"/>
        <v>0</v>
      </c>
      <c r="EZ183" s="10">
        <f t="shared" si="108"/>
        <v>0</v>
      </c>
      <c r="FA183" s="10">
        <f t="shared" si="109"/>
        <v>0</v>
      </c>
      <c r="FB183" s="10">
        <f t="shared" si="110"/>
        <v>0</v>
      </c>
      <c r="FC183" s="10">
        <f t="shared" si="111"/>
        <v>0</v>
      </c>
      <c r="FD183" s="10">
        <f t="shared" si="112"/>
        <v>0</v>
      </c>
      <c r="FE183" s="10">
        <f t="shared" si="113"/>
        <v>0</v>
      </c>
      <c r="FF183" s="10">
        <f t="shared" si="114"/>
        <v>0</v>
      </c>
      <c r="FG183" s="10">
        <f t="shared" si="115"/>
        <v>0</v>
      </c>
      <c r="FH183" s="10">
        <f t="shared" si="116"/>
        <v>0</v>
      </c>
      <c r="FI183" s="10">
        <f t="shared" si="117"/>
        <v>0</v>
      </c>
      <c r="FJ183" s="10">
        <f t="shared" si="118"/>
        <v>0</v>
      </c>
      <c r="FK183" s="10">
        <f t="shared" si="119"/>
        <v>0</v>
      </c>
      <c r="FL183" s="10">
        <f t="shared" si="120"/>
        <v>0</v>
      </c>
      <c r="FM183" s="10">
        <f t="shared" si="121"/>
        <v>0</v>
      </c>
      <c r="FN183" s="10">
        <f t="shared" si="122"/>
        <v>0</v>
      </c>
      <c r="FO183" s="10">
        <f t="shared" si="123"/>
        <v>0</v>
      </c>
      <c r="FP183" s="10">
        <f t="shared" si="124"/>
        <v>0</v>
      </c>
      <c r="FQ183" s="10">
        <f t="shared" si="125"/>
        <v>0</v>
      </c>
      <c r="FR183" s="11">
        <f t="shared" si="709"/>
        <v>0</v>
      </c>
      <c r="FS183" s="11">
        <f t="shared" si="127"/>
        <v>0</v>
      </c>
      <c r="FT183" s="11">
        <f t="shared" si="128"/>
        <v>0</v>
      </c>
      <c r="FU183" s="11">
        <f t="shared" si="129"/>
        <v>0</v>
      </c>
      <c r="FV183" s="11">
        <f t="shared" si="130"/>
        <v>0</v>
      </c>
      <c r="FW183" s="11">
        <f t="shared" si="131"/>
        <v>0</v>
      </c>
      <c r="FX183" s="11">
        <f t="shared" si="132"/>
        <v>0</v>
      </c>
      <c r="FY183" s="11">
        <f t="shared" si="133"/>
        <v>0</v>
      </c>
      <c r="FZ183" s="11">
        <f t="shared" si="134"/>
        <v>0</v>
      </c>
      <c r="GA183" s="11">
        <f t="shared" si="135"/>
        <v>0</v>
      </c>
      <c r="GB183" s="11">
        <f t="shared" si="136"/>
        <v>0</v>
      </c>
      <c r="GC183" s="11">
        <f t="shared" si="137"/>
        <v>0</v>
      </c>
      <c r="GD183" s="11">
        <f t="shared" si="138"/>
        <v>0</v>
      </c>
      <c r="GE183" s="11">
        <f t="shared" si="139"/>
        <v>0</v>
      </c>
      <c r="GF183" s="11">
        <f t="shared" si="140"/>
        <v>0</v>
      </c>
      <c r="GG183" s="11">
        <f t="shared" si="141"/>
        <v>0</v>
      </c>
      <c r="GH183" s="11">
        <f t="shared" si="142"/>
        <v>0</v>
      </c>
      <c r="GI183" s="11">
        <f t="shared" si="143"/>
        <v>0</v>
      </c>
      <c r="GJ183" s="11">
        <f t="shared" si="144"/>
        <v>0</v>
      </c>
      <c r="GK183" s="11">
        <f t="shared" si="145"/>
        <v>0</v>
      </c>
      <c r="GL183" s="11">
        <f t="shared" si="146"/>
        <v>0</v>
      </c>
      <c r="GM183" s="11">
        <f t="shared" si="147"/>
        <v>0</v>
      </c>
      <c r="GN183" s="11">
        <f t="shared" si="148"/>
        <v>0</v>
      </c>
      <c r="GO183" s="11">
        <f t="shared" si="149"/>
        <v>0</v>
      </c>
      <c r="GP183" s="11">
        <f t="shared" si="150"/>
        <v>0</v>
      </c>
      <c r="GQ183" s="11">
        <f t="shared" si="151"/>
        <v>0</v>
      </c>
      <c r="GR183" s="11">
        <f t="shared" si="152"/>
        <v>0</v>
      </c>
      <c r="GS183" s="11">
        <f t="shared" si="153"/>
        <v>0</v>
      </c>
      <c r="GT183" s="11">
        <f t="shared" si="154"/>
        <v>0</v>
      </c>
      <c r="GU183" s="12">
        <f t="shared" si="155"/>
        <v>0</v>
      </c>
      <c r="GV183" s="12">
        <f t="shared" si="156"/>
        <v>0</v>
      </c>
      <c r="GW183" s="12">
        <f t="shared" si="157"/>
        <v>0</v>
      </c>
      <c r="GX183" s="12">
        <f t="shared" si="158"/>
        <v>0</v>
      </c>
      <c r="GY183" s="12">
        <f t="shared" si="159"/>
        <v>0</v>
      </c>
      <c r="GZ183" s="12">
        <f t="shared" si="160"/>
        <v>0</v>
      </c>
      <c r="HA183" s="12">
        <f t="shared" si="161"/>
        <v>0</v>
      </c>
      <c r="HB183" s="12">
        <f t="shared" si="162"/>
        <v>0</v>
      </c>
      <c r="HC183" s="12">
        <f t="shared" si="163"/>
        <v>0</v>
      </c>
      <c r="HD183" s="12">
        <f t="shared" si="164"/>
        <v>0</v>
      </c>
      <c r="HE183" s="12">
        <f t="shared" si="165"/>
        <v>0</v>
      </c>
      <c r="HF183" s="12">
        <f t="shared" si="166"/>
        <v>0</v>
      </c>
      <c r="HG183" s="12">
        <f t="shared" si="167"/>
        <v>0</v>
      </c>
      <c r="HH183" s="12">
        <f t="shared" si="168"/>
        <v>0</v>
      </c>
      <c r="HI183" s="12">
        <f t="shared" si="169"/>
        <v>0</v>
      </c>
      <c r="HJ183" s="12">
        <f t="shared" si="170"/>
        <v>0</v>
      </c>
      <c r="HK183" s="12">
        <f t="shared" si="171"/>
        <v>0</v>
      </c>
      <c r="HL183" s="12">
        <f t="shared" si="172"/>
        <v>0</v>
      </c>
      <c r="HM183" s="12">
        <f t="shared" si="173"/>
        <v>0</v>
      </c>
      <c r="HN183" s="12">
        <f t="shared" si="174"/>
        <v>0</v>
      </c>
      <c r="HO183" s="12">
        <f t="shared" si="175"/>
        <v>0</v>
      </c>
      <c r="HP183" s="12">
        <f t="shared" si="176"/>
        <v>0</v>
      </c>
      <c r="HQ183" s="12">
        <f t="shared" si="177"/>
        <v>0</v>
      </c>
      <c r="HR183" s="12">
        <f t="shared" si="178"/>
        <v>0</v>
      </c>
      <c r="HS183" s="12">
        <f t="shared" si="179"/>
        <v>0</v>
      </c>
      <c r="HT183" s="12">
        <f t="shared" si="180"/>
        <v>0</v>
      </c>
      <c r="HU183" s="12">
        <f t="shared" si="181"/>
        <v>0</v>
      </c>
      <c r="HV183" s="12">
        <f t="shared" si="182"/>
        <v>1</v>
      </c>
      <c r="HW183" s="12">
        <f t="shared" si="183"/>
        <v>0</v>
      </c>
      <c r="HX183" s="12">
        <f t="shared" si="184"/>
        <v>0</v>
      </c>
      <c r="HY183" s="12">
        <f t="shared" si="185"/>
        <v>0</v>
      </c>
      <c r="HZ183" s="12">
        <f t="shared" si="186"/>
        <v>0</v>
      </c>
      <c r="IA183" s="12">
        <f t="shared" si="187"/>
        <v>0</v>
      </c>
      <c r="IB183" s="12">
        <f t="shared" si="188"/>
        <v>0</v>
      </c>
      <c r="IC183" s="12">
        <f t="shared" si="189"/>
        <v>0</v>
      </c>
      <c r="ID183" s="12">
        <f t="shared" si="190"/>
        <v>0</v>
      </c>
      <c r="IE183" s="12">
        <f t="shared" si="191"/>
        <v>0</v>
      </c>
      <c r="IF183" s="12">
        <f t="shared" si="192"/>
        <v>0</v>
      </c>
      <c r="IG183" s="12">
        <f t="shared" si="193"/>
        <v>0</v>
      </c>
      <c r="IH183" s="12">
        <f t="shared" si="194"/>
        <v>0</v>
      </c>
      <c r="II183" s="12">
        <f t="shared" si="195"/>
        <v>0</v>
      </c>
      <c r="IJ183" s="12">
        <f t="shared" si="196"/>
        <v>0</v>
      </c>
      <c r="IK183" s="12">
        <f t="shared" si="197"/>
        <v>0</v>
      </c>
      <c r="IL183" s="12">
        <f t="shared" si="198"/>
        <v>0</v>
      </c>
      <c r="IM183" s="12">
        <f t="shared" si="199"/>
        <v>0</v>
      </c>
      <c r="IN183" s="12">
        <f t="shared" si="200"/>
        <v>0</v>
      </c>
      <c r="IO183" s="12">
        <f t="shared" si="201"/>
        <v>0</v>
      </c>
      <c r="IP183" s="12">
        <f t="shared" si="202"/>
        <v>0</v>
      </c>
      <c r="IQ183" s="12">
        <f t="shared" si="203"/>
        <v>0</v>
      </c>
      <c r="IR183" s="12">
        <f t="shared" si="204"/>
        <v>0</v>
      </c>
      <c r="IS183" s="12">
        <f t="shared" si="205"/>
        <v>0</v>
      </c>
      <c r="IT183" s="12">
        <f t="shared" si="206"/>
        <v>0</v>
      </c>
      <c r="IU183" s="12">
        <f t="shared" si="207"/>
        <v>0</v>
      </c>
      <c r="IV183" s="12">
        <f t="shared" si="208"/>
        <v>0</v>
      </c>
      <c r="IW183" s="12">
        <f t="shared" si="209"/>
        <v>0</v>
      </c>
      <c r="IX183" s="12">
        <f t="shared" si="210"/>
        <v>0</v>
      </c>
      <c r="IY183" s="12">
        <f t="shared" si="211"/>
        <v>0</v>
      </c>
      <c r="IZ183" s="12">
        <f t="shared" si="212"/>
        <v>0</v>
      </c>
      <c r="JA183" s="13">
        <f t="shared" si="213"/>
        <v>0</v>
      </c>
      <c r="JB183" s="13">
        <f t="shared" si="214"/>
        <v>0</v>
      </c>
      <c r="JC183" s="13">
        <f t="shared" si="215"/>
        <v>0</v>
      </c>
      <c r="JD183" s="13">
        <f t="shared" si="216"/>
        <v>0</v>
      </c>
      <c r="JE183" s="13">
        <f t="shared" si="217"/>
        <v>0</v>
      </c>
      <c r="JF183" s="13">
        <f t="shared" si="218"/>
        <v>0</v>
      </c>
      <c r="JG183" s="13">
        <f t="shared" si="219"/>
        <v>0</v>
      </c>
      <c r="JH183" s="13">
        <f t="shared" si="220"/>
        <v>0</v>
      </c>
      <c r="JI183" s="13">
        <f t="shared" si="221"/>
        <v>0</v>
      </c>
      <c r="JJ183" s="13">
        <f t="shared" si="222"/>
        <v>0</v>
      </c>
      <c r="JK183" s="13">
        <f t="shared" si="223"/>
        <v>0</v>
      </c>
      <c r="JL183" s="13">
        <f t="shared" si="224"/>
        <v>0</v>
      </c>
      <c r="JM183" s="13">
        <f t="shared" si="225"/>
        <v>0</v>
      </c>
      <c r="JN183" s="13">
        <f t="shared" si="226"/>
        <v>0</v>
      </c>
      <c r="JO183" s="13">
        <f t="shared" si="227"/>
        <v>0</v>
      </c>
      <c r="JP183" s="13">
        <f t="shared" si="228"/>
        <v>0</v>
      </c>
      <c r="JQ183" s="13">
        <f t="shared" si="229"/>
        <v>0</v>
      </c>
      <c r="JR183" s="13">
        <f t="shared" si="230"/>
        <v>0</v>
      </c>
      <c r="JS183" s="13">
        <f t="shared" si="231"/>
        <v>0</v>
      </c>
      <c r="JT183" s="13">
        <f t="shared" si="232"/>
        <v>0</v>
      </c>
      <c r="JU183" s="13">
        <f t="shared" si="233"/>
        <v>0</v>
      </c>
      <c r="JV183" s="12">
        <f t="shared" si="234"/>
        <v>0</v>
      </c>
      <c r="JW183" s="12">
        <f t="shared" si="235"/>
        <v>0</v>
      </c>
      <c r="JX183" s="12">
        <f t="shared" si="236"/>
        <v>0</v>
      </c>
      <c r="JY183" s="12">
        <f t="shared" si="237"/>
        <v>0</v>
      </c>
      <c r="JZ183" s="12">
        <f t="shared" si="238"/>
        <v>0</v>
      </c>
      <c r="KA183" s="12">
        <f t="shared" si="239"/>
        <v>0</v>
      </c>
      <c r="KB183" s="12">
        <f t="shared" si="240"/>
        <v>0</v>
      </c>
      <c r="KC183" s="12">
        <f t="shared" si="241"/>
        <v>0</v>
      </c>
      <c r="KD183" s="12">
        <f t="shared" si="242"/>
        <v>0</v>
      </c>
      <c r="KE183" s="12">
        <f t="shared" si="243"/>
        <v>0</v>
      </c>
      <c r="KF183" s="12">
        <f t="shared" si="244"/>
        <v>0</v>
      </c>
      <c r="KG183" s="12">
        <f t="shared" si="245"/>
        <v>0</v>
      </c>
      <c r="KH183" s="12">
        <f t="shared" si="246"/>
        <v>0</v>
      </c>
      <c r="KI183" s="12">
        <f t="shared" si="247"/>
        <v>0</v>
      </c>
      <c r="KJ183" s="12">
        <f t="shared" si="248"/>
        <v>0</v>
      </c>
      <c r="KK183" s="12">
        <f t="shared" si="249"/>
        <v>0</v>
      </c>
      <c r="KL183" s="12">
        <f t="shared" si="250"/>
        <v>0</v>
      </c>
      <c r="KM183" s="12">
        <f t="shared" si="251"/>
        <v>0</v>
      </c>
      <c r="KN183" s="12">
        <f t="shared" si="252"/>
        <v>0</v>
      </c>
      <c r="KO183" s="12">
        <f t="shared" si="253"/>
        <v>0</v>
      </c>
      <c r="KP183" s="12">
        <f t="shared" si="254"/>
        <v>0</v>
      </c>
      <c r="KQ183" s="12">
        <f t="shared" si="255"/>
        <v>0</v>
      </c>
      <c r="KR183" s="12">
        <f t="shared" si="256"/>
        <v>0</v>
      </c>
      <c r="KS183" s="12">
        <f t="shared" si="257"/>
        <v>0</v>
      </c>
      <c r="KT183" s="12">
        <f t="shared" si="258"/>
        <v>0</v>
      </c>
      <c r="KU183" s="12">
        <f t="shared" si="259"/>
        <v>0</v>
      </c>
      <c r="KV183" s="12">
        <f t="shared" si="260"/>
        <v>0</v>
      </c>
      <c r="KW183" s="12">
        <f t="shared" si="261"/>
        <v>0</v>
      </c>
      <c r="KX183" s="12">
        <f t="shared" si="262"/>
        <v>0</v>
      </c>
      <c r="KY183" s="12">
        <f t="shared" si="263"/>
        <v>0</v>
      </c>
      <c r="KZ183" s="12">
        <f t="shared" si="264"/>
        <v>0</v>
      </c>
      <c r="LA183" s="12">
        <f t="shared" si="265"/>
        <v>0</v>
      </c>
      <c r="LB183" s="12">
        <f t="shared" si="266"/>
        <v>0</v>
      </c>
      <c r="LC183" s="12">
        <f t="shared" si="267"/>
        <v>0</v>
      </c>
      <c r="LD183" s="12">
        <f t="shared" si="268"/>
        <v>0</v>
      </c>
      <c r="LE183" s="12">
        <f t="shared" si="269"/>
        <v>0</v>
      </c>
      <c r="LF183" s="12">
        <f t="shared" si="270"/>
        <v>0</v>
      </c>
      <c r="LG183" s="12">
        <f t="shared" si="271"/>
        <v>0</v>
      </c>
      <c r="LH183" s="12">
        <f t="shared" si="272"/>
        <v>0</v>
      </c>
      <c r="LI183" s="12">
        <f t="shared" si="273"/>
        <v>0</v>
      </c>
      <c r="LJ183" s="12">
        <f t="shared" si="274"/>
        <v>0</v>
      </c>
      <c r="LK183" s="12">
        <f t="shared" si="275"/>
        <v>0</v>
      </c>
      <c r="LL183" s="12">
        <f t="shared" si="276"/>
        <v>0</v>
      </c>
      <c r="LM183" s="12">
        <f t="shared" si="277"/>
        <v>0</v>
      </c>
      <c r="LN183" s="12">
        <f t="shared" si="278"/>
        <v>0</v>
      </c>
      <c r="LO183" s="12">
        <f t="shared" si="279"/>
        <v>0</v>
      </c>
      <c r="LP183" s="12">
        <f t="shared" si="280"/>
        <v>0</v>
      </c>
      <c r="LQ183" s="12">
        <f t="shared" si="281"/>
        <v>0</v>
      </c>
      <c r="LR183" s="12">
        <f t="shared" si="282"/>
        <v>0</v>
      </c>
      <c r="LS183" s="12">
        <f t="shared" si="283"/>
        <v>0</v>
      </c>
      <c r="LT183" s="13">
        <f t="shared" si="284"/>
        <v>0</v>
      </c>
      <c r="LU183" s="13">
        <f t="shared" si="285"/>
        <v>0</v>
      </c>
      <c r="LV183" s="13">
        <f t="shared" si="286"/>
        <v>0</v>
      </c>
      <c r="LW183" s="13">
        <f t="shared" si="287"/>
        <v>0</v>
      </c>
      <c r="LX183" s="13">
        <f t="shared" si="288"/>
        <v>0</v>
      </c>
      <c r="LY183" s="13">
        <f t="shared" si="289"/>
        <v>0</v>
      </c>
      <c r="LZ183" s="13">
        <f t="shared" si="290"/>
        <v>0</v>
      </c>
      <c r="MA183" s="13">
        <f t="shared" si="291"/>
        <v>0</v>
      </c>
      <c r="MB183" s="13">
        <f t="shared" si="292"/>
        <v>0</v>
      </c>
      <c r="MC183" s="13">
        <f t="shared" si="293"/>
        <v>0</v>
      </c>
      <c r="MD183" s="13">
        <f t="shared" si="294"/>
        <v>0</v>
      </c>
      <c r="ME183" s="13">
        <f t="shared" si="295"/>
        <v>0</v>
      </c>
      <c r="MF183" s="13">
        <f t="shared" si="296"/>
        <v>0</v>
      </c>
      <c r="MG183" s="13">
        <f t="shared" si="297"/>
        <v>1</v>
      </c>
      <c r="MH183" s="13">
        <f t="shared" si="298"/>
        <v>0</v>
      </c>
      <c r="MI183" s="13">
        <f t="shared" si="299"/>
        <v>0</v>
      </c>
      <c r="MJ183" s="13">
        <f t="shared" si="300"/>
        <v>0</v>
      </c>
      <c r="MK183" s="13">
        <f t="shared" si="301"/>
        <v>0</v>
      </c>
      <c r="ML183" s="14">
        <f t="shared" si="302"/>
        <v>0</v>
      </c>
      <c r="MM183" s="14">
        <f t="shared" si="303"/>
        <v>0</v>
      </c>
      <c r="MN183" s="14">
        <f t="shared" si="304"/>
        <v>0</v>
      </c>
      <c r="MO183" s="14">
        <f t="shared" si="305"/>
        <v>0</v>
      </c>
      <c r="MP183" s="14">
        <f t="shared" si="306"/>
        <v>0</v>
      </c>
      <c r="MQ183" s="14">
        <f t="shared" si="307"/>
        <v>0</v>
      </c>
      <c r="MR183" s="14">
        <f t="shared" si="308"/>
        <v>0</v>
      </c>
      <c r="MS183" s="14">
        <f t="shared" si="309"/>
        <v>0</v>
      </c>
      <c r="MT183" s="14">
        <f t="shared" si="310"/>
        <v>0</v>
      </c>
      <c r="MU183" s="14">
        <f t="shared" si="311"/>
        <v>0</v>
      </c>
      <c r="MV183" s="14">
        <f t="shared" si="312"/>
        <v>0</v>
      </c>
      <c r="MW183" s="14">
        <f t="shared" si="313"/>
        <v>0</v>
      </c>
      <c r="MX183" s="14">
        <f t="shared" si="314"/>
        <v>0</v>
      </c>
      <c r="MY183" s="14">
        <f t="shared" si="315"/>
        <v>0</v>
      </c>
      <c r="MZ183" s="14">
        <f t="shared" si="316"/>
        <v>0</v>
      </c>
      <c r="NA183" s="14">
        <f t="shared" si="317"/>
        <v>0</v>
      </c>
      <c r="NB183" s="14">
        <f t="shared" si="318"/>
        <v>0</v>
      </c>
    </row>
    <row r="184" ht="15.75" customHeight="1">
      <c r="A184" s="2">
        <v>583.0</v>
      </c>
      <c r="B184" s="2" t="s">
        <v>3435</v>
      </c>
      <c r="C184" s="2" t="s">
        <v>3436</v>
      </c>
      <c r="D184" s="2" t="s">
        <v>3437</v>
      </c>
      <c r="E184" s="2">
        <v>2022.0</v>
      </c>
      <c r="F184" s="2" t="s">
        <v>762</v>
      </c>
      <c r="G184" s="2">
        <v>19.0</v>
      </c>
      <c r="H184" s="2" t="s">
        <v>1365</v>
      </c>
      <c r="I184" s="2" t="s">
        <v>3438</v>
      </c>
      <c r="M184" s="2">
        <v>2.0</v>
      </c>
      <c r="N184" s="2" t="s">
        <v>3439</v>
      </c>
      <c r="O184" s="2" t="s">
        <v>3440</v>
      </c>
      <c r="P184" s="2" t="s">
        <v>3441</v>
      </c>
      <c r="Q184" s="2" t="s">
        <v>3442</v>
      </c>
      <c r="R184" s="2" t="s">
        <v>3443</v>
      </c>
      <c r="S184" s="2" t="s">
        <v>3444</v>
      </c>
      <c r="T184" s="2" t="s">
        <v>3445</v>
      </c>
      <c r="Y184" s="2" t="s">
        <v>3446</v>
      </c>
      <c r="AB184" s="2" t="s">
        <v>1303</v>
      </c>
      <c r="AG184" s="2" t="s">
        <v>772</v>
      </c>
      <c r="AJ184" s="2">
        <v>3.6360642E7</v>
      </c>
      <c r="AK184" s="2" t="s">
        <v>773</v>
      </c>
      <c r="AL184" s="2" t="s">
        <v>384</v>
      </c>
      <c r="AM184" s="2" t="s">
        <v>484</v>
      </c>
      <c r="AN184" s="2" t="s">
        <v>386</v>
      </c>
      <c r="AO184" s="2" t="s">
        <v>3447</v>
      </c>
      <c r="AP184" s="2" t="s">
        <v>386</v>
      </c>
      <c r="AQ184" s="2">
        <v>2263.0</v>
      </c>
      <c r="AR184" s="2" t="s">
        <v>3448</v>
      </c>
      <c r="AS184" s="2" t="b">
        <v>0</v>
      </c>
      <c r="AT184" s="3">
        <v>0.0</v>
      </c>
      <c r="AU184" s="4"/>
      <c r="AV184" s="4"/>
      <c r="AW184" s="5">
        <f t="shared" si="432"/>
        <v>0</v>
      </c>
      <c r="AX184" s="5">
        <f t="shared" si="4"/>
        <v>0</v>
      </c>
      <c r="AY184" s="5">
        <f t="shared" si="5"/>
        <v>0</v>
      </c>
      <c r="AZ184" s="5">
        <f t="shared" si="6"/>
        <v>0</v>
      </c>
      <c r="BA184" s="5">
        <f t="shared" si="7"/>
        <v>0</v>
      </c>
      <c r="BB184" s="5">
        <f t="shared" si="8"/>
        <v>0</v>
      </c>
      <c r="BC184" s="5">
        <f t="shared" si="9"/>
        <v>0</v>
      </c>
      <c r="BD184" s="5">
        <f t="shared" si="10"/>
        <v>0</v>
      </c>
      <c r="BE184" s="5">
        <f t="shared" si="11"/>
        <v>0</v>
      </c>
      <c r="BF184" s="5">
        <f t="shared" si="12"/>
        <v>0</v>
      </c>
      <c r="BG184" s="5">
        <f t="shared" si="13"/>
        <v>0</v>
      </c>
      <c r="BH184" s="5">
        <f t="shared" si="14"/>
        <v>0</v>
      </c>
      <c r="BI184" s="5">
        <f t="shared" si="15"/>
        <v>0</v>
      </c>
      <c r="BJ184" s="5">
        <f t="shared" si="16"/>
        <v>0</v>
      </c>
      <c r="BK184" s="5">
        <f t="shared" si="17"/>
        <v>0</v>
      </c>
      <c r="BL184" s="5">
        <f t="shared" si="18"/>
        <v>0</v>
      </c>
      <c r="BM184" s="5">
        <f t="shared" si="19"/>
        <v>0</v>
      </c>
      <c r="BN184" s="5">
        <f t="shared" si="20"/>
        <v>0</v>
      </c>
      <c r="BO184" s="5">
        <f t="shared" si="21"/>
        <v>0</v>
      </c>
      <c r="BP184" s="5">
        <f t="shared" si="22"/>
        <v>0</v>
      </c>
      <c r="BQ184" s="5">
        <f t="shared" si="23"/>
        <v>0</v>
      </c>
      <c r="BR184" s="5">
        <f t="shared" si="24"/>
        <v>0</v>
      </c>
      <c r="BS184" s="5">
        <f t="shared" si="25"/>
        <v>0</v>
      </c>
      <c r="BT184" s="5">
        <f t="shared" si="26"/>
        <v>0</v>
      </c>
      <c r="BU184" s="5">
        <f t="shared" si="27"/>
        <v>0</v>
      </c>
      <c r="BV184" s="5">
        <f t="shared" ref="BV184:BW184" si="724">IF(OR(ISNUMBER(SEARCH("grit",$D184)),ISNUMBER(SEARCH("grit",$T184)),ISNUMBER(SEARCH("grit",$R184)),ISNUMBER(SEARCH("grit",$S184)),
ISNUMBER(SEARCH("determination",$D184)),ISNUMBER(SEARCH("determination",$T184)),ISNUMBER(SEARCH("determination",$R184)),ISNUMBER(SEARCH("determination",$S184)),
ISNUMBER(SEARCH("tenacity",$D184)),ISNUMBER(SEARCH("tenacity",$T184)),ISNUMBER(SEARCH("tenacity",$R184)),ISNUMBER(SEARCH("tenacity",$S184)),
ISNUMBER(SEARCH("endurance",$D184)),ISNUMBER(SEARCH("endurance",$T184)),ISNUMBER(SEARCH("endurance",$R184)),ISNUMBER(SEARCH("endurance",$S184)),
ISNUMBER(SEARCH("fortitude",$D184)),ISNUMBER(SEARCH("fortitude",$T184)),ISNUMBER(SEARCH("fortitude",$R184)),ISNUMBER(SEARCH("fortitude",$S184)),
ISNUMBER(SEARCH("resolve",$D184)),ISNUMBER(SEARCH("resolve",$T184)),ISNUMBER(SEARCH("resolve",$R184)),ISNUMBER(SEARCH("resolve",$S184)),
ISNUMBER(SEARCH("stamina",$D184)),ISNUMBER(SEARCH("stamina",$T184)),ISNUMBER(SEARCH("stamina",$R184)),ISNUMBER(SEARCH("stamina",$S184)),
ISNUMBER(SEARCH("guts",$D184)),ISNUMBER(SEARCH("guts",$T184)),ISNUMBER(SEARCH("guts",$R184)),ISNUMBER(SEARCH("guts",$S184)),
ISNUMBER(SEARCH("spunk",$D184)),ISNUMBER(SEARCH("spunk",$T184)),ISNUMBER(SEARCH("spunk",$R184)),ISNUMBER(SEARCH("spunk",$S184))), 1, 0)</f>
        <v>0</v>
      </c>
      <c r="BW184" s="5">
        <f t="shared" si="724"/>
        <v>0</v>
      </c>
      <c r="BX184" s="5">
        <f t="shared" si="29"/>
        <v>0</v>
      </c>
      <c r="BY184" s="5">
        <f t="shared" si="30"/>
        <v>0</v>
      </c>
      <c r="BZ184" s="5">
        <f t="shared" si="31"/>
        <v>0</v>
      </c>
      <c r="CA184" s="5">
        <f t="shared" si="32"/>
        <v>0</v>
      </c>
      <c r="CB184" s="5">
        <f t="shared" si="33"/>
        <v>0</v>
      </c>
      <c r="CC184" s="5">
        <f t="shared" si="34"/>
        <v>0</v>
      </c>
      <c r="CD184" s="5">
        <f t="shared" si="35"/>
        <v>0</v>
      </c>
      <c r="CE184" s="5">
        <f t="shared" si="36"/>
        <v>0</v>
      </c>
      <c r="CF184" s="5">
        <f t="shared" si="37"/>
        <v>0</v>
      </c>
      <c r="CG184" s="5">
        <f t="shared" si="38"/>
        <v>0</v>
      </c>
      <c r="CH184" s="5">
        <f t="shared" si="39"/>
        <v>0</v>
      </c>
      <c r="CI184" s="5">
        <f t="shared" si="40"/>
        <v>0</v>
      </c>
      <c r="CJ184" s="5">
        <f t="shared" si="41"/>
        <v>0</v>
      </c>
      <c r="CK184" s="5">
        <f t="shared" si="42"/>
        <v>0</v>
      </c>
      <c r="CL184" s="5">
        <f t="shared" si="43"/>
        <v>0</v>
      </c>
      <c r="CM184" s="5">
        <f t="shared" si="44"/>
        <v>0</v>
      </c>
      <c r="CN184" s="5">
        <f t="shared" si="45"/>
        <v>0</v>
      </c>
      <c r="CO184" s="5">
        <f t="shared" si="46"/>
        <v>0</v>
      </c>
      <c r="CP184" s="6">
        <f t="shared" si="47"/>
        <v>0</v>
      </c>
      <c r="CQ184" s="6">
        <f t="shared" si="48"/>
        <v>0</v>
      </c>
      <c r="CR184" s="6">
        <f t="shared" si="49"/>
        <v>0</v>
      </c>
      <c r="CS184" s="6">
        <f t="shared" si="50"/>
        <v>0</v>
      </c>
      <c r="CT184" s="6">
        <f t="shared" si="584"/>
        <v>0</v>
      </c>
      <c r="CU184" s="6">
        <f t="shared" si="52"/>
        <v>0</v>
      </c>
      <c r="CV184" s="6">
        <f t="shared" si="53"/>
        <v>0</v>
      </c>
      <c r="CW184" s="6">
        <f t="shared" si="54"/>
        <v>0</v>
      </c>
      <c r="CX184" s="6">
        <f t="shared" si="55"/>
        <v>0</v>
      </c>
      <c r="CY184" s="6">
        <f t="shared" si="56"/>
        <v>0</v>
      </c>
      <c r="CZ184" s="6">
        <f t="shared" si="57"/>
        <v>0</v>
      </c>
      <c r="DA184" s="6">
        <f t="shared" si="58"/>
        <v>0</v>
      </c>
      <c r="DB184" s="6">
        <f t="shared" si="59"/>
        <v>0</v>
      </c>
      <c r="DC184" s="6">
        <f t="shared" si="60"/>
        <v>0</v>
      </c>
      <c r="DD184" s="6">
        <f t="shared" si="61"/>
        <v>0</v>
      </c>
      <c r="DE184" s="6">
        <f t="shared" si="62"/>
        <v>0</v>
      </c>
      <c r="DF184" s="6">
        <f t="shared" si="63"/>
        <v>0</v>
      </c>
      <c r="DG184" s="6">
        <f t="shared" si="64"/>
        <v>0</v>
      </c>
      <c r="DH184" s="6">
        <f t="shared" si="697"/>
        <v>0</v>
      </c>
      <c r="DI184" s="6">
        <f t="shared" si="66"/>
        <v>0</v>
      </c>
      <c r="DJ184" s="6">
        <f t="shared" si="653"/>
        <v>0</v>
      </c>
      <c r="DK184" s="7">
        <f t="shared" si="68"/>
        <v>0</v>
      </c>
      <c r="DL184" s="7">
        <f t="shared" si="498"/>
        <v>0</v>
      </c>
      <c r="DM184" s="7">
        <f t="shared" si="70"/>
        <v>0</v>
      </c>
      <c r="DN184" s="7">
        <f t="shared" si="71"/>
        <v>0</v>
      </c>
      <c r="DO184" s="7">
        <f t="shared" si="72"/>
        <v>0</v>
      </c>
      <c r="DP184" s="8">
        <f t="shared" si="73"/>
        <v>0</v>
      </c>
      <c r="DQ184" s="8">
        <f t="shared" si="74"/>
        <v>1</v>
      </c>
      <c r="DR184" s="7">
        <f t="shared" si="75"/>
        <v>0</v>
      </c>
      <c r="DS184" s="7">
        <f t="shared" si="76"/>
        <v>1</v>
      </c>
      <c r="DT184" s="7">
        <f t="shared" si="77"/>
        <v>0</v>
      </c>
      <c r="DU184" s="9">
        <f t="shared" si="78"/>
        <v>0</v>
      </c>
      <c r="DV184" s="9">
        <f t="shared" si="79"/>
        <v>0</v>
      </c>
      <c r="DW184" s="9">
        <f t="shared" si="80"/>
        <v>0</v>
      </c>
      <c r="DX184" s="9">
        <f t="shared" si="81"/>
        <v>0</v>
      </c>
      <c r="DY184" s="9">
        <f t="shared" si="82"/>
        <v>0</v>
      </c>
      <c r="DZ184" s="9">
        <f t="shared" si="83"/>
        <v>0</v>
      </c>
      <c r="EA184" s="9">
        <f t="shared" si="84"/>
        <v>0</v>
      </c>
      <c r="EB184" s="9">
        <f t="shared" si="85"/>
        <v>0</v>
      </c>
      <c r="EC184" s="9">
        <f t="shared" si="86"/>
        <v>0</v>
      </c>
      <c r="ED184" s="9">
        <f t="shared" si="87"/>
        <v>0</v>
      </c>
      <c r="EE184" s="9">
        <f t="shared" si="88"/>
        <v>0</v>
      </c>
      <c r="EF184" s="9">
        <f t="shared" si="89"/>
        <v>0</v>
      </c>
      <c r="EG184" s="9">
        <f t="shared" si="90"/>
        <v>0</v>
      </c>
      <c r="EH184" s="9">
        <f t="shared" si="91"/>
        <v>0</v>
      </c>
      <c r="EI184" s="9">
        <f t="shared" si="92"/>
        <v>0</v>
      </c>
      <c r="EJ184" s="10">
        <f t="shared" si="93"/>
        <v>0</v>
      </c>
      <c r="EK184" s="10">
        <f t="shared" si="94"/>
        <v>0</v>
      </c>
      <c r="EL184" s="10">
        <f t="shared" ref="EL184:EM184" si="725">IF(OR(ISNUMBER(SEARCH("ai software toolkit", $D184)), ISNUMBER(SEARCH("ai software toolkit", $T184)), ISNUMBER(SEARCH("ai software toolkit", $R184)), ISNUMBER(SEARCH("ai software toolkit", $S184))), 1, 0)</f>
        <v>0</v>
      </c>
      <c r="EM184" s="10">
        <f t="shared" si="725"/>
        <v>0</v>
      </c>
      <c r="EN184" s="10">
        <f t="shared" si="96"/>
        <v>0</v>
      </c>
      <c r="EO184" s="10">
        <f t="shared" si="97"/>
        <v>0</v>
      </c>
      <c r="EP184" s="10">
        <f t="shared" si="98"/>
        <v>0</v>
      </c>
      <c r="EQ184" s="10">
        <f t="shared" si="99"/>
        <v>0</v>
      </c>
      <c r="ER184" s="10">
        <f t="shared" si="100"/>
        <v>0</v>
      </c>
      <c r="ES184" s="10">
        <f t="shared" si="101"/>
        <v>0</v>
      </c>
      <c r="ET184" s="10">
        <f t="shared" si="102"/>
        <v>0</v>
      </c>
      <c r="EU184" s="10">
        <f t="shared" si="103"/>
        <v>0</v>
      </c>
      <c r="EV184" s="10">
        <f t="shared" si="104"/>
        <v>0</v>
      </c>
      <c r="EW184" s="10">
        <f t="shared" si="105"/>
        <v>0</v>
      </c>
      <c r="EX184" s="10">
        <f t="shared" si="106"/>
        <v>0</v>
      </c>
      <c r="EY184" s="10">
        <f t="shared" si="107"/>
        <v>0</v>
      </c>
      <c r="EZ184" s="10">
        <f t="shared" si="108"/>
        <v>0</v>
      </c>
      <c r="FA184" s="10">
        <f t="shared" si="109"/>
        <v>0</v>
      </c>
      <c r="FB184" s="10">
        <f t="shared" si="110"/>
        <v>0</v>
      </c>
      <c r="FC184" s="10">
        <f t="shared" si="111"/>
        <v>0</v>
      </c>
      <c r="FD184" s="10">
        <f t="shared" si="112"/>
        <v>0</v>
      </c>
      <c r="FE184" s="10">
        <f t="shared" si="113"/>
        <v>0</v>
      </c>
      <c r="FF184" s="10">
        <f t="shared" si="114"/>
        <v>0</v>
      </c>
      <c r="FG184" s="10">
        <f t="shared" si="115"/>
        <v>0</v>
      </c>
      <c r="FH184" s="10">
        <f t="shared" si="116"/>
        <v>0</v>
      </c>
      <c r="FI184" s="10">
        <f t="shared" si="117"/>
        <v>0</v>
      </c>
      <c r="FJ184" s="10">
        <f t="shared" si="118"/>
        <v>0</v>
      </c>
      <c r="FK184" s="10">
        <f t="shared" si="119"/>
        <v>0</v>
      </c>
      <c r="FL184" s="10">
        <f t="shared" si="120"/>
        <v>0</v>
      </c>
      <c r="FM184" s="10">
        <f t="shared" si="121"/>
        <v>0</v>
      </c>
      <c r="FN184" s="10">
        <f t="shared" si="122"/>
        <v>0</v>
      </c>
      <c r="FO184" s="10">
        <f t="shared" si="123"/>
        <v>0</v>
      </c>
      <c r="FP184" s="10">
        <f t="shared" si="124"/>
        <v>0</v>
      </c>
      <c r="FQ184" s="10">
        <f t="shared" si="125"/>
        <v>0</v>
      </c>
      <c r="FR184" s="11">
        <f t="shared" si="709"/>
        <v>0</v>
      </c>
      <c r="FS184" s="11">
        <f t="shared" si="127"/>
        <v>0</v>
      </c>
      <c r="FT184" s="11">
        <f t="shared" si="128"/>
        <v>0</v>
      </c>
      <c r="FU184" s="11">
        <f t="shared" si="129"/>
        <v>0</v>
      </c>
      <c r="FV184" s="11">
        <f t="shared" si="130"/>
        <v>0</v>
      </c>
      <c r="FW184" s="11">
        <f t="shared" si="131"/>
        <v>0</v>
      </c>
      <c r="FX184" s="11">
        <f t="shared" si="132"/>
        <v>0</v>
      </c>
      <c r="FY184" s="11">
        <f t="shared" si="133"/>
        <v>0</v>
      </c>
      <c r="FZ184" s="11">
        <f t="shared" si="134"/>
        <v>0</v>
      </c>
      <c r="GA184" s="11">
        <f t="shared" si="135"/>
        <v>0</v>
      </c>
      <c r="GB184" s="11">
        <f t="shared" si="136"/>
        <v>0</v>
      </c>
      <c r="GC184" s="11">
        <f t="shared" si="137"/>
        <v>0</v>
      </c>
      <c r="GD184" s="11">
        <f t="shared" si="138"/>
        <v>0</v>
      </c>
      <c r="GE184" s="11">
        <f t="shared" si="139"/>
        <v>0</v>
      </c>
      <c r="GF184" s="11">
        <f t="shared" si="140"/>
        <v>0</v>
      </c>
      <c r="GG184" s="11">
        <f t="shared" si="141"/>
        <v>0</v>
      </c>
      <c r="GH184" s="11">
        <f t="shared" si="142"/>
        <v>0</v>
      </c>
      <c r="GI184" s="11">
        <f t="shared" si="143"/>
        <v>0</v>
      </c>
      <c r="GJ184" s="11">
        <f t="shared" si="144"/>
        <v>0</v>
      </c>
      <c r="GK184" s="11">
        <f t="shared" si="145"/>
        <v>0</v>
      </c>
      <c r="GL184" s="11">
        <f t="shared" si="146"/>
        <v>0</v>
      </c>
      <c r="GM184" s="11">
        <f t="shared" si="147"/>
        <v>0</v>
      </c>
      <c r="GN184" s="11">
        <f t="shared" si="148"/>
        <v>0</v>
      </c>
      <c r="GO184" s="11">
        <f t="shared" si="149"/>
        <v>0</v>
      </c>
      <c r="GP184" s="11">
        <f t="shared" si="150"/>
        <v>0</v>
      </c>
      <c r="GQ184" s="11">
        <f t="shared" si="151"/>
        <v>0</v>
      </c>
      <c r="GR184" s="11">
        <f t="shared" si="152"/>
        <v>0</v>
      </c>
      <c r="GS184" s="11">
        <f t="shared" si="153"/>
        <v>0</v>
      </c>
      <c r="GT184" s="11">
        <f t="shared" si="154"/>
        <v>0</v>
      </c>
      <c r="GU184" s="12">
        <f t="shared" si="155"/>
        <v>0</v>
      </c>
      <c r="GV184" s="12">
        <f t="shared" si="156"/>
        <v>0</v>
      </c>
      <c r="GW184" s="12">
        <f t="shared" si="157"/>
        <v>0</v>
      </c>
      <c r="GX184" s="12">
        <f t="shared" si="158"/>
        <v>0</v>
      </c>
      <c r="GY184" s="12">
        <f t="shared" si="159"/>
        <v>0</v>
      </c>
      <c r="GZ184" s="12">
        <f t="shared" si="160"/>
        <v>0</v>
      </c>
      <c r="HA184" s="12">
        <f t="shared" si="161"/>
        <v>0</v>
      </c>
      <c r="HB184" s="12">
        <f t="shared" si="162"/>
        <v>0</v>
      </c>
      <c r="HC184" s="12">
        <f t="shared" si="163"/>
        <v>0</v>
      </c>
      <c r="HD184" s="12">
        <f t="shared" si="164"/>
        <v>0</v>
      </c>
      <c r="HE184" s="12">
        <f t="shared" si="165"/>
        <v>0</v>
      </c>
      <c r="HF184" s="12">
        <f t="shared" si="166"/>
        <v>0</v>
      </c>
      <c r="HG184" s="12">
        <f t="shared" si="167"/>
        <v>0</v>
      </c>
      <c r="HH184" s="12">
        <f t="shared" si="168"/>
        <v>0</v>
      </c>
      <c r="HI184" s="12">
        <f t="shared" si="169"/>
        <v>0</v>
      </c>
      <c r="HJ184" s="12">
        <f t="shared" si="170"/>
        <v>0</v>
      </c>
      <c r="HK184" s="12">
        <f t="shared" si="171"/>
        <v>0</v>
      </c>
      <c r="HL184" s="12">
        <f t="shared" si="172"/>
        <v>0</v>
      </c>
      <c r="HM184" s="12">
        <f t="shared" si="173"/>
        <v>0</v>
      </c>
      <c r="HN184" s="12">
        <f t="shared" si="174"/>
        <v>0</v>
      </c>
      <c r="HO184" s="12">
        <f t="shared" si="175"/>
        <v>0</v>
      </c>
      <c r="HP184" s="12">
        <f t="shared" si="176"/>
        <v>0</v>
      </c>
      <c r="HQ184" s="12">
        <f t="shared" si="177"/>
        <v>0</v>
      </c>
      <c r="HR184" s="12">
        <f t="shared" si="178"/>
        <v>0</v>
      </c>
      <c r="HS184" s="12">
        <f t="shared" si="179"/>
        <v>0</v>
      </c>
      <c r="HT184" s="12">
        <f t="shared" si="180"/>
        <v>0</v>
      </c>
      <c r="HU184" s="12">
        <f t="shared" si="181"/>
        <v>0</v>
      </c>
      <c r="HV184" s="12">
        <f t="shared" si="182"/>
        <v>0</v>
      </c>
      <c r="HW184" s="12">
        <f t="shared" si="183"/>
        <v>0</v>
      </c>
      <c r="HX184" s="12">
        <f t="shared" si="184"/>
        <v>0</v>
      </c>
      <c r="HY184" s="12">
        <f t="shared" si="185"/>
        <v>0</v>
      </c>
      <c r="HZ184" s="12">
        <f t="shared" si="186"/>
        <v>0</v>
      </c>
      <c r="IA184" s="12">
        <f t="shared" si="187"/>
        <v>0</v>
      </c>
      <c r="IB184" s="12">
        <f t="shared" si="188"/>
        <v>0</v>
      </c>
      <c r="IC184" s="12">
        <f t="shared" si="189"/>
        <v>0</v>
      </c>
      <c r="ID184" s="12">
        <f t="shared" si="190"/>
        <v>0</v>
      </c>
      <c r="IE184" s="12">
        <f t="shared" si="191"/>
        <v>0</v>
      </c>
      <c r="IF184" s="12">
        <f t="shared" si="192"/>
        <v>0</v>
      </c>
      <c r="IG184" s="12">
        <f t="shared" si="193"/>
        <v>0</v>
      </c>
      <c r="IH184" s="12">
        <f t="shared" si="194"/>
        <v>0</v>
      </c>
      <c r="II184" s="12">
        <f t="shared" si="195"/>
        <v>0</v>
      </c>
      <c r="IJ184" s="12">
        <f t="shared" si="196"/>
        <v>0</v>
      </c>
      <c r="IK184" s="12">
        <f t="shared" si="197"/>
        <v>0</v>
      </c>
      <c r="IL184" s="12">
        <f t="shared" si="198"/>
        <v>0</v>
      </c>
      <c r="IM184" s="12">
        <f t="shared" si="199"/>
        <v>0</v>
      </c>
      <c r="IN184" s="12">
        <f t="shared" si="200"/>
        <v>0</v>
      </c>
      <c r="IO184" s="12">
        <f t="shared" si="201"/>
        <v>0</v>
      </c>
      <c r="IP184" s="12">
        <f t="shared" si="202"/>
        <v>0</v>
      </c>
      <c r="IQ184" s="12">
        <f t="shared" si="203"/>
        <v>0</v>
      </c>
      <c r="IR184" s="12">
        <f t="shared" si="204"/>
        <v>0</v>
      </c>
      <c r="IS184" s="12">
        <f t="shared" si="205"/>
        <v>0</v>
      </c>
      <c r="IT184" s="12">
        <f t="shared" si="206"/>
        <v>0</v>
      </c>
      <c r="IU184" s="12">
        <f t="shared" si="207"/>
        <v>0</v>
      </c>
      <c r="IV184" s="12">
        <f t="shared" si="208"/>
        <v>0</v>
      </c>
      <c r="IW184" s="12">
        <f t="shared" si="209"/>
        <v>0</v>
      </c>
      <c r="IX184" s="12">
        <f t="shared" si="210"/>
        <v>0</v>
      </c>
      <c r="IY184" s="12">
        <f t="shared" si="211"/>
        <v>0</v>
      </c>
      <c r="IZ184" s="12">
        <f t="shared" si="212"/>
        <v>0</v>
      </c>
      <c r="JA184" s="13">
        <f t="shared" si="213"/>
        <v>0</v>
      </c>
      <c r="JB184" s="13">
        <f t="shared" si="214"/>
        <v>0</v>
      </c>
      <c r="JC184" s="13">
        <f t="shared" si="215"/>
        <v>0</v>
      </c>
      <c r="JD184" s="13">
        <f t="shared" si="216"/>
        <v>0</v>
      </c>
      <c r="JE184" s="13">
        <f t="shared" si="217"/>
        <v>0</v>
      </c>
      <c r="JF184" s="13">
        <f t="shared" si="218"/>
        <v>0</v>
      </c>
      <c r="JG184" s="13">
        <f t="shared" si="219"/>
        <v>0</v>
      </c>
      <c r="JH184" s="13">
        <f t="shared" si="220"/>
        <v>0</v>
      </c>
      <c r="JI184" s="13">
        <f t="shared" si="221"/>
        <v>0</v>
      </c>
      <c r="JJ184" s="13">
        <f t="shared" si="222"/>
        <v>0</v>
      </c>
      <c r="JK184" s="13">
        <f t="shared" si="223"/>
        <v>0</v>
      </c>
      <c r="JL184" s="13">
        <f t="shared" si="224"/>
        <v>0</v>
      </c>
      <c r="JM184" s="13">
        <f t="shared" si="225"/>
        <v>1</v>
      </c>
      <c r="JN184" s="13">
        <f t="shared" si="226"/>
        <v>0</v>
      </c>
      <c r="JO184" s="13">
        <f t="shared" si="227"/>
        <v>0</v>
      </c>
      <c r="JP184" s="13">
        <f t="shared" si="228"/>
        <v>0</v>
      </c>
      <c r="JQ184" s="13">
        <f t="shared" si="229"/>
        <v>0</v>
      </c>
      <c r="JR184" s="13">
        <f t="shared" si="230"/>
        <v>0</v>
      </c>
      <c r="JS184" s="13">
        <f t="shared" si="231"/>
        <v>0</v>
      </c>
      <c r="JT184" s="13">
        <f t="shared" si="232"/>
        <v>0</v>
      </c>
      <c r="JU184" s="13">
        <f t="shared" si="233"/>
        <v>0</v>
      </c>
      <c r="JV184" s="12">
        <f t="shared" si="234"/>
        <v>0</v>
      </c>
      <c r="JW184" s="12">
        <f t="shared" si="235"/>
        <v>0</v>
      </c>
      <c r="JX184" s="12">
        <f t="shared" si="236"/>
        <v>0</v>
      </c>
      <c r="JY184" s="12">
        <f t="shared" si="237"/>
        <v>0</v>
      </c>
      <c r="JZ184" s="12">
        <f t="shared" si="238"/>
        <v>0</v>
      </c>
      <c r="KA184" s="12">
        <f t="shared" si="239"/>
        <v>0</v>
      </c>
      <c r="KB184" s="12">
        <f t="shared" si="240"/>
        <v>0</v>
      </c>
      <c r="KC184" s="12">
        <f t="shared" si="241"/>
        <v>0</v>
      </c>
      <c r="KD184" s="12">
        <f t="shared" si="242"/>
        <v>0</v>
      </c>
      <c r="KE184" s="12">
        <f t="shared" si="243"/>
        <v>0</v>
      </c>
      <c r="KF184" s="12">
        <f t="shared" si="244"/>
        <v>0</v>
      </c>
      <c r="KG184" s="12">
        <f t="shared" si="245"/>
        <v>0</v>
      </c>
      <c r="KH184" s="12">
        <f t="shared" si="246"/>
        <v>0</v>
      </c>
      <c r="KI184" s="12">
        <f t="shared" si="247"/>
        <v>0</v>
      </c>
      <c r="KJ184" s="12">
        <f t="shared" si="248"/>
        <v>0</v>
      </c>
      <c r="KK184" s="12">
        <f t="shared" si="249"/>
        <v>0</v>
      </c>
      <c r="KL184" s="12">
        <f t="shared" si="250"/>
        <v>0</v>
      </c>
      <c r="KM184" s="12">
        <f t="shared" si="251"/>
        <v>0</v>
      </c>
      <c r="KN184" s="12">
        <f t="shared" si="252"/>
        <v>0</v>
      </c>
      <c r="KO184" s="12">
        <f t="shared" si="253"/>
        <v>0</v>
      </c>
      <c r="KP184" s="12">
        <f t="shared" si="254"/>
        <v>0</v>
      </c>
      <c r="KQ184" s="12">
        <f t="shared" si="255"/>
        <v>0</v>
      </c>
      <c r="KR184" s="12">
        <f t="shared" si="256"/>
        <v>0</v>
      </c>
      <c r="KS184" s="12">
        <f t="shared" si="257"/>
        <v>0</v>
      </c>
      <c r="KT184" s="12">
        <f t="shared" si="258"/>
        <v>0</v>
      </c>
      <c r="KU184" s="12">
        <f t="shared" si="259"/>
        <v>0</v>
      </c>
      <c r="KV184" s="12">
        <f t="shared" si="260"/>
        <v>0</v>
      </c>
      <c r="KW184" s="12">
        <f t="shared" si="261"/>
        <v>0</v>
      </c>
      <c r="KX184" s="12">
        <f t="shared" si="262"/>
        <v>0</v>
      </c>
      <c r="KY184" s="12">
        <f t="shared" si="263"/>
        <v>0</v>
      </c>
      <c r="KZ184" s="12">
        <f t="shared" si="264"/>
        <v>0</v>
      </c>
      <c r="LA184" s="12">
        <f t="shared" si="265"/>
        <v>0</v>
      </c>
      <c r="LB184" s="12">
        <f t="shared" si="266"/>
        <v>0</v>
      </c>
      <c r="LC184" s="12">
        <f t="shared" si="267"/>
        <v>0</v>
      </c>
      <c r="LD184" s="12">
        <f t="shared" si="268"/>
        <v>0</v>
      </c>
      <c r="LE184" s="12">
        <f t="shared" si="269"/>
        <v>0</v>
      </c>
      <c r="LF184" s="12">
        <f t="shared" si="270"/>
        <v>0</v>
      </c>
      <c r="LG184" s="12">
        <f t="shared" si="271"/>
        <v>0</v>
      </c>
      <c r="LH184" s="12">
        <f t="shared" si="272"/>
        <v>0</v>
      </c>
      <c r="LI184" s="12">
        <f t="shared" si="273"/>
        <v>0</v>
      </c>
      <c r="LJ184" s="12">
        <f t="shared" si="274"/>
        <v>0</v>
      </c>
      <c r="LK184" s="12">
        <f t="shared" si="275"/>
        <v>0</v>
      </c>
      <c r="LL184" s="12">
        <f t="shared" si="276"/>
        <v>0</v>
      </c>
      <c r="LM184" s="12">
        <f t="shared" si="277"/>
        <v>0</v>
      </c>
      <c r="LN184" s="12">
        <f t="shared" si="278"/>
        <v>0</v>
      </c>
      <c r="LO184" s="12">
        <f t="shared" si="279"/>
        <v>0</v>
      </c>
      <c r="LP184" s="12">
        <f t="shared" si="280"/>
        <v>0</v>
      </c>
      <c r="LQ184" s="12">
        <f t="shared" si="281"/>
        <v>0</v>
      </c>
      <c r="LR184" s="12">
        <f t="shared" si="282"/>
        <v>0</v>
      </c>
      <c r="LS184" s="12">
        <f t="shared" si="283"/>
        <v>0</v>
      </c>
      <c r="LT184" s="13">
        <f t="shared" si="284"/>
        <v>0</v>
      </c>
      <c r="LU184" s="13">
        <f t="shared" si="285"/>
        <v>0</v>
      </c>
      <c r="LV184" s="13">
        <f t="shared" si="286"/>
        <v>0</v>
      </c>
      <c r="LW184" s="13">
        <f t="shared" si="287"/>
        <v>0</v>
      </c>
      <c r="LX184" s="13">
        <f t="shared" si="288"/>
        <v>0</v>
      </c>
      <c r="LY184" s="13">
        <f t="shared" si="289"/>
        <v>0</v>
      </c>
      <c r="LZ184" s="13">
        <f t="shared" si="290"/>
        <v>0</v>
      </c>
      <c r="MA184" s="13">
        <f t="shared" si="291"/>
        <v>0</v>
      </c>
      <c r="MB184" s="13">
        <f t="shared" si="292"/>
        <v>0</v>
      </c>
      <c r="MC184" s="13">
        <f t="shared" si="293"/>
        <v>0</v>
      </c>
      <c r="MD184" s="13">
        <f t="shared" si="294"/>
        <v>0</v>
      </c>
      <c r="ME184" s="13">
        <f t="shared" si="295"/>
        <v>0</v>
      </c>
      <c r="MF184" s="13">
        <f t="shared" si="296"/>
        <v>0</v>
      </c>
      <c r="MG184" s="13">
        <f t="shared" si="297"/>
        <v>0</v>
      </c>
      <c r="MH184" s="13">
        <f t="shared" si="298"/>
        <v>0</v>
      </c>
      <c r="MI184" s="13">
        <f t="shared" si="299"/>
        <v>0</v>
      </c>
      <c r="MJ184" s="13">
        <f t="shared" si="300"/>
        <v>0</v>
      </c>
      <c r="MK184" s="13">
        <f t="shared" si="301"/>
        <v>0</v>
      </c>
      <c r="ML184" s="14">
        <f t="shared" si="302"/>
        <v>0</v>
      </c>
      <c r="MM184" s="14">
        <f t="shared" si="303"/>
        <v>0</v>
      </c>
      <c r="MN184" s="14">
        <f t="shared" si="304"/>
        <v>0</v>
      </c>
      <c r="MO184" s="14">
        <f t="shared" si="305"/>
        <v>0</v>
      </c>
      <c r="MP184" s="14">
        <f t="shared" si="306"/>
        <v>0</v>
      </c>
      <c r="MQ184" s="14">
        <f t="shared" si="307"/>
        <v>0</v>
      </c>
      <c r="MR184" s="14">
        <f t="shared" si="308"/>
        <v>0</v>
      </c>
      <c r="MS184" s="14">
        <f t="shared" si="309"/>
        <v>0</v>
      </c>
      <c r="MT184" s="14">
        <f t="shared" si="310"/>
        <v>0</v>
      </c>
      <c r="MU184" s="14">
        <f t="shared" si="311"/>
        <v>0</v>
      </c>
      <c r="MV184" s="14">
        <f t="shared" si="312"/>
        <v>0</v>
      </c>
      <c r="MW184" s="14">
        <f t="shared" si="313"/>
        <v>0</v>
      </c>
      <c r="MX184" s="14">
        <f t="shared" si="314"/>
        <v>0</v>
      </c>
      <c r="MY184" s="14">
        <f t="shared" si="315"/>
        <v>0</v>
      </c>
      <c r="MZ184" s="14">
        <f t="shared" si="316"/>
        <v>0</v>
      </c>
      <c r="NA184" s="14">
        <f t="shared" si="317"/>
        <v>0</v>
      </c>
      <c r="NB184" s="14">
        <f t="shared" si="318"/>
        <v>0</v>
      </c>
    </row>
    <row r="185" ht="15.75" customHeight="1">
      <c r="A185" s="2">
        <v>642.0</v>
      </c>
      <c r="B185" s="2" t="s">
        <v>3449</v>
      </c>
      <c r="C185" s="2" t="s">
        <v>3450</v>
      </c>
      <c r="D185" s="2" t="s">
        <v>3451</v>
      </c>
      <c r="E185" s="2">
        <v>2022.0</v>
      </c>
      <c r="F185" s="2" t="s">
        <v>3452</v>
      </c>
      <c r="G185" s="2">
        <v>10.0</v>
      </c>
      <c r="I185" s="2" t="s">
        <v>3453</v>
      </c>
      <c r="M185" s="2">
        <v>2.0</v>
      </c>
      <c r="N185" s="2" t="s">
        <v>3454</v>
      </c>
      <c r="O185" s="2" t="s">
        <v>3455</v>
      </c>
      <c r="P185" s="2" t="s">
        <v>3456</v>
      </c>
      <c r="Q185" s="2" t="s">
        <v>3457</v>
      </c>
      <c r="R185" s="2" t="s">
        <v>3458</v>
      </c>
      <c r="S185" s="2" t="s">
        <v>3459</v>
      </c>
      <c r="T185" s="2" t="s">
        <v>3460</v>
      </c>
      <c r="Y185" s="2" t="s">
        <v>3461</v>
      </c>
      <c r="AB185" s="2" t="s">
        <v>1039</v>
      </c>
      <c r="AG185" s="2" t="s">
        <v>3462</v>
      </c>
      <c r="AJ185" s="2">
        <v>3.5719609E7</v>
      </c>
      <c r="AK185" s="2" t="s">
        <v>3463</v>
      </c>
      <c r="AL185" s="2" t="s">
        <v>384</v>
      </c>
      <c r="AM185" s="2" t="s">
        <v>484</v>
      </c>
      <c r="AN185" s="2" t="s">
        <v>386</v>
      </c>
      <c r="AO185" s="2" t="s">
        <v>3464</v>
      </c>
      <c r="AP185" s="2" t="s">
        <v>386</v>
      </c>
      <c r="AQ185" s="2">
        <v>2538.0</v>
      </c>
      <c r="AR185" s="2" t="s">
        <v>3465</v>
      </c>
      <c r="AS185" s="2" t="b">
        <v>1</v>
      </c>
      <c r="AT185" s="3">
        <v>0.0</v>
      </c>
      <c r="AU185" s="4"/>
      <c r="AV185" s="4"/>
      <c r="AW185" s="5">
        <f t="shared" si="432"/>
        <v>0</v>
      </c>
      <c r="AX185" s="5">
        <f t="shared" si="4"/>
        <v>0</v>
      </c>
      <c r="AY185" s="5">
        <f t="shared" si="5"/>
        <v>0</v>
      </c>
      <c r="AZ185" s="5">
        <f t="shared" si="6"/>
        <v>0</v>
      </c>
      <c r="BA185" s="5">
        <f t="shared" si="7"/>
        <v>0</v>
      </c>
      <c r="BB185" s="5">
        <f t="shared" si="8"/>
        <v>0</v>
      </c>
      <c r="BC185" s="5">
        <f t="shared" si="9"/>
        <v>0</v>
      </c>
      <c r="BD185" s="5">
        <f t="shared" si="10"/>
        <v>0</v>
      </c>
      <c r="BE185" s="5">
        <f t="shared" si="11"/>
        <v>0</v>
      </c>
      <c r="BF185" s="5">
        <f t="shared" si="12"/>
        <v>0</v>
      </c>
      <c r="BG185" s="5">
        <f t="shared" si="13"/>
        <v>0</v>
      </c>
      <c r="BH185" s="5">
        <f t="shared" si="14"/>
        <v>0</v>
      </c>
      <c r="BI185" s="5">
        <f t="shared" si="15"/>
        <v>0</v>
      </c>
      <c r="BJ185" s="5">
        <f t="shared" si="16"/>
        <v>0</v>
      </c>
      <c r="BK185" s="5">
        <f t="shared" si="17"/>
        <v>0</v>
      </c>
      <c r="BL185" s="5">
        <f t="shared" si="18"/>
        <v>0</v>
      </c>
      <c r="BM185" s="5">
        <f t="shared" si="19"/>
        <v>0</v>
      </c>
      <c r="BN185" s="5">
        <f t="shared" si="20"/>
        <v>0</v>
      </c>
      <c r="BO185" s="5">
        <f t="shared" si="21"/>
        <v>0</v>
      </c>
      <c r="BP185" s="5">
        <f t="shared" si="22"/>
        <v>0</v>
      </c>
      <c r="BQ185" s="5">
        <f t="shared" si="23"/>
        <v>0</v>
      </c>
      <c r="BR185" s="5">
        <f t="shared" si="24"/>
        <v>0</v>
      </c>
      <c r="BS185" s="5">
        <f t="shared" si="25"/>
        <v>0</v>
      </c>
      <c r="BT185" s="5">
        <f t="shared" si="26"/>
        <v>0</v>
      </c>
      <c r="BU185" s="5">
        <f t="shared" si="27"/>
        <v>0</v>
      </c>
      <c r="BV185" s="5">
        <f t="shared" ref="BV185:BW185" si="726">IF(OR(ISNUMBER(SEARCH("grit",$D185)),ISNUMBER(SEARCH("grit",$T185)),ISNUMBER(SEARCH("grit",$R185)),ISNUMBER(SEARCH("grit",$S185)),
ISNUMBER(SEARCH("determination",$D185)),ISNUMBER(SEARCH("determination",$T185)),ISNUMBER(SEARCH("determination",$R185)),ISNUMBER(SEARCH("determination",$S185)),
ISNUMBER(SEARCH("tenacity",$D185)),ISNUMBER(SEARCH("tenacity",$T185)),ISNUMBER(SEARCH("tenacity",$R185)),ISNUMBER(SEARCH("tenacity",$S185)),
ISNUMBER(SEARCH("endurance",$D185)),ISNUMBER(SEARCH("endurance",$T185)),ISNUMBER(SEARCH("endurance",$R185)),ISNUMBER(SEARCH("endurance",$S185)),
ISNUMBER(SEARCH("fortitude",$D185)),ISNUMBER(SEARCH("fortitude",$T185)),ISNUMBER(SEARCH("fortitude",$R185)),ISNUMBER(SEARCH("fortitude",$S185)),
ISNUMBER(SEARCH("resolve",$D185)),ISNUMBER(SEARCH("resolve",$T185)),ISNUMBER(SEARCH("resolve",$R185)),ISNUMBER(SEARCH("resolve",$S185)),
ISNUMBER(SEARCH("stamina",$D185)),ISNUMBER(SEARCH("stamina",$T185)),ISNUMBER(SEARCH("stamina",$R185)),ISNUMBER(SEARCH("stamina",$S185)),
ISNUMBER(SEARCH("guts",$D185)),ISNUMBER(SEARCH("guts",$T185)),ISNUMBER(SEARCH("guts",$R185)),ISNUMBER(SEARCH("guts",$S185)),
ISNUMBER(SEARCH("spunk",$D185)),ISNUMBER(SEARCH("spunk",$T185)),ISNUMBER(SEARCH("spunk",$R185)),ISNUMBER(SEARCH("spunk",$S185))), 1, 0)</f>
        <v>0</v>
      </c>
      <c r="BW185" s="5">
        <f t="shared" si="726"/>
        <v>0</v>
      </c>
      <c r="BX185" s="5">
        <f t="shared" si="29"/>
        <v>0</v>
      </c>
      <c r="BY185" s="5">
        <f t="shared" si="30"/>
        <v>0</v>
      </c>
      <c r="BZ185" s="5">
        <f t="shared" si="31"/>
        <v>0</v>
      </c>
      <c r="CA185" s="5">
        <f t="shared" si="32"/>
        <v>0</v>
      </c>
      <c r="CB185" s="5">
        <f t="shared" si="33"/>
        <v>0</v>
      </c>
      <c r="CC185" s="5">
        <f t="shared" si="34"/>
        <v>0</v>
      </c>
      <c r="CD185" s="5">
        <f t="shared" si="35"/>
        <v>0</v>
      </c>
      <c r="CE185" s="5">
        <f t="shared" si="36"/>
        <v>0</v>
      </c>
      <c r="CF185" s="5">
        <f t="shared" si="37"/>
        <v>0</v>
      </c>
      <c r="CG185" s="5">
        <f t="shared" si="38"/>
        <v>0</v>
      </c>
      <c r="CH185" s="5">
        <f t="shared" si="39"/>
        <v>0</v>
      </c>
      <c r="CI185" s="5">
        <f t="shared" si="40"/>
        <v>0</v>
      </c>
      <c r="CJ185" s="5">
        <f t="shared" si="41"/>
        <v>0</v>
      </c>
      <c r="CK185" s="5">
        <f t="shared" si="42"/>
        <v>0</v>
      </c>
      <c r="CL185" s="5">
        <f t="shared" si="43"/>
        <v>0</v>
      </c>
      <c r="CM185" s="5">
        <f t="shared" si="44"/>
        <v>0</v>
      </c>
      <c r="CN185" s="5">
        <f t="shared" si="45"/>
        <v>0</v>
      </c>
      <c r="CO185" s="5">
        <f t="shared" si="46"/>
        <v>0</v>
      </c>
      <c r="CP185" s="6">
        <f t="shared" si="47"/>
        <v>1</v>
      </c>
      <c r="CQ185" s="6">
        <f t="shared" si="48"/>
        <v>0</v>
      </c>
      <c r="CR185" s="6">
        <f t="shared" si="49"/>
        <v>0</v>
      </c>
      <c r="CS185" s="6">
        <f t="shared" si="50"/>
        <v>0</v>
      </c>
      <c r="CT185" s="6">
        <f t="shared" si="584"/>
        <v>0</v>
      </c>
      <c r="CU185" s="6">
        <f t="shared" si="52"/>
        <v>0</v>
      </c>
      <c r="CV185" s="6">
        <f t="shared" si="53"/>
        <v>0</v>
      </c>
      <c r="CW185" s="6">
        <f t="shared" si="54"/>
        <v>0</v>
      </c>
      <c r="CX185" s="6">
        <f t="shared" si="55"/>
        <v>0</v>
      </c>
      <c r="CY185" s="6">
        <f t="shared" si="56"/>
        <v>0</v>
      </c>
      <c r="CZ185" s="6">
        <f t="shared" si="57"/>
        <v>1</v>
      </c>
      <c r="DA185" s="6">
        <f t="shared" si="58"/>
        <v>0</v>
      </c>
      <c r="DB185" s="6">
        <f t="shared" si="59"/>
        <v>0</v>
      </c>
      <c r="DC185" s="6">
        <f t="shared" si="60"/>
        <v>0</v>
      </c>
      <c r="DD185" s="6">
        <f t="shared" si="61"/>
        <v>0</v>
      </c>
      <c r="DE185" s="6">
        <f t="shared" si="62"/>
        <v>0</v>
      </c>
      <c r="DF185" s="6">
        <f t="shared" si="63"/>
        <v>0</v>
      </c>
      <c r="DG185" s="6">
        <f t="shared" si="64"/>
        <v>0</v>
      </c>
      <c r="DH185" s="6">
        <f t="shared" si="697"/>
        <v>0</v>
      </c>
      <c r="DI185" s="6">
        <f t="shared" si="66"/>
        <v>0</v>
      </c>
      <c r="DJ185" s="6">
        <f t="shared" si="653"/>
        <v>0</v>
      </c>
      <c r="DK185" s="7">
        <f t="shared" si="68"/>
        <v>0</v>
      </c>
      <c r="DL185" s="7">
        <f t="shared" si="498"/>
        <v>0</v>
      </c>
      <c r="DM185" s="7">
        <f t="shared" si="70"/>
        <v>0</v>
      </c>
      <c r="DN185" s="7">
        <f t="shared" si="71"/>
        <v>0</v>
      </c>
      <c r="DO185" s="7">
        <f t="shared" si="72"/>
        <v>1</v>
      </c>
      <c r="DP185" s="8">
        <f t="shared" si="73"/>
        <v>0</v>
      </c>
      <c r="DQ185" s="8">
        <f t="shared" si="74"/>
        <v>0</v>
      </c>
      <c r="DR185" s="7">
        <f t="shared" si="75"/>
        <v>0</v>
      </c>
      <c r="DS185" s="7">
        <f t="shared" si="76"/>
        <v>0</v>
      </c>
      <c r="DT185" s="7">
        <f t="shared" si="77"/>
        <v>0</v>
      </c>
      <c r="DU185" s="9">
        <f t="shared" si="78"/>
        <v>0</v>
      </c>
      <c r="DV185" s="9">
        <f t="shared" si="79"/>
        <v>0</v>
      </c>
      <c r="DW185" s="9">
        <f t="shared" si="80"/>
        <v>0</v>
      </c>
      <c r="DX185" s="9">
        <f t="shared" si="81"/>
        <v>0</v>
      </c>
      <c r="DY185" s="9">
        <f t="shared" si="82"/>
        <v>0</v>
      </c>
      <c r="DZ185" s="9">
        <f t="shared" si="83"/>
        <v>0</v>
      </c>
      <c r="EA185" s="9">
        <f t="shared" si="84"/>
        <v>0</v>
      </c>
      <c r="EB185" s="9">
        <f t="shared" si="85"/>
        <v>0</v>
      </c>
      <c r="EC185" s="9">
        <f t="shared" si="86"/>
        <v>0</v>
      </c>
      <c r="ED185" s="9">
        <f t="shared" si="87"/>
        <v>0</v>
      </c>
      <c r="EE185" s="9">
        <f t="shared" si="88"/>
        <v>0</v>
      </c>
      <c r="EF185" s="9">
        <f t="shared" si="89"/>
        <v>0</v>
      </c>
      <c r="EG185" s="9">
        <f t="shared" si="90"/>
        <v>0</v>
      </c>
      <c r="EH185" s="9">
        <f t="shared" si="91"/>
        <v>0</v>
      </c>
      <c r="EI185" s="9">
        <f t="shared" si="92"/>
        <v>0</v>
      </c>
      <c r="EJ185" s="10">
        <f t="shared" si="93"/>
        <v>0</v>
      </c>
      <c r="EK185" s="10">
        <f t="shared" si="94"/>
        <v>0</v>
      </c>
      <c r="EL185" s="10">
        <f t="shared" ref="EL185:EM185" si="727">IF(OR(ISNUMBER(SEARCH("ai software toolkit", $D185)), ISNUMBER(SEARCH("ai software toolkit", $T185)), ISNUMBER(SEARCH("ai software toolkit", $R185)), ISNUMBER(SEARCH("ai software toolkit", $S185))), 1, 0)</f>
        <v>0</v>
      </c>
      <c r="EM185" s="10">
        <f t="shared" si="727"/>
        <v>0</v>
      </c>
      <c r="EN185" s="10">
        <f t="shared" si="96"/>
        <v>0</v>
      </c>
      <c r="EO185" s="10">
        <f t="shared" si="97"/>
        <v>0</v>
      </c>
      <c r="EP185" s="10">
        <f t="shared" si="98"/>
        <v>0</v>
      </c>
      <c r="EQ185" s="10">
        <f t="shared" si="99"/>
        <v>0</v>
      </c>
      <c r="ER185" s="10">
        <f t="shared" si="100"/>
        <v>0</v>
      </c>
      <c r="ES185" s="10">
        <f t="shared" si="101"/>
        <v>0</v>
      </c>
      <c r="ET185" s="10">
        <f t="shared" si="102"/>
        <v>0</v>
      </c>
      <c r="EU185" s="10">
        <f t="shared" si="103"/>
        <v>0</v>
      </c>
      <c r="EV185" s="10">
        <f t="shared" si="104"/>
        <v>0</v>
      </c>
      <c r="EW185" s="10">
        <f t="shared" si="105"/>
        <v>0</v>
      </c>
      <c r="EX185" s="10">
        <f t="shared" si="106"/>
        <v>0</v>
      </c>
      <c r="EY185" s="10">
        <f t="shared" si="107"/>
        <v>0</v>
      </c>
      <c r="EZ185" s="10">
        <f t="shared" si="108"/>
        <v>0</v>
      </c>
      <c r="FA185" s="10">
        <f t="shared" si="109"/>
        <v>0</v>
      </c>
      <c r="FB185" s="10">
        <f t="shared" si="110"/>
        <v>0</v>
      </c>
      <c r="FC185" s="10">
        <f t="shared" si="111"/>
        <v>0</v>
      </c>
      <c r="FD185" s="10">
        <f t="shared" si="112"/>
        <v>0</v>
      </c>
      <c r="FE185" s="10">
        <f t="shared" si="113"/>
        <v>0</v>
      </c>
      <c r="FF185" s="10">
        <f t="shared" si="114"/>
        <v>0</v>
      </c>
      <c r="FG185" s="10">
        <f t="shared" si="115"/>
        <v>0</v>
      </c>
      <c r="FH185" s="10">
        <f t="shared" si="116"/>
        <v>0</v>
      </c>
      <c r="FI185" s="10">
        <f t="shared" si="117"/>
        <v>0</v>
      </c>
      <c r="FJ185" s="10">
        <f t="shared" si="118"/>
        <v>0</v>
      </c>
      <c r="FK185" s="10">
        <f t="shared" si="119"/>
        <v>0</v>
      </c>
      <c r="FL185" s="10">
        <f t="shared" si="120"/>
        <v>0</v>
      </c>
      <c r="FM185" s="10">
        <f t="shared" si="121"/>
        <v>0</v>
      </c>
      <c r="FN185" s="10">
        <f t="shared" si="122"/>
        <v>0</v>
      </c>
      <c r="FO185" s="10">
        <f t="shared" si="123"/>
        <v>0</v>
      </c>
      <c r="FP185" s="10">
        <f t="shared" si="124"/>
        <v>1</v>
      </c>
      <c r="FQ185" s="10">
        <f t="shared" si="125"/>
        <v>0</v>
      </c>
      <c r="FR185" s="11">
        <f t="shared" si="709"/>
        <v>0</v>
      </c>
      <c r="FS185" s="11">
        <f t="shared" si="127"/>
        <v>0</v>
      </c>
      <c r="FT185" s="11">
        <f t="shared" si="128"/>
        <v>0</v>
      </c>
      <c r="FU185" s="11">
        <f t="shared" si="129"/>
        <v>0</v>
      </c>
      <c r="FV185" s="11">
        <f t="shared" si="130"/>
        <v>0</v>
      </c>
      <c r="FW185" s="11">
        <f t="shared" si="131"/>
        <v>0</v>
      </c>
      <c r="FX185" s="11">
        <f t="shared" si="132"/>
        <v>0</v>
      </c>
      <c r="FY185" s="11">
        <f t="shared" si="133"/>
        <v>0</v>
      </c>
      <c r="FZ185" s="11">
        <f t="shared" si="134"/>
        <v>0</v>
      </c>
      <c r="GA185" s="11">
        <f t="shared" si="135"/>
        <v>0</v>
      </c>
      <c r="GB185" s="11">
        <f t="shared" si="136"/>
        <v>0</v>
      </c>
      <c r="GC185" s="11">
        <f t="shared" si="137"/>
        <v>0</v>
      </c>
      <c r="GD185" s="11">
        <f t="shared" si="138"/>
        <v>0</v>
      </c>
      <c r="GE185" s="11">
        <f t="shared" si="139"/>
        <v>0</v>
      </c>
      <c r="GF185" s="11">
        <f t="shared" si="140"/>
        <v>0</v>
      </c>
      <c r="GG185" s="11">
        <f t="shared" si="141"/>
        <v>0</v>
      </c>
      <c r="GH185" s="11">
        <f t="shared" si="142"/>
        <v>0</v>
      </c>
      <c r="GI185" s="11">
        <f t="shared" si="143"/>
        <v>0</v>
      </c>
      <c r="GJ185" s="11">
        <f t="shared" si="144"/>
        <v>0</v>
      </c>
      <c r="GK185" s="11">
        <f t="shared" si="145"/>
        <v>0</v>
      </c>
      <c r="GL185" s="11">
        <f t="shared" si="146"/>
        <v>0</v>
      </c>
      <c r="GM185" s="11">
        <f t="shared" si="147"/>
        <v>0</v>
      </c>
      <c r="GN185" s="11">
        <f t="shared" si="148"/>
        <v>0</v>
      </c>
      <c r="GO185" s="11">
        <f t="shared" si="149"/>
        <v>0</v>
      </c>
      <c r="GP185" s="11">
        <f t="shared" si="150"/>
        <v>0</v>
      </c>
      <c r="GQ185" s="11">
        <f t="shared" si="151"/>
        <v>1</v>
      </c>
      <c r="GR185" s="11">
        <f t="shared" si="152"/>
        <v>0</v>
      </c>
      <c r="GS185" s="11">
        <f t="shared" si="153"/>
        <v>0</v>
      </c>
      <c r="GT185" s="11">
        <f t="shared" si="154"/>
        <v>0</v>
      </c>
      <c r="GU185" s="12">
        <f t="shared" si="155"/>
        <v>0</v>
      </c>
      <c r="GV185" s="12">
        <f t="shared" si="156"/>
        <v>0</v>
      </c>
      <c r="GW185" s="12">
        <f t="shared" si="157"/>
        <v>0</v>
      </c>
      <c r="GX185" s="12">
        <f t="shared" si="158"/>
        <v>0</v>
      </c>
      <c r="GY185" s="12">
        <f t="shared" si="159"/>
        <v>0</v>
      </c>
      <c r="GZ185" s="12">
        <f t="shared" si="160"/>
        <v>0</v>
      </c>
      <c r="HA185" s="12">
        <f t="shared" si="161"/>
        <v>0</v>
      </c>
      <c r="HB185" s="12">
        <f t="shared" si="162"/>
        <v>0</v>
      </c>
      <c r="HC185" s="12">
        <f t="shared" si="163"/>
        <v>0</v>
      </c>
      <c r="HD185" s="12">
        <f t="shared" si="164"/>
        <v>0</v>
      </c>
      <c r="HE185" s="12">
        <f t="shared" si="165"/>
        <v>0</v>
      </c>
      <c r="HF185" s="12">
        <f t="shared" si="166"/>
        <v>0</v>
      </c>
      <c r="HG185" s="12">
        <f t="shared" si="167"/>
        <v>0</v>
      </c>
      <c r="HH185" s="12">
        <f t="shared" si="168"/>
        <v>0</v>
      </c>
      <c r="HI185" s="12">
        <f t="shared" si="169"/>
        <v>0</v>
      </c>
      <c r="HJ185" s="12">
        <f t="shared" si="170"/>
        <v>0</v>
      </c>
      <c r="HK185" s="12">
        <f t="shared" si="171"/>
        <v>0</v>
      </c>
      <c r="HL185" s="12">
        <f t="shared" si="172"/>
        <v>0</v>
      </c>
      <c r="HM185" s="12">
        <f t="shared" si="173"/>
        <v>0</v>
      </c>
      <c r="HN185" s="12">
        <f t="shared" si="174"/>
        <v>0</v>
      </c>
      <c r="HO185" s="12">
        <f t="shared" si="175"/>
        <v>0</v>
      </c>
      <c r="HP185" s="12">
        <f t="shared" si="176"/>
        <v>0</v>
      </c>
      <c r="HQ185" s="12">
        <f t="shared" si="177"/>
        <v>0</v>
      </c>
      <c r="HR185" s="12">
        <f t="shared" si="178"/>
        <v>0</v>
      </c>
      <c r="HS185" s="12">
        <f t="shared" si="179"/>
        <v>0</v>
      </c>
      <c r="HT185" s="12">
        <f t="shared" si="180"/>
        <v>0</v>
      </c>
      <c r="HU185" s="12">
        <f t="shared" si="181"/>
        <v>0</v>
      </c>
      <c r="HV185" s="12">
        <f t="shared" si="182"/>
        <v>0</v>
      </c>
      <c r="HW185" s="12">
        <f t="shared" si="183"/>
        <v>0</v>
      </c>
      <c r="HX185" s="12">
        <f t="shared" si="184"/>
        <v>0</v>
      </c>
      <c r="HY185" s="12">
        <f t="shared" si="185"/>
        <v>0</v>
      </c>
      <c r="HZ185" s="12">
        <f t="shared" si="186"/>
        <v>0</v>
      </c>
      <c r="IA185" s="12">
        <f t="shared" si="187"/>
        <v>0</v>
      </c>
      <c r="IB185" s="12">
        <f t="shared" si="188"/>
        <v>0</v>
      </c>
      <c r="IC185" s="12">
        <f t="shared" si="189"/>
        <v>0</v>
      </c>
      <c r="ID185" s="12">
        <f t="shared" si="190"/>
        <v>0</v>
      </c>
      <c r="IE185" s="12">
        <f t="shared" si="191"/>
        <v>0</v>
      </c>
      <c r="IF185" s="12">
        <f t="shared" si="192"/>
        <v>0</v>
      </c>
      <c r="IG185" s="12">
        <f t="shared" si="193"/>
        <v>0</v>
      </c>
      <c r="IH185" s="12">
        <f t="shared" si="194"/>
        <v>0</v>
      </c>
      <c r="II185" s="12">
        <f t="shared" si="195"/>
        <v>0</v>
      </c>
      <c r="IJ185" s="12">
        <f t="shared" si="196"/>
        <v>0</v>
      </c>
      <c r="IK185" s="12">
        <f t="shared" si="197"/>
        <v>0</v>
      </c>
      <c r="IL185" s="12">
        <f t="shared" si="198"/>
        <v>0</v>
      </c>
      <c r="IM185" s="12">
        <f t="shared" si="199"/>
        <v>0</v>
      </c>
      <c r="IN185" s="12">
        <f t="shared" si="200"/>
        <v>0</v>
      </c>
      <c r="IO185" s="12">
        <f t="shared" si="201"/>
        <v>0</v>
      </c>
      <c r="IP185" s="12">
        <f t="shared" si="202"/>
        <v>0</v>
      </c>
      <c r="IQ185" s="12">
        <f t="shared" si="203"/>
        <v>0</v>
      </c>
      <c r="IR185" s="12">
        <f t="shared" si="204"/>
        <v>0</v>
      </c>
      <c r="IS185" s="12">
        <f t="shared" si="205"/>
        <v>0</v>
      </c>
      <c r="IT185" s="12">
        <f t="shared" si="206"/>
        <v>0</v>
      </c>
      <c r="IU185" s="12">
        <f t="shared" si="207"/>
        <v>0</v>
      </c>
      <c r="IV185" s="12">
        <f t="shared" si="208"/>
        <v>0</v>
      </c>
      <c r="IW185" s="12">
        <f t="shared" si="209"/>
        <v>0</v>
      </c>
      <c r="IX185" s="12">
        <f t="shared" si="210"/>
        <v>0</v>
      </c>
      <c r="IY185" s="12">
        <f t="shared" si="211"/>
        <v>0</v>
      </c>
      <c r="IZ185" s="12">
        <f t="shared" si="212"/>
        <v>0</v>
      </c>
      <c r="JA185" s="13">
        <f t="shared" si="213"/>
        <v>0</v>
      </c>
      <c r="JB185" s="13">
        <f t="shared" si="214"/>
        <v>0</v>
      </c>
      <c r="JC185" s="13">
        <f t="shared" si="215"/>
        <v>0</v>
      </c>
      <c r="JD185" s="13">
        <f t="shared" si="216"/>
        <v>0</v>
      </c>
      <c r="JE185" s="13">
        <f t="shared" si="217"/>
        <v>0</v>
      </c>
      <c r="JF185" s="13">
        <f t="shared" si="218"/>
        <v>0</v>
      </c>
      <c r="JG185" s="13">
        <f t="shared" si="219"/>
        <v>0</v>
      </c>
      <c r="JH185" s="13">
        <f t="shared" si="220"/>
        <v>0</v>
      </c>
      <c r="JI185" s="13">
        <f t="shared" si="221"/>
        <v>0</v>
      </c>
      <c r="JJ185" s="13">
        <f t="shared" si="222"/>
        <v>0</v>
      </c>
      <c r="JK185" s="13">
        <f t="shared" si="223"/>
        <v>0</v>
      </c>
      <c r="JL185" s="13">
        <f t="shared" si="224"/>
        <v>0</v>
      </c>
      <c r="JM185" s="13">
        <f t="shared" si="225"/>
        <v>0</v>
      </c>
      <c r="JN185" s="13">
        <f t="shared" si="226"/>
        <v>0</v>
      </c>
      <c r="JO185" s="13">
        <f t="shared" si="227"/>
        <v>0</v>
      </c>
      <c r="JP185" s="13">
        <f t="shared" si="228"/>
        <v>0</v>
      </c>
      <c r="JQ185" s="13">
        <f t="shared" si="229"/>
        <v>0</v>
      </c>
      <c r="JR185" s="13">
        <f t="shared" si="230"/>
        <v>0</v>
      </c>
      <c r="JS185" s="13">
        <f t="shared" si="231"/>
        <v>0</v>
      </c>
      <c r="JT185" s="13">
        <f t="shared" si="232"/>
        <v>0</v>
      </c>
      <c r="JU185" s="13">
        <f t="shared" si="233"/>
        <v>0</v>
      </c>
      <c r="JV185" s="12">
        <f t="shared" si="234"/>
        <v>0</v>
      </c>
      <c r="JW185" s="12">
        <f t="shared" si="235"/>
        <v>0</v>
      </c>
      <c r="JX185" s="12">
        <f t="shared" si="236"/>
        <v>0</v>
      </c>
      <c r="JY185" s="12">
        <f t="shared" si="237"/>
        <v>0</v>
      </c>
      <c r="JZ185" s="12">
        <f t="shared" si="238"/>
        <v>0</v>
      </c>
      <c r="KA185" s="12">
        <f t="shared" si="239"/>
        <v>0</v>
      </c>
      <c r="KB185" s="12">
        <f t="shared" si="240"/>
        <v>0</v>
      </c>
      <c r="KC185" s="12">
        <f t="shared" si="241"/>
        <v>0</v>
      </c>
      <c r="KD185" s="12">
        <f t="shared" si="242"/>
        <v>0</v>
      </c>
      <c r="KE185" s="12">
        <f t="shared" si="243"/>
        <v>0</v>
      </c>
      <c r="KF185" s="12">
        <f t="shared" si="244"/>
        <v>0</v>
      </c>
      <c r="KG185" s="12">
        <f t="shared" si="245"/>
        <v>0</v>
      </c>
      <c r="KH185" s="12">
        <f t="shared" si="246"/>
        <v>0</v>
      </c>
      <c r="KI185" s="12">
        <f t="shared" si="247"/>
        <v>0</v>
      </c>
      <c r="KJ185" s="12">
        <f t="shared" si="248"/>
        <v>0</v>
      </c>
      <c r="KK185" s="12">
        <f t="shared" si="249"/>
        <v>0</v>
      </c>
      <c r="KL185" s="12">
        <f t="shared" si="250"/>
        <v>0</v>
      </c>
      <c r="KM185" s="12">
        <f t="shared" si="251"/>
        <v>0</v>
      </c>
      <c r="KN185" s="12">
        <f t="shared" si="252"/>
        <v>0</v>
      </c>
      <c r="KO185" s="12">
        <f t="shared" si="253"/>
        <v>0</v>
      </c>
      <c r="KP185" s="12">
        <f t="shared" si="254"/>
        <v>0</v>
      </c>
      <c r="KQ185" s="12">
        <f t="shared" si="255"/>
        <v>0</v>
      </c>
      <c r="KR185" s="12">
        <f t="shared" si="256"/>
        <v>0</v>
      </c>
      <c r="KS185" s="12">
        <f t="shared" si="257"/>
        <v>0</v>
      </c>
      <c r="KT185" s="12">
        <f t="shared" si="258"/>
        <v>0</v>
      </c>
      <c r="KU185" s="12">
        <f t="shared" si="259"/>
        <v>0</v>
      </c>
      <c r="KV185" s="12">
        <f t="shared" si="260"/>
        <v>0</v>
      </c>
      <c r="KW185" s="12">
        <f t="shared" si="261"/>
        <v>0</v>
      </c>
      <c r="KX185" s="12">
        <f t="shared" si="262"/>
        <v>0</v>
      </c>
      <c r="KY185" s="12">
        <f t="shared" si="263"/>
        <v>0</v>
      </c>
      <c r="KZ185" s="12">
        <f t="shared" si="264"/>
        <v>0</v>
      </c>
      <c r="LA185" s="12">
        <f t="shared" si="265"/>
        <v>0</v>
      </c>
      <c r="LB185" s="12">
        <f t="shared" si="266"/>
        <v>0</v>
      </c>
      <c r="LC185" s="12">
        <f t="shared" si="267"/>
        <v>0</v>
      </c>
      <c r="LD185" s="12">
        <f t="shared" si="268"/>
        <v>0</v>
      </c>
      <c r="LE185" s="12">
        <f t="shared" si="269"/>
        <v>0</v>
      </c>
      <c r="LF185" s="12">
        <f t="shared" si="270"/>
        <v>0</v>
      </c>
      <c r="LG185" s="12">
        <f t="shared" si="271"/>
        <v>0</v>
      </c>
      <c r="LH185" s="12">
        <f t="shared" si="272"/>
        <v>0</v>
      </c>
      <c r="LI185" s="12">
        <f t="shared" si="273"/>
        <v>0</v>
      </c>
      <c r="LJ185" s="12">
        <f t="shared" si="274"/>
        <v>0</v>
      </c>
      <c r="LK185" s="12">
        <f t="shared" si="275"/>
        <v>0</v>
      </c>
      <c r="LL185" s="12">
        <f t="shared" si="276"/>
        <v>0</v>
      </c>
      <c r="LM185" s="12">
        <f t="shared" si="277"/>
        <v>0</v>
      </c>
      <c r="LN185" s="12">
        <f t="shared" si="278"/>
        <v>0</v>
      </c>
      <c r="LO185" s="12">
        <f t="shared" si="279"/>
        <v>0</v>
      </c>
      <c r="LP185" s="12">
        <f t="shared" si="280"/>
        <v>0</v>
      </c>
      <c r="LQ185" s="12">
        <f t="shared" si="281"/>
        <v>0</v>
      </c>
      <c r="LR185" s="12">
        <f t="shared" si="282"/>
        <v>0</v>
      </c>
      <c r="LS185" s="12">
        <f t="shared" si="283"/>
        <v>0</v>
      </c>
      <c r="LT185" s="13">
        <f t="shared" si="284"/>
        <v>0</v>
      </c>
      <c r="LU185" s="13">
        <f t="shared" si="285"/>
        <v>0</v>
      </c>
      <c r="LV185" s="13">
        <f t="shared" si="286"/>
        <v>0</v>
      </c>
      <c r="LW185" s="13">
        <f t="shared" si="287"/>
        <v>0</v>
      </c>
      <c r="LX185" s="13">
        <f t="shared" si="288"/>
        <v>0</v>
      </c>
      <c r="LY185" s="13">
        <f t="shared" si="289"/>
        <v>0</v>
      </c>
      <c r="LZ185" s="13">
        <f t="shared" si="290"/>
        <v>0</v>
      </c>
      <c r="MA185" s="13">
        <f t="shared" si="291"/>
        <v>0</v>
      </c>
      <c r="MB185" s="13">
        <f t="shared" si="292"/>
        <v>0</v>
      </c>
      <c r="MC185" s="13">
        <f t="shared" si="293"/>
        <v>0</v>
      </c>
      <c r="MD185" s="13">
        <f t="shared" si="294"/>
        <v>0</v>
      </c>
      <c r="ME185" s="13">
        <f t="shared" si="295"/>
        <v>0</v>
      </c>
      <c r="MF185" s="13">
        <f t="shared" si="296"/>
        <v>0</v>
      </c>
      <c r="MG185" s="13">
        <f t="shared" si="297"/>
        <v>0</v>
      </c>
      <c r="MH185" s="13">
        <f t="shared" si="298"/>
        <v>0</v>
      </c>
      <c r="MI185" s="13">
        <f t="shared" si="299"/>
        <v>0</v>
      </c>
      <c r="MJ185" s="13">
        <f t="shared" si="300"/>
        <v>0</v>
      </c>
      <c r="MK185" s="13">
        <f t="shared" si="301"/>
        <v>0</v>
      </c>
      <c r="ML185" s="14">
        <f t="shared" si="302"/>
        <v>0</v>
      </c>
      <c r="MM185" s="14">
        <f t="shared" si="303"/>
        <v>0</v>
      </c>
      <c r="MN185" s="14">
        <f t="shared" si="304"/>
        <v>0</v>
      </c>
      <c r="MO185" s="14">
        <f t="shared" si="305"/>
        <v>0</v>
      </c>
      <c r="MP185" s="14">
        <f t="shared" si="306"/>
        <v>0</v>
      </c>
      <c r="MQ185" s="14">
        <f t="shared" si="307"/>
        <v>0</v>
      </c>
      <c r="MR185" s="14">
        <f t="shared" si="308"/>
        <v>0</v>
      </c>
      <c r="MS185" s="14">
        <f t="shared" si="309"/>
        <v>0</v>
      </c>
      <c r="MT185" s="14">
        <f t="shared" si="310"/>
        <v>0</v>
      </c>
      <c r="MU185" s="14">
        <f t="shared" si="311"/>
        <v>0</v>
      </c>
      <c r="MV185" s="14">
        <f t="shared" si="312"/>
        <v>0</v>
      </c>
      <c r="MW185" s="14">
        <f t="shared" si="313"/>
        <v>0</v>
      </c>
      <c r="MX185" s="14">
        <f t="shared" si="314"/>
        <v>0</v>
      </c>
      <c r="MY185" s="14">
        <f t="shared" si="315"/>
        <v>0</v>
      </c>
      <c r="MZ185" s="14">
        <f t="shared" si="316"/>
        <v>0</v>
      </c>
      <c r="NA185" s="14">
        <f t="shared" si="317"/>
        <v>0</v>
      </c>
      <c r="NB185" s="14">
        <f t="shared" si="318"/>
        <v>0</v>
      </c>
    </row>
    <row r="186" ht="15.75" customHeight="1">
      <c r="A186" s="2">
        <v>729.0</v>
      </c>
      <c r="B186" s="2" t="s">
        <v>3466</v>
      </c>
      <c r="C186" s="2" t="s">
        <v>3467</v>
      </c>
      <c r="D186" s="2" t="s">
        <v>3468</v>
      </c>
      <c r="E186" s="2">
        <v>2022.0</v>
      </c>
      <c r="F186" s="2" t="s">
        <v>3469</v>
      </c>
      <c r="G186" s="2">
        <v>15.0</v>
      </c>
      <c r="I186" s="2" t="s">
        <v>3470</v>
      </c>
      <c r="M186" s="2">
        <v>2.0</v>
      </c>
      <c r="N186" s="2" t="s">
        <v>3471</v>
      </c>
      <c r="O186" s="2" t="s">
        <v>3472</v>
      </c>
      <c r="P186" s="2" t="s">
        <v>3473</v>
      </c>
      <c r="Q186" s="2" t="s">
        <v>3474</v>
      </c>
      <c r="R186" s="2" t="s">
        <v>3475</v>
      </c>
      <c r="S186" s="2" t="s">
        <v>3476</v>
      </c>
      <c r="T186" s="2" t="s">
        <v>3477</v>
      </c>
      <c r="Y186" s="2" t="s">
        <v>3478</v>
      </c>
      <c r="AB186" s="2" t="s">
        <v>3479</v>
      </c>
      <c r="AG186" s="2" t="s">
        <v>3480</v>
      </c>
      <c r="AK186" s="2" t="s">
        <v>3481</v>
      </c>
      <c r="AL186" s="2" t="s">
        <v>384</v>
      </c>
      <c r="AM186" s="2" t="s">
        <v>1306</v>
      </c>
      <c r="AN186" s="2" t="s">
        <v>386</v>
      </c>
      <c r="AO186" s="2" t="s">
        <v>3482</v>
      </c>
      <c r="AP186" s="2" t="s">
        <v>386</v>
      </c>
      <c r="AQ186" s="2">
        <v>2866.0</v>
      </c>
      <c r="AR186" s="2" t="s">
        <v>3483</v>
      </c>
      <c r="AS186" s="2" t="b">
        <v>0</v>
      </c>
      <c r="AT186" s="3">
        <v>0.0</v>
      </c>
      <c r="AU186" s="4"/>
      <c r="AV186" s="4"/>
      <c r="AW186" s="5">
        <f t="shared" si="432"/>
        <v>0</v>
      </c>
      <c r="AX186" s="5">
        <f t="shared" si="4"/>
        <v>0</v>
      </c>
      <c r="AY186" s="5">
        <f t="shared" si="5"/>
        <v>0</v>
      </c>
      <c r="AZ186" s="5">
        <f t="shared" si="6"/>
        <v>0</v>
      </c>
      <c r="BA186" s="5">
        <f t="shared" si="7"/>
        <v>0</v>
      </c>
      <c r="BB186" s="5">
        <f t="shared" si="8"/>
        <v>0</v>
      </c>
      <c r="BC186" s="5">
        <f t="shared" si="9"/>
        <v>0</v>
      </c>
      <c r="BD186" s="5">
        <f t="shared" si="10"/>
        <v>0</v>
      </c>
      <c r="BE186" s="5">
        <f t="shared" si="11"/>
        <v>0</v>
      </c>
      <c r="BF186" s="5">
        <f t="shared" si="12"/>
        <v>0</v>
      </c>
      <c r="BG186" s="5">
        <f t="shared" si="13"/>
        <v>0</v>
      </c>
      <c r="BH186" s="5">
        <f t="shared" si="14"/>
        <v>0</v>
      </c>
      <c r="BI186" s="5">
        <f t="shared" si="15"/>
        <v>0</v>
      </c>
      <c r="BJ186" s="5">
        <f t="shared" si="16"/>
        <v>0</v>
      </c>
      <c r="BK186" s="5">
        <f t="shared" si="17"/>
        <v>0</v>
      </c>
      <c r="BL186" s="5">
        <f t="shared" si="18"/>
        <v>0</v>
      </c>
      <c r="BM186" s="5">
        <f t="shared" si="19"/>
        <v>0</v>
      </c>
      <c r="BN186" s="5">
        <f t="shared" si="20"/>
        <v>0</v>
      </c>
      <c r="BO186" s="5">
        <f t="shared" si="21"/>
        <v>0</v>
      </c>
      <c r="BP186" s="5">
        <f t="shared" si="22"/>
        <v>0</v>
      </c>
      <c r="BQ186" s="5">
        <f t="shared" si="23"/>
        <v>0</v>
      </c>
      <c r="BR186" s="5">
        <f t="shared" si="24"/>
        <v>0</v>
      </c>
      <c r="BS186" s="5">
        <f t="shared" si="25"/>
        <v>0</v>
      </c>
      <c r="BT186" s="5">
        <f t="shared" si="26"/>
        <v>0</v>
      </c>
      <c r="BU186" s="5">
        <f t="shared" si="27"/>
        <v>0</v>
      </c>
      <c r="BV186" s="5">
        <f t="shared" ref="BV186:BW186" si="728">IF(OR(ISNUMBER(SEARCH("grit",$D186)),ISNUMBER(SEARCH("grit",$T186)),ISNUMBER(SEARCH("grit",$R186)),ISNUMBER(SEARCH("grit",$S186)),
ISNUMBER(SEARCH("determination",$D186)),ISNUMBER(SEARCH("determination",$T186)),ISNUMBER(SEARCH("determination",$R186)),ISNUMBER(SEARCH("determination",$S186)),
ISNUMBER(SEARCH("tenacity",$D186)),ISNUMBER(SEARCH("tenacity",$T186)),ISNUMBER(SEARCH("tenacity",$R186)),ISNUMBER(SEARCH("tenacity",$S186)),
ISNUMBER(SEARCH("endurance",$D186)),ISNUMBER(SEARCH("endurance",$T186)),ISNUMBER(SEARCH("endurance",$R186)),ISNUMBER(SEARCH("endurance",$S186)),
ISNUMBER(SEARCH("fortitude",$D186)),ISNUMBER(SEARCH("fortitude",$T186)),ISNUMBER(SEARCH("fortitude",$R186)),ISNUMBER(SEARCH("fortitude",$S186)),
ISNUMBER(SEARCH("resolve",$D186)),ISNUMBER(SEARCH("resolve",$T186)),ISNUMBER(SEARCH("resolve",$R186)),ISNUMBER(SEARCH("resolve",$S186)),
ISNUMBER(SEARCH("stamina",$D186)),ISNUMBER(SEARCH("stamina",$T186)),ISNUMBER(SEARCH("stamina",$R186)),ISNUMBER(SEARCH("stamina",$S186)),
ISNUMBER(SEARCH("guts",$D186)),ISNUMBER(SEARCH("guts",$T186)),ISNUMBER(SEARCH("guts",$R186)),ISNUMBER(SEARCH("guts",$S186)),
ISNUMBER(SEARCH("spunk",$D186)),ISNUMBER(SEARCH("spunk",$T186)),ISNUMBER(SEARCH("spunk",$R186)),ISNUMBER(SEARCH("spunk",$S186))), 1, 0)</f>
        <v>0</v>
      </c>
      <c r="BW186" s="5">
        <f t="shared" si="728"/>
        <v>0</v>
      </c>
      <c r="BX186" s="5">
        <f t="shared" si="29"/>
        <v>0</v>
      </c>
      <c r="BY186" s="5">
        <f t="shared" si="30"/>
        <v>0</v>
      </c>
      <c r="BZ186" s="5">
        <f t="shared" si="31"/>
        <v>0</v>
      </c>
      <c r="CA186" s="5">
        <f t="shared" si="32"/>
        <v>0</v>
      </c>
      <c r="CB186" s="5">
        <f t="shared" si="33"/>
        <v>0</v>
      </c>
      <c r="CC186" s="5">
        <f t="shared" si="34"/>
        <v>0</v>
      </c>
      <c r="CD186" s="5">
        <f t="shared" si="35"/>
        <v>0</v>
      </c>
      <c r="CE186" s="5">
        <f t="shared" si="36"/>
        <v>0</v>
      </c>
      <c r="CF186" s="5">
        <f t="shared" si="37"/>
        <v>0</v>
      </c>
      <c r="CG186" s="5">
        <f t="shared" si="38"/>
        <v>0</v>
      </c>
      <c r="CH186" s="5">
        <f t="shared" si="39"/>
        <v>0</v>
      </c>
      <c r="CI186" s="5">
        <f t="shared" si="40"/>
        <v>0</v>
      </c>
      <c r="CJ186" s="5">
        <f t="shared" si="41"/>
        <v>0</v>
      </c>
      <c r="CK186" s="5">
        <f t="shared" si="42"/>
        <v>0</v>
      </c>
      <c r="CL186" s="5">
        <f t="shared" si="43"/>
        <v>0</v>
      </c>
      <c r="CM186" s="5">
        <f t="shared" si="44"/>
        <v>0</v>
      </c>
      <c r="CN186" s="5">
        <f t="shared" si="45"/>
        <v>0</v>
      </c>
      <c r="CO186" s="5">
        <f t="shared" si="46"/>
        <v>0</v>
      </c>
      <c r="CP186" s="6">
        <f t="shared" si="47"/>
        <v>0</v>
      </c>
      <c r="CQ186" s="6">
        <f t="shared" si="48"/>
        <v>0</v>
      </c>
      <c r="CR186" s="6">
        <f t="shared" si="49"/>
        <v>0</v>
      </c>
      <c r="CS186" s="6">
        <f t="shared" si="50"/>
        <v>0</v>
      </c>
      <c r="CT186" s="6">
        <f t="shared" si="584"/>
        <v>0</v>
      </c>
      <c r="CU186" s="6">
        <f t="shared" si="52"/>
        <v>0</v>
      </c>
      <c r="CV186" s="6">
        <f t="shared" si="53"/>
        <v>0</v>
      </c>
      <c r="CW186" s="6">
        <f t="shared" si="54"/>
        <v>0</v>
      </c>
      <c r="CX186" s="6">
        <f t="shared" si="55"/>
        <v>0</v>
      </c>
      <c r="CY186" s="6">
        <f t="shared" si="56"/>
        <v>0</v>
      </c>
      <c r="CZ186" s="6">
        <f t="shared" si="57"/>
        <v>0</v>
      </c>
      <c r="DA186" s="6">
        <f t="shared" si="58"/>
        <v>0</v>
      </c>
      <c r="DB186" s="6">
        <f t="shared" si="59"/>
        <v>0</v>
      </c>
      <c r="DC186" s="6">
        <f t="shared" si="60"/>
        <v>0</v>
      </c>
      <c r="DD186" s="6">
        <f t="shared" si="61"/>
        <v>0</v>
      </c>
      <c r="DE186" s="6">
        <f t="shared" si="62"/>
        <v>0</v>
      </c>
      <c r="DF186" s="6">
        <f t="shared" si="63"/>
        <v>0</v>
      </c>
      <c r="DG186" s="6">
        <f t="shared" si="64"/>
        <v>0</v>
      </c>
      <c r="DH186" s="6">
        <f t="shared" si="697"/>
        <v>0</v>
      </c>
      <c r="DI186" s="6">
        <f t="shared" si="66"/>
        <v>0</v>
      </c>
      <c r="DJ186" s="6">
        <f t="shared" si="653"/>
        <v>0</v>
      </c>
      <c r="DK186" s="7">
        <f t="shared" si="68"/>
        <v>0</v>
      </c>
      <c r="DL186" s="7">
        <f t="shared" si="498"/>
        <v>0</v>
      </c>
      <c r="DM186" s="7">
        <f t="shared" si="70"/>
        <v>0</v>
      </c>
      <c r="DN186" s="7">
        <f t="shared" si="71"/>
        <v>0</v>
      </c>
      <c r="DO186" s="7">
        <f t="shared" si="72"/>
        <v>0</v>
      </c>
      <c r="DP186" s="8">
        <f t="shared" si="73"/>
        <v>0</v>
      </c>
      <c r="DQ186" s="8">
        <f t="shared" si="74"/>
        <v>1</v>
      </c>
      <c r="DR186" s="7">
        <f t="shared" si="75"/>
        <v>0</v>
      </c>
      <c r="DS186" s="7">
        <f t="shared" si="76"/>
        <v>0</v>
      </c>
      <c r="DT186" s="7">
        <f t="shared" si="77"/>
        <v>0</v>
      </c>
      <c r="DU186" s="9">
        <f t="shared" si="78"/>
        <v>0</v>
      </c>
      <c r="DV186" s="9">
        <f t="shared" si="79"/>
        <v>0</v>
      </c>
      <c r="DW186" s="9">
        <f t="shared" si="80"/>
        <v>0</v>
      </c>
      <c r="DX186" s="9">
        <f t="shared" si="81"/>
        <v>0</v>
      </c>
      <c r="DY186" s="9">
        <f t="shared" si="82"/>
        <v>0</v>
      </c>
      <c r="DZ186" s="9">
        <f t="shared" si="83"/>
        <v>0</v>
      </c>
      <c r="EA186" s="9">
        <f t="shared" si="84"/>
        <v>0</v>
      </c>
      <c r="EB186" s="9">
        <f t="shared" si="85"/>
        <v>0</v>
      </c>
      <c r="EC186" s="9">
        <f t="shared" si="86"/>
        <v>0</v>
      </c>
      <c r="ED186" s="9">
        <f t="shared" si="87"/>
        <v>0</v>
      </c>
      <c r="EE186" s="9">
        <f t="shared" si="88"/>
        <v>0</v>
      </c>
      <c r="EF186" s="9">
        <f t="shared" si="89"/>
        <v>0</v>
      </c>
      <c r="EG186" s="9">
        <f t="shared" si="90"/>
        <v>0</v>
      </c>
      <c r="EH186" s="9">
        <f t="shared" si="91"/>
        <v>0</v>
      </c>
      <c r="EI186" s="9">
        <f t="shared" si="92"/>
        <v>0</v>
      </c>
      <c r="EJ186" s="10">
        <f t="shared" si="93"/>
        <v>0</v>
      </c>
      <c r="EK186" s="10">
        <f t="shared" si="94"/>
        <v>0</v>
      </c>
      <c r="EL186" s="10">
        <f t="shared" ref="EL186:EM186" si="729">IF(OR(ISNUMBER(SEARCH("ai software toolkit", $D186)), ISNUMBER(SEARCH("ai software toolkit", $T186)), ISNUMBER(SEARCH("ai software toolkit", $R186)), ISNUMBER(SEARCH("ai software toolkit", $S186))), 1, 0)</f>
        <v>0</v>
      </c>
      <c r="EM186" s="10">
        <f t="shared" si="729"/>
        <v>0</v>
      </c>
      <c r="EN186" s="10">
        <f t="shared" si="96"/>
        <v>0</v>
      </c>
      <c r="EO186" s="10">
        <f t="shared" si="97"/>
        <v>0</v>
      </c>
      <c r="EP186" s="10">
        <f t="shared" si="98"/>
        <v>0</v>
      </c>
      <c r="EQ186" s="10">
        <f t="shared" si="99"/>
        <v>0</v>
      </c>
      <c r="ER186" s="10">
        <f t="shared" si="100"/>
        <v>0</v>
      </c>
      <c r="ES186" s="10">
        <f t="shared" si="101"/>
        <v>0</v>
      </c>
      <c r="ET186" s="10">
        <f t="shared" si="102"/>
        <v>0</v>
      </c>
      <c r="EU186" s="10">
        <f t="shared" si="103"/>
        <v>0</v>
      </c>
      <c r="EV186" s="10">
        <f t="shared" si="104"/>
        <v>0</v>
      </c>
      <c r="EW186" s="10">
        <f t="shared" si="105"/>
        <v>0</v>
      </c>
      <c r="EX186" s="10">
        <f t="shared" si="106"/>
        <v>0</v>
      </c>
      <c r="EY186" s="10">
        <f t="shared" si="107"/>
        <v>0</v>
      </c>
      <c r="EZ186" s="10">
        <f t="shared" si="108"/>
        <v>0</v>
      </c>
      <c r="FA186" s="10">
        <f t="shared" si="109"/>
        <v>0</v>
      </c>
      <c r="FB186" s="10">
        <f t="shared" si="110"/>
        <v>0</v>
      </c>
      <c r="FC186" s="10">
        <f t="shared" si="111"/>
        <v>0</v>
      </c>
      <c r="FD186" s="10">
        <f t="shared" si="112"/>
        <v>0</v>
      </c>
      <c r="FE186" s="10">
        <f t="shared" si="113"/>
        <v>0</v>
      </c>
      <c r="FF186" s="10">
        <f t="shared" si="114"/>
        <v>0</v>
      </c>
      <c r="FG186" s="10">
        <f t="shared" si="115"/>
        <v>0</v>
      </c>
      <c r="FH186" s="10">
        <f t="shared" si="116"/>
        <v>0</v>
      </c>
      <c r="FI186" s="10">
        <f t="shared" si="117"/>
        <v>0</v>
      </c>
      <c r="FJ186" s="10">
        <f t="shared" si="118"/>
        <v>0</v>
      </c>
      <c r="FK186" s="10">
        <f t="shared" si="119"/>
        <v>0</v>
      </c>
      <c r="FL186" s="10">
        <f t="shared" si="120"/>
        <v>0</v>
      </c>
      <c r="FM186" s="10">
        <f t="shared" si="121"/>
        <v>0</v>
      </c>
      <c r="FN186" s="10">
        <f t="shared" si="122"/>
        <v>0</v>
      </c>
      <c r="FO186" s="10">
        <f t="shared" si="123"/>
        <v>0</v>
      </c>
      <c r="FP186" s="10">
        <f t="shared" si="124"/>
        <v>0</v>
      </c>
      <c r="FQ186" s="10">
        <f t="shared" si="125"/>
        <v>0</v>
      </c>
      <c r="FR186" s="11">
        <f t="shared" si="709"/>
        <v>0</v>
      </c>
      <c r="FS186" s="11">
        <f t="shared" si="127"/>
        <v>0</v>
      </c>
      <c r="FT186" s="11">
        <f t="shared" si="128"/>
        <v>0</v>
      </c>
      <c r="FU186" s="11">
        <f t="shared" si="129"/>
        <v>0</v>
      </c>
      <c r="FV186" s="11">
        <f t="shared" si="130"/>
        <v>0</v>
      </c>
      <c r="FW186" s="11">
        <f t="shared" si="131"/>
        <v>0</v>
      </c>
      <c r="FX186" s="11">
        <f t="shared" si="132"/>
        <v>0</v>
      </c>
      <c r="FY186" s="11">
        <f t="shared" si="133"/>
        <v>0</v>
      </c>
      <c r="FZ186" s="11">
        <f t="shared" si="134"/>
        <v>0</v>
      </c>
      <c r="GA186" s="11">
        <f t="shared" si="135"/>
        <v>0</v>
      </c>
      <c r="GB186" s="11">
        <f t="shared" si="136"/>
        <v>0</v>
      </c>
      <c r="GC186" s="11">
        <f t="shared" si="137"/>
        <v>0</v>
      </c>
      <c r="GD186" s="11">
        <f t="shared" si="138"/>
        <v>0</v>
      </c>
      <c r="GE186" s="11">
        <f t="shared" si="139"/>
        <v>0</v>
      </c>
      <c r="GF186" s="11">
        <f t="shared" si="140"/>
        <v>0</v>
      </c>
      <c r="GG186" s="11">
        <f t="shared" si="141"/>
        <v>0</v>
      </c>
      <c r="GH186" s="11">
        <f t="shared" si="142"/>
        <v>0</v>
      </c>
      <c r="GI186" s="11">
        <f t="shared" si="143"/>
        <v>0</v>
      </c>
      <c r="GJ186" s="11">
        <f t="shared" si="144"/>
        <v>0</v>
      </c>
      <c r="GK186" s="11">
        <f t="shared" si="145"/>
        <v>0</v>
      </c>
      <c r="GL186" s="11">
        <f t="shared" si="146"/>
        <v>0</v>
      </c>
      <c r="GM186" s="11">
        <f t="shared" si="147"/>
        <v>0</v>
      </c>
      <c r="GN186" s="11">
        <f t="shared" si="148"/>
        <v>0</v>
      </c>
      <c r="GO186" s="11">
        <f t="shared" si="149"/>
        <v>0</v>
      </c>
      <c r="GP186" s="11">
        <f t="shared" si="150"/>
        <v>0</v>
      </c>
      <c r="GQ186" s="11">
        <f t="shared" si="151"/>
        <v>0</v>
      </c>
      <c r="GR186" s="11">
        <f t="shared" si="152"/>
        <v>0</v>
      </c>
      <c r="GS186" s="11">
        <f t="shared" si="153"/>
        <v>0</v>
      </c>
      <c r="GT186" s="11">
        <f t="shared" si="154"/>
        <v>0</v>
      </c>
      <c r="GU186" s="12">
        <f t="shared" si="155"/>
        <v>0</v>
      </c>
      <c r="GV186" s="12">
        <f t="shared" si="156"/>
        <v>0</v>
      </c>
      <c r="GW186" s="12">
        <f t="shared" si="157"/>
        <v>0</v>
      </c>
      <c r="GX186" s="12">
        <f t="shared" si="158"/>
        <v>0</v>
      </c>
      <c r="GY186" s="12">
        <f t="shared" si="159"/>
        <v>0</v>
      </c>
      <c r="GZ186" s="12">
        <f t="shared" si="160"/>
        <v>0</v>
      </c>
      <c r="HA186" s="12">
        <f t="shared" si="161"/>
        <v>0</v>
      </c>
      <c r="HB186" s="12">
        <f t="shared" si="162"/>
        <v>0</v>
      </c>
      <c r="HC186" s="12">
        <f t="shared" si="163"/>
        <v>0</v>
      </c>
      <c r="HD186" s="12">
        <f t="shared" si="164"/>
        <v>0</v>
      </c>
      <c r="HE186" s="12">
        <f t="shared" si="165"/>
        <v>0</v>
      </c>
      <c r="HF186" s="12">
        <f t="shared" si="166"/>
        <v>0</v>
      </c>
      <c r="HG186" s="12">
        <f t="shared" si="167"/>
        <v>0</v>
      </c>
      <c r="HH186" s="12">
        <f t="shared" si="168"/>
        <v>0</v>
      </c>
      <c r="HI186" s="12">
        <f t="shared" si="169"/>
        <v>0</v>
      </c>
      <c r="HJ186" s="12">
        <f t="shared" si="170"/>
        <v>0</v>
      </c>
      <c r="HK186" s="12">
        <f t="shared" si="171"/>
        <v>0</v>
      </c>
      <c r="HL186" s="12">
        <f t="shared" si="172"/>
        <v>0</v>
      </c>
      <c r="HM186" s="12">
        <f t="shared" si="173"/>
        <v>0</v>
      </c>
      <c r="HN186" s="12">
        <f t="shared" si="174"/>
        <v>0</v>
      </c>
      <c r="HO186" s="12">
        <f t="shared" si="175"/>
        <v>0</v>
      </c>
      <c r="HP186" s="12">
        <f t="shared" si="176"/>
        <v>0</v>
      </c>
      <c r="HQ186" s="12">
        <f t="shared" si="177"/>
        <v>0</v>
      </c>
      <c r="HR186" s="12">
        <f t="shared" si="178"/>
        <v>0</v>
      </c>
      <c r="HS186" s="12">
        <f t="shared" si="179"/>
        <v>0</v>
      </c>
      <c r="HT186" s="12">
        <f t="shared" si="180"/>
        <v>0</v>
      </c>
      <c r="HU186" s="12">
        <f t="shared" si="181"/>
        <v>0</v>
      </c>
      <c r="HV186" s="12">
        <f t="shared" si="182"/>
        <v>0</v>
      </c>
      <c r="HW186" s="12">
        <f t="shared" si="183"/>
        <v>0</v>
      </c>
      <c r="HX186" s="12">
        <f t="shared" si="184"/>
        <v>0</v>
      </c>
      <c r="HY186" s="12">
        <f t="shared" si="185"/>
        <v>0</v>
      </c>
      <c r="HZ186" s="12">
        <f t="shared" si="186"/>
        <v>0</v>
      </c>
      <c r="IA186" s="12">
        <f t="shared" si="187"/>
        <v>0</v>
      </c>
      <c r="IB186" s="12">
        <f t="shared" si="188"/>
        <v>0</v>
      </c>
      <c r="IC186" s="12">
        <f t="shared" si="189"/>
        <v>0</v>
      </c>
      <c r="ID186" s="12">
        <f t="shared" si="190"/>
        <v>0</v>
      </c>
      <c r="IE186" s="12">
        <f t="shared" si="191"/>
        <v>0</v>
      </c>
      <c r="IF186" s="12">
        <f t="shared" si="192"/>
        <v>0</v>
      </c>
      <c r="IG186" s="12">
        <f t="shared" si="193"/>
        <v>0</v>
      </c>
      <c r="IH186" s="12">
        <f t="shared" si="194"/>
        <v>0</v>
      </c>
      <c r="II186" s="12">
        <f t="shared" si="195"/>
        <v>0</v>
      </c>
      <c r="IJ186" s="12">
        <f t="shared" si="196"/>
        <v>0</v>
      </c>
      <c r="IK186" s="12">
        <f t="shared" si="197"/>
        <v>0</v>
      </c>
      <c r="IL186" s="12">
        <f t="shared" si="198"/>
        <v>0</v>
      </c>
      <c r="IM186" s="12">
        <f t="shared" si="199"/>
        <v>0</v>
      </c>
      <c r="IN186" s="12">
        <f t="shared" si="200"/>
        <v>0</v>
      </c>
      <c r="IO186" s="12">
        <f t="shared" si="201"/>
        <v>0</v>
      </c>
      <c r="IP186" s="12">
        <f t="shared" si="202"/>
        <v>0</v>
      </c>
      <c r="IQ186" s="12">
        <f t="shared" si="203"/>
        <v>0</v>
      </c>
      <c r="IR186" s="12">
        <f t="shared" si="204"/>
        <v>0</v>
      </c>
      <c r="IS186" s="12">
        <f t="shared" si="205"/>
        <v>0</v>
      </c>
      <c r="IT186" s="12">
        <f t="shared" si="206"/>
        <v>0</v>
      </c>
      <c r="IU186" s="12">
        <f t="shared" si="207"/>
        <v>0</v>
      </c>
      <c r="IV186" s="12">
        <f t="shared" si="208"/>
        <v>0</v>
      </c>
      <c r="IW186" s="12">
        <f t="shared" si="209"/>
        <v>0</v>
      </c>
      <c r="IX186" s="12">
        <f t="shared" si="210"/>
        <v>0</v>
      </c>
      <c r="IY186" s="12">
        <f t="shared" si="211"/>
        <v>0</v>
      </c>
      <c r="IZ186" s="12">
        <f t="shared" si="212"/>
        <v>0</v>
      </c>
      <c r="JA186" s="13">
        <f t="shared" si="213"/>
        <v>0</v>
      </c>
      <c r="JB186" s="13">
        <f t="shared" si="214"/>
        <v>0</v>
      </c>
      <c r="JC186" s="13">
        <f t="shared" si="215"/>
        <v>0</v>
      </c>
      <c r="JD186" s="13">
        <f t="shared" si="216"/>
        <v>0</v>
      </c>
      <c r="JE186" s="13">
        <f t="shared" si="217"/>
        <v>0</v>
      </c>
      <c r="JF186" s="13">
        <f t="shared" si="218"/>
        <v>0</v>
      </c>
      <c r="JG186" s="13">
        <f t="shared" si="219"/>
        <v>0</v>
      </c>
      <c r="JH186" s="13">
        <f t="shared" si="220"/>
        <v>0</v>
      </c>
      <c r="JI186" s="13">
        <f t="shared" si="221"/>
        <v>0</v>
      </c>
      <c r="JJ186" s="13">
        <f t="shared" si="222"/>
        <v>0</v>
      </c>
      <c r="JK186" s="13">
        <f t="shared" si="223"/>
        <v>0</v>
      </c>
      <c r="JL186" s="13">
        <f t="shared" si="224"/>
        <v>0</v>
      </c>
      <c r="JM186" s="13">
        <f t="shared" si="225"/>
        <v>0</v>
      </c>
      <c r="JN186" s="13">
        <f t="shared" si="226"/>
        <v>0</v>
      </c>
      <c r="JO186" s="13">
        <f t="shared" si="227"/>
        <v>0</v>
      </c>
      <c r="JP186" s="13">
        <f t="shared" si="228"/>
        <v>0</v>
      </c>
      <c r="JQ186" s="13">
        <f t="shared" si="229"/>
        <v>0</v>
      </c>
      <c r="JR186" s="13">
        <f t="shared" si="230"/>
        <v>0</v>
      </c>
      <c r="JS186" s="13">
        <f t="shared" si="231"/>
        <v>0</v>
      </c>
      <c r="JT186" s="13">
        <f t="shared" si="232"/>
        <v>0</v>
      </c>
      <c r="JU186" s="13">
        <f t="shared" si="233"/>
        <v>0</v>
      </c>
      <c r="JV186" s="12">
        <f t="shared" si="234"/>
        <v>0</v>
      </c>
      <c r="JW186" s="12">
        <f t="shared" si="235"/>
        <v>0</v>
      </c>
      <c r="JX186" s="12">
        <f t="shared" si="236"/>
        <v>0</v>
      </c>
      <c r="JY186" s="12">
        <f t="shared" si="237"/>
        <v>0</v>
      </c>
      <c r="JZ186" s="12">
        <f t="shared" si="238"/>
        <v>0</v>
      </c>
      <c r="KA186" s="12">
        <f t="shared" si="239"/>
        <v>0</v>
      </c>
      <c r="KB186" s="12">
        <f t="shared" si="240"/>
        <v>0</v>
      </c>
      <c r="KC186" s="12">
        <f t="shared" si="241"/>
        <v>0</v>
      </c>
      <c r="KD186" s="12">
        <f t="shared" si="242"/>
        <v>0</v>
      </c>
      <c r="KE186" s="12">
        <f t="shared" si="243"/>
        <v>0</v>
      </c>
      <c r="KF186" s="12">
        <f t="shared" si="244"/>
        <v>0</v>
      </c>
      <c r="KG186" s="12">
        <f t="shared" si="245"/>
        <v>0</v>
      </c>
      <c r="KH186" s="12">
        <f t="shared" si="246"/>
        <v>0</v>
      </c>
      <c r="KI186" s="12">
        <f t="shared" si="247"/>
        <v>0</v>
      </c>
      <c r="KJ186" s="12">
        <f t="shared" si="248"/>
        <v>0</v>
      </c>
      <c r="KK186" s="12">
        <f t="shared" si="249"/>
        <v>0</v>
      </c>
      <c r="KL186" s="12">
        <f t="shared" si="250"/>
        <v>0</v>
      </c>
      <c r="KM186" s="12">
        <f t="shared" si="251"/>
        <v>0</v>
      </c>
      <c r="KN186" s="12">
        <f t="shared" si="252"/>
        <v>0</v>
      </c>
      <c r="KO186" s="12">
        <f t="shared" si="253"/>
        <v>0</v>
      </c>
      <c r="KP186" s="12">
        <f t="shared" si="254"/>
        <v>0</v>
      </c>
      <c r="KQ186" s="12">
        <f t="shared" si="255"/>
        <v>0</v>
      </c>
      <c r="KR186" s="12">
        <f t="shared" si="256"/>
        <v>0</v>
      </c>
      <c r="KS186" s="12">
        <f t="shared" si="257"/>
        <v>0</v>
      </c>
      <c r="KT186" s="12">
        <f t="shared" si="258"/>
        <v>0</v>
      </c>
      <c r="KU186" s="12">
        <f t="shared" si="259"/>
        <v>0</v>
      </c>
      <c r="KV186" s="12">
        <f t="shared" si="260"/>
        <v>0</v>
      </c>
      <c r="KW186" s="12">
        <f t="shared" si="261"/>
        <v>0</v>
      </c>
      <c r="KX186" s="12">
        <f t="shared" si="262"/>
        <v>0</v>
      </c>
      <c r="KY186" s="12">
        <f t="shared" si="263"/>
        <v>0</v>
      </c>
      <c r="KZ186" s="12">
        <f t="shared" si="264"/>
        <v>0</v>
      </c>
      <c r="LA186" s="12">
        <f t="shared" si="265"/>
        <v>0</v>
      </c>
      <c r="LB186" s="12">
        <f t="shared" si="266"/>
        <v>0</v>
      </c>
      <c r="LC186" s="12">
        <f t="shared" si="267"/>
        <v>0</v>
      </c>
      <c r="LD186" s="12">
        <f t="shared" si="268"/>
        <v>0</v>
      </c>
      <c r="LE186" s="12">
        <f t="shared" si="269"/>
        <v>0</v>
      </c>
      <c r="LF186" s="12">
        <f t="shared" si="270"/>
        <v>0</v>
      </c>
      <c r="LG186" s="12">
        <f t="shared" si="271"/>
        <v>0</v>
      </c>
      <c r="LH186" s="12">
        <f t="shared" si="272"/>
        <v>0</v>
      </c>
      <c r="LI186" s="12">
        <f t="shared" si="273"/>
        <v>0</v>
      </c>
      <c r="LJ186" s="12">
        <f t="shared" si="274"/>
        <v>0</v>
      </c>
      <c r="LK186" s="12">
        <f t="shared" si="275"/>
        <v>0</v>
      </c>
      <c r="LL186" s="12">
        <f t="shared" si="276"/>
        <v>0</v>
      </c>
      <c r="LM186" s="12">
        <f t="shared" si="277"/>
        <v>0</v>
      </c>
      <c r="LN186" s="12">
        <f t="shared" si="278"/>
        <v>0</v>
      </c>
      <c r="LO186" s="12">
        <f t="shared" si="279"/>
        <v>0</v>
      </c>
      <c r="LP186" s="12">
        <f t="shared" si="280"/>
        <v>0</v>
      </c>
      <c r="LQ186" s="12">
        <f t="shared" si="281"/>
        <v>0</v>
      </c>
      <c r="LR186" s="12">
        <f t="shared" si="282"/>
        <v>0</v>
      </c>
      <c r="LS186" s="12">
        <f t="shared" si="283"/>
        <v>0</v>
      </c>
      <c r="LT186" s="13">
        <f t="shared" si="284"/>
        <v>0</v>
      </c>
      <c r="LU186" s="13">
        <f t="shared" si="285"/>
        <v>0</v>
      </c>
      <c r="LV186" s="13">
        <f t="shared" si="286"/>
        <v>0</v>
      </c>
      <c r="LW186" s="13">
        <f t="shared" si="287"/>
        <v>0</v>
      </c>
      <c r="LX186" s="13">
        <f t="shared" si="288"/>
        <v>0</v>
      </c>
      <c r="LY186" s="13">
        <f t="shared" si="289"/>
        <v>0</v>
      </c>
      <c r="LZ186" s="13">
        <f t="shared" si="290"/>
        <v>0</v>
      </c>
      <c r="MA186" s="13">
        <f t="shared" si="291"/>
        <v>0</v>
      </c>
      <c r="MB186" s="13">
        <f t="shared" si="292"/>
        <v>0</v>
      </c>
      <c r="MC186" s="13">
        <f t="shared" si="293"/>
        <v>0</v>
      </c>
      <c r="MD186" s="13">
        <f t="shared" si="294"/>
        <v>0</v>
      </c>
      <c r="ME186" s="13">
        <f t="shared" si="295"/>
        <v>0</v>
      </c>
      <c r="MF186" s="13">
        <f t="shared" si="296"/>
        <v>0</v>
      </c>
      <c r="MG186" s="13">
        <f t="shared" si="297"/>
        <v>0</v>
      </c>
      <c r="MH186" s="13">
        <f t="shared" si="298"/>
        <v>0</v>
      </c>
      <c r="MI186" s="13">
        <f t="shared" si="299"/>
        <v>0</v>
      </c>
      <c r="MJ186" s="13">
        <f t="shared" si="300"/>
        <v>0</v>
      </c>
      <c r="MK186" s="13">
        <f t="shared" si="301"/>
        <v>0</v>
      </c>
      <c r="ML186" s="14">
        <f t="shared" si="302"/>
        <v>0</v>
      </c>
      <c r="MM186" s="14">
        <f t="shared" si="303"/>
        <v>0</v>
      </c>
      <c r="MN186" s="14">
        <f t="shared" si="304"/>
        <v>0</v>
      </c>
      <c r="MO186" s="14">
        <f t="shared" si="305"/>
        <v>0</v>
      </c>
      <c r="MP186" s="14">
        <f t="shared" si="306"/>
        <v>0</v>
      </c>
      <c r="MQ186" s="14">
        <f t="shared" si="307"/>
        <v>0</v>
      </c>
      <c r="MR186" s="14">
        <f t="shared" si="308"/>
        <v>0</v>
      </c>
      <c r="MS186" s="14">
        <f t="shared" si="309"/>
        <v>0</v>
      </c>
      <c r="MT186" s="14">
        <f t="shared" si="310"/>
        <v>0</v>
      </c>
      <c r="MU186" s="14">
        <f t="shared" si="311"/>
        <v>0</v>
      </c>
      <c r="MV186" s="14">
        <f t="shared" si="312"/>
        <v>0</v>
      </c>
      <c r="MW186" s="14">
        <f t="shared" si="313"/>
        <v>0</v>
      </c>
      <c r="MX186" s="14">
        <f t="shared" si="314"/>
        <v>0</v>
      </c>
      <c r="MY186" s="14">
        <f t="shared" si="315"/>
        <v>0</v>
      </c>
      <c r="MZ186" s="14">
        <f t="shared" si="316"/>
        <v>0</v>
      </c>
      <c r="NA186" s="14">
        <f t="shared" si="317"/>
        <v>0</v>
      </c>
      <c r="NB186" s="14">
        <f t="shared" si="318"/>
        <v>0</v>
      </c>
    </row>
    <row r="187" ht="15.75" customHeight="1">
      <c r="A187" s="2">
        <v>143.0</v>
      </c>
      <c r="B187" s="2" t="s">
        <v>3484</v>
      </c>
      <c r="C187" s="2" t="s">
        <v>3485</v>
      </c>
      <c r="D187" s="2" t="s">
        <v>3486</v>
      </c>
      <c r="E187" s="2">
        <v>2021.0</v>
      </c>
      <c r="F187" s="2" t="s">
        <v>3487</v>
      </c>
      <c r="G187" s="2" t="s">
        <v>940</v>
      </c>
      <c r="J187" s="2" t="s">
        <v>494</v>
      </c>
      <c r="K187" s="2" t="s">
        <v>3488</v>
      </c>
      <c r="M187" s="2">
        <v>1.0</v>
      </c>
      <c r="N187" s="2" t="s">
        <v>3489</v>
      </c>
      <c r="O187" s="2" t="s">
        <v>3490</v>
      </c>
      <c r="P187" s="2" t="s">
        <v>3491</v>
      </c>
      <c r="Q187" s="2" t="s">
        <v>3492</v>
      </c>
      <c r="R187" s="2" t="s">
        <v>3493</v>
      </c>
      <c r="S187" s="2" t="s">
        <v>3494</v>
      </c>
      <c r="Y187" s="2" t="s">
        <v>3495</v>
      </c>
      <c r="AB187" s="2" t="s">
        <v>3496</v>
      </c>
      <c r="AG187" s="2" t="s">
        <v>3497</v>
      </c>
      <c r="AK187" s="2" t="s">
        <v>3498</v>
      </c>
      <c r="AL187" s="2" t="s">
        <v>384</v>
      </c>
      <c r="AM187" s="2" t="s">
        <v>650</v>
      </c>
      <c r="AN187" s="2" t="s">
        <v>386</v>
      </c>
      <c r="AO187" s="2" t="s">
        <v>3499</v>
      </c>
      <c r="AP187" s="2" t="s">
        <v>386</v>
      </c>
      <c r="AQ187" s="2">
        <v>469.0</v>
      </c>
      <c r="AR187" s="2" t="s">
        <v>3500</v>
      </c>
      <c r="AS187" s="2" t="b">
        <v>0</v>
      </c>
      <c r="AT187" s="3">
        <v>0.0</v>
      </c>
      <c r="AU187" s="4">
        <v>1.0</v>
      </c>
      <c r="AV187" s="4"/>
      <c r="AW187" s="5">
        <f t="shared" si="432"/>
        <v>0</v>
      </c>
      <c r="AX187" s="5">
        <f t="shared" si="4"/>
        <v>0</v>
      </c>
      <c r="AY187" s="5">
        <f t="shared" si="5"/>
        <v>0</v>
      </c>
      <c r="AZ187" s="5">
        <f t="shared" si="6"/>
        <v>0</v>
      </c>
      <c r="BA187" s="5">
        <f t="shared" si="7"/>
        <v>0</v>
      </c>
      <c r="BB187" s="5">
        <f t="shared" si="8"/>
        <v>0</v>
      </c>
      <c r="BC187" s="5">
        <f t="shared" si="9"/>
        <v>0</v>
      </c>
      <c r="BD187" s="5">
        <f t="shared" si="10"/>
        <v>0</v>
      </c>
      <c r="BE187" s="5">
        <f t="shared" si="11"/>
        <v>0</v>
      </c>
      <c r="BF187" s="5">
        <f t="shared" si="12"/>
        <v>0</v>
      </c>
      <c r="BG187" s="5">
        <f t="shared" si="13"/>
        <v>0</v>
      </c>
      <c r="BH187" s="5">
        <f t="shared" si="14"/>
        <v>0</v>
      </c>
      <c r="BI187" s="5">
        <f t="shared" si="15"/>
        <v>0</v>
      </c>
      <c r="BJ187" s="5">
        <f t="shared" si="16"/>
        <v>0</v>
      </c>
      <c r="BK187" s="5">
        <f t="shared" si="17"/>
        <v>0</v>
      </c>
      <c r="BL187" s="5">
        <f t="shared" si="18"/>
        <v>0</v>
      </c>
      <c r="BM187" s="5">
        <f t="shared" si="19"/>
        <v>0</v>
      </c>
      <c r="BN187" s="5">
        <f t="shared" si="20"/>
        <v>0</v>
      </c>
      <c r="BO187" s="5">
        <f t="shared" si="21"/>
        <v>0</v>
      </c>
      <c r="BP187" s="5">
        <f t="shared" si="22"/>
        <v>0</v>
      </c>
      <c r="BQ187" s="5">
        <f t="shared" si="23"/>
        <v>0</v>
      </c>
      <c r="BR187" s="5">
        <f t="shared" si="24"/>
        <v>0</v>
      </c>
      <c r="BS187" s="5">
        <f t="shared" si="25"/>
        <v>0</v>
      </c>
      <c r="BT187" s="5">
        <f t="shared" si="26"/>
        <v>0</v>
      </c>
      <c r="BU187" s="5">
        <f t="shared" si="27"/>
        <v>0</v>
      </c>
      <c r="BV187" s="5">
        <f t="shared" ref="BV187:BW187" si="730">IF(OR(ISNUMBER(SEARCH("grit",$D187)),ISNUMBER(SEARCH("grit",$T187)),ISNUMBER(SEARCH("grit",$R187)),ISNUMBER(SEARCH("grit",$S187)),
ISNUMBER(SEARCH("determination",$D187)),ISNUMBER(SEARCH("determination",$T187)),ISNUMBER(SEARCH("determination",$R187)),ISNUMBER(SEARCH("determination",$S187)),
ISNUMBER(SEARCH("tenacity",$D187)),ISNUMBER(SEARCH("tenacity",$T187)),ISNUMBER(SEARCH("tenacity",$R187)),ISNUMBER(SEARCH("tenacity",$S187)),
ISNUMBER(SEARCH("endurance",$D187)),ISNUMBER(SEARCH("endurance",$T187)),ISNUMBER(SEARCH("endurance",$R187)),ISNUMBER(SEARCH("endurance",$S187)),
ISNUMBER(SEARCH("fortitude",$D187)),ISNUMBER(SEARCH("fortitude",$T187)),ISNUMBER(SEARCH("fortitude",$R187)),ISNUMBER(SEARCH("fortitude",$S187)),
ISNUMBER(SEARCH("resolve",$D187)),ISNUMBER(SEARCH("resolve",$T187)),ISNUMBER(SEARCH("resolve",$R187)),ISNUMBER(SEARCH("resolve",$S187)),
ISNUMBER(SEARCH("stamina",$D187)),ISNUMBER(SEARCH("stamina",$T187)),ISNUMBER(SEARCH("stamina",$R187)),ISNUMBER(SEARCH("stamina",$S187)),
ISNUMBER(SEARCH("guts",$D187)),ISNUMBER(SEARCH("guts",$T187)),ISNUMBER(SEARCH("guts",$R187)),ISNUMBER(SEARCH("guts",$S187)),
ISNUMBER(SEARCH("spunk",$D187)),ISNUMBER(SEARCH("spunk",$T187)),ISNUMBER(SEARCH("spunk",$R187)),ISNUMBER(SEARCH("spunk",$S187))), 1, 0)</f>
        <v>0</v>
      </c>
      <c r="BW187" s="5">
        <f t="shared" si="730"/>
        <v>0</v>
      </c>
      <c r="BX187" s="5">
        <f t="shared" si="29"/>
        <v>0</v>
      </c>
      <c r="BY187" s="5">
        <f t="shared" si="30"/>
        <v>0</v>
      </c>
      <c r="BZ187" s="5">
        <f t="shared" si="31"/>
        <v>0</v>
      </c>
      <c r="CA187" s="5">
        <f t="shared" si="32"/>
        <v>0</v>
      </c>
      <c r="CB187" s="5">
        <f t="shared" si="33"/>
        <v>0</v>
      </c>
      <c r="CC187" s="5">
        <f t="shared" si="34"/>
        <v>0</v>
      </c>
      <c r="CD187" s="5">
        <f t="shared" si="35"/>
        <v>0</v>
      </c>
      <c r="CE187" s="5">
        <f t="shared" si="36"/>
        <v>0</v>
      </c>
      <c r="CF187" s="5">
        <f t="shared" si="37"/>
        <v>0</v>
      </c>
      <c r="CG187" s="5">
        <f t="shared" si="38"/>
        <v>0</v>
      </c>
      <c r="CH187" s="5">
        <f t="shared" si="39"/>
        <v>0</v>
      </c>
      <c r="CI187" s="5">
        <f t="shared" si="40"/>
        <v>0</v>
      </c>
      <c r="CJ187" s="5">
        <f t="shared" si="41"/>
        <v>0</v>
      </c>
      <c r="CK187" s="5">
        <f t="shared" si="42"/>
        <v>0</v>
      </c>
      <c r="CL187" s="5">
        <f t="shared" si="43"/>
        <v>0</v>
      </c>
      <c r="CM187" s="5">
        <f t="shared" si="44"/>
        <v>0</v>
      </c>
      <c r="CN187" s="5">
        <f t="shared" si="45"/>
        <v>0</v>
      </c>
      <c r="CO187" s="5">
        <f t="shared" si="46"/>
        <v>0</v>
      </c>
      <c r="CP187" s="6">
        <f t="shared" si="47"/>
        <v>0</v>
      </c>
      <c r="CQ187" s="6">
        <f t="shared" si="48"/>
        <v>0</v>
      </c>
      <c r="CR187" s="6">
        <f t="shared" si="49"/>
        <v>0</v>
      </c>
      <c r="CS187" s="6">
        <f t="shared" si="50"/>
        <v>0</v>
      </c>
      <c r="CT187" s="6">
        <f t="shared" si="584"/>
        <v>0</v>
      </c>
      <c r="CU187" s="6">
        <f t="shared" si="52"/>
        <v>0</v>
      </c>
      <c r="CV187" s="6">
        <f t="shared" si="53"/>
        <v>0</v>
      </c>
      <c r="CW187" s="6">
        <f t="shared" si="54"/>
        <v>0</v>
      </c>
      <c r="CX187" s="6">
        <f t="shared" si="55"/>
        <v>0</v>
      </c>
      <c r="CY187" s="6">
        <f t="shared" si="56"/>
        <v>0</v>
      </c>
      <c r="CZ187" s="6">
        <f t="shared" si="57"/>
        <v>0</v>
      </c>
      <c r="DA187" s="6">
        <f t="shared" si="58"/>
        <v>0</v>
      </c>
      <c r="DB187" s="6">
        <f t="shared" si="59"/>
        <v>0</v>
      </c>
      <c r="DC187" s="6">
        <f t="shared" si="60"/>
        <v>0</v>
      </c>
      <c r="DD187" s="6">
        <f t="shared" si="61"/>
        <v>0</v>
      </c>
      <c r="DE187" s="6">
        <f t="shared" si="62"/>
        <v>0</v>
      </c>
      <c r="DF187" s="6">
        <f t="shared" si="63"/>
        <v>0</v>
      </c>
      <c r="DG187" s="6">
        <f t="shared" si="64"/>
        <v>0</v>
      </c>
      <c r="DH187" s="6">
        <f t="shared" si="697"/>
        <v>0</v>
      </c>
      <c r="DI187" s="6">
        <f t="shared" si="66"/>
        <v>0</v>
      </c>
      <c r="DJ187" s="6">
        <f t="shared" si="653"/>
        <v>0</v>
      </c>
      <c r="DK187" s="7">
        <f t="shared" si="68"/>
        <v>0</v>
      </c>
      <c r="DL187" s="7">
        <f t="shared" si="498"/>
        <v>0</v>
      </c>
      <c r="DM187" s="7">
        <f t="shared" si="70"/>
        <v>0</v>
      </c>
      <c r="DN187" s="7">
        <f t="shared" si="71"/>
        <v>0</v>
      </c>
      <c r="DO187" s="7">
        <f t="shared" si="72"/>
        <v>0</v>
      </c>
      <c r="DP187" s="8">
        <f t="shared" si="73"/>
        <v>0</v>
      </c>
      <c r="DQ187" s="8">
        <f t="shared" si="74"/>
        <v>0</v>
      </c>
      <c r="DR187" s="7">
        <f t="shared" si="75"/>
        <v>0</v>
      </c>
      <c r="DS187" s="7">
        <f t="shared" si="76"/>
        <v>0</v>
      </c>
      <c r="DT187" s="7">
        <f t="shared" si="77"/>
        <v>0</v>
      </c>
      <c r="DU187" s="9">
        <f t="shared" si="78"/>
        <v>0</v>
      </c>
      <c r="DV187" s="9">
        <f t="shared" si="79"/>
        <v>0</v>
      </c>
      <c r="DW187" s="9">
        <f t="shared" si="80"/>
        <v>0</v>
      </c>
      <c r="DX187" s="9">
        <f t="shared" si="81"/>
        <v>0</v>
      </c>
      <c r="DY187" s="9">
        <f t="shared" si="82"/>
        <v>0</v>
      </c>
      <c r="DZ187" s="9">
        <f t="shared" si="83"/>
        <v>0</v>
      </c>
      <c r="EA187" s="9">
        <f t="shared" si="84"/>
        <v>0</v>
      </c>
      <c r="EB187" s="9">
        <f t="shared" si="85"/>
        <v>0</v>
      </c>
      <c r="EC187" s="9">
        <f t="shared" si="86"/>
        <v>0</v>
      </c>
      <c r="ED187" s="9">
        <f t="shared" si="87"/>
        <v>0</v>
      </c>
      <c r="EE187" s="9">
        <f t="shared" si="88"/>
        <v>0</v>
      </c>
      <c r="EF187" s="9">
        <f t="shared" si="89"/>
        <v>0</v>
      </c>
      <c r="EG187" s="9">
        <f t="shared" si="90"/>
        <v>0</v>
      </c>
      <c r="EH187" s="9">
        <f t="shared" si="91"/>
        <v>0</v>
      </c>
      <c r="EI187" s="9">
        <f t="shared" si="92"/>
        <v>0</v>
      </c>
      <c r="EJ187" s="10">
        <f t="shared" si="93"/>
        <v>0</v>
      </c>
      <c r="EK187" s="10">
        <f t="shared" si="94"/>
        <v>0</v>
      </c>
      <c r="EL187" s="10">
        <f t="shared" ref="EL187:EM187" si="731">IF(OR(ISNUMBER(SEARCH("ai software toolkit", $D187)), ISNUMBER(SEARCH("ai software toolkit", $T187)), ISNUMBER(SEARCH("ai software toolkit", $R187)), ISNUMBER(SEARCH("ai software toolkit", $S187))), 1, 0)</f>
        <v>0</v>
      </c>
      <c r="EM187" s="10">
        <f t="shared" si="731"/>
        <v>0</v>
      </c>
      <c r="EN187" s="10">
        <f t="shared" si="96"/>
        <v>0</v>
      </c>
      <c r="EO187" s="10">
        <f t="shared" si="97"/>
        <v>0</v>
      </c>
      <c r="EP187" s="10">
        <f t="shared" si="98"/>
        <v>0</v>
      </c>
      <c r="EQ187" s="10">
        <f t="shared" si="99"/>
        <v>0</v>
      </c>
      <c r="ER187" s="10">
        <f t="shared" si="100"/>
        <v>0</v>
      </c>
      <c r="ES187" s="10">
        <f t="shared" si="101"/>
        <v>0</v>
      </c>
      <c r="ET187" s="10">
        <f t="shared" si="102"/>
        <v>0</v>
      </c>
      <c r="EU187" s="10">
        <f t="shared" si="103"/>
        <v>0</v>
      </c>
      <c r="EV187" s="10">
        <f t="shared" si="104"/>
        <v>0</v>
      </c>
      <c r="EW187" s="10">
        <f t="shared" si="105"/>
        <v>0</v>
      </c>
      <c r="EX187" s="10">
        <f t="shared" si="106"/>
        <v>0</v>
      </c>
      <c r="EY187" s="10">
        <f t="shared" si="107"/>
        <v>0</v>
      </c>
      <c r="EZ187" s="10">
        <f t="shared" si="108"/>
        <v>0</v>
      </c>
      <c r="FA187" s="10">
        <f t="shared" si="109"/>
        <v>0</v>
      </c>
      <c r="FB187" s="10">
        <f t="shared" si="110"/>
        <v>0</v>
      </c>
      <c r="FC187" s="10">
        <f t="shared" si="111"/>
        <v>0</v>
      </c>
      <c r="FD187" s="10">
        <f t="shared" si="112"/>
        <v>0</v>
      </c>
      <c r="FE187" s="10">
        <f t="shared" si="113"/>
        <v>0</v>
      </c>
      <c r="FF187" s="10">
        <f t="shared" si="114"/>
        <v>0</v>
      </c>
      <c r="FG187" s="10">
        <f t="shared" si="115"/>
        <v>0</v>
      </c>
      <c r="FH187" s="10">
        <f t="shared" si="116"/>
        <v>0</v>
      </c>
      <c r="FI187" s="10">
        <f t="shared" si="117"/>
        <v>0</v>
      </c>
      <c r="FJ187" s="10">
        <f t="shared" si="118"/>
        <v>0</v>
      </c>
      <c r="FK187" s="10">
        <f t="shared" si="119"/>
        <v>0</v>
      </c>
      <c r="FL187" s="10">
        <f t="shared" si="120"/>
        <v>0</v>
      </c>
      <c r="FM187" s="10">
        <f t="shared" si="121"/>
        <v>0</v>
      </c>
      <c r="FN187" s="10">
        <f t="shared" si="122"/>
        <v>0</v>
      </c>
      <c r="FO187" s="10">
        <f t="shared" si="123"/>
        <v>0</v>
      </c>
      <c r="FP187" s="10">
        <f t="shared" si="124"/>
        <v>0</v>
      </c>
      <c r="FQ187" s="10">
        <f t="shared" si="125"/>
        <v>0</v>
      </c>
      <c r="FR187" s="11">
        <f t="shared" si="709"/>
        <v>0</v>
      </c>
      <c r="FS187" s="11">
        <f t="shared" si="127"/>
        <v>0</v>
      </c>
      <c r="FT187" s="11">
        <f t="shared" si="128"/>
        <v>0</v>
      </c>
      <c r="FU187" s="11">
        <f t="shared" si="129"/>
        <v>0</v>
      </c>
      <c r="FV187" s="11">
        <f t="shared" si="130"/>
        <v>0</v>
      </c>
      <c r="FW187" s="11">
        <f t="shared" si="131"/>
        <v>0</v>
      </c>
      <c r="FX187" s="11">
        <f t="shared" si="132"/>
        <v>0</v>
      </c>
      <c r="FY187" s="11">
        <f t="shared" si="133"/>
        <v>0</v>
      </c>
      <c r="FZ187" s="11">
        <f t="shared" si="134"/>
        <v>0</v>
      </c>
      <c r="GA187" s="11">
        <f t="shared" si="135"/>
        <v>0</v>
      </c>
      <c r="GB187" s="11">
        <f t="shared" si="136"/>
        <v>0</v>
      </c>
      <c r="GC187" s="11">
        <f t="shared" si="137"/>
        <v>0</v>
      </c>
      <c r="GD187" s="11">
        <f t="shared" si="138"/>
        <v>0</v>
      </c>
      <c r="GE187" s="11">
        <f t="shared" si="139"/>
        <v>0</v>
      </c>
      <c r="GF187" s="11">
        <f t="shared" si="140"/>
        <v>0</v>
      </c>
      <c r="GG187" s="11">
        <f t="shared" si="141"/>
        <v>0</v>
      </c>
      <c r="GH187" s="11">
        <f t="shared" si="142"/>
        <v>0</v>
      </c>
      <c r="GI187" s="11">
        <f t="shared" si="143"/>
        <v>0</v>
      </c>
      <c r="GJ187" s="11">
        <f t="shared" si="144"/>
        <v>0</v>
      </c>
      <c r="GK187" s="11">
        <f t="shared" si="145"/>
        <v>0</v>
      </c>
      <c r="GL187" s="11">
        <f t="shared" si="146"/>
        <v>0</v>
      </c>
      <c r="GM187" s="11">
        <f t="shared" si="147"/>
        <v>0</v>
      </c>
      <c r="GN187" s="11">
        <f t="shared" si="148"/>
        <v>0</v>
      </c>
      <c r="GO187" s="11">
        <f t="shared" si="149"/>
        <v>0</v>
      </c>
      <c r="GP187" s="11">
        <f t="shared" si="150"/>
        <v>0</v>
      </c>
      <c r="GQ187" s="11">
        <f t="shared" si="151"/>
        <v>0</v>
      </c>
      <c r="GR187" s="11">
        <f t="shared" si="152"/>
        <v>0</v>
      </c>
      <c r="GS187" s="11">
        <f t="shared" si="153"/>
        <v>0</v>
      </c>
      <c r="GT187" s="11">
        <f t="shared" si="154"/>
        <v>0</v>
      </c>
      <c r="GU187" s="12">
        <f t="shared" si="155"/>
        <v>0</v>
      </c>
      <c r="GV187" s="12">
        <f t="shared" si="156"/>
        <v>0</v>
      </c>
      <c r="GW187" s="12">
        <f t="shared" si="157"/>
        <v>0</v>
      </c>
      <c r="GX187" s="12">
        <f t="shared" si="158"/>
        <v>0</v>
      </c>
      <c r="GY187" s="12">
        <f t="shared" si="159"/>
        <v>0</v>
      </c>
      <c r="GZ187" s="12">
        <f t="shared" si="160"/>
        <v>0</v>
      </c>
      <c r="HA187" s="12">
        <f t="shared" si="161"/>
        <v>0</v>
      </c>
      <c r="HB187" s="12">
        <f t="shared" si="162"/>
        <v>0</v>
      </c>
      <c r="HC187" s="12">
        <f t="shared" si="163"/>
        <v>0</v>
      </c>
      <c r="HD187" s="12">
        <f t="shared" si="164"/>
        <v>0</v>
      </c>
      <c r="HE187" s="12">
        <f t="shared" si="165"/>
        <v>0</v>
      </c>
      <c r="HF187" s="12">
        <f t="shared" si="166"/>
        <v>0</v>
      </c>
      <c r="HG187" s="12">
        <f t="shared" si="167"/>
        <v>0</v>
      </c>
      <c r="HH187" s="12">
        <f t="shared" si="168"/>
        <v>0</v>
      </c>
      <c r="HI187" s="12">
        <f t="shared" si="169"/>
        <v>0</v>
      </c>
      <c r="HJ187" s="12">
        <f t="shared" si="170"/>
        <v>0</v>
      </c>
      <c r="HK187" s="12">
        <f t="shared" si="171"/>
        <v>0</v>
      </c>
      <c r="HL187" s="12">
        <f t="shared" si="172"/>
        <v>0</v>
      </c>
      <c r="HM187" s="12">
        <f t="shared" si="173"/>
        <v>0</v>
      </c>
      <c r="HN187" s="12">
        <f t="shared" si="174"/>
        <v>0</v>
      </c>
      <c r="HO187" s="12">
        <f t="shared" si="175"/>
        <v>0</v>
      </c>
      <c r="HP187" s="12">
        <f t="shared" si="176"/>
        <v>0</v>
      </c>
      <c r="HQ187" s="12">
        <f t="shared" si="177"/>
        <v>0</v>
      </c>
      <c r="HR187" s="12">
        <f t="shared" si="178"/>
        <v>0</v>
      </c>
      <c r="HS187" s="12">
        <f t="shared" si="179"/>
        <v>0</v>
      </c>
      <c r="HT187" s="12">
        <f t="shared" si="180"/>
        <v>0</v>
      </c>
      <c r="HU187" s="12">
        <f t="shared" si="181"/>
        <v>0</v>
      </c>
      <c r="HV187" s="12">
        <f t="shared" si="182"/>
        <v>0</v>
      </c>
      <c r="HW187" s="12">
        <f t="shared" si="183"/>
        <v>0</v>
      </c>
      <c r="HX187" s="12">
        <f t="shared" si="184"/>
        <v>0</v>
      </c>
      <c r="HY187" s="12">
        <f t="shared" si="185"/>
        <v>0</v>
      </c>
      <c r="HZ187" s="12">
        <f t="shared" si="186"/>
        <v>0</v>
      </c>
      <c r="IA187" s="12">
        <f t="shared" si="187"/>
        <v>0</v>
      </c>
      <c r="IB187" s="12">
        <f t="shared" si="188"/>
        <v>0</v>
      </c>
      <c r="IC187" s="12">
        <f t="shared" si="189"/>
        <v>0</v>
      </c>
      <c r="ID187" s="12">
        <f t="shared" si="190"/>
        <v>0</v>
      </c>
      <c r="IE187" s="12">
        <f t="shared" si="191"/>
        <v>0</v>
      </c>
      <c r="IF187" s="12">
        <f t="shared" si="192"/>
        <v>0</v>
      </c>
      <c r="IG187" s="12">
        <f t="shared" si="193"/>
        <v>0</v>
      </c>
      <c r="IH187" s="12">
        <f t="shared" si="194"/>
        <v>0</v>
      </c>
      <c r="II187" s="12">
        <f t="shared" si="195"/>
        <v>0</v>
      </c>
      <c r="IJ187" s="12">
        <f t="shared" si="196"/>
        <v>0</v>
      </c>
      <c r="IK187" s="12">
        <f t="shared" si="197"/>
        <v>0</v>
      </c>
      <c r="IL187" s="12">
        <f t="shared" si="198"/>
        <v>0</v>
      </c>
      <c r="IM187" s="12">
        <f t="shared" si="199"/>
        <v>0</v>
      </c>
      <c r="IN187" s="12">
        <f t="shared" si="200"/>
        <v>0</v>
      </c>
      <c r="IO187" s="12">
        <f t="shared" si="201"/>
        <v>0</v>
      </c>
      <c r="IP187" s="12">
        <f t="shared" si="202"/>
        <v>0</v>
      </c>
      <c r="IQ187" s="12">
        <f t="shared" si="203"/>
        <v>0</v>
      </c>
      <c r="IR187" s="12">
        <f t="shared" si="204"/>
        <v>0</v>
      </c>
      <c r="IS187" s="12">
        <f t="shared" si="205"/>
        <v>0</v>
      </c>
      <c r="IT187" s="12">
        <f t="shared" si="206"/>
        <v>0</v>
      </c>
      <c r="IU187" s="12">
        <f t="shared" si="207"/>
        <v>0</v>
      </c>
      <c r="IV187" s="12">
        <f t="shared" si="208"/>
        <v>0</v>
      </c>
      <c r="IW187" s="12">
        <f t="shared" si="209"/>
        <v>0</v>
      </c>
      <c r="IX187" s="12">
        <f t="shared" si="210"/>
        <v>0</v>
      </c>
      <c r="IY187" s="12">
        <f t="shared" si="211"/>
        <v>0</v>
      </c>
      <c r="IZ187" s="12">
        <f t="shared" si="212"/>
        <v>0</v>
      </c>
      <c r="JA187" s="13">
        <f t="shared" si="213"/>
        <v>0</v>
      </c>
      <c r="JB187" s="13">
        <f t="shared" si="214"/>
        <v>0</v>
      </c>
      <c r="JC187" s="13">
        <f t="shared" si="215"/>
        <v>0</v>
      </c>
      <c r="JD187" s="13">
        <f t="shared" si="216"/>
        <v>0</v>
      </c>
      <c r="JE187" s="13">
        <f t="shared" si="217"/>
        <v>0</v>
      </c>
      <c r="JF187" s="13">
        <f t="shared" si="218"/>
        <v>0</v>
      </c>
      <c r="JG187" s="13">
        <f t="shared" si="219"/>
        <v>0</v>
      </c>
      <c r="JH187" s="13">
        <f t="shared" si="220"/>
        <v>0</v>
      </c>
      <c r="JI187" s="13">
        <f t="shared" si="221"/>
        <v>0</v>
      </c>
      <c r="JJ187" s="13">
        <f t="shared" si="222"/>
        <v>0</v>
      </c>
      <c r="JK187" s="13">
        <f t="shared" si="223"/>
        <v>0</v>
      </c>
      <c r="JL187" s="13">
        <f t="shared" si="224"/>
        <v>0</v>
      </c>
      <c r="JM187" s="13">
        <f t="shared" si="225"/>
        <v>0</v>
      </c>
      <c r="JN187" s="13">
        <f t="shared" si="226"/>
        <v>0</v>
      </c>
      <c r="JO187" s="13">
        <f t="shared" si="227"/>
        <v>0</v>
      </c>
      <c r="JP187" s="13">
        <f t="shared" si="228"/>
        <v>0</v>
      </c>
      <c r="JQ187" s="13">
        <f t="shared" si="229"/>
        <v>0</v>
      </c>
      <c r="JR187" s="13">
        <f t="shared" si="230"/>
        <v>0</v>
      </c>
      <c r="JS187" s="13">
        <f t="shared" si="231"/>
        <v>0</v>
      </c>
      <c r="JT187" s="13">
        <f t="shared" si="232"/>
        <v>0</v>
      </c>
      <c r="JU187" s="13">
        <f t="shared" si="233"/>
        <v>0</v>
      </c>
      <c r="JV187" s="12">
        <f t="shared" si="234"/>
        <v>0</v>
      </c>
      <c r="JW187" s="12">
        <f t="shared" si="235"/>
        <v>0</v>
      </c>
      <c r="JX187" s="12">
        <f t="shared" si="236"/>
        <v>0</v>
      </c>
      <c r="JY187" s="12">
        <f t="shared" si="237"/>
        <v>0</v>
      </c>
      <c r="JZ187" s="12">
        <f t="shared" si="238"/>
        <v>0</v>
      </c>
      <c r="KA187" s="12">
        <f t="shared" si="239"/>
        <v>0</v>
      </c>
      <c r="KB187" s="12">
        <f t="shared" si="240"/>
        <v>0</v>
      </c>
      <c r="KC187" s="12">
        <f t="shared" si="241"/>
        <v>0</v>
      </c>
      <c r="KD187" s="12">
        <f t="shared" si="242"/>
        <v>0</v>
      </c>
      <c r="KE187" s="12">
        <f t="shared" si="243"/>
        <v>0</v>
      </c>
      <c r="KF187" s="12">
        <f t="shared" si="244"/>
        <v>0</v>
      </c>
      <c r="KG187" s="12">
        <f t="shared" si="245"/>
        <v>0</v>
      </c>
      <c r="KH187" s="12">
        <f t="shared" si="246"/>
        <v>0</v>
      </c>
      <c r="KI187" s="12">
        <f t="shared" si="247"/>
        <v>0</v>
      </c>
      <c r="KJ187" s="12">
        <f t="shared" si="248"/>
        <v>0</v>
      </c>
      <c r="KK187" s="12">
        <f t="shared" si="249"/>
        <v>0</v>
      </c>
      <c r="KL187" s="12">
        <f t="shared" si="250"/>
        <v>0</v>
      </c>
      <c r="KM187" s="12">
        <f t="shared" si="251"/>
        <v>0</v>
      </c>
      <c r="KN187" s="12">
        <f t="shared" si="252"/>
        <v>0</v>
      </c>
      <c r="KO187" s="12">
        <f t="shared" si="253"/>
        <v>0</v>
      </c>
      <c r="KP187" s="12">
        <f t="shared" si="254"/>
        <v>0</v>
      </c>
      <c r="KQ187" s="12">
        <f t="shared" si="255"/>
        <v>0</v>
      </c>
      <c r="KR187" s="12">
        <f t="shared" si="256"/>
        <v>0</v>
      </c>
      <c r="KS187" s="12">
        <f t="shared" si="257"/>
        <v>0</v>
      </c>
      <c r="KT187" s="12">
        <f t="shared" si="258"/>
        <v>0</v>
      </c>
      <c r="KU187" s="12">
        <f t="shared" si="259"/>
        <v>0</v>
      </c>
      <c r="KV187" s="12">
        <f t="shared" si="260"/>
        <v>0</v>
      </c>
      <c r="KW187" s="12">
        <f t="shared" si="261"/>
        <v>0</v>
      </c>
      <c r="KX187" s="12">
        <f t="shared" si="262"/>
        <v>0</v>
      </c>
      <c r="KY187" s="12">
        <f t="shared" si="263"/>
        <v>0</v>
      </c>
      <c r="KZ187" s="12">
        <f t="shared" si="264"/>
        <v>0</v>
      </c>
      <c r="LA187" s="12">
        <f t="shared" si="265"/>
        <v>0</v>
      </c>
      <c r="LB187" s="12">
        <f t="shared" si="266"/>
        <v>0</v>
      </c>
      <c r="LC187" s="12">
        <f t="shared" si="267"/>
        <v>0</v>
      </c>
      <c r="LD187" s="12">
        <f t="shared" si="268"/>
        <v>0</v>
      </c>
      <c r="LE187" s="12">
        <f t="shared" si="269"/>
        <v>0</v>
      </c>
      <c r="LF187" s="12">
        <f t="shared" si="270"/>
        <v>0</v>
      </c>
      <c r="LG187" s="12">
        <f t="shared" si="271"/>
        <v>0</v>
      </c>
      <c r="LH187" s="12">
        <f t="shared" si="272"/>
        <v>0</v>
      </c>
      <c r="LI187" s="12">
        <f t="shared" si="273"/>
        <v>0</v>
      </c>
      <c r="LJ187" s="12">
        <f t="shared" si="274"/>
        <v>0</v>
      </c>
      <c r="LK187" s="12">
        <f t="shared" si="275"/>
        <v>0</v>
      </c>
      <c r="LL187" s="12">
        <f t="shared" si="276"/>
        <v>0</v>
      </c>
      <c r="LM187" s="12">
        <f t="shared" si="277"/>
        <v>0</v>
      </c>
      <c r="LN187" s="12">
        <f t="shared" si="278"/>
        <v>0</v>
      </c>
      <c r="LO187" s="12">
        <f t="shared" si="279"/>
        <v>0</v>
      </c>
      <c r="LP187" s="12">
        <f t="shared" si="280"/>
        <v>0</v>
      </c>
      <c r="LQ187" s="12">
        <f t="shared" si="281"/>
        <v>0</v>
      </c>
      <c r="LR187" s="12">
        <f t="shared" si="282"/>
        <v>0</v>
      </c>
      <c r="LS187" s="12">
        <f t="shared" si="283"/>
        <v>0</v>
      </c>
      <c r="LT187" s="13">
        <f t="shared" si="284"/>
        <v>0</v>
      </c>
      <c r="LU187" s="13">
        <f t="shared" si="285"/>
        <v>0</v>
      </c>
      <c r="LV187" s="13">
        <f t="shared" si="286"/>
        <v>0</v>
      </c>
      <c r="LW187" s="13">
        <f t="shared" si="287"/>
        <v>0</v>
      </c>
      <c r="LX187" s="13">
        <f t="shared" si="288"/>
        <v>0</v>
      </c>
      <c r="LY187" s="13">
        <f t="shared" si="289"/>
        <v>0</v>
      </c>
      <c r="LZ187" s="13">
        <f t="shared" si="290"/>
        <v>0</v>
      </c>
      <c r="MA187" s="13">
        <f t="shared" si="291"/>
        <v>0</v>
      </c>
      <c r="MB187" s="13">
        <f t="shared" si="292"/>
        <v>0</v>
      </c>
      <c r="MC187" s="13">
        <f t="shared" si="293"/>
        <v>0</v>
      </c>
      <c r="MD187" s="13">
        <f t="shared" si="294"/>
        <v>0</v>
      </c>
      <c r="ME187" s="13">
        <f t="shared" si="295"/>
        <v>0</v>
      </c>
      <c r="MF187" s="13">
        <f t="shared" si="296"/>
        <v>0</v>
      </c>
      <c r="MG187" s="13">
        <f t="shared" si="297"/>
        <v>0</v>
      </c>
      <c r="MH187" s="13">
        <f t="shared" si="298"/>
        <v>0</v>
      </c>
      <c r="MI187" s="13">
        <f t="shared" si="299"/>
        <v>0</v>
      </c>
      <c r="MJ187" s="13">
        <f t="shared" si="300"/>
        <v>0</v>
      </c>
      <c r="MK187" s="13">
        <f t="shared" si="301"/>
        <v>0</v>
      </c>
      <c r="ML187" s="14">
        <f t="shared" si="302"/>
        <v>0</v>
      </c>
      <c r="MM187" s="14">
        <f t="shared" si="303"/>
        <v>0</v>
      </c>
      <c r="MN187" s="14">
        <f t="shared" si="304"/>
        <v>0</v>
      </c>
      <c r="MO187" s="14">
        <f t="shared" si="305"/>
        <v>0</v>
      </c>
      <c r="MP187" s="14">
        <f t="shared" si="306"/>
        <v>0</v>
      </c>
      <c r="MQ187" s="14">
        <f t="shared" si="307"/>
        <v>0</v>
      </c>
      <c r="MR187" s="14">
        <f t="shared" si="308"/>
        <v>0</v>
      </c>
      <c r="MS187" s="14">
        <f t="shared" si="309"/>
        <v>0</v>
      </c>
      <c r="MT187" s="14">
        <f t="shared" si="310"/>
        <v>0</v>
      </c>
      <c r="MU187" s="14">
        <f t="shared" si="311"/>
        <v>0</v>
      </c>
      <c r="MV187" s="14">
        <f t="shared" si="312"/>
        <v>0</v>
      </c>
      <c r="MW187" s="14">
        <f t="shared" si="313"/>
        <v>0</v>
      </c>
      <c r="MX187" s="14">
        <f t="shared" si="314"/>
        <v>0</v>
      </c>
      <c r="MY187" s="14">
        <f t="shared" si="315"/>
        <v>0</v>
      </c>
      <c r="MZ187" s="14">
        <f t="shared" si="316"/>
        <v>0</v>
      </c>
      <c r="NA187" s="14">
        <f t="shared" si="317"/>
        <v>0</v>
      </c>
      <c r="NB187" s="14">
        <f t="shared" si="318"/>
        <v>0</v>
      </c>
    </row>
    <row r="188" ht="15.75" customHeight="1">
      <c r="A188" s="2">
        <v>497.0</v>
      </c>
      <c r="B188" s="2" t="s">
        <v>3501</v>
      </c>
      <c r="C188" s="2" t="s">
        <v>3502</v>
      </c>
      <c r="D188" s="2" t="s">
        <v>3503</v>
      </c>
      <c r="E188" s="2">
        <v>2023.0</v>
      </c>
      <c r="F188" s="2" t="s">
        <v>3504</v>
      </c>
      <c r="G188" s="2">
        <v>5.0</v>
      </c>
      <c r="H188" s="2" t="s">
        <v>510</v>
      </c>
      <c r="J188" s="2" t="s">
        <v>3505</v>
      </c>
      <c r="K188" s="2" t="s">
        <v>3506</v>
      </c>
      <c r="M188" s="2">
        <v>1.0</v>
      </c>
      <c r="N188" s="2" t="s">
        <v>3507</v>
      </c>
      <c r="O188" s="2" t="s">
        <v>3508</v>
      </c>
      <c r="P188" s="2" t="s">
        <v>3509</v>
      </c>
      <c r="Q188" s="2" t="s">
        <v>3510</v>
      </c>
      <c r="R188" s="2" t="s">
        <v>3511</v>
      </c>
      <c r="T188" s="2" t="s">
        <v>3512</v>
      </c>
      <c r="Y188" s="2" t="s">
        <v>3513</v>
      </c>
      <c r="AB188" s="2" t="s">
        <v>646</v>
      </c>
      <c r="AG188" s="2" t="s">
        <v>3514</v>
      </c>
      <c r="AJ188" s="2">
        <v>3.6828609E7</v>
      </c>
      <c r="AK188" s="2" t="s">
        <v>3515</v>
      </c>
      <c r="AL188" s="2" t="s">
        <v>384</v>
      </c>
      <c r="AM188" s="2" t="s">
        <v>1306</v>
      </c>
      <c r="AN188" s="2" t="s">
        <v>386</v>
      </c>
      <c r="AO188" s="2" t="s">
        <v>3516</v>
      </c>
      <c r="AP188" s="2" t="s">
        <v>386</v>
      </c>
      <c r="AQ188" s="2">
        <v>1901.0</v>
      </c>
      <c r="AR188" s="2" t="s">
        <v>3503</v>
      </c>
      <c r="AS188" s="2" t="b">
        <v>0</v>
      </c>
      <c r="AT188" s="3">
        <v>0.0</v>
      </c>
      <c r="AU188" s="4"/>
      <c r="AV188" s="4"/>
      <c r="AW188" s="5">
        <f t="shared" si="432"/>
        <v>0</v>
      </c>
      <c r="AX188" s="5">
        <f t="shared" si="4"/>
        <v>0</v>
      </c>
      <c r="AY188" s="5">
        <f t="shared" si="5"/>
        <v>0</v>
      </c>
      <c r="AZ188" s="5">
        <f t="shared" si="6"/>
        <v>0</v>
      </c>
      <c r="BA188" s="5">
        <f t="shared" si="7"/>
        <v>0</v>
      </c>
      <c r="BB188" s="5">
        <f t="shared" si="8"/>
        <v>0</v>
      </c>
      <c r="BC188" s="5">
        <f t="shared" si="9"/>
        <v>0</v>
      </c>
      <c r="BD188" s="5">
        <f t="shared" si="10"/>
        <v>0</v>
      </c>
      <c r="BE188" s="5">
        <f t="shared" si="11"/>
        <v>0</v>
      </c>
      <c r="BF188" s="5">
        <f t="shared" si="12"/>
        <v>0</v>
      </c>
      <c r="BG188" s="5">
        <f t="shared" si="13"/>
        <v>0</v>
      </c>
      <c r="BH188" s="5">
        <f t="shared" si="14"/>
        <v>0</v>
      </c>
      <c r="BI188" s="5">
        <f t="shared" si="15"/>
        <v>0</v>
      </c>
      <c r="BJ188" s="5">
        <f t="shared" si="16"/>
        <v>0</v>
      </c>
      <c r="BK188" s="5">
        <f t="shared" si="17"/>
        <v>0</v>
      </c>
      <c r="BL188" s="5">
        <f t="shared" si="18"/>
        <v>0</v>
      </c>
      <c r="BM188" s="5">
        <f t="shared" si="19"/>
        <v>0</v>
      </c>
      <c r="BN188" s="5">
        <f t="shared" si="20"/>
        <v>0</v>
      </c>
      <c r="BO188" s="5">
        <f t="shared" si="21"/>
        <v>0</v>
      </c>
      <c r="BP188" s="5">
        <f t="shared" si="22"/>
        <v>0</v>
      </c>
      <c r="BQ188" s="5">
        <f t="shared" si="23"/>
        <v>0</v>
      </c>
      <c r="BR188" s="5">
        <f t="shared" si="24"/>
        <v>0</v>
      </c>
      <c r="BS188" s="5">
        <f t="shared" si="25"/>
        <v>0</v>
      </c>
      <c r="BT188" s="5">
        <f t="shared" si="26"/>
        <v>0</v>
      </c>
      <c r="BU188" s="5">
        <f t="shared" si="27"/>
        <v>0</v>
      </c>
      <c r="BV188" s="5">
        <f t="shared" ref="BV188:BW188" si="732">IF(OR(ISNUMBER(SEARCH("grit",$D188)),ISNUMBER(SEARCH("grit",$T188)),ISNUMBER(SEARCH("grit",$R188)),ISNUMBER(SEARCH("grit",$S188)),
ISNUMBER(SEARCH("determination",$D188)),ISNUMBER(SEARCH("determination",$T188)),ISNUMBER(SEARCH("determination",$R188)),ISNUMBER(SEARCH("determination",$S188)),
ISNUMBER(SEARCH("tenacity",$D188)),ISNUMBER(SEARCH("tenacity",$T188)),ISNUMBER(SEARCH("tenacity",$R188)),ISNUMBER(SEARCH("tenacity",$S188)),
ISNUMBER(SEARCH("endurance",$D188)),ISNUMBER(SEARCH("endurance",$T188)),ISNUMBER(SEARCH("endurance",$R188)),ISNUMBER(SEARCH("endurance",$S188)),
ISNUMBER(SEARCH("fortitude",$D188)),ISNUMBER(SEARCH("fortitude",$T188)),ISNUMBER(SEARCH("fortitude",$R188)),ISNUMBER(SEARCH("fortitude",$S188)),
ISNUMBER(SEARCH("resolve",$D188)),ISNUMBER(SEARCH("resolve",$T188)),ISNUMBER(SEARCH("resolve",$R188)),ISNUMBER(SEARCH("resolve",$S188)),
ISNUMBER(SEARCH("stamina",$D188)),ISNUMBER(SEARCH("stamina",$T188)),ISNUMBER(SEARCH("stamina",$R188)),ISNUMBER(SEARCH("stamina",$S188)),
ISNUMBER(SEARCH("guts",$D188)),ISNUMBER(SEARCH("guts",$T188)),ISNUMBER(SEARCH("guts",$R188)),ISNUMBER(SEARCH("guts",$S188)),
ISNUMBER(SEARCH("spunk",$D188)),ISNUMBER(SEARCH("spunk",$T188)),ISNUMBER(SEARCH("spunk",$R188)),ISNUMBER(SEARCH("spunk",$S188))), 1, 0)</f>
        <v>0</v>
      </c>
      <c r="BW188" s="5">
        <f t="shared" si="732"/>
        <v>0</v>
      </c>
      <c r="BX188" s="5">
        <f t="shared" si="29"/>
        <v>0</v>
      </c>
      <c r="BY188" s="5">
        <f t="shared" si="30"/>
        <v>0</v>
      </c>
      <c r="BZ188" s="5">
        <f t="shared" si="31"/>
        <v>0</v>
      </c>
      <c r="CA188" s="5">
        <f t="shared" si="32"/>
        <v>0</v>
      </c>
      <c r="CB188" s="5">
        <f t="shared" si="33"/>
        <v>0</v>
      </c>
      <c r="CC188" s="5">
        <f t="shared" si="34"/>
        <v>0</v>
      </c>
      <c r="CD188" s="5">
        <f t="shared" si="35"/>
        <v>0</v>
      </c>
      <c r="CE188" s="5">
        <f t="shared" si="36"/>
        <v>0</v>
      </c>
      <c r="CF188" s="5">
        <f t="shared" si="37"/>
        <v>0</v>
      </c>
      <c r="CG188" s="5">
        <f t="shared" si="38"/>
        <v>0</v>
      </c>
      <c r="CH188" s="5">
        <f t="shared" si="39"/>
        <v>0</v>
      </c>
      <c r="CI188" s="5">
        <f t="shared" si="40"/>
        <v>0</v>
      </c>
      <c r="CJ188" s="5">
        <f t="shared" si="41"/>
        <v>0</v>
      </c>
      <c r="CK188" s="5">
        <f t="shared" si="42"/>
        <v>0</v>
      </c>
      <c r="CL188" s="5">
        <f t="shared" si="43"/>
        <v>0</v>
      </c>
      <c r="CM188" s="5">
        <f t="shared" si="44"/>
        <v>0</v>
      </c>
      <c r="CN188" s="5">
        <f t="shared" si="45"/>
        <v>0</v>
      </c>
      <c r="CO188" s="5">
        <f t="shared" si="46"/>
        <v>0</v>
      </c>
      <c r="CP188" s="6">
        <f t="shared" si="47"/>
        <v>0</v>
      </c>
      <c r="CQ188" s="6">
        <f t="shared" si="48"/>
        <v>0</v>
      </c>
      <c r="CR188" s="6">
        <f t="shared" si="49"/>
        <v>0</v>
      </c>
      <c r="CS188" s="6">
        <f t="shared" si="50"/>
        <v>0</v>
      </c>
      <c r="CT188" s="6">
        <f t="shared" si="584"/>
        <v>0</v>
      </c>
      <c r="CU188" s="6">
        <f t="shared" si="52"/>
        <v>0</v>
      </c>
      <c r="CV188" s="6">
        <f t="shared" si="53"/>
        <v>0</v>
      </c>
      <c r="CW188" s="6">
        <f t="shared" si="54"/>
        <v>0</v>
      </c>
      <c r="CX188" s="6">
        <f t="shared" si="55"/>
        <v>0</v>
      </c>
      <c r="CY188" s="6">
        <f t="shared" si="56"/>
        <v>0</v>
      </c>
      <c r="CZ188" s="6">
        <f t="shared" si="57"/>
        <v>0</v>
      </c>
      <c r="DA188" s="6">
        <f t="shared" si="58"/>
        <v>0</v>
      </c>
      <c r="DB188" s="6">
        <f t="shared" si="59"/>
        <v>0</v>
      </c>
      <c r="DC188" s="6">
        <f t="shared" si="60"/>
        <v>0</v>
      </c>
      <c r="DD188" s="6">
        <f t="shared" si="61"/>
        <v>0</v>
      </c>
      <c r="DE188" s="6">
        <f t="shared" si="62"/>
        <v>0</v>
      </c>
      <c r="DF188" s="6">
        <f t="shared" si="63"/>
        <v>0</v>
      </c>
      <c r="DG188" s="6">
        <f t="shared" si="64"/>
        <v>0</v>
      </c>
      <c r="DH188" s="6">
        <f t="shared" si="697"/>
        <v>0</v>
      </c>
      <c r="DI188" s="6">
        <f t="shared" si="66"/>
        <v>0</v>
      </c>
      <c r="DJ188" s="6">
        <f t="shared" si="653"/>
        <v>0</v>
      </c>
      <c r="DK188" s="7">
        <f t="shared" si="68"/>
        <v>0</v>
      </c>
      <c r="DL188" s="7">
        <f t="shared" si="498"/>
        <v>0</v>
      </c>
      <c r="DM188" s="7">
        <f t="shared" si="70"/>
        <v>0</v>
      </c>
      <c r="DN188" s="7">
        <f t="shared" si="71"/>
        <v>0</v>
      </c>
      <c r="DO188" s="7">
        <f t="shared" si="72"/>
        <v>0</v>
      </c>
      <c r="DP188" s="8">
        <f t="shared" si="73"/>
        <v>0</v>
      </c>
      <c r="DQ188" s="8">
        <f t="shared" si="74"/>
        <v>0</v>
      </c>
      <c r="DR188" s="7">
        <f t="shared" si="75"/>
        <v>0</v>
      </c>
      <c r="DS188" s="7">
        <f t="shared" si="76"/>
        <v>0</v>
      </c>
      <c r="DT188" s="7">
        <f t="shared" si="77"/>
        <v>0</v>
      </c>
      <c r="DU188" s="9">
        <f t="shared" si="78"/>
        <v>0</v>
      </c>
      <c r="DV188" s="9">
        <f t="shared" si="79"/>
        <v>0</v>
      </c>
      <c r="DW188" s="9">
        <f t="shared" si="80"/>
        <v>0</v>
      </c>
      <c r="DX188" s="9">
        <f t="shared" si="81"/>
        <v>0</v>
      </c>
      <c r="DY188" s="9">
        <f t="shared" si="82"/>
        <v>0</v>
      </c>
      <c r="DZ188" s="9">
        <f t="shared" si="83"/>
        <v>0</v>
      </c>
      <c r="EA188" s="9">
        <f t="shared" si="84"/>
        <v>0</v>
      </c>
      <c r="EB188" s="9">
        <f t="shared" si="85"/>
        <v>0</v>
      </c>
      <c r="EC188" s="9">
        <f t="shared" si="86"/>
        <v>0</v>
      </c>
      <c r="ED188" s="9">
        <f t="shared" si="87"/>
        <v>0</v>
      </c>
      <c r="EE188" s="9">
        <f t="shared" si="88"/>
        <v>0</v>
      </c>
      <c r="EF188" s="9">
        <f t="shared" si="89"/>
        <v>0</v>
      </c>
      <c r="EG188" s="9">
        <f t="shared" si="90"/>
        <v>0</v>
      </c>
      <c r="EH188" s="9">
        <f t="shared" si="91"/>
        <v>0</v>
      </c>
      <c r="EI188" s="9">
        <f t="shared" si="92"/>
        <v>0</v>
      </c>
      <c r="EJ188" s="10">
        <f t="shared" si="93"/>
        <v>0</v>
      </c>
      <c r="EK188" s="10">
        <f t="shared" si="94"/>
        <v>0</v>
      </c>
      <c r="EL188" s="10">
        <f t="shared" ref="EL188:EM188" si="733">IF(OR(ISNUMBER(SEARCH("ai software toolkit", $D188)), ISNUMBER(SEARCH("ai software toolkit", $T188)), ISNUMBER(SEARCH("ai software toolkit", $R188)), ISNUMBER(SEARCH("ai software toolkit", $S188))), 1, 0)</f>
        <v>0</v>
      </c>
      <c r="EM188" s="10">
        <f t="shared" si="733"/>
        <v>0</v>
      </c>
      <c r="EN188" s="10">
        <f t="shared" si="96"/>
        <v>0</v>
      </c>
      <c r="EO188" s="10">
        <f t="shared" si="97"/>
        <v>0</v>
      </c>
      <c r="EP188" s="10">
        <f t="shared" si="98"/>
        <v>0</v>
      </c>
      <c r="EQ188" s="10">
        <f t="shared" si="99"/>
        <v>0</v>
      </c>
      <c r="ER188" s="10">
        <f t="shared" si="100"/>
        <v>0</v>
      </c>
      <c r="ES188" s="10">
        <f t="shared" si="101"/>
        <v>0</v>
      </c>
      <c r="ET188" s="10">
        <f t="shared" si="102"/>
        <v>0</v>
      </c>
      <c r="EU188" s="10">
        <f t="shared" si="103"/>
        <v>0</v>
      </c>
      <c r="EV188" s="10">
        <f t="shared" si="104"/>
        <v>0</v>
      </c>
      <c r="EW188" s="10">
        <f t="shared" si="105"/>
        <v>0</v>
      </c>
      <c r="EX188" s="10">
        <f t="shared" si="106"/>
        <v>0</v>
      </c>
      <c r="EY188" s="10">
        <f t="shared" si="107"/>
        <v>0</v>
      </c>
      <c r="EZ188" s="10">
        <f t="shared" si="108"/>
        <v>0</v>
      </c>
      <c r="FA188" s="10">
        <f t="shared" si="109"/>
        <v>0</v>
      </c>
      <c r="FB188" s="10">
        <f t="shared" si="110"/>
        <v>0</v>
      </c>
      <c r="FC188" s="10">
        <f t="shared" si="111"/>
        <v>0</v>
      </c>
      <c r="FD188" s="10">
        <f t="shared" si="112"/>
        <v>0</v>
      </c>
      <c r="FE188" s="10">
        <f t="shared" si="113"/>
        <v>0</v>
      </c>
      <c r="FF188" s="10">
        <f t="shared" si="114"/>
        <v>0</v>
      </c>
      <c r="FG188" s="10">
        <f t="shared" si="115"/>
        <v>0</v>
      </c>
      <c r="FH188" s="10">
        <f t="shared" si="116"/>
        <v>0</v>
      </c>
      <c r="FI188" s="10">
        <f t="shared" si="117"/>
        <v>0</v>
      </c>
      <c r="FJ188" s="10">
        <f t="shared" si="118"/>
        <v>0</v>
      </c>
      <c r="FK188" s="10">
        <f t="shared" si="119"/>
        <v>0</v>
      </c>
      <c r="FL188" s="10">
        <f t="shared" si="120"/>
        <v>0</v>
      </c>
      <c r="FM188" s="10">
        <f t="shared" si="121"/>
        <v>0</v>
      </c>
      <c r="FN188" s="10">
        <f t="shared" si="122"/>
        <v>0</v>
      </c>
      <c r="FO188" s="10">
        <f t="shared" si="123"/>
        <v>0</v>
      </c>
      <c r="FP188" s="10">
        <f t="shared" si="124"/>
        <v>0</v>
      </c>
      <c r="FQ188" s="10">
        <f t="shared" si="125"/>
        <v>0</v>
      </c>
      <c r="FR188" s="11">
        <f t="shared" si="709"/>
        <v>0</v>
      </c>
      <c r="FS188" s="11">
        <f t="shared" si="127"/>
        <v>0</v>
      </c>
      <c r="FT188" s="11">
        <f t="shared" si="128"/>
        <v>0</v>
      </c>
      <c r="FU188" s="11">
        <f t="shared" si="129"/>
        <v>0</v>
      </c>
      <c r="FV188" s="11">
        <f t="shared" si="130"/>
        <v>0</v>
      </c>
      <c r="FW188" s="11">
        <f t="shared" si="131"/>
        <v>0</v>
      </c>
      <c r="FX188" s="11">
        <f t="shared" si="132"/>
        <v>0</v>
      </c>
      <c r="FY188" s="11">
        <f t="shared" si="133"/>
        <v>0</v>
      </c>
      <c r="FZ188" s="11">
        <f t="shared" si="134"/>
        <v>0</v>
      </c>
      <c r="GA188" s="11">
        <f t="shared" si="135"/>
        <v>0</v>
      </c>
      <c r="GB188" s="11">
        <f t="shared" si="136"/>
        <v>0</v>
      </c>
      <c r="GC188" s="11">
        <f t="shared" si="137"/>
        <v>0</v>
      </c>
      <c r="GD188" s="11">
        <f t="shared" si="138"/>
        <v>0</v>
      </c>
      <c r="GE188" s="11">
        <f t="shared" si="139"/>
        <v>0</v>
      </c>
      <c r="GF188" s="11">
        <f t="shared" si="140"/>
        <v>0</v>
      </c>
      <c r="GG188" s="11">
        <f t="shared" si="141"/>
        <v>0</v>
      </c>
      <c r="GH188" s="11">
        <f t="shared" si="142"/>
        <v>0</v>
      </c>
      <c r="GI188" s="11">
        <f t="shared" si="143"/>
        <v>0</v>
      </c>
      <c r="GJ188" s="11">
        <f t="shared" si="144"/>
        <v>0</v>
      </c>
      <c r="GK188" s="11">
        <f t="shared" si="145"/>
        <v>0</v>
      </c>
      <c r="GL188" s="11">
        <f t="shared" si="146"/>
        <v>0</v>
      </c>
      <c r="GM188" s="11">
        <f t="shared" si="147"/>
        <v>0</v>
      </c>
      <c r="GN188" s="11">
        <f t="shared" si="148"/>
        <v>0</v>
      </c>
      <c r="GO188" s="11">
        <f t="shared" si="149"/>
        <v>0</v>
      </c>
      <c r="GP188" s="11">
        <f t="shared" si="150"/>
        <v>0</v>
      </c>
      <c r="GQ188" s="11">
        <f t="shared" si="151"/>
        <v>0</v>
      </c>
      <c r="GR188" s="11">
        <f t="shared" si="152"/>
        <v>0</v>
      </c>
      <c r="GS188" s="11">
        <f t="shared" si="153"/>
        <v>0</v>
      </c>
      <c r="GT188" s="11">
        <f t="shared" si="154"/>
        <v>0</v>
      </c>
      <c r="GU188" s="12">
        <f t="shared" si="155"/>
        <v>0</v>
      </c>
      <c r="GV188" s="12">
        <f t="shared" si="156"/>
        <v>0</v>
      </c>
      <c r="GW188" s="12">
        <f t="shared" si="157"/>
        <v>0</v>
      </c>
      <c r="GX188" s="12">
        <f t="shared" si="158"/>
        <v>0</v>
      </c>
      <c r="GY188" s="12">
        <f t="shared" si="159"/>
        <v>0</v>
      </c>
      <c r="GZ188" s="12">
        <f t="shared" si="160"/>
        <v>0</v>
      </c>
      <c r="HA188" s="12">
        <f t="shared" si="161"/>
        <v>0</v>
      </c>
      <c r="HB188" s="12">
        <f t="shared" si="162"/>
        <v>0</v>
      </c>
      <c r="HC188" s="12">
        <f t="shared" si="163"/>
        <v>0</v>
      </c>
      <c r="HD188" s="12">
        <f t="shared" si="164"/>
        <v>0</v>
      </c>
      <c r="HE188" s="12">
        <f t="shared" si="165"/>
        <v>0</v>
      </c>
      <c r="HF188" s="12">
        <f t="shared" si="166"/>
        <v>0</v>
      </c>
      <c r="HG188" s="12">
        <f t="shared" si="167"/>
        <v>0</v>
      </c>
      <c r="HH188" s="12">
        <f t="shared" si="168"/>
        <v>0</v>
      </c>
      <c r="HI188" s="12">
        <f t="shared" si="169"/>
        <v>0</v>
      </c>
      <c r="HJ188" s="12">
        <f t="shared" si="170"/>
        <v>0</v>
      </c>
      <c r="HK188" s="12">
        <f t="shared" si="171"/>
        <v>0</v>
      </c>
      <c r="HL188" s="12">
        <f t="shared" si="172"/>
        <v>0</v>
      </c>
      <c r="HM188" s="12">
        <f t="shared" si="173"/>
        <v>0</v>
      </c>
      <c r="HN188" s="12">
        <f t="shared" si="174"/>
        <v>0</v>
      </c>
      <c r="HO188" s="12">
        <f t="shared" si="175"/>
        <v>0</v>
      </c>
      <c r="HP188" s="12">
        <f t="shared" si="176"/>
        <v>0</v>
      </c>
      <c r="HQ188" s="12">
        <f t="shared" si="177"/>
        <v>0</v>
      </c>
      <c r="HR188" s="12">
        <f t="shared" si="178"/>
        <v>0</v>
      </c>
      <c r="HS188" s="12">
        <f t="shared" si="179"/>
        <v>0</v>
      </c>
      <c r="HT188" s="12">
        <f t="shared" si="180"/>
        <v>0</v>
      </c>
      <c r="HU188" s="12">
        <f t="shared" si="181"/>
        <v>0</v>
      </c>
      <c r="HV188" s="12">
        <f t="shared" si="182"/>
        <v>0</v>
      </c>
      <c r="HW188" s="12">
        <f t="shared" si="183"/>
        <v>0</v>
      </c>
      <c r="HX188" s="12">
        <f t="shared" si="184"/>
        <v>0</v>
      </c>
      <c r="HY188" s="12">
        <f t="shared" si="185"/>
        <v>0</v>
      </c>
      <c r="HZ188" s="12">
        <f t="shared" si="186"/>
        <v>0</v>
      </c>
      <c r="IA188" s="12">
        <f t="shared" si="187"/>
        <v>0</v>
      </c>
      <c r="IB188" s="12">
        <f t="shared" si="188"/>
        <v>0</v>
      </c>
      <c r="IC188" s="12">
        <f t="shared" si="189"/>
        <v>0</v>
      </c>
      <c r="ID188" s="12">
        <f t="shared" si="190"/>
        <v>0</v>
      </c>
      <c r="IE188" s="12">
        <f t="shared" si="191"/>
        <v>0</v>
      </c>
      <c r="IF188" s="12">
        <f t="shared" si="192"/>
        <v>0</v>
      </c>
      <c r="IG188" s="12">
        <f t="shared" si="193"/>
        <v>0</v>
      </c>
      <c r="IH188" s="12">
        <f t="shared" si="194"/>
        <v>0</v>
      </c>
      <c r="II188" s="12">
        <f t="shared" si="195"/>
        <v>0</v>
      </c>
      <c r="IJ188" s="12">
        <f t="shared" si="196"/>
        <v>0</v>
      </c>
      <c r="IK188" s="12">
        <f t="shared" si="197"/>
        <v>0</v>
      </c>
      <c r="IL188" s="12">
        <f t="shared" si="198"/>
        <v>0</v>
      </c>
      <c r="IM188" s="12">
        <f t="shared" si="199"/>
        <v>0</v>
      </c>
      <c r="IN188" s="12">
        <f t="shared" si="200"/>
        <v>0</v>
      </c>
      <c r="IO188" s="12">
        <f t="shared" si="201"/>
        <v>0</v>
      </c>
      <c r="IP188" s="12">
        <f t="shared" si="202"/>
        <v>0</v>
      </c>
      <c r="IQ188" s="12">
        <f t="shared" si="203"/>
        <v>0</v>
      </c>
      <c r="IR188" s="12">
        <f t="shared" si="204"/>
        <v>0</v>
      </c>
      <c r="IS188" s="12">
        <f t="shared" si="205"/>
        <v>0</v>
      </c>
      <c r="IT188" s="12">
        <f t="shared" si="206"/>
        <v>0</v>
      </c>
      <c r="IU188" s="12">
        <f t="shared" si="207"/>
        <v>0</v>
      </c>
      <c r="IV188" s="12">
        <f t="shared" si="208"/>
        <v>0</v>
      </c>
      <c r="IW188" s="12">
        <f t="shared" si="209"/>
        <v>0</v>
      </c>
      <c r="IX188" s="12">
        <f t="shared" si="210"/>
        <v>0</v>
      </c>
      <c r="IY188" s="12">
        <f t="shared" si="211"/>
        <v>0</v>
      </c>
      <c r="IZ188" s="12">
        <f t="shared" si="212"/>
        <v>1</v>
      </c>
      <c r="JA188" s="13">
        <f t="shared" si="213"/>
        <v>0</v>
      </c>
      <c r="JB188" s="13">
        <f t="shared" si="214"/>
        <v>0</v>
      </c>
      <c r="JC188" s="13">
        <f t="shared" si="215"/>
        <v>0</v>
      </c>
      <c r="JD188" s="13">
        <f t="shared" si="216"/>
        <v>0</v>
      </c>
      <c r="JE188" s="13">
        <f t="shared" si="217"/>
        <v>0</v>
      </c>
      <c r="JF188" s="13">
        <f t="shared" si="218"/>
        <v>0</v>
      </c>
      <c r="JG188" s="13">
        <f t="shared" si="219"/>
        <v>0</v>
      </c>
      <c r="JH188" s="13">
        <f t="shared" si="220"/>
        <v>0</v>
      </c>
      <c r="JI188" s="13">
        <f t="shared" si="221"/>
        <v>0</v>
      </c>
      <c r="JJ188" s="13">
        <f t="shared" si="222"/>
        <v>0</v>
      </c>
      <c r="JK188" s="13">
        <f t="shared" si="223"/>
        <v>0</v>
      </c>
      <c r="JL188" s="13">
        <f t="shared" si="224"/>
        <v>0</v>
      </c>
      <c r="JM188" s="13">
        <f t="shared" si="225"/>
        <v>0</v>
      </c>
      <c r="JN188" s="13">
        <f t="shared" si="226"/>
        <v>0</v>
      </c>
      <c r="JO188" s="13">
        <f t="shared" si="227"/>
        <v>0</v>
      </c>
      <c r="JP188" s="13">
        <f t="shared" si="228"/>
        <v>0</v>
      </c>
      <c r="JQ188" s="13">
        <f t="shared" si="229"/>
        <v>0</v>
      </c>
      <c r="JR188" s="13">
        <f t="shared" si="230"/>
        <v>0</v>
      </c>
      <c r="JS188" s="13">
        <f t="shared" si="231"/>
        <v>0</v>
      </c>
      <c r="JT188" s="13">
        <f t="shared" si="232"/>
        <v>0</v>
      </c>
      <c r="JU188" s="13">
        <f t="shared" si="233"/>
        <v>0</v>
      </c>
      <c r="JV188" s="12">
        <f t="shared" si="234"/>
        <v>0</v>
      </c>
      <c r="JW188" s="12">
        <f t="shared" si="235"/>
        <v>0</v>
      </c>
      <c r="JX188" s="12">
        <f t="shared" si="236"/>
        <v>0</v>
      </c>
      <c r="JY188" s="12">
        <f t="shared" si="237"/>
        <v>0</v>
      </c>
      <c r="JZ188" s="12">
        <f t="shared" si="238"/>
        <v>0</v>
      </c>
      <c r="KA188" s="12">
        <f t="shared" si="239"/>
        <v>0</v>
      </c>
      <c r="KB188" s="12">
        <f t="shared" si="240"/>
        <v>0</v>
      </c>
      <c r="KC188" s="12">
        <f t="shared" si="241"/>
        <v>0</v>
      </c>
      <c r="KD188" s="12">
        <f t="shared" si="242"/>
        <v>0</v>
      </c>
      <c r="KE188" s="12">
        <f t="shared" si="243"/>
        <v>0</v>
      </c>
      <c r="KF188" s="12">
        <f t="shared" si="244"/>
        <v>0</v>
      </c>
      <c r="KG188" s="12">
        <f t="shared" si="245"/>
        <v>0</v>
      </c>
      <c r="KH188" s="12">
        <f t="shared" si="246"/>
        <v>0</v>
      </c>
      <c r="KI188" s="12">
        <f t="shared" si="247"/>
        <v>0</v>
      </c>
      <c r="KJ188" s="12">
        <f t="shared" si="248"/>
        <v>0</v>
      </c>
      <c r="KK188" s="12">
        <f t="shared" si="249"/>
        <v>0</v>
      </c>
      <c r="KL188" s="12">
        <f t="shared" si="250"/>
        <v>0</v>
      </c>
      <c r="KM188" s="12">
        <f t="shared" si="251"/>
        <v>0</v>
      </c>
      <c r="KN188" s="12">
        <f t="shared" si="252"/>
        <v>0</v>
      </c>
      <c r="KO188" s="12">
        <f t="shared" si="253"/>
        <v>0</v>
      </c>
      <c r="KP188" s="12">
        <f t="shared" si="254"/>
        <v>0</v>
      </c>
      <c r="KQ188" s="12">
        <f t="shared" si="255"/>
        <v>0</v>
      </c>
      <c r="KR188" s="12">
        <f t="shared" si="256"/>
        <v>0</v>
      </c>
      <c r="KS188" s="12">
        <f t="shared" si="257"/>
        <v>0</v>
      </c>
      <c r="KT188" s="12">
        <f t="shared" si="258"/>
        <v>0</v>
      </c>
      <c r="KU188" s="12">
        <f t="shared" si="259"/>
        <v>0</v>
      </c>
      <c r="KV188" s="12">
        <f t="shared" si="260"/>
        <v>0</v>
      </c>
      <c r="KW188" s="12">
        <f t="shared" si="261"/>
        <v>0</v>
      </c>
      <c r="KX188" s="12">
        <f t="shared" si="262"/>
        <v>0</v>
      </c>
      <c r="KY188" s="12">
        <f t="shared" si="263"/>
        <v>0</v>
      </c>
      <c r="KZ188" s="12">
        <f t="shared" si="264"/>
        <v>0</v>
      </c>
      <c r="LA188" s="12">
        <f t="shared" si="265"/>
        <v>0</v>
      </c>
      <c r="LB188" s="12">
        <f t="shared" si="266"/>
        <v>0</v>
      </c>
      <c r="LC188" s="12">
        <f t="shared" si="267"/>
        <v>0</v>
      </c>
      <c r="LD188" s="12">
        <f t="shared" si="268"/>
        <v>0</v>
      </c>
      <c r="LE188" s="12">
        <f t="shared" si="269"/>
        <v>0</v>
      </c>
      <c r="LF188" s="12">
        <f t="shared" si="270"/>
        <v>0</v>
      </c>
      <c r="LG188" s="12">
        <f t="shared" si="271"/>
        <v>0</v>
      </c>
      <c r="LH188" s="12">
        <f t="shared" si="272"/>
        <v>0</v>
      </c>
      <c r="LI188" s="12">
        <f t="shared" si="273"/>
        <v>0</v>
      </c>
      <c r="LJ188" s="12">
        <f t="shared" si="274"/>
        <v>0</v>
      </c>
      <c r="LK188" s="12">
        <f t="shared" si="275"/>
        <v>0</v>
      </c>
      <c r="LL188" s="12">
        <f t="shared" si="276"/>
        <v>0</v>
      </c>
      <c r="LM188" s="12">
        <f t="shared" si="277"/>
        <v>0</v>
      </c>
      <c r="LN188" s="12">
        <f t="shared" si="278"/>
        <v>0</v>
      </c>
      <c r="LO188" s="12">
        <f t="shared" si="279"/>
        <v>0</v>
      </c>
      <c r="LP188" s="12">
        <f t="shared" si="280"/>
        <v>0</v>
      </c>
      <c r="LQ188" s="12">
        <f t="shared" si="281"/>
        <v>0</v>
      </c>
      <c r="LR188" s="12">
        <f t="shared" si="282"/>
        <v>0</v>
      </c>
      <c r="LS188" s="12">
        <f t="shared" si="283"/>
        <v>0</v>
      </c>
      <c r="LT188" s="13">
        <f t="shared" si="284"/>
        <v>0</v>
      </c>
      <c r="LU188" s="13">
        <f t="shared" si="285"/>
        <v>0</v>
      </c>
      <c r="LV188" s="13">
        <f t="shared" si="286"/>
        <v>0</v>
      </c>
      <c r="LW188" s="13">
        <f t="shared" si="287"/>
        <v>0</v>
      </c>
      <c r="LX188" s="13">
        <f t="shared" si="288"/>
        <v>0</v>
      </c>
      <c r="LY188" s="13">
        <f t="shared" si="289"/>
        <v>0</v>
      </c>
      <c r="LZ188" s="13">
        <f t="shared" si="290"/>
        <v>0</v>
      </c>
      <c r="MA188" s="13">
        <f t="shared" si="291"/>
        <v>0</v>
      </c>
      <c r="MB188" s="13">
        <f t="shared" si="292"/>
        <v>0</v>
      </c>
      <c r="MC188" s="13">
        <f t="shared" si="293"/>
        <v>0</v>
      </c>
      <c r="MD188" s="13">
        <f t="shared" si="294"/>
        <v>0</v>
      </c>
      <c r="ME188" s="13">
        <f t="shared" si="295"/>
        <v>0</v>
      </c>
      <c r="MF188" s="13">
        <f t="shared" si="296"/>
        <v>0</v>
      </c>
      <c r="MG188" s="13">
        <f t="shared" si="297"/>
        <v>0</v>
      </c>
      <c r="MH188" s="13">
        <f t="shared" si="298"/>
        <v>0</v>
      </c>
      <c r="MI188" s="13">
        <f t="shared" si="299"/>
        <v>0</v>
      </c>
      <c r="MJ188" s="13">
        <f t="shared" si="300"/>
        <v>0</v>
      </c>
      <c r="MK188" s="13">
        <f t="shared" si="301"/>
        <v>0</v>
      </c>
      <c r="ML188" s="14">
        <f t="shared" si="302"/>
        <v>0</v>
      </c>
      <c r="MM188" s="14">
        <f t="shared" si="303"/>
        <v>0</v>
      </c>
      <c r="MN188" s="14">
        <f t="shared" si="304"/>
        <v>0</v>
      </c>
      <c r="MO188" s="14">
        <f t="shared" si="305"/>
        <v>0</v>
      </c>
      <c r="MP188" s="14">
        <f t="shared" si="306"/>
        <v>0</v>
      </c>
      <c r="MQ188" s="14">
        <f t="shared" si="307"/>
        <v>0</v>
      </c>
      <c r="MR188" s="14">
        <f t="shared" si="308"/>
        <v>0</v>
      </c>
      <c r="MS188" s="14">
        <f t="shared" si="309"/>
        <v>0</v>
      </c>
      <c r="MT188" s="14">
        <f t="shared" si="310"/>
        <v>0</v>
      </c>
      <c r="MU188" s="14">
        <f t="shared" si="311"/>
        <v>0</v>
      </c>
      <c r="MV188" s="14">
        <f t="shared" si="312"/>
        <v>0</v>
      </c>
      <c r="MW188" s="14">
        <f t="shared" si="313"/>
        <v>0</v>
      </c>
      <c r="MX188" s="14">
        <f t="shared" si="314"/>
        <v>0</v>
      </c>
      <c r="MY188" s="14">
        <f t="shared" si="315"/>
        <v>0</v>
      </c>
      <c r="MZ188" s="14">
        <f t="shared" si="316"/>
        <v>0</v>
      </c>
      <c r="NA188" s="14">
        <f t="shared" si="317"/>
        <v>0</v>
      </c>
      <c r="NB188" s="14">
        <f t="shared" si="318"/>
        <v>0</v>
      </c>
    </row>
    <row r="189" ht="15.75" customHeight="1">
      <c r="A189" s="2">
        <v>87.0</v>
      </c>
      <c r="B189" s="2" t="s">
        <v>3517</v>
      </c>
      <c r="C189" s="2" t="s">
        <v>3518</v>
      </c>
      <c r="D189" s="2" t="s">
        <v>3519</v>
      </c>
      <c r="E189" s="2">
        <v>2021.0</v>
      </c>
      <c r="F189" s="2" t="s">
        <v>3520</v>
      </c>
      <c r="G189" s="2" t="s">
        <v>677</v>
      </c>
      <c r="H189" s="2" t="s">
        <v>3521</v>
      </c>
      <c r="J189" s="2" t="s">
        <v>618</v>
      </c>
      <c r="K189" s="2" t="s">
        <v>3522</v>
      </c>
      <c r="M189" s="2">
        <v>1.0</v>
      </c>
      <c r="N189" s="2" t="s">
        <v>3523</v>
      </c>
      <c r="O189" s="2" t="s">
        <v>3524</v>
      </c>
      <c r="P189" s="2" t="s">
        <v>3525</v>
      </c>
      <c r="Q189" s="2" t="s">
        <v>3526</v>
      </c>
      <c r="R189" s="2" t="s">
        <v>3527</v>
      </c>
      <c r="S189" s="2" t="s">
        <v>3528</v>
      </c>
      <c r="Y189" s="2" t="s">
        <v>3529</v>
      </c>
      <c r="AB189" s="2" t="s">
        <v>3530</v>
      </c>
      <c r="AG189" s="2" t="s">
        <v>3531</v>
      </c>
      <c r="AK189" s="2" t="s">
        <v>3520</v>
      </c>
      <c r="AL189" s="2" t="s">
        <v>384</v>
      </c>
      <c r="AN189" s="2" t="s">
        <v>386</v>
      </c>
      <c r="AO189" s="2" t="s">
        <v>3532</v>
      </c>
      <c r="AP189" s="2" t="s">
        <v>386</v>
      </c>
      <c r="AQ189" s="2">
        <v>281.0</v>
      </c>
      <c r="AR189" s="2" t="s">
        <v>3519</v>
      </c>
      <c r="AS189" s="2" t="b">
        <v>1</v>
      </c>
      <c r="AT189" s="3">
        <v>0.0</v>
      </c>
      <c r="AU189" s="4"/>
      <c r="AV189" s="4"/>
      <c r="AW189" s="5">
        <f t="shared" si="432"/>
        <v>0</v>
      </c>
      <c r="AX189" s="5">
        <f t="shared" si="4"/>
        <v>0</v>
      </c>
      <c r="AY189" s="5">
        <f t="shared" si="5"/>
        <v>0</v>
      </c>
      <c r="AZ189" s="5">
        <f t="shared" si="6"/>
        <v>0</v>
      </c>
      <c r="BA189" s="5">
        <f t="shared" si="7"/>
        <v>0</v>
      </c>
      <c r="BB189" s="5">
        <f t="shared" si="8"/>
        <v>0</v>
      </c>
      <c r="BC189" s="5">
        <f t="shared" si="9"/>
        <v>0</v>
      </c>
      <c r="BD189" s="5">
        <f t="shared" si="10"/>
        <v>0</v>
      </c>
      <c r="BE189" s="5">
        <f t="shared" si="11"/>
        <v>0</v>
      </c>
      <c r="BF189" s="5">
        <f t="shared" si="12"/>
        <v>0</v>
      </c>
      <c r="BG189" s="5">
        <f t="shared" si="13"/>
        <v>0</v>
      </c>
      <c r="BH189" s="5">
        <f t="shared" si="14"/>
        <v>0</v>
      </c>
      <c r="BI189" s="5">
        <f t="shared" si="15"/>
        <v>0</v>
      </c>
      <c r="BJ189" s="5">
        <f t="shared" si="16"/>
        <v>0</v>
      </c>
      <c r="BK189" s="5">
        <f t="shared" si="17"/>
        <v>0</v>
      </c>
      <c r="BL189" s="5">
        <f t="shared" si="18"/>
        <v>0</v>
      </c>
      <c r="BM189" s="5">
        <f t="shared" si="19"/>
        <v>0</v>
      </c>
      <c r="BN189" s="5">
        <f t="shared" si="20"/>
        <v>0</v>
      </c>
      <c r="BO189" s="5">
        <f t="shared" si="21"/>
        <v>0</v>
      </c>
      <c r="BP189" s="5">
        <f t="shared" si="22"/>
        <v>0</v>
      </c>
      <c r="BQ189" s="5">
        <f t="shared" si="23"/>
        <v>0</v>
      </c>
      <c r="BR189" s="5">
        <f t="shared" si="24"/>
        <v>0</v>
      </c>
      <c r="BS189" s="5">
        <f t="shared" si="25"/>
        <v>0</v>
      </c>
      <c r="BT189" s="5">
        <f t="shared" si="26"/>
        <v>0</v>
      </c>
      <c r="BU189" s="5">
        <f t="shared" si="27"/>
        <v>0</v>
      </c>
      <c r="BV189" s="5">
        <f t="shared" ref="BV189:BW189" si="734">IF(OR(ISNUMBER(SEARCH("grit",$D189)),ISNUMBER(SEARCH("grit",$T189)),ISNUMBER(SEARCH("grit",$R189)),ISNUMBER(SEARCH("grit",$S189)),
ISNUMBER(SEARCH("determination",$D189)),ISNUMBER(SEARCH("determination",$T189)),ISNUMBER(SEARCH("determination",$R189)),ISNUMBER(SEARCH("determination",$S189)),
ISNUMBER(SEARCH("tenacity",$D189)),ISNUMBER(SEARCH("tenacity",$T189)),ISNUMBER(SEARCH("tenacity",$R189)),ISNUMBER(SEARCH("tenacity",$S189)),
ISNUMBER(SEARCH("endurance",$D189)),ISNUMBER(SEARCH("endurance",$T189)),ISNUMBER(SEARCH("endurance",$R189)),ISNUMBER(SEARCH("endurance",$S189)),
ISNUMBER(SEARCH("fortitude",$D189)),ISNUMBER(SEARCH("fortitude",$T189)),ISNUMBER(SEARCH("fortitude",$R189)),ISNUMBER(SEARCH("fortitude",$S189)),
ISNUMBER(SEARCH("resolve",$D189)),ISNUMBER(SEARCH("resolve",$T189)),ISNUMBER(SEARCH("resolve",$R189)),ISNUMBER(SEARCH("resolve",$S189)),
ISNUMBER(SEARCH("stamina",$D189)),ISNUMBER(SEARCH("stamina",$T189)),ISNUMBER(SEARCH("stamina",$R189)),ISNUMBER(SEARCH("stamina",$S189)),
ISNUMBER(SEARCH("guts",$D189)),ISNUMBER(SEARCH("guts",$T189)),ISNUMBER(SEARCH("guts",$R189)),ISNUMBER(SEARCH("guts",$S189)),
ISNUMBER(SEARCH("spunk",$D189)),ISNUMBER(SEARCH("spunk",$T189)),ISNUMBER(SEARCH("spunk",$R189)),ISNUMBER(SEARCH("spunk",$S189))), 1, 0)</f>
        <v>0</v>
      </c>
      <c r="BW189" s="5">
        <f t="shared" si="734"/>
        <v>0</v>
      </c>
      <c r="BX189" s="5">
        <f t="shared" si="29"/>
        <v>0</v>
      </c>
      <c r="BY189" s="5">
        <f t="shared" si="30"/>
        <v>0</v>
      </c>
      <c r="BZ189" s="5">
        <f t="shared" si="31"/>
        <v>0</v>
      </c>
      <c r="CA189" s="5">
        <f t="shared" si="32"/>
        <v>0</v>
      </c>
      <c r="CB189" s="5">
        <f t="shared" si="33"/>
        <v>0</v>
      </c>
      <c r="CC189" s="5">
        <f t="shared" si="34"/>
        <v>0</v>
      </c>
      <c r="CD189" s="5">
        <f t="shared" si="35"/>
        <v>0</v>
      </c>
      <c r="CE189" s="5">
        <f t="shared" si="36"/>
        <v>0</v>
      </c>
      <c r="CF189" s="5">
        <f t="shared" si="37"/>
        <v>0</v>
      </c>
      <c r="CG189" s="5">
        <f t="shared" si="38"/>
        <v>0</v>
      </c>
      <c r="CH189" s="5">
        <f t="shared" si="39"/>
        <v>0</v>
      </c>
      <c r="CI189" s="5">
        <f t="shared" si="40"/>
        <v>0</v>
      </c>
      <c r="CJ189" s="5">
        <f t="shared" si="41"/>
        <v>0</v>
      </c>
      <c r="CK189" s="5">
        <f t="shared" si="42"/>
        <v>0</v>
      </c>
      <c r="CL189" s="5">
        <f t="shared" si="43"/>
        <v>0</v>
      </c>
      <c r="CM189" s="5">
        <f t="shared" si="44"/>
        <v>0</v>
      </c>
      <c r="CN189" s="5">
        <f t="shared" si="45"/>
        <v>0</v>
      </c>
      <c r="CO189" s="5">
        <f t="shared" si="46"/>
        <v>0</v>
      </c>
      <c r="CP189" s="6">
        <f t="shared" si="47"/>
        <v>0</v>
      </c>
      <c r="CQ189" s="6">
        <f t="shared" si="48"/>
        <v>0</v>
      </c>
      <c r="CR189" s="6">
        <f t="shared" si="49"/>
        <v>0</v>
      </c>
      <c r="CS189" s="6">
        <f t="shared" si="50"/>
        <v>0</v>
      </c>
      <c r="CT189" s="6">
        <f t="shared" si="584"/>
        <v>0</v>
      </c>
      <c r="CU189" s="6">
        <f t="shared" si="52"/>
        <v>0</v>
      </c>
      <c r="CV189" s="6">
        <f t="shared" si="53"/>
        <v>0</v>
      </c>
      <c r="CW189" s="6">
        <f t="shared" si="54"/>
        <v>0</v>
      </c>
      <c r="CX189" s="6">
        <f t="shared" si="55"/>
        <v>0</v>
      </c>
      <c r="CY189" s="6">
        <f t="shared" si="56"/>
        <v>0</v>
      </c>
      <c r="CZ189" s="6">
        <f t="shared" si="57"/>
        <v>0</v>
      </c>
      <c r="DA189" s="6">
        <f t="shared" si="58"/>
        <v>0</v>
      </c>
      <c r="DB189" s="6">
        <f t="shared" si="59"/>
        <v>0</v>
      </c>
      <c r="DC189" s="6">
        <f t="shared" si="60"/>
        <v>0</v>
      </c>
      <c r="DD189" s="6">
        <f t="shared" si="61"/>
        <v>0</v>
      </c>
      <c r="DE189" s="6">
        <f t="shared" si="62"/>
        <v>0</v>
      </c>
      <c r="DF189" s="6">
        <f t="shared" si="63"/>
        <v>0</v>
      </c>
      <c r="DG189" s="6">
        <f t="shared" si="64"/>
        <v>0</v>
      </c>
      <c r="DH189" s="6">
        <f t="shared" si="697"/>
        <v>0</v>
      </c>
      <c r="DI189" s="6">
        <f t="shared" si="66"/>
        <v>0</v>
      </c>
      <c r="DJ189" s="6">
        <f t="shared" si="653"/>
        <v>0</v>
      </c>
      <c r="DK189" s="7">
        <f t="shared" si="68"/>
        <v>0</v>
      </c>
      <c r="DL189" s="7">
        <f t="shared" si="498"/>
        <v>0</v>
      </c>
      <c r="DM189" s="7">
        <f t="shared" si="70"/>
        <v>0</v>
      </c>
      <c r="DN189" s="7">
        <f t="shared" si="71"/>
        <v>0</v>
      </c>
      <c r="DO189" s="7">
        <f t="shared" si="72"/>
        <v>1</v>
      </c>
      <c r="DP189" s="8">
        <f t="shared" si="73"/>
        <v>0</v>
      </c>
      <c r="DQ189" s="8">
        <f t="shared" si="74"/>
        <v>0</v>
      </c>
      <c r="DR189" s="7">
        <f t="shared" si="75"/>
        <v>0</v>
      </c>
      <c r="DS189" s="7">
        <f t="shared" si="76"/>
        <v>0</v>
      </c>
      <c r="DT189" s="7">
        <f t="shared" si="77"/>
        <v>0</v>
      </c>
      <c r="DU189" s="9">
        <f t="shared" si="78"/>
        <v>0</v>
      </c>
      <c r="DV189" s="9">
        <f t="shared" si="79"/>
        <v>0</v>
      </c>
      <c r="DW189" s="9">
        <f t="shared" si="80"/>
        <v>0</v>
      </c>
      <c r="DX189" s="9">
        <f t="shared" si="81"/>
        <v>0</v>
      </c>
      <c r="DY189" s="9">
        <f t="shared" si="82"/>
        <v>0</v>
      </c>
      <c r="DZ189" s="9">
        <f t="shared" si="83"/>
        <v>0</v>
      </c>
      <c r="EA189" s="9">
        <f t="shared" si="84"/>
        <v>0</v>
      </c>
      <c r="EB189" s="9">
        <f t="shared" si="85"/>
        <v>0</v>
      </c>
      <c r="EC189" s="9">
        <f t="shared" si="86"/>
        <v>0</v>
      </c>
      <c r="ED189" s="9">
        <f t="shared" si="87"/>
        <v>0</v>
      </c>
      <c r="EE189" s="9">
        <f t="shared" si="88"/>
        <v>0</v>
      </c>
      <c r="EF189" s="9">
        <f t="shared" si="89"/>
        <v>0</v>
      </c>
      <c r="EG189" s="9">
        <f t="shared" si="90"/>
        <v>0</v>
      </c>
      <c r="EH189" s="9">
        <f t="shared" si="91"/>
        <v>0</v>
      </c>
      <c r="EI189" s="9">
        <f t="shared" si="92"/>
        <v>0</v>
      </c>
      <c r="EJ189" s="10">
        <f t="shared" si="93"/>
        <v>0</v>
      </c>
      <c r="EK189" s="10">
        <f t="shared" si="94"/>
        <v>0</v>
      </c>
      <c r="EL189" s="10">
        <f t="shared" ref="EL189:EM189" si="735">IF(OR(ISNUMBER(SEARCH("ai software toolkit", $D189)), ISNUMBER(SEARCH("ai software toolkit", $T189)), ISNUMBER(SEARCH("ai software toolkit", $R189)), ISNUMBER(SEARCH("ai software toolkit", $S189))), 1, 0)</f>
        <v>0</v>
      </c>
      <c r="EM189" s="10">
        <f t="shared" si="735"/>
        <v>0</v>
      </c>
      <c r="EN189" s="10">
        <f t="shared" si="96"/>
        <v>0</v>
      </c>
      <c r="EO189" s="10">
        <f t="shared" si="97"/>
        <v>0</v>
      </c>
      <c r="EP189" s="10">
        <f t="shared" si="98"/>
        <v>0</v>
      </c>
      <c r="EQ189" s="10">
        <f t="shared" si="99"/>
        <v>0</v>
      </c>
      <c r="ER189" s="10">
        <f t="shared" si="100"/>
        <v>0</v>
      </c>
      <c r="ES189" s="10">
        <f t="shared" si="101"/>
        <v>0</v>
      </c>
      <c r="ET189" s="10">
        <f t="shared" si="102"/>
        <v>0</v>
      </c>
      <c r="EU189" s="10">
        <f t="shared" si="103"/>
        <v>0</v>
      </c>
      <c r="EV189" s="10">
        <f t="shared" si="104"/>
        <v>0</v>
      </c>
      <c r="EW189" s="10">
        <f t="shared" si="105"/>
        <v>0</v>
      </c>
      <c r="EX189" s="10">
        <f t="shared" si="106"/>
        <v>0</v>
      </c>
      <c r="EY189" s="10">
        <f t="shared" si="107"/>
        <v>0</v>
      </c>
      <c r="EZ189" s="10">
        <f t="shared" si="108"/>
        <v>0</v>
      </c>
      <c r="FA189" s="10">
        <f t="shared" si="109"/>
        <v>0</v>
      </c>
      <c r="FB189" s="10">
        <f t="shared" si="110"/>
        <v>0</v>
      </c>
      <c r="FC189" s="10">
        <f t="shared" si="111"/>
        <v>0</v>
      </c>
      <c r="FD189" s="10">
        <f t="shared" si="112"/>
        <v>0</v>
      </c>
      <c r="FE189" s="10">
        <f t="shared" si="113"/>
        <v>0</v>
      </c>
      <c r="FF189" s="10">
        <f t="shared" si="114"/>
        <v>0</v>
      </c>
      <c r="FG189" s="10">
        <f t="shared" si="115"/>
        <v>0</v>
      </c>
      <c r="FH189" s="10">
        <f t="shared" si="116"/>
        <v>0</v>
      </c>
      <c r="FI189" s="10">
        <f t="shared" si="117"/>
        <v>0</v>
      </c>
      <c r="FJ189" s="10">
        <f t="shared" si="118"/>
        <v>0</v>
      </c>
      <c r="FK189" s="10">
        <f t="shared" si="119"/>
        <v>0</v>
      </c>
      <c r="FL189" s="10">
        <f t="shared" si="120"/>
        <v>0</v>
      </c>
      <c r="FM189" s="10">
        <f t="shared" si="121"/>
        <v>0</v>
      </c>
      <c r="FN189" s="10">
        <f t="shared" si="122"/>
        <v>0</v>
      </c>
      <c r="FO189" s="10">
        <f t="shared" si="123"/>
        <v>0</v>
      </c>
      <c r="FP189" s="10">
        <f t="shared" si="124"/>
        <v>0</v>
      </c>
      <c r="FQ189" s="10">
        <f t="shared" si="125"/>
        <v>0</v>
      </c>
      <c r="FR189" s="11">
        <f t="shared" si="709"/>
        <v>0</v>
      </c>
      <c r="FS189" s="11">
        <f t="shared" si="127"/>
        <v>0</v>
      </c>
      <c r="FT189" s="11">
        <f t="shared" si="128"/>
        <v>0</v>
      </c>
      <c r="FU189" s="11">
        <f t="shared" si="129"/>
        <v>0</v>
      </c>
      <c r="FV189" s="11">
        <f t="shared" si="130"/>
        <v>0</v>
      </c>
      <c r="FW189" s="11">
        <f t="shared" si="131"/>
        <v>0</v>
      </c>
      <c r="FX189" s="11">
        <f t="shared" si="132"/>
        <v>0</v>
      </c>
      <c r="FY189" s="11">
        <f t="shared" si="133"/>
        <v>0</v>
      </c>
      <c r="FZ189" s="11">
        <f t="shared" si="134"/>
        <v>0</v>
      </c>
      <c r="GA189" s="11">
        <f t="shared" si="135"/>
        <v>0</v>
      </c>
      <c r="GB189" s="11">
        <f t="shared" si="136"/>
        <v>0</v>
      </c>
      <c r="GC189" s="11">
        <f t="shared" si="137"/>
        <v>0</v>
      </c>
      <c r="GD189" s="11">
        <f t="shared" si="138"/>
        <v>0</v>
      </c>
      <c r="GE189" s="11">
        <f t="shared" si="139"/>
        <v>0</v>
      </c>
      <c r="GF189" s="11">
        <f t="shared" si="140"/>
        <v>0</v>
      </c>
      <c r="GG189" s="11">
        <f t="shared" si="141"/>
        <v>0</v>
      </c>
      <c r="GH189" s="11">
        <f t="shared" si="142"/>
        <v>0</v>
      </c>
      <c r="GI189" s="11">
        <f t="shared" si="143"/>
        <v>0</v>
      </c>
      <c r="GJ189" s="11">
        <f t="shared" si="144"/>
        <v>0</v>
      </c>
      <c r="GK189" s="11">
        <f t="shared" si="145"/>
        <v>0</v>
      </c>
      <c r="GL189" s="11">
        <f t="shared" si="146"/>
        <v>0</v>
      </c>
      <c r="GM189" s="11">
        <f t="shared" si="147"/>
        <v>0</v>
      </c>
      <c r="GN189" s="11">
        <f t="shared" si="148"/>
        <v>0</v>
      </c>
      <c r="GO189" s="11">
        <f t="shared" si="149"/>
        <v>0</v>
      </c>
      <c r="GP189" s="11">
        <f t="shared" si="150"/>
        <v>0</v>
      </c>
      <c r="GQ189" s="11">
        <f t="shared" si="151"/>
        <v>0</v>
      </c>
      <c r="GR189" s="11">
        <f t="shared" si="152"/>
        <v>0</v>
      </c>
      <c r="GS189" s="11">
        <f t="shared" si="153"/>
        <v>0</v>
      </c>
      <c r="GT189" s="11">
        <f t="shared" si="154"/>
        <v>0</v>
      </c>
      <c r="GU189" s="12">
        <f t="shared" si="155"/>
        <v>0</v>
      </c>
      <c r="GV189" s="12">
        <f t="shared" si="156"/>
        <v>0</v>
      </c>
      <c r="GW189" s="12">
        <f t="shared" si="157"/>
        <v>0</v>
      </c>
      <c r="GX189" s="12">
        <f t="shared" si="158"/>
        <v>0</v>
      </c>
      <c r="GY189" s="12">
        <f t="shared" si="159"/>
        <v>0</v>
      </c>
      <c r="GZ189" s="12">
        <f t="shared" si="160"/>
        <v>0</v>
      </c>
      <c r="HA189" s="12">
        <f t="shared" si="161"/>
        <v>0</v>
      </c>
      <c r="HB189" s="12">
        <f t="shared" si="162"/>
        <v>0</v>
      </c>
      <c r="HC189" s="12">
        <f t="shared" si="163"/>
        <v>0</v>
      </c>
      <c r="HD189" s="12">
        <f t="shared" si="164"/>
        <v>0</v>
      </c>
      <c r="HE189" s="12">
        <f t="shared" si="165"/>
        <v>0</v>
      </c>
      <c r="HF189" s="12">
        <f t="shared" si="166"/>
        <v>0</v>
      </c>
      <c r="HG189" s="12">
        <f t="shared" si="167"/>
        <v>0</v>
      </c>
      <c r="HH189" s="12">
        <f t="shared" si="168"/>
        <v>0</v>
      </c>
      <c r="HI189" s="12">
        <f t="shared" si="169"/>
        <v>0</v>
      </c>
      <c r="HJ189" s="12">
        <f t="shared" si="170"/>
        <v>0</v>
      </c>
      <c r="HK189" s="12">
        <f t="shared" si="171"/>
        <v>0</v>
      </c>
      <c r="HL189" s="12">
        <f t="shared" si="172"/>
        <v>0</v>
      </c>
      <c r="HM189" s="12">
        <f t="shared" si="173"/>
        <v>0</v>
      </c>
      <c r="HN189" s="12">
        <f t="shared" si="174"/>
        <v>0</v>
      </c>
      <c r="HO189" s="12">
        <f t="shared" si="175"/>
        <v>0</v>
      </c>
      <c r="HP189" s="12">
        <f t="shared" si="176"/>
        <v>0</v>
      </c>
      <c r="HQ189" s="12">
        <f t="shared" si="177"/>
        <v>0</v>
      </c>
      <c r="HR189" s="12">
        <f t="shared" si="178"/>
        <v>0</v>
      </c>
      <c r="HS189" s="12">
        <f t="shared" si="179"/>
        <v>0</v>
      </c>
      <c r="HT189" s="12">
        <f t="shared" si="180"/>
        <v>0</v>
      </c>
      <c r="HU189" s="12">
        <f t="shared" si="181"/>
        <v>0</v>
      </c>
      <c r="HV189" s="12">
        <f t="shared" si="182"/>
        <v>0</v>
      </c>
      <c r="HW189" s="12">
        <f t="shared" si="183"/>
        <v>0</v>
      </c>
      <c r="HX189" s="12">
        <f t="shared" si="184"/>
        <v>0</v>
      </c>
      <c r="HY189" s="12">
        <f t="shared" si="185"/>
        <v>0</v>
      </c>
      <c r="HZ189" s="12">
        <f t="shared" si="186"/>
        <v>0</v>
      </c>
      <c r="IA189" s="12">
        <f t="shared" si="187"/>
        <v>0</v>
      </c>
      <c r="IB189" s="12">
        <f t="shared" si="188"/>
        <v>0</v>
      </c>
      <c r="IC189" s="12">
        <f t="shared" si="189"/>
        <v>0</v>
      </c>
      <c r="ID189" s="12">
        <f t="shared" si="190"/>
        <v>0</v>
      </c>
      <c r="IE189" s="12">
        <f t="shared" si="191"/>
        <v>0</v>
      </c>
      <c r="IF189" s="12">
        <f t="shared" si="192"/>
        <v>0</v>
      </c>
      <c r="IG189" s="12">
        <f t="shared" si="193"/>
        <v>0</v>
      </c>
      <c r="IH189" s="12">
        <f t="shared" si="194"/>
        <v>0</v>
      </c>
      <c r="II189" s="12">
        <f t="shared" si="195"/>
        <v>0</v>
      </c>
      <c r="IJ189" s="12">
        <f t="shared" si="196"/>
        <v>0</v>
      </c>
      <c r="IK189" s="12">
        <f t="shared" si="197"/>
        <v>0</v>
      </c>
      <c r="IL189" s="12">
        <f t="shared" si="198"/>
        <v>0</v>
      </c>
      <c r="IM189" s="12">
        <f t="shared" si="199"/>
        <v>0</v>
      </c>
      <c r="IN189" s="12">
        <f t="shared" si="200"/>
        <v>0</v>
      </c>
      <c r="IO189" s="12">
        <f t="shared" si="201"/>
        <v>0</v>
      </c>
      <c r="IP189" s="12">
        <f t="shared" si="202"/>
        <v>0</v>
      </c>
      <c r="IQ189" s="12">
        <f t="shared" si="203"/>
        <v>0</v>
      </c>
      <c r="IR189" s="12">
        <f t="shared" si="204"/>
        <v>0</v>
      </c>
      <c r="IS189" s="12">
        <f t="shared" si="205"/>
        <v>0</v>
      </c>
      <c r="IT189" s="12">
        <f t="shared" si="206"/>
        <v>0</v>
      </c>
      <c r="IU189" s="12">
        <f t="shared" si="207"/>
        <v>0</v>
      </c>
      <c r="IV189" s="12">
        <f t="shared" si="208"/>
        <v>0</v>
      </c>
      <c r="IW189" s="12">
        <f t="shared" si="209"/>
        <v>0</v>
      </c>
      <c r="IX189" s="12">
        <f t="shared" si="210"/>
        <v>0</v>
      </c>
      <c r="IY189" s="12">
        <f t="shared" si="211"/>
        <v>0</v>
      </c>
      <c r="IZ189" s="12">
        <f t="shared" si="212"/>
        <v>1</v>
      </c>
      <c r="JA189" s="13">
        <f t="shared" si="213"/>
        <v>0</v>
      </c>
      <c r="JB189" s="13">
        <f t="shared" si="214"/>
        <v>0</v>
      </c>
      <c r="JC189" s="13">
        <f t="shared" si="215"/>
        <v>0</v>
      </c>
      <c r="JD189" s="13">
        <f t="shared" si="216"/>
        <v>0</v>
      </c>
      <c r="JE189" s="13">
        <f t="shared" si="217"/>
        <v>0</v>
      </c>
      <c r="JF189" s="13">
        <f t="shared" si="218"/>
        <v>0</v>
      </c>
      <c r="JG189" s="13">
        <f t="shared" si="219"/>
        <v>0</v>
      </c>
      <c r="JH189" s="13">
        <f t="shared" si="220"/>
        <v>0</v>
      </c>
      <c r="JI189" s="13">
        <f t="shared" si="221"/>
        <v>0</v>
      </c>
      <c r="JJ189" s="13">
        <f t="shared" si="222"/>
        <v>0</v>
      </c>
      <c r="JK189" s="13">
        <f t="shared" si="223"/>
        <v>0</v>
      </c>
      <c r="JL189" s="13">
        <f t="shared" si="224"/>
        <v>0</v>
      </c>
      <c r="JM189" s="13">
        <f t="shared" si="225"/>
        <v>0</v>
      </c>
      <c r="JN189" s="13">
        <f t="shared" si="226"/>
        <v>0</v>
      </c>
      <c r="JO189" s="13">
        <f t="shared" si="227"/>
        <v>0</v>
      </c>
      <c r="JP189" s="13">
        <f t="shared" si="228"/>
        <v>0</v>
      </c>
      <c r="JQ189" s="13">
        <f t="shared" si="229"/>
        <v>0</v>
      </c>
      <c r="JR189" s="13">
        <f t="shared" si="230"/>
        <v>0</v>
      </c>
      <c r="JS189" s="13">
        <f t="shared" si="231"/>
        <v>0</v>
      </c>
      <c r="JT189" s="13">
        <f t="shared" si="232"/>
        <v>0</v>
      </c>
      <c r="JU189" s="13">
        <f t="shared" si="233"/>
        <v>0</v>
      </c>
      <c r="JV189" s="12">
        <f t="shared" si="234"/>
        <v>0</v>
      </c>
      <c r="JW189" s="12">
        <f t="shared" si="235"/>
        <v>0</v>
      </c>
      <c r="JX189" s="12">
        <f t="shared" si="236"/>
        <v>0</v>
      </c>
      <c r="JY189" s="12">
        <f t="shared" si="237"/>
        <v>0</v>
      </c>
      <c r="JZ189" s="12">
        <f t="shared" si="238"/>
        <v>0</v>
      </c>
      <c r="KA189" s="12">
        <f t="shared" si="239"/>
        <v>0</v>
      </c>
      <c r="KB189" s="12">
        <f t="shared" si="240"/>
        <v>0</v>
      </c>
      <c r="KC189" s="12">
        <f t="shared" si="241"/>
        <v>0</v>
      </c>
      <c r="KD189" s="12">
        <f t="shared" si="242"/>
        <v>0</v>
      </c>
      <c r="KE189" s="12">
        <f t="shared" si="243"/>
        <v>0</v>
      </c>
      <c r="KF189" s="12">
        <f t="shared" si="244"/>
        <v>0</v>
      </c>
      <c r="KG189" s="12">
        <f t="shared" si="245"/>
        <v>0</v>
      </c>
      <c r="KH189" s="12">
        <f t="shared" si="246"/>
        <v>0</v>
      </c>
      <c r="KI189" s="12">
        <f t="shared" si="247"/>
        <v>0</v>
      </c>
      <c r="KJ189" s="12">
        <f t="shared" si="248"/>
        <v>0</v>
      </c>
      <c r="KK189" s="12">
        <f t="shared" si="249"/>
        <v>0</v>
      </c>
      <c r="KL189" s="12">
        <f t="shared" si="250"/>
        <v>0</v>
      </c>
      <c r="KM189" s="12">
        <f t="shared" si="251"/>
        <v>0</v>
      </c>
      <c r="KN189" s="12">
        <f t="shared" si="252"/>
        <v>0</v>
      </c>
      <c r="KO189" s="12">
        <f t="shared" si="253"/>
        <v>0</v>
      </c>
      <c r="KP189" s="12">
        <f t="shared" si="254"/>
        <v>0</v>
      </c>
      <c r="KQ189" s="12">
        <f t="shared" si="255"/>
        <v>0</v>
      </c>
      <c r="KR189" s="12">
        <f t="shared" si="256"/>
        <v>0</v>
      </c>
      <c r="KS189" s="12">
        <f t="shared" si="257"/>
        <v>0</v>
      </c>
      <c r="KT189" s="12">
        <f t="shared" si="258"/>
        <v>0</v>
      </c>
      <c r="KU189" s="12">
        <f t="shared" si="259"/>
        <v>0</v>
      </c>
      <c r="KV189" s="12">
        <f t="shared" si="260"/>
        <v>0</v>
      </c>
      <c r="KW189" s="12">
        <f t="shared" si="261"/>
        <v>0</v>
      </c>
      <c r="KX189" s="12">
        <f t="shared" si="262"/>
        <v>0</v>
      </c>
      <c r="KY189" s="12">
        <f t="shared" si="263"/>
        <v>0</v>
      </c>
      <c r="KZ189" s="12">
        <f t="shared" si="264"/>
        <v>0</v>
      </c>
      <c r="LA189" s="12">
        <f t="shared" si="265"/>
        <v>0</v>
      </c>
      <c r="LB189" s="12">
        <f t="shared" si="266"/>
        <v>0</v>
      </c>
      <c r="LC189" s="12">
        <f t="shared" si="267"/>
        <v>0</v>
      </c>
      <c r="LD189" s="12">
        <f t="shared" si="268"/>
        <v>0</v>
      </c>
      <c r="LE189" s="12">
        <f t="shared" si="269"/>
        <v>0</v>
      </c>
      <c r="LF189" s="12">
        <f t="shared" si="270"/>
        <v>0</v>
      </c>
      <c r="LG189" s="12">
        <f t="shared" si="271"/>
        <v>0</v>
      </c>
      <c r="LH189" s="12">
        <f t="shared" si="272"/>
        <v>0</v>
      </c>
      <c r="LI189" s="12">
        <f t="shared" si="273"/>
        <v>0</v>
      </c>
      <c r="LJ189" s="12">
        <f t="shared" si="274"/>
        <v>0</v>
      </c>
      <c r="LK189" s="12">
        <f t="shared" si="275"/>
        <v>0</v>
      </c>
      <c r="LL189" s="12">
        <f t="shared" si="276"/>
        <v>0</v>
      </c>
      <c r="LM189" s="12">
        <f t="shared" si="277"/>
        <v>0</v>
      </c>
      <c r="LN189" s="12">
        <f t="shared" si="278"/>
        <v>0</v>
      </c>
      <c r="LO189" s="12">
        <f t="shared" si="279"/>
        <v>0</v>
      </c>
      <c r="LP189" s="12">
        <f t="shared" si="280"/>
        <v>0</v>
      </c>
      <c r="LQ189" s="12">
        <f t="shared" si="281"/>
        <v>0</v>
      </c>
      <c r="LR189" s="12">
        <f t="shared" si="282"/>
        <v>0</v>
      </c>
      <c r="LS189" s="12">
        <f t="shared" si="283"/>
        <v>0</v>
      </c>
      <c r="LT189" s="13">
        <f t="shared" si="284"/>
        <v>0</v>
      </c>
      <c r="LU189" s="13">
        <f t="shared" si="285"/>
        <v>0</v>
      </c>
      <c r="LV189" s="13">
        <f t="shared" si="286"/>
        <v>0</v>
      </c>
      <c r="LW189" s="13">
        <f t="shared" si="287"/>
        <v>0</v>
      </c>
      <c r="LX189" s="13">
        <f t="shared" si="288"/>
        <v>0</v>
      </c>
      <c r="LY189" s="13">
        <f t="shared" si="289"/>
        <v>0</v>
      </c>
      <c r="LZ189" s="13">
        <f t="shared" si="290"/>
        <v>0</v>
      </c>
      <c r="MA189" s="13">
        <f t="shared" si="291"/>
        <v>0</v>
      </c>
      <c r="MB189" s="13">
        <f t="shared" si="292"/>
        <v>0</v>
      </c>
      <c r="MC189" s="13">
        <f t="shared" si="293"/>
        <v>0</v>
      </c>
      <c r="MD189" s="13">
        <f t="shared" si="294"/>
        <v>0</v>
      </c>
      <c r="ME189" s="13">
        <f t="shared" si="295"/>
        <v>0</v>
      </c>
      <c r="MF189" s="13">
        <f t="shared" si="296"/>
        <v>0</v>
      </c>
      <c r="MG189" s="13">
        <f t="shared" si="297"/>
        <v>0</v>
      </c>
      <c r="MH189" s="13">
        <f t="shared" si="298"/>
        <v>0</v>
      </c>
      <c r="MI189" s="13">
        <f t="shared" si="299"/>
        <v>0</v>
      </c>
      <c r="MJ189" s="13">
        <f t="shared" si="300"/>
        <v>0</v>
      </c>
      <c r="MK189" s="13">
        <f t="shared" si="301"/>
        <v>0</v>
      </c>
      <c r="ML189" s="14">
        <f t="shared" si="302"/>
        <v>0</v>
      </c>
      <c r="MM189" s="14">
        <f t="shared" si="303"/>
        <v>0</v>
      </c>
      <c r="MN189" s="14">
        <f t="shared" si="304"/>
        <v>0</v>
      </c>
      <c r="MO189" s="14">
        <f t="shared" si="305"/>
        <v>0</v>
      </c>
      <c r="MP189" s="14">
        <f t="shared" si="306"/>
        <v>0</v>
      </c>
      <c r="MQ189" s="14">
        <f t="shared" si="307"/>
        <v>0</v>
      </c>
      <c r="MR189" s="14">
        <f t="shared" si="308"/>
        <v>0</v>
      </c>
      <c r="MS189" s="14">
        <f t="shared" si="309"/>
        <v>0</v>
      </c>
      <c r="MT189" s="14">
        <f t="shared" si="310"/>
        <v>0</v>
      </c>
      <c r="MU189" s="14">
        <f t="shared" si="311"/>
        <v>0</v>
      </c>
      <c r="MV189" s="14">
        <f t="shared" si="312"/>
        <v>0</v>
      </c>
      <c r="MW189" s="14">
        <f t="shared" si="313"/>
        <v>0</v>
      </c>
      <c r="MX189" s="14">
        <f t="shared" si="314"/>
        <v>0</v>
      </c>
      <c r="MY189" s="14">
        <f t="shared" si="315"/>
        <v>0</v>
      </c>
      <c r="MZ189" s="14">
        <f t="shared" si="316"/>
        <v>0</v>
      </c>
      <c r="NA189" s="14">
        <f t="shared" si="317"/>
        <v>0</v>
      </c>
      <c r="NB189" s="14">
        <f t="shared" si="318"/>
        <v>0</v>
      </c>
    </row>
    <row r="190" ht="15.75" customHeight="1">
      <c r="A190" s="2">
        <v>150.0</v>
      </c>
      <c r="B190" s="2" t="s">
        <v>3533</v>
      </c>
      <c r="C190" s="2" t="s">
        <v>3534</v>
      </c>
      <c r="D190" s="2" t="s">
        <v>3535</v>
      </c>
      <c r="E190" s="2">
        <v>2021.0</v>
      </c>
      <c r="F190" s="2" t="s">
        <v>3536</v>
      </c>
      <c r="G190" s="2" t="s">
        <v>1415</v>
      </c>
      <c r="H190" s="2" t="s">
        <v>452</v>
      </c>
      <c r="J190" s="2" t="s">
        <v>3537</v>
      </c>
      <c r="K190" s="2" t="s">
        <v>3538</v>
      </c>
      <c r="M190" s="2">
        <v>1.0</v>
      </c>
      <c r="O190" s="2" t="s">
        <v>3539</v>
      </c>
      <c r="P190" s="2" t="s">
        <v>3540</v>
      </c>
      <c r="Q190" s="2" t="s">
        <v>3541</v>
      </c>
      <c r="R190" s="2" t="s">
        <v>3542</v>
      </c>
      <c r="S190" s="2" t="s">
        <v>3543</v>
      </c>
      <c r="T190" s="2" t="s">
        <v>3544</v>
      </c>
      <c r="Y190" s="2" t="s">
        <v>3545</v>
      </c>
      <c r="AB190" s="2" t="s">
        <v>3546</v>
      </c>
      <c r="AG190" s="2" t="s">
        <v>3547</v>
      </c>
      <c r="AK190" s="2" t="s">
        <v>3548</v>
      </c>
      <c r="AL190" s="2" t="s">
        <v>384</v>
      </c>
      <c r="AN190" s="2" t="s">
        <v>386</v>
      </c>
      <c r="AO190" s="2" t="s">
        <v>3549</v>
      </c>
      <c r="AP190" s="2" t="s">
        <v>386</v>
      </c>
      <c r="AQ190" s="2">
        <v>495.0</v>
      </c>
      <c r="AR190" s="2" t="s">
        <v>3535</v>
      </c>
      <c r="AS190" s="2" t="b">
        <v>1</v>
      </c>
      <c r="AT190" s="3">
        <v>0.0</v>
      </c>
      <c r="AU190" s="4"/>
      <c r="AV190" s="4"/>
      <c r="AW190" s="5">
        <f t="shared" si="432"/>
        <v>0</v>
      </c>
      <c r="AX190" s="5">
        <f t="shared" si="4"/>
        <v>0</v>
      </c>
      <c r="AY190" s="5">
        <f t="shared" si="5"/>
        <v>0</v>
      </c>
      <c r="AZ190" s="5">
        <f t="shared" si="6"/>
        <v>0</v>
      </c>
      <c r="BA190" s="5">
        <f t="shared" si="7"/>
        <v>0</v>
      </c>
      <c r="BB190" s="5">
        <f t="shared" si="8"/>
        <v>0</v>
      </c>
      <c r="BC190" s="5">
        <f t="shared" si="9"/>
        <v>0</v>
      </c>
      <c r="BD190" s="5">
        <f t="shared" si="10"/>
        <v>0</v>
      </c>
      <c r="BE190" s="5">
        <f t="shared" si="11"/>
        <v>0</v>
      </c>
      <c r="BF190" s="5">
        <f t="shared" si="12"/>
        <v>0</v>
      </c>
      <c r="BG190" s="5">
        <f t="shared" si="13"/>
        <v>0</v>
      </c>
      <c r="BH190" s="5">
        <f t="shared" si="14"/>
        <v>0</v>
      </c>
      <c r="BI190" s="5">
        <f t="shared" si="15"/>
        <v>0</v>
      </c>
      <c r="BJ190" s="5">
        <f t="shared" si="16"/>
        <v>0</v>
      </c>
      <c r="BK190" s="5">
        <f t="shared" si="17"/>
        <v>0</v>
      </c>
      <c r="BL190" s="5">
        <f t="shared" si="18"/>
        <v>0</v>
      </c>
      <c r="BM190" s="5">
        <f t="shared" si="19"/>
        <v>0</v>
      </c>
      <c r="BN190" s="5">
        <f t="shared" si="20"/>
        <v>0</v>
      </c>
      <c r="BO190" s="5">
        <f t="shared" si="21"/>
        <v>0</v>
      </c>
      <c r="BP190" s="5">
        <f t="shared" si="22"/>
        <v>0</v>
      </c>
      <c r="BQ190" s="5">
        <f t="shared" si="23"/>
        <v>0</v>
      </c>
      <c r="BR190" s="5">
        <f t="shared" si="24"/>
        <v>0</v>
      </c>
      <c r="BS190" s="5">
        <f t="shared" si="25"/>
        <v>0</v>
      </c>
      <c r="BT190" s="5">
        <f t="shared" si="26"/>
        <v>0</v>
      </c>
      <c r="BU190" s="5">
        <f t="shared" si="27"/>
        <v>0</v>
      </c>
      <c r="BV190" s="5">
        <f t="shared" ref="BV190:BW190" si="736">IF(OR(ISNUMBER(SEARCH("grit",$D190)),ISNUMBER(SEARCH("grit",$T190)),ISNUMBER(SEARCH("grit",$R190)),ISNUMBER(SEARCH("grit",$S190)),
ISNUMBER(SEARCH("determination",$D190)),ISNUMBER(SEARCH("determination",$T190)),ISNUMBER(SEARCH("determination",$R190)),ISNUMBER(SEARCH("determination",$S190)),
ISNUMBER(SEARCH("tenacity",$D190)),ISNUMBER(SEARCH("tenacity",$T190)),ISNUMBER(SEARCH("tenacity",$R190)),ISNUMBER(SEARCH("tenacity",$S190)),
ISNUMBER(SEARCH("endurance",$D190)),ISNUMBER(SEARCH("endurance",$T190)),ISNUMBER(SEARCH("endurance",$R190)),ISNUMBER(SEARCH("endurance",$S190)),
ISNUMBER(SEARCH("fortitude",$D190)),ISNUMBER(SEARCH("fortitude",$T190)),ISNUMBER(SEARCH("fortitude",$R190)),ISNUMBER(SEARCH("fortitude",$S190)),
ISNUMBER(SEARCH("resolve",$D190)),ISNUMBER(SEARCH("resolve",$T190)),ISNUMBER(SEARCH("resolve",$R190)),ISNUMBER(SEARCH("resolve",$S190)),
ISNUMBER(SEARCH("stamina",$D190)),ISNUMBER(SEARCH("stamina",$T190)),ISNUMBER(SEARCH("stamina",$R190)),ISNUMBER(SEARCH("stamina",$S190)),
ISNUMBER(SEARCH("guts",$D190)),ISNUMBER(SEARCH("guts",$T190)),ISNUMBER(SEARCH("guts",$R190)),ISNUMBER(SEARCH("guts",$S190)),
ISNUMBER(SEARCH("spunk",$D190)),ISNUMBER(SEARCH("spunk",$T190)),ISNUMBER(SEARCH("spunk",$R190)),ISNUMBER(SEARCH("spunk",$S190))), 1, 0)</f>
        <v>0</v>
      </c>
      <c r="BW190" s="5">
        <f t="shared" si="736"/>
        <v>0</v>
      </c>
      <c r="BX190" s="5">
        <f t="shared" si="29"/>
        <v>0</v>
      </c>
      <c r="BY190" s="5">
        <f t="shared" si="30"/>
        <v>0</v>
      </c>
      <c r="BZ190" s="5">
        <f t="shared" si="31"/>
        <v>0</v>
      </c>
      <c r="CA190" s="5">
        <f t="shared" si="32"/>
        <v>0</v>
      </c>
      <c r="CB190" s="5">
        <f t="shared" si="33"/>
        <v>0</v>
      </c>
      <c r="CC190" s="5">
        <f t="shared" si="34"/>
        <v>0</v>
      </c>
      <c r="CD190" s="5">
        <f t="shared" si="35"/>
        <v>0</v>
      </c>
      <c r="CE190" s="5">
        <f t="shared" si="36"/>
        <v>0</v>
      </c>
      <c r="CF190" s="5">
        <f t="shared" si="37"/>
        <v>0</v>
      </c>
      <c r="CG190" s="5">
        <f t="shared" si="38"/>
        <v>0</v>
      </c>
      <c r="CH190" s="5">
        <f t="shared" si="39"/>
        <v>0</v>
      </c>
      <c r="CI190" s="5">
        <f t="shared" si="40"/>
        <v>0</v>
      </c>
      <c r="CJ190" s="5">
        <f t="shared" si="41"/>
        <v>0</v>
      </c>
      <c r="CK190" s="5">
        <f t="shared" si="42"/>
        <v>0</v>
      </c>
      <c r="CL190" s="5">
        <f t="shared" si="43"/>
        <v>0</v>
      </c>
      <c r="CM190" s="5">
        <f t="shared" si="44"/>
        <v>0</v>
      </c>
      <c r="CN190" s="5">
        <f t="shared" si="45"/>
        <v>0</v>
      </c>
      <c r="CO190" s="5">
        <f t="shared" si="46"/>
        <v>0</v>
      </c>
      <c r="CP190" s="6">
        <f t="shared" si="47"/>
        <v>0</v>
      </c>
      <c r="CQ190" s="6">
        <f t="shared" si="48"/>
        <v>0</v>
      </c>
      <c r="CR190" s="6">
        <f t="shared" si="49"/>
        <v>0</v>
      </c>
      <c r="CS190" s="6">
        <f t="shared" si="50"/>
        <v>0</v>
      </c>
      <c r="CT190" s="6">
        <f t="shared" si="584"/>
        <v>0</v>
      </c>
      <c r="CU190" s="6">
        <f t="shared" si="52"/>
        <v>0</v>
      </c>
      <c r="CV190" s="6">
        <f t="shared" si="53"/>
        <v>0</v>
      </c>
      <c r="CW190" s="6">
        <f t="shared" si="54"/>
        <v>0</v>
      </c>
      <c r="CX190" s="6">
        <f t="shared" si="55"/>
        <v>0</v>
      </c>
      <c r="CY190" s="6">
        <f t="shared" si="56"/>
        <v>0</v>
      </c>
      <c r="CZ190" s="6">
        <f t="shared" si="57"/>
        <v>0</v>
      </c>
      <c r="DA190" s="6">
        <f t="shared" si="58"/>
        <v>0</v>
      </c>
      <c r="DB190" s="6">
        <f t="shared" si="59"/>
        <v>0</v>
      </c>
      <c r="DC190" s="6">
        <f t="shared" si="60"/>
        <v>0</v>
      </c>
      <c r="DD190" s="6">
        <f t="shared" si="61"/>
        <v>0</v>
      </c>
      <c r="DE190" s="6">
        <f t="shared" si="62"/>
        <v>0</v>
      </c>
      <c r="DF190" s="6">
        <f t="shared" si="63"/>
        <v>0</v>
      </c>
      <c r="DG190" s="6">
        <f t="shared" si="64"/>
        <v>0</v>
      </c>
      <c r="DH190" s="6">
        <f t="shared" si="697"/>
        <v>0</v>
      </c>
      <c r="DI190" s="6">
        <f t="shared" si="66"/>
        <v>0</v>
      </c>
      <c r="DJ190" s="6">
        <f t="shared" si="653"/>
        <v>0</v>
      </c>
      <c r="DK190" s="7">
        <f t="shared" si="68"/>
        <v>0</v>
      </c>
      <c r="DL190" s="7">
        <f t="shared" si="498"/>
        <v>0</v>
      </c>
      <c r="DM190" s="7">
        <f t="shared" si="70"/>
        <v>0</v>
      </c>
      <c r="DN190" s="7">
        <f t="shared" si="71"/>
        <v>0</v>
      </c>
      <c r="DO190" s="7">
        <f t="shared" si="72"/>
        <v>1</v>
      </c>
      <c r="DP190" s="8">
        <f t="shared" si="73"/>
        <v>0</v>
      </c>
      <c r="DQ190" s="8">
        <f t="shared" si="74"/>
        <v>1</v>
      </c>
      <c r="DR190" s="7">
        <f t="shared" si="75"/>
        <v>0</v>
      </c>
      <c r="DS190" s="7">
        <f t="shared" si="76"/>
        <v>1</v>
      </c>
      <c r="DT190" s="7">
        <f t="shared" si="77"/>
        <v>0</v>
      </c>
      <c r="DU190" s="9">
        <f t="shared" si="78"/>
        <v>0</v>
      </c>
      <c r="DV190" s="9">
        <f t="shared" si="79"/>
        <v>0</v>
      </c>
      <c r="DW190" s="9">
        <f t="shared" si="80"/>
        <v>0</v>
      </c>
      <c r="DX190" s="9">
        <f t="shared" si="81"/>
        <v>0</v>
      </c>
      <c r="DY190" s="9">
        <f t="shared" si="82"/>
        <v>0</v>
      </c>
      <c r="DZ190" s="9">
        <f t="shared" si="83"/>
        <v>0</v>
      </c>
      <c r="EA190" s="9">
        <f t="shared" si="84"/>
        <v>0</v>
      </c>
      <c r="EB190" s="9">
        <f t="shared" si="85"/>
        <v>0</v>
      </c>
      <c r="EC190" s="9">
        <f t="shared" si="86"/>
        <v>0</v>
      </c>
      <c r="ED190" s="9">
        <f t="shared" si="87"/>
        <v>0</v>
      </c>
      <c r="EE190" s="9">
        <f t="shared" si="88"/>
        <v>0</v>
      </c>
      <c r="EF190" s="9">
        <f t="shared" si="89"/>
        <v>0</v>
      </c>
      <c r="EG190" s="9">
        <f t="shared" si="90"/>
        <v>0</v>
      </c>
      <c r="EH190" s="9">
        <f t="shared" si="91"/>
        <v>0</v>
      </c>
      <c r="EI190" s="9">
        <f t="shared" si="92"/>
        <v>0</v>
      </c>
      <c r="EJ190" s="10">
        <f t="shared" si="93"/>
        <v>0</v>
      </c>
      <c r="EK190" s="10">
        <f t="shared" si="94"/>
        <v>0</v>
      </c>
      <c r="EL190" s="10">
        <f t="shared" ref="EL190:EM190" si="737">IF(OR(ISNUMBER(SEARCH("ai software toolkit", $D190)), ISNUMBER(SEARCH("ai software toolkit", $T190)), ISNUMBER(SEARCH("ai software toolkit", $R190)), ISNUMBER(SEARCH("ai software toolkit", $S190))), 1, 0)</f>
        <v>0</v>
      </c>
      <c r="EM190" s="10">
        <f t="shared" si="737"/>
        <v>0</v>
      </c>
      <c r="EN190" s="10">
        <f t="shared" si="96"/>
        <v>0</v>
      </c>
      <c r="EO190" s="10">
        <f t="shared" si="97"/>
        <v>0</v>
      </c>
      <c r="EP190" s="10">
        <f t="shared" si="98"/>
        <v>0</v>
      </c>
      <c r="EQ190" s="10">
        <f t="shared" si="99"/>
        <v>0</v>
      </c>
      <c r="ER190" s="10">
        <f t="shared" si="100"/>
        <v>0</v>
      </c>
      <c r="ES190" s="10">
        <f t="shared" si="101"/>
        <v>0</v>
      </c>
      <c r="ET190" s="10">
        <f t="shared" si="102"/>
        <v>0</v>
      </c>
      <c r="EU190" s="10">
        <f t="shared" si="103"/>
        <v>0</v>
      </c>
      <c r="EV190" s="10">
        <f t="shared" si="104"/>
        <v>0</v>
      </c>
      <c r="EW190" s="10">
        <f t="shared" si="105"/>
        <v>0</v>
      </c>
      <c r="EX190" s="10">
        <f t="shared" si="106"/>
        <v>0</v>
      </c>
      <c r="EY190" s="10">
        <f t="shared" si="107"/>
        <v>0</v>
      </c>
      <c r="EZ190" s="10">
        <f t="shared" si="108"/>
        <v>0</v>
      </c>
      <c r="FA190" s="10">
        <f t="shared" si="109"/>
        <v>0</v>
      </c>
      <c r="FB190" s="10">
        <f t="shared" si="110"/>
        <v>0</v>
      </c>
      <c r="FC190" s="10">
        <f t="shared" si="111"/>
        <v>0</v>
      </c>
      <c r="FD190" s="10">
        <f t="shared" si="112"/>
        <v>0</v>
      </c>
      <c r="FE190" s="10">
        <f t="shared" si="113"/>
        <v>0</v>
      </c>
      <c r="FF190" s="10">
        <f t="shared" si="114"/>
        <v>0</v>
      </c>
      <c r="FG190" s="10">
        <f t="shared" si="115"/>
        <v>0</v>
      </c>
      <c r="FH190" s="10">
        <f t="shared" si="116"/>
        <v>0</v>
      </c>
      <c r="FI190" s="10">
        <f t="shared" si="117"/>
        <v>0</v>
      </c>
      <c r="FJ190" s="10">
        <f t="shared" si="118"/>
        <v>0</v>
      </c>
      <c r="FK190" s="10">
        <f t="shared" si="119"/>
        <v>0</v>
      </c>
      <c r="FL190" s="10">
        <f t="shared" si="120"/>
        <v>0</v>
      </c>
      <c r="FM190" s="10">
        <f t="shared" si="121"/>
        <v>0</v>
      </c>
      <c r="FN190" s="10">
        <f t="shared" si="122"/>
        <v>0</v>
      </c>
      <c r="FO190" s="10">
        <f t="shared" si="123"/>
        <v>0</v>
      </c>
      <c r="FP190" s="10">
        <f t="shared" si="124"/>
        <v>0</v>
      </c>
      <c r="FQ190" s="10">
        <f t="shared" si="125"/>
        <v>0</v>
      </c>
      <c r="FR190" s="11">
        <f t="shared" si="709"/>
        <v>0</v>
      </c>
      <c r="FS190" s="11">
        <f t="shared" si="127"/>
        <v>0</v>
      </c>
      <c r="FT190" s="11">
        <f t="shared" si="128"/>
        <v>0</v>
      </c>
      <c r="FU190" s="11">
        <f t="shared" si="129"/>
        <v>0</v>
      </c>
      <c r="FV190" s="11">
        <f t="shared" si="130"/>
        <v>0</v>
      </c>
      <c r="FW190" s="11">
        <f t="shared" si="131"/>
        <v>0</v>
      </c>
      <c r="FX190" s="11">
        <f t="shared" si="132"/>
        <v>0</v>
      </c>
      <c r="FY190" s="11">
        <f t="shared" si="133"/>
        <v>0</v>
      </c>
      <c r="FZ190" s="11">
        <f t="shared" si="134"/>
        <v>0</v>
      </c>
      <c r="GA190" s="11">
        <f t="shared" si="135"/>
        <v>0</v>
      </c>
      <c r="GB190" s="11">
        <f t="shared" si="136"/>
        <v>0</v>
      </c>
      <c r="GC190" s="11">
        <f t="shared" si="137"/>
        <v>0</v>
      </c>
      <c r="GD190" s="11">
        <f t="shared" si="138"/>
        <v>0</v>
      </c>
      <c r="GE190" s="11">
        <f t="shared" si="139"/>
        <v>0</v>
      </c>
      <c r="GF190" s="11">
        <f t="shared" si="140"/>
        <v>0</v>
      </c>
      <c r="GG190" s="11">
        <f t="shared" si="141"/>
        <v>0</v>
      </c>
      <c r="GH190" s="11">
        <f t="shared" si="142"/>
        <v>0</v>
      </c>
      <c r="GI190" s="11">
        <f t="shared" si="143"/>
        <v>0</v>
      </c>
      <c r="GJ190" s="11">
        <f t="shared" si="144"/>
        <v>0</v>
      </c>
      <c r="GK190" s="11">
        <f t="shared" si="145"/>
        <v>0</v>
      </c>
      <c r="GL190" s="11">
        <f t="shared" si="146"/>
        <v>0</v>
      </c>
      <c r="GM190" s="11">
        <f t="shared" si="147"/>
        <v>0</v>
      </c>
      <c r="GN190" s="11">
        <f t="shared" si="148"/>
        <v>0</v>
      </c>
      <c r="GO190" s="11">
        <f t="shared" si="149"/>
        <v>0</v>
      </c>
      <c r="GP190" s="11">
        <f t="shared" si="150"/>
        <v>0</v>
      </c>
      <c r="GQ190" s="11">
        <f t="shared" si="151"/>
        <v>0</v>
      </c>
      <c r="GR190" s="11">
        <f t="shared" si="152"/>
        <v>0</v>
      </c>
      <c r="GS190" s="11">
        <f t="shared" si="153"/>
        <v>0</v>
      </c>
      <c r="GT190" s="11">
        <f t="shared" si="154"/>
        <v>0</v>
      </c>
      <c r="GU190" s="12">
        <f t="shared" si="155"/>
        <v>0</v>
      </c>
      <c r="GV190" s="12">
        <f t="shared" si="156"/>
        <v>0</v>
      </c>
      <c r="GW190" s="12">
        <f t="shared" si="157"/>
        <v>0</v>
      </c>
      <c r="GX190" s="12">
        <f t="shared" si="158"/>
        <v>0</v>
      </c>
      <c r="GY190" s="12">
        <f t="shared" si="159"/>
        <v>0</v>
      </c>
      <c r="GZ190" s="12">
        <f t="shared" si="160"/>
        <v>0</v>
      </c>
      <c r="HA190" s="12">
        <f t="shared" si="161"/>
        <v>0</v>
      </c>
      <c r="HB190" s="12">
        <f t="shared" si="162"/>
        <v>0</v>
      </c>
      <c r="HC190" s="12">
        <f t="shared" si="163"/>
        <v>0</v>
      </c>
      <c r="HD190" s="12">
        <f t="shared" si="164"/>
        <v>0</v>
      </c>
      <c r="HE190" s="12">
        <f t="shared" si="165"/>
        <v>0</v>
      </c>
      <c r="HF190" s="12">
        <f t="shared" si="166"/>
        <v>0</v>
      </c>
      <c r="HG190" s="12">
        <f t="shared" si="167"/>
        <v>0</v>
      </c>
      <c r="HH190" s="12">
        <f t="shared" si="168"/>
        <v>0</v>
      </c>
      <c r="HI190" s="12">
        <f t="shared" si="169"/>
        <v>0</v>
      </c>
      <c r="HJ190" s="12">
        <f t="shared" si="170"/>
        <v>0</v>
      </c>
      <c r="HK190" s="12">
        <f t="shared" si="171"/>
        <v>0</v>
      </c>
      <c r="HL190" s="12">
        <f t="shared" si="172"/>
        <v>0</v>
      </c>
      <c r="HM190" s="12">
        <f t="shared" si="173"/>
        <v>0</v>
      </c>
      <c r="HN190" s="12">
        <f t="shared" si="174"/>
        <v>0</v>
      </c>
      <c r="HO190" s="12">
        <f t="shared" si="175"/>
        <v>0</v>
      </c>
      <c r="HP190" s="12">
        <f t="shared" si="176"/>
        <v>0</v>
      </c>
      <c r="HQ190" s="12">
        <f t="shared" si="177"/>
        <v>0</v>
      </c>
      <c r="HR190" s="12">
        <f t="shared" si="178"/>
        <v>0</v>
      </c>
      <c r="HS190" s="12">
        <f t="shared" si="179"/>
        <v>0</v>
      </c>
      <c r="HT190" s="12">
        <f t="shared" si="180"/>
        <v>0</v>
      </c>
      <c r="HU190" s="12">
        <f t="shared" si="181"/>
        <v>0</v>
      </c>
      <c r="HV190" s="12">
        <f t="shared" si="182"/>
        <v>0</v>
      </c>
      <c r="HW190" s="12">
        <f t="shared" si="183"/>
        <v>0</v>
      </c>
      <c r="HX190" s="12">
        <f t="shared" si="184"/>
        <v>0</v>
      </c>
      <c r="HY190" s="12">
        <f t="shared" si="185"/>
        <v>0</v>
      </c>
      <c r="HZ190" s="12">
        <f t="shared" si="186"/>
        <v>0</v>
      </c>
      <c r="IA190" s="12">
        <f t="shared" si="187"/>
        <v>0</v>
      </c>
      <c r="IB190" s="12">
        <f t="shared" si="188"/>
        <v>0</v>
      </c>
      <c r="IC190" s="12">
        <f t="shared" si="189"/>
        <v>0</v>
      </c>
      <c r="ID190" s="12">
        <f t="shared" si="190"/>
        <v>0</v>
      </c>
      <c r="IE190" s="12">
        <f t="shared" si="191"/>
        <v>0</v>
      </c>
      <c r="IF190" s="12">
        <f t="shared" si="192"/>
        <v>0</v>
      </c>
      <c r="IG190" s="12">
        <f t="shared" si="193"/>
        <v>0</v>
      </c>
      <c r="IH190" s="12">
        <f t="shared" si="194"/>
        <v>0</v>
      </c>
      <c r="II190" s="12">
        <f t="shared" si="195"/>
        <v>0</v>
      </c>
      <c r="IJ190" s="12">
        <f t="shared" si="196"/>
        <v>0</v>
      </c>
      <c r="IK190" s="12">
        <f t="shared" si="197"/>
        <v>0</v>
      </c>
      <c r="IL190" s="12">
        <f t="shared" si="198"/>
        <v>0</v>
      </c>
      <c r="IM190" s="12">
        <f t="shared" si="199"/>
        <v>0</v>
      </c>
      <c r="IN190" s="12">
        <f t="shared" si="200"/>
        <v>0</v>
      </c>
      <c r="IO190" s="12">
        <f t="shared" si="201"/>
        <v>0</v>
      </c>
      <c r="IP190" s="12">
        <f t="shared" si="202"/>
        <v>0</v>
      </c>
      <c r="IQ190" s="12">
        <f t="shared" si="203"/>
        <v>0</v>
      </c>
      <c r="IR190" s="12">
        <f t="shared" si="204"/>
        <v>0</v>
      </c>
      <c r="IS190" s="12">
        <f t="shared" si="205"/>
        <v>0</v>
      </c>
      <c r="IT190" s="12">
        <f t="shared" si="206"/>
        <v>0</v>
      </c>
      <c r="IU190" s="12">
        <f t="shared" si="207"/>
        <v>0</v>
      </c>
      <c r="IV190" s="12">
        <f t="shared" si="208"/>
        <v>0</v>
      </c>
      <c r="IW190" s="12">
        <f t="shared" si="209"/>
        <v>0</v>
      </c>
      <c r="IX190" s="12">
        <f t="shared" si="210"/>
        <v>0</v>
      </c>
      <c r="IY190" s="12">
        <f t="shared" si="211"/>
        <v>0</v>
      </c>
      <c r="IZ190" s="12">
        <f t="shared" si="212"/>
        <v>1</v>
      </c>
      <c r="JA190" s="13">
        <f t="shared" si="213"/>
        <v>0</v>
      </c>
      <c r="JB190" s="13">
        <f t="shared" si="214"/>
        <v>0</v>
      </c>
      <c r="JC190" s="13">
        <f t="shared" si="215"/>
        <v>0</v>
      </c>
      <c r="JD190" s="13">
        <f t="shared" si="216"/>
        <v>0</v>
      </c>
      <c r="JE190" s="13">
        <f t="shared" si="217"/>
        <v>0</v>
      </c>
      <c r="JF190" s="13">
        <f t="shared" si="218"/>
        <v>0</v>
      </c>
      <c r="JG190" s="13">
        <f t="shared" si="219"/>
        <v>0</v>
      </c>
      <c r="JH190" s="13">
        <f t="shared" si="220"/>
        <v>0</v>
      </c>
      <c r="JI190" s="13">
        <f t="shared" si="221"/>
        <v>0</v>
      </c>
      <c r="JJ190" s="13">
        <f t="shared" si="222"/>
        <v>0</v>
      </c>
      <c r="JK190" s="13">
        <f t="shared" si="223"/>
        <v>0</v>
      </c>
      <c r="JL190" s="13">
        <f t="shared" si="224"/>
        <v>0</v>
      </c>
      <c r="JM190" s="13">
        <f t="shared" si="225"/>
        <v>0</v>
      </c>
      <c r="JN190" s="13">
        <f t="shared" si="226"/>
        <v>0</v>
      </c>
      <c r="JO190" s="13">
        <f t="shared" si="227"/>
        <v>0</v>
      </c>
      <c r="JP190" s="13">
        <f t="shared" si="228"/>
        <v>0</v>
      </c>
      <c r="JQ190" s="13">
        <f t="shared" si="229"/>
        <v>0</v>
      </c>
      <c r="JR190" s="13">
        <f t="shared" si="230"/>
        <v>0</v>
      </c>
      <c r="JS190" s="13">
        <f t="shared" si="231"/>
        <v>0</v>
      </c>
      <c r="JT190" s="13">
        <f t="shared" si="232"/>
        <v>0</v>
      </c>
      <c r="JU190" s="13">
        <f t="shared" si="233"/>
        <v>0</v>
      </c>
      <c r="JV190" s="12">
        <f t="shared" si="234"/>
        <v>0</v>
      </c>
      <c r="JW190" s="12">
        <f t="shared" si="235"/>
        <v>0</v>
      </c>
      <c r="JX190" s="12">
        <f t="shared" si="236"/>
        <v>0</v>
      </c>
      <c r="JY190" s="12">
        <f t="shared" si="237"/>
        <v>0</v>
      </c>
      <c r="JZ190" s="12">
        <f t="shared" si="238"/>
        <v>0</v>
      </c>
      <c r="KA190" s="12">
        <f t="shared" si="239"/>
        <v>0</v>
      </c>
      <c r="KB190" s="12">
        <f t="shared" si="240"/>
        <v>0</v>
      </c>
      <c r="KC190" s="12">
        <f t="shared" si="241"/>
        <v>0</v>
      </c>
      <c r="KD190" s="12">
        <f t="shared" si="242"/>
        <v>0</v>
      </c>
      <c r="KE190" s="12">
        <f t="shared" si="243"/>
        <v>0</v>
      </c>
      <c r="KF190" s="12">
        <f t="shared" si="244"/>
        <v>0</v>
      </c>
      <c r="KG190" s="12">
        <f t="shared" si="245"/>
        <v>0</v>
      </c>
      <c r="KH190" s="12">
        <f t="shared" si="246"/>
        <v>0</v>
      </c>
      <c r="KI190" s="12">
        <f t="shared" si="247"/>
        <v>0</v>
      </c>
      <c r="KJ190" s="12">
        <f t="shared" si="248"/>
        <v>0</v>
      </c>
      <c r="KK190" s="12">
        <f t="shared" si="249"/>
        <v>0</v>
      </c>
      <c r="KL190" s="12">
        <f t="shared" si="250"/>
        <v>0</v>
      </c>
      <c r="KM190" s="12">
        <f t="shared" si="251"/>
        <v>0</v>
      </c>
      <c r="KN190" s="12">
        <f t="shared" si="252"/>
        <v>0</v>
      </c>
      <c r="KO190" s="12">
        <f t="shared" si="253"/>
        <v>0</v>
      </c>
      <c r="KP190" s="12">
        <f t="shared" si="254"/>
        <v>0</v>
      </c>
      <c r="KQ190" s="12">
        <f t="shared" si="255"/>
        <v>0</v>
      </c>
      <c r="KR190" s="12">
        <f t="shared" si="256"/>
        <v>0</v>
      </c>
      <c r="KS190" s="12">
        <f t="shared" si="257"/>
        <v>0</v>
      </c>
      <c r="KT190" s="12">
        <f t="shared" si="258"/>
        <v>0</v>
      </c>
      <c r="KU190" s="12">
        <f t="shared" si="259"/>
        <v>0</v>
      </c>
      <c r="KV190" s="12">
        <f t="shared" si="260"/>
        <v>0</v>
      </c>
      <c r="KW190" s="12">
        <f t="shared" si="261"/>
        <v>0</v>
      </c>
      <c r="KX190" s="12">
        <f t="shared" si="262"/>
        <v>0</v>
      </c>
      <c r="KY190" s="12">
        <f t="shared" si="263"/>
        <v>0</v>
      </c>
      <c r="KZ190" s="12">
        <f t="shared" si="264"/>
        <v>0</v>
      </c>
      <c r="LA190" s="12">
        <f t="shared" si="265"/>
        <v>0</v>
      </c>
      <c r="LB190" s="12">
        <f t="shared" si="266"/>
        <v>0</v>
      </c>
      <c r="LC190" s="12">
        <f t="shared" si="267"/>
        <v>0</v>
      </c>
      <c r="LD190" s="12">
        <f t="shared" si="268"/>
        <v>0</v>
      </c>
      <c r="LE190" s="12">
        <f t="shared" si="269"/>
        <v>0</v>
      </c>
      <c r="LF190" s="12">
        <f t="shared" si="270"/>
        <v>0</v>
      </c>
      <c r="LG190" s="12">
        <f t="shared" si="271"/>
        <v>0</v>
      </c>
      <c r="LH190" s="12">
        <f t="shared" si="272"/>
        <v>0</v>
      </c>
      <c r="LI190" s="12">
        <f t="shared" si="273"/>
        <v>0</v>
      </c>
      <c r="LJ190" s="12">
        <f t="shared" si="274"/>
        <v>0</v>
      </c>
      <c r="LK190" s="12">
        <f t="shared" si="275"/>
        <v>0</v>
      </c>
      <c r="LL190" s="12">
        <f t="shared" si="276"/>
        <v>0</v>
      </c>
      <c r="LM190" s="12">
        <f t="shared" si="277"/>
        <v>0</v>
      </c>
      <c r="LN190" s="12">
        <f t="shared" si="278"/>
        <v>0</v>
      </c>
      <c r="LO190" s="12">
        <f t="shared" si="279"/>
        <v>0</v>
      </c>
      <c r="LP190" s="12">
        <f t="shared" si="280"/>
        <v>0</v>
      </c>
      <c r="LQ190" s="12">
        <f t="shared" si="281"/>
        <v>0</v>
      </c>
      <c r="LR190" s="12">
        <f t="shared" si="282"/>
        <v>0</v>
      </c>
      <c r="LS190" s="12">
        <f t="shared" si="283"/>
        <v>0</v>
      </c>
      <c r="LT190" s="13">
        <f t="shared" si="284"/>
        <v>0</v>
      </c>
      <c r="LU190" s="13">
        <f t="shared" si="285"/>
        <v>0</v>
      </c>
      <c r="LV190" s="13">
        <f t="shared" si="286"/>
        <v>0</v>
      </c>
      <c r="LW190" s="13">
        <f t="shared" si="287"/>
        <v>0</v>
      </c>
      <c r="LX190" s="13">
        <f t="shared" si="288"/>
        <v>0</v>
      </c>
      <c r="LY190" s="13">
        <f t="shared" si="289"/>
        <v>0</v>
      </c>
      <c r="LZ190" s="13">
        <f t="shared" si="290"/>
        <v>0</v>
      </c>
      <c r="MA190" s="13">
        <f t="shared" si="291"/>
        <v>0</v>
      </c>
      <c r="MB190" s="13">
        <f t="shared" si="292"/>
        <v>0</v>
      </c>
      <c r="MC190" s="13">
        <f t="shared" si="293"/>
        <v>0</v>
      </c>
      <c r="MD190" s="13">
        <f t="shared" si="294"/>
        <v>0</v>
      </c>
      <c r="ME190" s="13">
        <f t="shared" si="295"/>
        <v>0</v>
      </c>
      <c r="MF190" s="13">
        <f t="shared" si="296"/>
        <v>0</v>
      </c>
      <c r="MG190" s="13">
        <f t="shared" si="297"/>
        <v>0</v>
      </c>
      <c r="MH190" s="13">
        <f t="shared" si="298"/>
        <v>0</v>
      </c>
      <c r="MI190" s="13">
        <f t="shared" si="299"/>
        <v>0</v>
      </c>
      <c r="MJ190" s="13">
        <f t="shared" si="300"/>
        <v>0</v>
      </c>
      <c r="MK190" s="13">
        <f t="shared" si="301"/>
        <v>0</v>
      </c>
      <c r="ML190" s="14">
        <f t="shared" si="302"/>
        <v>0</v>
      </c>
      <c r="MM190" s="14">
        <f t="shared" si="303"/>
        <v>0</v>
      </c>
      <c r="MN190" s="14">
        <f t="shared" si="304"/>
        <v>0</v>
      </c>
      <c r="MO190" s="14">
        <f t="shared" si="305"/>
        <v>0</v>
      </c>
      <c r="MP190" s="14">
        <f t="shared" si="306"/>
        <v>0</v>
      </c>
      <c r="MQ190" s="14">
        <f t="shared" si="307"/>
        <v>0</v>
      </c>
      <c r="MR190" s="14">
        <f t="shared" si="308"/>
        <v>0</v>
      </c>
      <c r="MS190" s="14">
        <f t="shared" si="309"/>
        <v>0</v>
      </c>
      <c r="MT190" s="14">
        <f t="shared" si="310"/>
        <v>0</v>
      </c>
      <c r="MU190" s="14">
        <f t="shared" si="311"/>
        <v>0</v>
      </c>
      <c r="MV190" s="14">
        <f t="shared" si="312"/>
        <v>0</v>
      </c>
      <c r="MW190" s="14">
        <f t="shared" si="313"/>
        <v>0</v>
      </c>
      <c r="MX190" s="14">
        <f t="shared" si="314"/>
        <v>0</v>
      </c>
      <c r="MY190" s="14">
        <f t="shared" si="315"/>
        <v>0</v>
      </c>
      <c r="MZ190" s="14">
        <f t="shared" si="316"/>
        <v>0</v>
      </c>
      <c r="NA190" s="14">
        <f t="shared" si="317"/>
        <v>0</v>
      </c>
      <c r="NB190" s="14">
        <f t="shared" si="318"/>
        <v>0</v>
      </c>
    </row>
    <row r="191" ht="15.75" customHeight="1">
      <c r="A191" s="2">
        <v>522.0</v>
      </c>
      <c r="B191" s="2" t="s">
        <v>3550</v>
      </c>
      <c r="C191" s="2" t="s">
        <v>3551</v>
      </c>
      <c r="D191" s="2" t="s">
        <v>3552</v>
      </c>
      <c r="E191" s="2">
        <v>2023.0</v>
      </c>
      <c r="F191" s="2" t="s">
        <v>3553</v>
      </c>
      <c r="G191" s="2">
        <v>10.0</v>
      </c>
      <c r="I191" s="2" t="s">
        <v>3554</v>
      </c>
      <c r="M191" s="2">
        <v>1.0</v>
      </c>
      <c r="N191" s="2" t="s">
        <v>3555</v>
      </c>
      <c r="O191" s="2" t="s">
        <v>3556</v>
      </c>
      <c r="P191" s="2" t="s">
        <v>3557</v>
      </c>
      <c r="Q191" s="2" t="s">
        <v>3558</v>
      </c>
      <c r="R191" s="2" t="s">
        <v>3559</v>
      </c>
      <c r="S191" s="2" t="s">
        <v>3560</v>
      </c>
      <c r="Y191" s="2" t="s">
        <v>3561</v>
      </c>
      <c r="AB191" s="2" t="s">
        <v>481</v>
      </c>
      <c r="AG191" s="2" t="s">
        <v>3562</v>
      </c>
      <c r="AK191" s="2" t="s">
        <v>3563</v>
      </c>
      <c r="AL191" s="2" t="s">
        <v>384</v>
      </c>
      <c r="AM191" s="2" t="s">
        <v>484</v>
      </c>
      <c r="AN191" s="2" t="s">
        <v>386</v>
      </c>
      <c r="AO191" s="2" t="s">
        <v>3564</v>
      </c>
      <c r="AP191" s="2" t="s">
        <v>386</v>
      </c>
      <c r="AQ191" s="2">
        <v>2037.0</v>
      </c>
      <c r="AR191" s="2" t="s">
        <v>3565</v>
      </c>
      <c r="AS191" s="2" t="b">
        <v>1</v>
      </c>
      <c r="AT191" s="3">
        <v>0.0</v>
      </c>
      <c r="AU191" s="4"/>
      <c r="AV191" s="4"/>
      <c r="AW191" s="5">
        <f t="shared" si="432"/>
        <v>0</v>
      </c>
      <c r="AX191" s="5">
        <f t="shared" si="4"/>
        <v>0</v>
      </c>
      <c r="AY191" s="5">
        <f t="shared" si="5"/>
        <v>0</v>
      </c>
      <c r="AZ191" s="5">
        <f t="shared" si="6"/>
        <v>0</v>
      </c>
      <c r="BA191" s="5">
        <f t="shared" si="7"/>
        <v>0</v>
      </c>
      <c r="BB191" s="5">
        <f t="shared" si="8"/>
        <v>0</v>
      </c>
      <c r="BC191" s="5">
        <f t="shared" si="9"/>
        <v>0</v>
      </c>
      <c r="BD191" s="5">
        <f t="shared" si="10"/>
        <v>0</v>
      </c>
      <c r="BE191" s="5">
        <f t="shared" si="11"/>
        <v>0</v>
      </c>
      <c r="BF191" s="5">
        <f t="shared" si="12"/>
        <v>0</v>
      </c>
      <c r="BG191" s="5">
        <f t="shared" si="13"/>
        <v>0</v>
      </c>
      <c r="BH191" s="5">
        <f t="shared" si="14"/>
        <v>0</v>
      </c>
      <c r="BI191" s="5">
        <f t="shared" si="15"/>
        <v>0</v>
      </c>
      <c r="BJ191" s="5">
        <f t="shared" si="16"/>
        <v>0</v>
      </c>
      <c r="BK191" s="5">
        <f t="shared" si="17"/>
        <v>0</v>
      </c>
      <c r="BL191" s="5">
        <f t="shared" si="18"/>
        <v>0</v>
      </c>
      <c r="BM191" s="5">
        <f t="shared" si="19"/>
        <v>0</v>
      </c>
      <c r="BN191" s="5">
        <f t="shared" si="20"/>
        <v>0</v>
      </c>
      <c r="BO191" s="5">
        <f t="shared" si="21"/>
        <v>0</v>
      </c>
      <c r="BP191" s="5">
        <f t="shared" si="22"/>
        <v>0</v>
      </c>
      <c r="BQ191" s="5">
        <f t="shared" si="23"/>
        <v>0</v>
      </c>
      <c r="BR191" s="5">
        <f t="shared" si="24"/>
        <v>0</v>
      </c>
      <c r="BS191" s="5">
        <f t="shared" si="25"/>
        <v>0</v>
      </c>
      <c r="BT191" s="5">
        <f t="shared" si="26"/>
        <v>0</v>
      </c>
      <c r="BU191" s="5">
        <f t="shared" si="27"/>
        <v>0</v>
      </c>
      <c r="BV191" s="5">
        <f t="shared" ref="BV191:BW191" si="738">IF(OR(ISNUMBER(SEARCH("grit",$D191)),ISNUMBER(SEARCH("grit",$T191)),ISNUMBER(SEARCH("grit",$R191)),ISNUMBER(SEARCH("grit",$S191)),
ISNUMBER(SEARCH("determination",$D191)),ISNUMBER(SEARCH("determination",$T191)),ISNUMBER(SEARCH("determination",$R191)),ISNUMBER(SEARCH("determination",$S191)),
ISNUMBER(SEARCH("tenacity",$D191)),ISNUMBER(SEARCH("tenacity",$T191)),ISNUMBER(SEARCH("tenacity",$R191)),ISNUMBER(SEARCH("tenacity",$S191)),
ISNUMBER(SEARCH("endurance",$D191)),ISNUMBER(SEARCH("endurance",$T191)),ISNUMBER(SEARCH("endurance",$R191)),ISNUMBER(SEARCH("endurance",$S191)),
ISNUMBER(SEARCH("fortitude",$D191)),ISNUMBER(SEARCH("fortitude",$T191)),ISNUMBER(SEARCH("fortitude",$R191)),ISNUMBER(SEARCH("fortitude",$S191)),
ISNUMBER(SEARCH("resolve",$D191)),ISNUMBER(SEARCH("resolve",$T191)),ISNUMBER(SEARCH("resolve",$R191)),ISNUMBER(SEARCH("resolve",$S191)),
ISNUMBER(SEARCH("stamina",$D191)),ISNUMBER(SEARCH("stamina",$T191)),ISNUMBER(SEARCH("stamina",$R191)),ISNUMBER(SEARCH("stamina",$S191)),
ISNUMBER(SEARCH("guts",$D191)),ISNUMBER(SEARCH("guts",$T191)),ISNUMBER(SEARCH("guts",$R191)),ISNUMBER(SEARCH("guts",$S191)),
ISNUMBER(SEARCH("spunk",$D191)),ISNUMBER(SEARCH("spunk",$T191)),ISNUMBER(SEARCH("spunk",$R191)),ISNUMBER(SEARCH("spunk",$S191))), 1, 0)</f>
        <v>0</v>
      </c>
      <c r="BW191" s="5">
        <f t="shared" si="738"/>
        <v>0</v>
      </c>
      <c r="BX191" s="5">
        <f t="shared" si="29"/>
        <v>0</v>
      </c>
      <c r="BY191" s="5">
        <f t="shared" si="30"/>
        <v>0</v>
      </c>
      <c r="BZ191" s="5">
        <f t="shared" si="31"/>
        <v>0</v>
      </c>
      <c r="CA191" s="5">
        <f t="shared" si="32"/>
        <v>0</v>
      </c>
      <c r="CB191" s="5">
        <f t="shared" si="33"/>
        <v>1</v>
      </c>
      <c r="CC191" s="5">
        <f t="shared" si="34"/>
        <v>0</v>
      </c>
      <c r="CD191" s="5">
        <f t="shared" si="35"/>
        <v>0</v>
      </c>
      <c r="CE191" s="5">
        <f t="shared" si="36"/>
        <v>0</v>
      </c>
      <c r="CF191" s="5">
        <f t="shared" si="37"/>
        <v>0</v>
      </c>
      <c r="CG191" s="5">
        <f t="shared" si="38"/>
        <v>0</v>
      </c>
      <c r="CH191" s="5">
        <f t="shared" si="39"/>
        <v>0</v>
      </c>
      <c r="CI191" s="5">
        <f t="shared" si="40"/>
        <v>0</v>
      </c>
      <c r="CJ191" s="5">
        <f t="shared" si="41"/>
        <v>0</v>
      </c>
      <c r="CK191" s="5">
        <f t="shared" si="42"/>
        <v>0</v>
      </c>
      <c r="CL191" s="5">
        <f t="shared" si="43"/>
        <v>0</v>
      </c>
      <c r="CM191" s="5">
        <f t="shared" si="44"/>
        <v>0</v>
      </c>
      <c r="CN191" s="5">
        <f t="shared" si="45"/>
        <v>0</v>
      </c>
      <c r="CO191" s="5">
        <f t="shared" si="46"/>
        <v>0</v>
      </c>
      <c r="CP191" s="6">
        <f t="shared" si="47"/>
        <v>0</v>
      </c>
      <c r="CQ191" s="6">
        <f t="shared" si="48"/>
        <v>0</v>
      </c>
      <c r="CR191" s="6">
        <f t="shared" si="49"/>
        <v>0</v>
      </c>
      <c r="CS191" s="6">
        <f t="shared" si="50"/>
        <v>0</v>
      </c>
      <c r="CT191" s="6">
        <f t="shared" si="584"/>
        <v>0</v>
      </c>
      <c r="CU191" s="6">
        <f t="shared" si="52"/>
        <v>0</v>
      </c>
      <c r="CV191" s="6">
        <f t="shared" si="53"/>
        <v>0</v>
      </c>
      <c r="CW191" s="6">
        <f t="shared" si="54"/>
        <v>0</v>
      </c>
      <c r="CX191" s="6">
        <f t="shared" si="55"/>
        <v>0</v>
      </c>
      <c r="CY191" s="6">
        <f t="shared" si="56"/>
        <v>0</v>
      </c>
      <c r="CZ191" s="6">
        <f t="shared" si="57"/>
        <v>0</v>
      </c>
      <c r="DA191" s="6">
        <f t="shared" si="58"/>
        <v>0</v>
      </c>
      <c r="DB191" s="6">
        <f t="shared" si="59"/>
        <v>0</v>
      </c>
      <c r="DC191" s="6">
        <f t="shared" si="60"/>
        <v>0</v>
      </c>
      <c r="DD191" s="6">
        <f t="shared" si="61"/>
        <v>0</v>
      </c>
      <c r="DE191" s="6">
        <f t="shared" si="62"/>
        <v>0</v>
      </c>
      <c r="DF191" s="6">
        <f t="shared" si="63"/>
        <v>0</v>
      </c>
      <c r="DG191" s="6">
        <f t="shared" si="64"/>
        <v>0</v>
      </c>
      <c r="DH191" s="6">
        <f t="shared" si="697"/>
        <v>0</v>
      </c>
      <c r="DI191" s="6">
        <f t="shared" si="66"/>
        <v>0</v>
      </c>
      <c r="DJ191" s="6">
        <f t="shared" si="653"/>
        <v>0</v>
      </c>
      <c r="DK191" s="7">
        <f t="shared" si="68"/>
        <v>0</v>
      </c>
      <c r="DL191" s="7">
        <f t="shared" si="498"/>
        <v>0</v>
      </c>
      <c r="DM191" s="7">
        <f t="shared" si="70"/>
        <v>0</v>
      </c>
      <c r="DN191" s="7">
        <f t="shared" si="71"/>
        <v>0</v>
      </c>
      <c r="DO191" s="7">
        <f t="shared" si="72"/>
        <v>1</v>
      </c>
      <c r="DP191" s="8">
        <f t="shared" si="73"/>
        <v>0</v>
      </c>
      <c r="DQ191" s="8">
        <f t="shared" si="74"/>
        <v>0</v>
      </c>
      <c r="DR191" s="7">
        <f t="shared" si="75"/>
        <v>0</v>
      </c>
      <c r="DS191" s="7">
        <f t="shared" si="76"/>
        <v>0</v>
      </c>
      <c r="DT191" s="7">
        <f t="shared" si="77"/>
        <v>0</v>
      </c>
      <c r="DU191" s="9">
        <f t="shared" si="78"/>
        <v>0</v>
      </c>
      <c r="DV191" s="9">
        <f t="shared" si="79"/>
        <v>0</v>
      </c>
      <c r="DW191" s="9">
        <f t="shared" si="80"/>
        <v>0</v>
      </c>
      <c r="DX191" s="9">
        <f t="shared" si="81"/>
        <v>0</v>
      </c>
      <c r="DY191" s="9">
        <f t="shared" si="82"/>
        <v>0</v>
      </c>
      <c r="DZ191" s="9">
        <f t="shared" si="83"/>
        <v>0</v>
      </c>
      <c r="EA191" s="9">
        <f t="shared" si="84"/>
        <v>0</v>
      </c>
      <c r="EB191" s="9">
        <f t="shared" si="85"/>
        <v>0</v>
      </c>
      <c r="EC191" s="9">
        <f t="shared" si="86"/>
        <v>0</v>
      </c>
      <c r="ED191" s="9">
        <f t="shared" si="87"/>
        <v>0</v>
      </c>
      <c r="EE191" s="9">
        <f t="shared" si="88"/>
        <v>0</v>
      </c>
      <c r="EF191" s="9">
        <f t="shared" si="89"/>
        <v>0</v>
      </c>
      <c r="EG191" s="9">
        <f t="shared" si="90"/>
        <v>0</v>
      </c>
      <c r="EH191" s="9">
        <f t="shared" si="91"/>
        <v>0</v>
      </c>
      <c r="EI191" s="9">
        <f t="shared" si="92"/>
        <v>0</v>
      </c>
      <c r="EJ191" s="10">
        <f t="shared" si="93"/>
        <v>1</v>
      </c>
      <c r="EK191" s="10">
        <f t="shared" si="94"/>
        <v>0</v>
      </c>
      <c r="EL191" s="10">
        <f t="shared" ref="EL191:EM191" si="739">IF(OR(ISNUMBER(SEARCH("ai software toolkit", $D191)), ISNUMBER(SEARCH("ai software toolkit", $T191)), ISNUMBER(SEARCH("ai software toolkit", $R191)), ISNUMBER(SEARCH("ai software toolkit", $S191))), 1, 0)</f>
        <v>0</v>
      </c>
      <c r="EM191" s="10">
        <f t="shared" si="739"/>
        <v>0</v>
      </c>
      <c r="EN191" s="10">
        <f t="shared" si="96"/>
        <v>0</v>
      </c>
      <c r="EO191" s="10">
        <f t="shared" si="97"/>
        <v>0</v>
      </c>
      <c r="EP191" s="10">
        <f t="shared" si="98"/>
        <v>0</v>
      </c>
      <c r="EQ191" s="10">
        <f t="shared" si="99"/>
        <v>0</v>
      </c>
      <c r="ER191" s="10">
        <f t="shared" si="100"/>
        <v>0</v>
      </c>
      <c r="ES191" s="10">
        <f t="shared" si="101"/>
        <v>0</v>
      </c>
      <c r="ET191" s="10">
        <f t="shared" si="102"/>
        <v>0</v>
      </c>
      <c r="EU191" s="10">
        <f t="shared" si="103"/>
        <v>0</v>
      </c>
      <c r="EV191" s="10">
        <f t="shared" si="104"/>
        <v>0</v>
      </c>
      <c r="EW191" s="10">
        <f t="shared" si="105"/>
        <v>0</v>
      </c>
      <c r="EX191" s="10">
        <f t="shared" si="106"/>
        <v>0</v>
      </c>
      <c r="EY191" s="10">
        <f t="shared" si="107"/>
        <v>0</v>
      </c>
      <c r="EZ191" s="10">
        <f t="shared" si="108"/>
        <v>0</v>
      </c>
      <c r="FA191" s="10">
        <f t="shared" si="109"/>
        <v>0</v>
      </c>
      <c r="FB191" s="10">
        <f t="shared" si="110"/>
        <v>0</v>
      </c>
      <c r="FC191" s="10">
        <f t="shared" si="111"/>
        <v>0</v>
      </c>
      <c r="FD191" s="10">
        <f t="shared" si="112"/>
        <v>0</v>
      </c>
      <c r="FE191" s="10">
        <f t="shared" si="113"/>
        <v>0</v>
      </c>
      <c r="FF191" s="10">
        <f t="shared" si="114"/>
        <v>0</v>
      </c>
      <c r="FG191" s="10">
        <f t="shared" si="115"/>
        <v>0</v>
      </c>
      <c r="FH191" s="10">
        <f t="shared" si="116"/>
        <v>0</v>
      </c>
      <c r="FI191" s="10">
        <f t="shared" si="117"/>
        <v>0</v>
      </c>
      <c r="FJ191" s="10">
        <f t="shared" si="118"/>
        <v>0</v>
      </c>
      <c r="FK191" s="10">
        <f t="shared" si="119"/>
        <v>0</v>
      </c>
      <c r="FL191" s="10">
        <f t="shared" si="120"/>
        <v>0</v>
      </c>
      <c r="FM191" s="10">
        <f t="shared" si="121"/>
        <v>0</v>
      </c>
      <c r="FN191" s="10">
        <f t="shared" si="122"/>
        <v>0</v>
      </c>
      <c r="FO191" s="10">
        <f t="shared" si="123"/>
        <v>0</v>
      </c>
      <c r="FP191" s="10">
        <f t="shared" si="124"/>
        <v>0</v>
      </c>
      <c r="FQ191" s="10">
        <f t="shared" si="125"/>
        <v>0</v>
      </c>
      <c r="FR191" s="11">
        <f t="shared" si="709"/>
        <v>0</v>
      </c>
      <c r="FS191" s="11">
        <f t="shared" si="127"/>
        <v>0</v>
      </c>
      <c r="FT191" s="11">
        <f t="shared" si="128"/>
        <v>0</v>
      </c>
      <c r="FU191" s="11">
        <f t="shared" si="129"/>
        <v>0</v>
      </c>
      <c r="FV191" s="11">
        <f t="shared" si="130"/>
        <v>0</v>
      </c>
      <c r="FW191" s="11">
        <f t="shared" si="131"/>
        <v>0</v>
      </c>
      <c r="FX191" s="11">
        <f t="shared" si="132"/>
        <v>0</v>
      </c>
      <c r="FY191" s="11">
        <f t="shared" si="133"/>
        <v>0</v>
      </c>
      <c r="FZ191" s="11">
        <f t="shared" si="134"/>
        <v>0</v>
      </c>
      <c r="GA191" s="11">
        <f t="shared" si="135"/>
        <v>0</v>
      </c>
      <c r="GB191" s="11">
        <f t="shared" si="136"/>
        <v>0</v>
      </c>
      <c r="GC191" s="11">
        <f t="shared" si="137"/>
        <v>0</v>
      </c>
      <c r="GD191" s="11">
        <f t="shared" si="138"/>
        <v>0</v>
      </c>
      <c r="GE191" s="11">
        <f t="shared" si="139"/>
        <v>0</v>
      </c>
      <c r="GF191" s="11">
        <f t="shared" si="140"/>
        <v>0</v>
      </c>
      <c r="GG191" s="11">
        <f t="shared" si="141"/>
        <v>0</v>
      </c>
      <c r="GH191" s="11">
        <f t="shared" si="142"/>
        <v>0</v>
      </c>
      <c r="GI191" s="11">
        <f t="shared" si="143"/>
        <v>0</v>
      </c>
      <c r="GJ191" s="11">
        <f t="shared" si="144"/>
        <v>0</v>
      </c>
      <c r="GK191" s="11">
        <f t="shared" si="145"/>
        <v>0</v>
      </c>
      <c r="GL191" s="11">
        <f t="shared" si="146"/>
        <v>0</v>
      </c>
      <c r="GM191" s="11">
        <f t="shared" si="147"/>
        <v>0</v>
      </c>
      <c r="GN191" s="11">
        <f t="shared" si="148"/>
        <v>0</v>
      </c>
      <c r="GO191" s="11">
        <f t="shared" si="149"/>
        <v>0</v>
      </c>
      <c r="GP191" s="11">
        <f t="shared" si="150"/>
        <v>0</v>
      </c>
      <c r="GQ191" s="11">
        <f t="shared" si="151"/>
        <v>0</v>
      </c>
      <c r="GR191" s="11">
        <f t="shared" si="152"/>
        <v>0</v>
      </c>
      <c r="GS191" s="11">
        <f t="shared" si="153"/>
        <v>0</v>
      </c>
      <c r="GT191" s="11">
        <f t="shared" si="154"/>
        <v>0</v>
      </c>
      <c r="GU191" s="12">
        <f t="shared" si="155"/>
        <v>0</v>
      </c>
      <c r="GV191" s="12">
        <f t="shared" si="156"/>
        <v>0</v>
      </c>
      <c r="GW191" s="12">
        <f t="shared" si="157"/>
        <v>0</v>
      </c>
      <c r="GX191" s="12">
        <f t="shared" si="158"/>
        <v>0</v>
      </c>
      <c r="GY191" s="12">
        <f t="shared" si="159"/>
        <v>0</v>
      </c>
      <c r="GZ191" s="12">
        <f t="shared" si="160"/>
        <v>0</v>
      </c>
      <c r="HA191" s="12">
        <f t="shared" si="161"/>
        <v>0</v>
      </c>
      <c r="HB191" s="12">
        <f t="shared" si="162"/>
        <v>0</v>
      </c>
      <c r="HC191" s="12">
        <f t="shared" si="163"/>
        <v>0</v>
      </c>
      <c r="HD191" s="12">
        <f t="shared" si="164"/>
        <v>0</v>
      </c>
      <c r="HE191" s="12">
        <f t="shared" si="165"/>
        <v>0</v>
      </c>
      <c r="HF191" s="12">
        <f t="shared" si="166"/>
        <v>0</v>
      </c>
      <c r="HG191" s="12">
        <f t="shared" si="167"/>
        <v>0</v>
      </c>
      <c r="HH191" s="12">
        <f t="shared" si="168"/>
        <v>0</v>
      </c>
      <c r="HI191" s="12">
        <f t="shared" si="169"/>
        <v>0</v>
      </c>
      <c r="HJ191" s="12">
        <f t="shared" si="170"/>
        <v>0</v>
      </c>
      <c r="HK191" s="12">
        <f t="shared" si="171"/>
        <v>0</v>
      </c>
      <c r="HL191" s="12">
        <f t="shared" si="172"/>
        <v>0</v>
      </c>
      <c r="HM191" s="12">
        <f t="shared" si="173"/>
        <v>0</v>
      </c>
      <c r="HN191" s="12">
        <f t="shared" si="174"/>
        <v>0</v>
      </c>
      <c r="HO191" s="12">
        <f t="shared" si="175"/>
        <v>0</v>
      </c>
      <c r="HP191" s="12">
        <f t="shared" si="176"/>
        <v>0</v>
      </c>
      <c r="HQ191" s="12">
        <f t="shared" si="177"/>
        <v>0</v>
      </c>
      <c r="HR191" s="12">
        <f t="shared" si="178"/>
        <v>0</v>
      </c>
      <c r="HS191" s="12">
        <f t="shared" si="179"/>
        <v>0</v>
      </c>
      <c r="HT191" s="12">
        <f t="shared" si="180"/>
        <v>0</v>
      </c>
      <c r="HU191" s="12">
        <f t="shared" si="181"/>
        <v>0</v>
      </c>
      <c r="HV191" s="12">
        <f t="shared" si="182"/>
        <v>0</v>
      </c>
      <c r="HW191" s="12">
        <f t="shared" si="183"/>
        <v>0</v>
      </c>
      <c r="HX191" s="12">
        <f t="shared" si="184"/>
        <v>0</v>
      </c>
      <c r="HY191" s="12">
        <f t="shared" si="185"/>
        <v>0</v>
      </c>
      <c r="HZ191" s="12">
        <f t="shared" si="186"/>
        <v>0</v>
      </c>
      <c r="IA191" s="12">
        <f t="shared" si="187"/>
        <v>0</v>
      </c>
      <c r="IB191" s="12">
        <f t="shared" si="188"/>
        <v>0</v>
      </c>
      <c r="IC191" s="12">
        <f t="shared" si="189"/>
        <v>0</v>
      </c>
      <c r="ID191" s="12">
        <f t="shared" si="190"/>
        <v>0</v>
      </c>
      <c r="IE191" s="12">
        <f t="shared" si="191"/>
        <v>0</v>
      </c>
      <c r="IF191" s="12">
        <f t="shared" si="192"/>
        <v>0</v>
      </c>
      <c r="IG191" s="12">
        <f t="shared" si="193"/>
        <v>0</v>
      </c>
      <c r="IH191" s="12">
        <f t="shared" si="194"/>
        <v>0</v>
      </c>
      <c r="II191" s="12">
        <f t="shared" si="195"/>
        <v>0</v>
      </c>
      <c r="IJ191" s="12">
        <f t="shared" si="196"/>
        <v>0</v>
      </c>
      <c r="IK191" s="12">
        <f t="shared" si="197"/>
        <v>0</v>
      </c>
      <c r="IL191" s="12">
        <f t="shared" si="198"/>
        <v>0</v>
      </c>
      <c r="IM191" s="12">
        <f t="shared" si="199"/>
        <v>0</v>
      </c>
      <c r="IN191" s="12">
        <f t="shared" si="200"/>
        <v>0</v>
      </c>
      <c r="IO191" s="12">
        <f t="shared" si="201"/>
        <v>0</v>
      </c>
      <c r="IP191" s="12">
        <f t="shared" si="202"/>
        <v>0</v>
      </c>
      <c r="IQ191" s="12">
        <f t="shared" si="203"/>
        <v>0</v>
      </c>
      <c r="IR191" s="12">
        <f t="shared" si="204"/>
        <v>0</v>
      </c>
      <c r="IS191" s="12">
        <f t="shared" si="205"/>
        <v>0</v>
      </c>
      <c r="IT191" s="12">
        <f t="shared" si="206"/>
        <v>0</v>
      </c>
      <c r="IU191" s="12">
        <f t="shared" si="207"/>
        <v>0</v>
      </c>
      <c r="IV191" s="12">
        <f t="shared" si="208"/>
        <v>0</v>
      </c>
      <c r="IW191" s="12">
        <f t="shared" si="209"/>
        <v>0</v>
      </c>
      <c r="IX191" s="12">
        <f t="shared" si="210"/>
        <v>0</v>
      </c>
      <c r="IY191" s="12">
        <f t="shared" si="211"/>
        <v>0</v>
      </c>
      <c r="IZ191" s="12">
        <f t="shared" si="212"/>
        <v>1</v>
      </c>
      <c r="JA191" s="13">
        <f t="shared" si="213"/>
        <v>0</v>
      </c>
      <c r="JB191" s="13">
        <f t="shared" si="214"/>
        <v>0</v>
      </c>
      <c r="JC191" s="13">
        <f t="shared" si="215"/>
        <v>0</v>
      </c>
      <c r="JD191" s="13">
        <f t="shared" si="216"/>
        <v>0</v>
      </c>
      <c r="JE191" s="13">
        <f t="shared" si="217"/>
        <v>0</v>
      </c>
      <c r="JF191" s="13">
        <f t="shared" si="218"/>
        <v>0</v>
      </c>
      <c r="JG191" s="13">
        <f t="shared" si="219"/>
        <v>0</v>
      </c>
      <c r="JH191" s="13">
        <f t="shared" si="220"/>
        <v>0</v>
      </c>
      <c r="JI191" s="13">
        <f t="shared" si="221"/>
        <v>0</v>
      </c>
      <c r="JJ191" s="13">
        <f t="shared" si="222"/>
        <v>0</v>
      </c>
      <c r="JK191" s="13">
        <f t="shared" si="223"/>
        <v>0</v>
      </c>
      <c r="JL191" s="13">
        <f t="shared" si="224"/>
        <v>0</v>
      </c>
      <c r="JM191" s="13">
        <f t="shared" si="225"/>
        <v>0</v>
      </c>
      <c r="JN191" s="13">
        <f t="shared" si="226"/>
        <v>0</v>
      </c>
      <c r="JO191" s="13">
        <f t="shared" si="227"/>
        <v>0</v>
      </c>
      <c r="JP191" s="13">
        <f t="shared" si="228"/>
        <v>0</v>
      </c>
      <c r="JQ191" s="13">
        <f t="shared" si="229"/>
        <v>0</v>
      </c>
      <c r="JR191" s="13">
        <f t="shared" si="230"/>
        <v>0</v>
      </c>
      <c r="JS191" s="13">
        <f t="shared" si="231"/>
        <v>0</v>
      </c>
      <c r="JT191" s="13">
        <f t="shared" si="232"/>
        <v>0</v>
      </c>
      <c r="JU191" s="13">
        <f t="shared" si="233"/>
        <v>0</v>
      </c>
      <c r="JV191" s="12">
        <f t="shared" si="234"/>
        <v>0</v>
      </c>
      <c r="JW191" s="12">
        <f t="shared" si="235"/>
        <v>0</v>
      </c>
      <c r="JX191" s="12">
        <f t="shared" si="236"/>
        <v>0</v>
      </c>
      <c r="JY191" s="12">
        <f t="shared" si="237"/>
        <v>0</v>
      </c>
      <c r="JZ191" s="12">
        <f t="shared" si="238"/>
        <v>0</v>
      </c>
      <c r="KA191" s="12">
        <f t="shared" si="239"/>
        <v>0</v>
      </c>
      <c r="KB191" s="12">
        <f t="shared" si="240"/>
        <v>0</v>
      </c>
      <c r="KC191" s="12">
        <f t="shared" si="241"/>
        <v>0</v>
      </c>
      <c r="KD191" s="12">
        <f t="shared" si="242"/>
        <v>0</v>
      </c>
      <c r="KE191" s="12">
        <f t="shared" si="243"/>
        <v>0</v>
      </c>
      <c r="KF191" s="12">
        <f t="shared" si="244"/>
        <v>0</v>
      </c>
      <c r="KG191" s="12">
        <f t="shared" si="245"/>
        <v>0</v>
      </c>
      <c r="KH191" s="12">
        <f t="shared" si="246"/>
        <v>0</v>
      </c>
      <c r="KI191" s="12">
        <f t="shared" si="247"/>
        <v>0</v>
      </c>
      <c r="KJ191" s="12">
        <f t="shared" si="248"/>
        <v>0</v>
      </c>
      <c r="KK191" s="12">
        <f t="shared" si="249"/>
        <v>0</v>
      </c>
      <c r="KL191" s="12">
        <f t="shared" si="250"/>
        <v>0</v>
      </c>
      <c r="KM191" s="12">
        <f t="shared" si="251"/>
        <v>0</v>
      </c>
      <c r="KN191" s="12">
        <f t="shared" si="252"/>
        <v>0</v>
      </c>
      <c r="KO191" s="12">
        <f t="shared" si="253"/>
        <v>0</v>
      </c>
      <c r="KP191" s="12">
        <f t="shared" si="254"/>
        <v>0</v>
      </c>
      <c r="KQ191" s="12">
        <f t="shared" si="255"/>
        <v>0</v>
      </c>
      <c r="KR191" s="12">
        <f t="shared" si="256"/>
        <v>0</v>
      </c>
      <c r="KS191" s="12">
        <f t="shared" si="257"/>
        <v>0</v>
      </c>
      <c r="KT191" s="12">
        <f t="shared" si="258"/>
        <v>0</v>
      </c>
      <c r="KU191" s="12">
        <f t="shared" si="259"/>
        <v>0</v>
      </c>
      <c r="KV191" s="12">
        <f t="shared" si="260"/>
        <v>0</v>
      </c>
      <c r="KW191" s="12">
        <f t="shared" si="261"/>
        <v>0</v>
      </c>
      <c r="KX191" s="12">
        <f t="shared" si="262"/>
        <v>0</v>
      </c>
      <c r="KY191" s="12">
        <f t="shared" si="263"/>
        <v>0</v>
      </c>
      <c r="KZ191" s="12">
        <f t="shared" si="264"/>
        <v>0</v>
      </c>
      <c r="LA191" s="12">
        <f t="shared" si="265"/>
        <v>0</v>
      </c>
      <c r="LB191" s="12">
        <f t="shared" si="266"/>
        <v>0</v>
      </c>
      <c r="LC191" s="12">
        <f t="shared" si="267"/>
        <v>0</v>
      </c>
      <c r="LD191" s="12">
        <f t="shared" si="268"/>
        <v>0</v>
      </c>
      <c r="LE191" s="12">
        <f t="shared" si="269"/>
        <v>0</v>
      </c>
      <c r="LF191" s="12">
        <f t="shared" si="270"/>
        <v>0</v>
      </c>
      <c r="LG191" s="12">
        <f t="shared" si="271"/>
        <v>0</v>
      </c>
      <c r="LH191" s="12">
        <f t="shared" si="272"/>
        <v>0</v>
      </c>
      <c r="LI191" s="12">
        <f t="shared" si="273"/>
        <v>0</v>
      </c>
      <c r="LJ191" s="12">
        <f t="shared" si="274"/>
        <v>0</v>
      </c>
      <c r="LK191" s="12">
        <f t="shared" si="275"/>
        <v>0</v>
      </c>
      <c r="LL191" s="12">
        <f t="shared" si="276"/>
        <v>0</v>
      </c>
      <c r="LM191" s="12">
        <f t="shared" si="277"/>
        <v>0</v>
      </c>
      <c r="LN191" s="12">
        <f t="shared" si="278"/>
        <v>0</v>
      </c>
      <c r="LO191" s="12">
        <f t="shared" si="279"/>
        <v>0</v>
      </c>
      <c r="LP191" s="12">
        <f t="shared" si="280"/>
        <v>0</v>
      </c>
      <c r="LQ191" s="12">
        <f t="shared" si="281"/>
        <v>0</v>
      </c>
      <c r="LR191" s="12">
        <f t="shared" si="282"/>
        <v>0</v>
      </c>
      <c r="LS191" s="12">
        <f t="shared" si="283"/>
        <v>0</v>
      </c>
      <c r="LT191" s="13">
        <f t="shared" si="284"/>
        <v>0</v>
      </c>
      <c r="LU191" s="13">
        <f t="shared" si="285"/>
        <v>0</v>
      </c>
      <c r="LV191" s="13">
        <f t="shared" si="286"/>
        <v>0</v>
      </c>
      <c r="LW191" s="13">
        <f t="shared" si="287"/>
        <v>0</v>
      </c>
      <c r="LX191" s="13">
        <f t="shared" si="288"/>
        <v>0</v>
      </c>
      <c r="LY191" s="13">
        <f t="shared" si="289"/>
        <v>0</v>
      </c>
      <c r="LZ191" s="13">
        <f t="shared" si="290"/>
        <v>0</v>
      </c>
      <c r="MA191" s="13">
        <f t="shared" si="291"/>
        <v>0</v>
      </c>
      <c r="MB191" s="13">
        <f t="shared" si="292"/>
        <v>0</v>
      </c>
      <c r="MC191" s="13">
        <f t="shared" si="293"/>
        <v>0</v>
      </c>
      <c r="MD191" s="13">
        <f t="shared" si="294"/>
        <v>0</v>
      </c>
      <c r="ME191" s="13">
        <f t="shared" si="295"/>
        <v>0</v>
      </c>
      <c r="MF191" s="13">
        <f t="shared" si="296"/>
        <v>0</v>
      </c>
      <c r="MG191" s="13">
        <f t="shared" si="297"/>
        <v>0</v>
      </c>
      <c r="MH191" s="13">
        <f t="shared" si="298"/>
        <v>0</v>
      </c>
      <c r="MI191" s="13">
        <f t="shared" si="299"/>
        <v>0</v>
      </c>
      <c r="MJ191" s="13">
        <f t="shared" si="300"/>
        <v>0</v>
      </c>
      <c r="MK191" s="13">
        <f t="shared" si="301"/>
        <v>0</v>
      </c>
      <c r="ML191" s="14">
        <f t="shared" si="302"/>
        <v>0</v>
      </c>
      <c r="MM191" s="14">
        <f t="shared" si="303"/>
        <v>0</v>
      </c>
      <c r="MN191" s="14">
        <f t="shared" si="304"/>
        <v>1</v>
      </c>
      <c r="MO191" s="14">
        <f t="shared" si="305"/>
        <v>0</v>
      </c>
      <c r="MP191" s="14">
        <f t="shared" si="306"/>
        <v>0</v>
      </c>
      <c r="MQ191" s="14">
        <f t="shared" si="307"/>
        <v>0</v>
      </c>
      <c r="MR191" s="14">
        <f t="shared" si="308"/>
        <v>0</v>
      </c>
      <c r="MS191" s="14">
        <f t="shared" si="309"/>
        <v>0</v>
      </c>
      <c r="MT191" s="14">
        <f t="shared" si="310"/>
        <v>0</v>
      </c>
      <c r="MU191" s="14">
        <f t="shared" si="311"/>
        <v>0</v>
      </c>
      <c r="MV191" s="14">
        <f t="shared" si="312"/>
        <v>0</v>
      </c>
      <c r="MW191" s="14">
        <f t="shared" si="313"/>
        <v>0</v>
      </c>
      <c r="MX191" s="14">
        <f t="shared" si="314"/>
        <v>1</v>
      </c>
      <c r="MY191" s="14">
        <f t="shared" si="315"/>
        <v>1</v>
      </c>
      <c r="MZ191" s="14">
        <f t="shared" si="316"/>
        <v>0</v>
      </c>
      <c r="NA191" s="14">
        <f t="shared" si="317"/>
        <v>0</v>
      </c>
      <c r="NB191" s="14">
        <f t="shared" si="318"/>
        <v>0</v>
      </c>
    </row>
    <row r="192" ht="15.75" customHeight="1">
      <c r="A192" s="2">
        <v>721.0</v>
      </c>
      <c r="B192" s="2" t="s">
        <v>3566</v>
      </c>
      <c r="C192" s="2" t="s">
        <v>3567</v>
      </c>
      <c r="D192" s="2" t="s">
        <v>3568</v>
      </c>
      <c r="E192" s="2">
        <v>2022.0</v>
      </c>
      <c r="F192" s="2" t="s">
        <v>3569</v>
      </c>
      <c r="M192" s="2">
        <v>1.0</v>
      </c>
      <c r="N192" s="2" t="s">
        <v>3570</v>
      </c>
      <c r="O192" s="2" t="s">
        <v>3571</v>
      </c>
      <c r="P192" s="2" t="s">
        <v>3572</v>
      </c>
      <c r="Q192" s="2" t="s">
        <v>3573</v>
      </c>
      <c r="R192" s="2" t="s">
        <v>3574</v>
      </c>
      <c r="S192" s="2" t="s">
        <v>3575</v>
      </c>
      <c r="T192" s="2" t="s">
        <v>3576</v>
      </c>
      <c r="Y192" s="2" t="s">
        <v>3577</v>
      </c>
      <c r="AB192" s="2" t="s">
        <v>2311</v>
      </c>
      <c r="AG192" s="2" t="s">
        <v>3578</v>
      </c>
      <c r="AK192" s="2" t="s">
        <v>3579</v>
      </c>
      <c r="AL192" s="2" t="s">
        <v>2966</v>
      </c>
      <c r="AN192" s="2" t="s">
        <v>386</v>
      </c>
      <c r="AO192" s="2" t="s">
        <v>3580</v>
      </c>
      <c r="AP192" s="2" t="s">
        <v>386</v>
      </c>
      <c r="AQ192" s="2">
        <v>2843.0</v>
      </c>
      <c r="AR192" s="2" t="s">
        <v>3568</v>
      </c>
      <c r="AS192" s="2" t="b">
        <v>1</v>
      </c>
      <c r="AT192" s="3">
        <v>0.0</v>
      </c>
      <c r="AU192" s="4"/>
      <c r="AV192" s="4"/>
      <c r="AW192" s="5">
        <f t="shared" si="432"/>
        <v>0</v>
      </c>
      <c r="AX192" s="5">
        <f t="shared" si="4"/>
        <v>0</v>
      </c>
      <c r="AY192" s="5">
        <f t="shared" si="5"/>
        <v>0</v>
      </c>
      <c r="AZ192" s="5">
        <f t="shared" si="6"/>
        <v>0</v>
      </c>
      <c r="BA192" s="5">
        <f t="shared" si="7"/>
        <v>0</v>
      </c>
      <c r="BB192" s="5">
        <f t="shared" si="8"/>
        <v>0</v>
      </c>
      <c r="BC192" s="5">
        <f t="shared" si="9"/>
        <v>0</v>
      </c>
      <c r="BD192" s="5">
        <f t="shared" si="10"/>
        <v>0</v>
      </c>
      <c r="BE192" s="5">
        <f t="shared" si="11"/>
        <v>0</v>
      </c>
      <c r="BF192" s="5">
        <f t="shared" si="12"/>
        <v>0</v>
      </c>
      <c r="BG192" s="5">
        <f t="shared" si="13"/>
        <v>0</v>
      </c>
      <c r="BH192" s="5">
        <f t="shared" si="14"/>
        <v>0</v>
      </c>
      <c r="BI192" s="5">
        <f t="shared" si="15"/>
        <v>0</v>
      </c>
      <c r="BJ192" s="5">
        <f t="shared" si="16"/>
        <v>0</v>
      </c>
      <c r="BK192" s="5">
        <f t="shared" si="17"/>
        <v>0</v>
      </c>
      <c r="BL192" s="5">
        <f t="shared" si="18"/>
        <v>0</v>
      </c>
      <c r="BM192" s="5">
        <f t="shared" si="19"/>
        <v>0</v>
      </c>
      <c r="BN192" s="5">
        <f t="shared" si="20"/>
        <v>0</v>
      </c>
      <c r="BO192" s="5">
        <f t="shared" si="21"/>
        <v>0</v>
      </c>
      <c r="BP192" s="5">
        <f t="shared" si="22"/>
        <v>0</v>
      </c>
      <c r="BQ192" s="5">
        <f t="shared" si="23"/>
        <v>0</v>
      </c>
      <c r="BR192" s="5">
        <f t="shared" si="24"/>
        <v>0</v>
      </c>
      <c r="BS192" s="5">
        <f t="shared" si="25"/>
        <v>0</v>
      </c>
      <c r="BT192" s="5">
        <f t="shared" si="26"/>
        <v>0</v>
      </c>
      <c r="BU192" s="5">
        <f t="shared" si="27"/>
        <v>0</v>
      </c>
      <c r="BV192" s="5">
        <f t="shared" ref="BV192:BW192" si="740">IF(OR(ISNUMBER(SEARCH("grit",$D192)),ISNUMBER(SEARCH("grit",$T192)),ISNUMBER(SEARCH("grit",$R192)),ISNUMBER(SEARCH("grit",$S192)),
ISNUMBER(SEARCH("determination",$D192)),ISNUMBER(SEARCH("determination",$T192)),ISNUMBER(SEARCH("determination",$R192)),ISNUMBER(SEARCH("determination",$S192)),
ISNUMBER(SEARCH("tenacity",$D192)),ISNUMBER(SEARCH("tenacity",$T192)),ISNUMBER(SEARCH("tenacity",$R192)),ISNUMBER(SEARCH("tenacity",$S192)),
ISNUMBER(SEARCH("endurance",$D192)),ISNUMBER(SEARCH("endurance",$T192)),ISNUMBER(SEARCH("endurance",$R192)),ISNUMBER(SEARCH("endurance",$S192)),
ISNUMBER(SEARCH("fortitude",$D192)),ISNUMBER(SEARCH("fortitude",$T192)),ISNUMBER(SEARCH("fortitude",$R192)),ISNUMBER(SEARCH("fortitude",$S192)),
ISNUMBER(SEARCH("resolve",$D192)),ISNUMBER(SEARCH("resolve",$T192)),ISNUMBER(SEARCH("resolve",$R192)),ISNUMBER(SEARCH("resolve",$S192)),
ISNUMBER(SEARCH("stamina",$D192)),ISNUMBER(SEARCH("stamina",$T192)),ISNUMBER(SEARCH("stamina",$R192)),ISNUMBER(SEARCH("stamina",$S192)),
ISNUMBER(SEARCH("guts",$D192)),ISNUMBER(SEARCH("guts",$T192)),ISNUMBER(SEARCH("guts",$R192)),ISNUMBER(SEARCH("guts",$S192)),
ISNUMBER(SEARCH("spunk",$D192)),ISNUMBER(SEARCH("spunk",$T192)),ISNUMBER(SEARCH("spunk",$R192)),ISNUMBER(SEARCH("spunk",$S192))), 1, 0)</f>
        <v>0</v>
      </c>
      <c r="BW192" s="5">
        <f t="shared" si="740"/>
        <v>0</v>
      </c>
      <c r="BX192" s="5">
        <f t="shared" si="29"/>
        <v>0</v>
      </c>
      <c r="BY192" s="5">
        <f t="shared" si="30"/>
        <v>0</v>
      </c>
      <c r="BZ192" s="5">
        <f t="shared" si="31"/>
        <v>0</v>
      </c>
      <c r="CA192" s="5">
        <f t="shared" si="32"/>
        <v>0</v>
      </c>
      <c r="CB192" s="5">
        <f t="shared" si="33"/>
        <v>0</v>
      </c>
      <c r="CC192" s="5">
        <f t="shared" si="34"/>
        <v>0</v>
      </c>
      <c r="CD192" s="5">
        <f t="shared" si="35"/>
        <v>0</v>
      </c>
      <c r="CE192" s="5">
        <f t="shared" si="36"/>
        <v>0</v>
      </c>
      <c r="CF192" s="5">
        <f t="shared" si="37"/>
        <v>0</v>
      </c>
      <c r="CG192" s="5">
        <f t="shared" si="38"/>
        <v>0</v>
      </c>
      <c r="CH192" s="5">
        <f t="shared" si="39"/>
        <v>0</v>
      </c>
      <c r="CI192" s="5">
        <f t="shared" si="40"/>
        <v>0</v>
      </c>
      <c r="CJ192" s="5">
        <f t="shared" si="41"/>
        <v>0</v>
      </c>
      <c r="CK192" s="5">
        <f t="shared" si="42"/>
        <v>0</v>
      </c>
      <c r="CL192" s="5">
        <f t="shared" si="43"/>
        <v>0</v>
      </c>
      <c r="CM192" s="5">
        <f t="shared" si="44"/>
        <v>0</v>
      </c>
      <c r="CN192" s="5">
        <f t="shared" si="45"/>
        <v>0</v>
      </c>
      <c r="CO192" s="5">
        <f t="shared" si="46"/>
        <v>0</v>
      </c>
      <c r="CP192" s="6">
        <f t="shared" si="47"/>
        <v>0</v>
      </c>
      <c r="CQ192" s="6">
        <f t="shared" si="48"/>
        <v>0</v>
      </c>
      <c r="CR192" s="6">
        <f t="shared" si="49"/>
        <v>0</v>
      </c>
      <c r="CS192" s="6">
        <f t="shared" si="50"/>
        <v>0</v>
      </c>
      <c r="CT192" s="6">
        <f t="shared" si="584"/>
        <v>0</v>
      </c>
      <c r="CU192" s="6">
        <f t="shared" si="52"/>
        <v>0</v>
      </c>
      <c r="CV192" s="6">
        <f t="shared" si="53"/>
        <v>0</v>
      </c>
      <c r="CW192" s="6">
        <f t="shared" si="54"/>
        <v>0</v>
      </c>
      <c r="CX192" s="6">
        <f t="shared" si="55"/>
        <v>0</v>
      </c>
      <c r="CY192" s="6">
        <f t="shared" si="56"/>
        <v>0</v>
      </c>
      <c r="CZ192" s="6">
        <f t="shared" si="57"/>
        <v>0</v>
      </c>
      <c r="DA192" s="6">
        <f t="shared" si="58"/>
        <v>0</v>
      </c>
      <c r="DB192" s="6">
        <f t="shared" si="59"/>
        <v>0</v>
      </c>
      <c r="DC192" s="6">
        <f t="shared" si="60"/>
        <v>0</v>
      </c>
      <c r="DD192" s="6">
        <f t="shared" si="61"/>
        <v>0</v>
      </c>
      <c r="DE192" s="6">
        <f t="shared" si="62"/>
        <v>0</v>
      </c>
      <c r="DF192" s="6">
        <f t="shared" si="63"/>
        <v>0</v>
      </c>
      <c r="DG192" s="6">
        <f t="shared" si="64"/>
        <v>0</v>
      </c>
      <c r="DH192" s="6">
        <f t="shared" si="697"/>
        <v>0</v>
      </c>
      <c r="DI192" s="6">
        <f t="shared" si="66"/>
        <v>0</v>
      </c>
      <c r="DJ192" s="6">
        <f t="shared" si="653"/>
        <v>0</v>
      </c>
      <c r="DK192" s="7">
        <f t="shared" si="68"/>
        <v>0</v>
      </c>
      <c r="DL192" s="7">
        <f t="shared" si="498"/>
        <v>0</v>
      </c>
      <c r="DM192" s="7">
        <f t="shared" si="70"/>
        <v>0</v>
      </c>
      <c r="DN192" s="7">
        <f t="shared" si="71"/>
        <v>0</v>
      </c>
      <c r="DO192" s="7">
        <f t="shared" si="72"/>
        <v>1</v>
      </c>
      <c r="DP192" s="8">
        <f t="shared" si="73"/>
        <v>0</v>
      </c>
      <c r="DQ192" s="8">
        <f t="shared" si="74"/>
        <v>1</v>
      </c>
      <c r="DR192" s="7">
        <f t="shared" si="75"/>
        <v>0</v>
      </c>
      <c r="DS192" s="7">
        <f t="shared" si="76"/>
        <v>0</v>
      </c>
      <c r="DT192" s="7">
        <f t="shared" si="77"/>
        <v>0</v>
      </c>
      <c r="DU192" s="9">
        <f t="shared" si="78"/>
        <v>0</v>
      </c>
      <c r="DV192" s="9">
        <f t="shared" si="79"/>
        <v>0</v>
      </c>
      <c r="DW192" s="9">
        <f t="shared" si="80"/>
        <v>0</v>
      </c>
      <c r="DX192" s="9">
        <f t="shared" si="81"/>
        <v>0</v>
      </c>
      <c r="DY192" s="9">
        <f t="shared" si="82"/>
        <v>0</v>
      </c>
      <c r="DZ192" s="9">
        <f t="shared" si="83"/>
        <v>0</v>
      </c>
      <c r="EA192" s="9">
        <f t="shared" si="84"/>
        <v>0</v>
      </c>
      <c r="EB192" s="9">
        <f t="shared" si="85"/>
        <v>0</v>
      </c>
      <c r="EC192" s="9">
        <f t="shared" si="86"/>
        <v>0</v>
      </c>
      <c r="ED192" s="9">
        <f t="shared" si="87"/>
        <v>0</v>
      </c>
      <c r="EE192" s="9">
        <f t="shared" si="88"/>
        <v>0</v>
      </c>
      <c r="EF192" s="9">
        <f t="shared" si="89"/>
        <v>0</v>
      </c>
      <c r="EG192" s="9">
        <f t="shared" si="90"/>
        <v>0</v>
      </c>
      <c r="EH192" s="9">
        <f t="shared" si="91"/>
        <v>0</v>
      </c>
      <c r="EI192" s="9">
        <f t="shared" si="92"/>
        <v>0</v>
      </c>
      <c r="EJ192" s="10">
        <f t="shared" si="93"/>
        <v>0</v>
      </c>
      <c r="EK192" s="10">
        <f t="shared" si="94"/>
        <v>0</v>
      </c>
      <c r="EL192" s="10">
        <f t="shared" ref="EL192:EM192" si="741">IF(OR(ISNUMBER(SEARCH("ai software toolkit", $D192)), ISNUMBER(SEARCH("ai software toolkit", $T192)), ISNUMBER(SEARCH("ai software toolkit", $R192)), ISNUMBER(SEARCH("ai software toolkit", $S192))), 1, 0)</f>
        <v>0</v>
      </c>
      <c r="EM192" s="10">
        <f t="shared" si="741"/>
        <v>0</v>
      </c>
      <c r="EN192" s="10">
        <f t="shared" si="96"/>
        <v>0</v>
      </c>
      <c r="EO192" s="10">
        <f t="shared" si="97"/>
        <v>0</v>
      </c>
      <c r="EP192" s="10">
        <f t="shared" si="98"/>
        <v>0</v>
      </c>
      <c r="EQ192" s="10">
        <f t="shared" si="99"/>
        <v>0</v>
      </c>
      <c r="ER192" s="10">
        <f t="shared" si="100"/>
        <v>0</v>
      </c>
      <c r="ES192" s="10">
        <f t="shared" si="101"/>
        <v>0</v>
      </c>
      <c r="ET192" s="10">
        <f t="shared" si="102"/>
        <v>0</v>
      </c>
      <c r="EU192" s="10">
        <f t="shared" si="103"/>
        <v>0</v>
      </c>
      <c r="EV192" s="10">
        <f t="shared" si="104"/>
        <v>0</v>
      </c>
      <c r="EW192" s="10">
        <f t="shared" si="105"/>
        <v>0</v>
      </c>
      <c r="EX192" s="10">
        <f t="shared" si="106"/>
        <v>0</v>
      </c>
      <c r="EY192" s="10">
        <f t="shared" si="107"/>
        <v>0</v>
      </c>
      <c r="EZ192" s="10">
        <f t="shared" si="108"/>
        <v>0</v>
      </c>
      <c r="FA192" s="10">
        <f t="shared" si="109"/>
        <v>0</v>
      </c>
      <c r="FB192" s="10">
        <f t="shared" si="110"/>
        <v>0</v>
      </c>
      <c r="FC192" s="10">
        <f t="shared" si="111"/>
        <v>0</v>
      </c>
      <c r="FD192" s="10">
        <f t="shared" si="112"/>
        <v>0</v>
      </c>
      <c r="FE192" s="10">
        <f t="shared" si="113"/>
        <v>0</v>
      </c>
      <c r="FF192" s="10">
        <f t="shared" si="114"/>
        <v>0</v>
      </c>
      <c r="FG192" s="10">
        <f t="shared" si="115"/>
        <v>0</v>
      </c>
      <c r="FH192" s="10">
        <f t="shared" si="116"/>
        <v>0</v>
      </c>
      <c r="FI192" s="10">
        <f t="shared" si="117"/>
        <v>0</v>
      </c>
      <c r="FJ192" s="10">
        <f t="shared" si="118"/>
        <v>0</v>
      </c>
      <c r="FK192" s="10">
        <f t="shared" si="119"/>
        <v>0</v>
      </c>
      <c r="FL192" s="10">
        <f t="shared" si="120"/>
        <v>0</v>
      </c>
      <c r="FM192" s="10">
        <f t="shared" si="121"/>
        <v>0</v>
      </c>
      <c r="FN192" s="10">
        <f t="shared" si="122"/>
        <v>0</v>
      </c>
      <c r="FO192" s="10">
        <f t="shared" si="123"/>
        <v>0</v>
      </c>
      <c r="FP192" s="10">
        <f t="shared" si="124"/>
        <v>0</v>
      </c>
      <c r="FQ192" s="10">
        <f t="shared" si="125"/>
        <v>1</v>
      </c>
      <c r="FR192" s="11">
        <f t="shared" si="709"/>
        <v>0</v>
      </c>
      <c r="FS192" s="11">
        <f t="shared" si="127"/>
        <v>0</v>
      </c>
      <c r="FT192" s="11">
        <f t="shared" si="128"/>
        <v>0</v>
      </c>
      <c r="FU192" s="11">
        <f t="shared" si="129"/>
        <v>0</v>
      </c>
      <c r="FV192" s="11">
        <f t="shared" si="130"/>
        <v>0</v>
      </c>
      <c r="FW192" s="11">
        <f t="shared" si="131"/>
        <v>0</v>
      </c>
      <c r="FX192" s="11">
        <f t="shared" si="132"/>
        <v>0</v>
      </c>
      <c r="FY192" s="11">
        <f t="shared" si="133"/>
        <v>0</v>
      </c>
      <c r="FZ192" s="11">
        <f t="shared" si="134"/>
        <v>0</v>
      </c>
      <c r="GA192" s="11">
        <f t="shared" si="135"/>
        <v>0</v>
      </c>
      <c r="GB192" s="11">
        <f t="shared" si="136"/>
        <v>0</v>
      </c>
      <c r="GC192" s="11">
        <f t="shared" si="137"/>
        <v>0</v>
      </c>
      <c r="GD192" s="11">
        <f t="shared" si="138"/>
        <v>0</v>
      </c>
      <c r="GE192" s="11">
        <f t="shared" si="139"/>
        <v>0</v>
      </c>
      <c r="GF192" s="11">
        <f t="shared" si="140"/>
        <v>0</v>
      </c>
      <c r="GG192" s="11">
        <f t="shared" si="141"/>
        <v>0</v>
      </c>
      <c r="GH192" s="11">
        <f t="shared" si="142"/>
        <v>0</v>
      </c>
      <c r="GI192" s="11">
        <f t="shared" si="143"/>
        <v>0</v>
      </c>
      <c r="GJ192" s="11">
        <f t="shared" si="144"/>
        <v>0</v>
      </c>
      <c r="GK192" s="11">
        <f t="shared" si="145"/>
        <v>0</v>
      </c>
      <c r="GL192" s="11">
        <f t="shared" si="146"/>
        <v>0</v>
      </c>
      <c r="GM192" s="11">
        <f t="shared" si="147"/>
        <v>0</v>
      </c>
      <c r="GN192" s="11">
        <f t="shared" si="148"/>
        <v>0</v>
      </c>
      <c r="GO192" s="11">
        <f t="shared" si="149"/>
        <v>0</v>
      </c>
      <c r="GP192" s="11">
        <f t="shared" si="150"/>
        <v>0</v>
      </c>
      <c r="GQ192" s="11">
        <f t="shared" si="151"/>
        <v>0</v>
      </c>
      <c r="GR192" s="11">
        <f t="shared" si="152"/>
        <v>1</v>
      </c>
      <c r="GS192" s="11">
        <f t="shared" si="153"/>
        <v>0</v>
      </c>
      <c r="GT192" s="11">
        <f t="shared" si="154"/>
        <v>0</v>
      </c>
      <c r="GU192" s="12">
        <f t="shared" si="155"/>
        <v>0</v>
      </c>
      <c r="GV192" s="12">
        <f t="shared" si="156"/>
        <v>0</v>
      </c>
      <c r="GW192" s="12">
        <f t="shared" si="157"/>
        <v>0</v>
      </c>
      <c r="GX192" s="12">
        <f t="shared" si="158"/>
        <v>0</v>
      </c>
      <c r="GY192" s="12">
        <f t="shared" si="159"/>
        <v>0</v>
      </c>
      <c r="GZ192" s="12">
        <f t="shared" si="160"/>
        <v>0</v>
      </c>
      <c r="HA192" s="12">
        <f t="shared" si="161"/>
        <v>0</v>
      </c>
      <c r="HB192" s="12">
        <f t="shared" si="162"/>
        <v>0</v>
      </c>
      <c r="HC192" s="12">
        <f t="shared" si="163"/>
        <v>0</v>
      </c>
      <c r="HD192" s="12">
        <f t="shared" si="164"/>
        <v>0</v>
      </c>
      <c r="HE192" s="12">
        <f t="shared" si="165"/>
        <v>0</v>
      </c>
      <c r="HF192" s="12">
        <f t="shared" si="166"/>
        <v>0</v>
      </c>
      <c r="HG192" s="12">
        <f t="shared" si="167"/>
        <v>0</v>
      </c>
      <c r="HH192" s="12">
        <f t="shared" si="168"/>
        <v>0</v>
      </c>
      <c r="HI192" s="12">
        <f t="shared" si="169"/>
        <v>0</v>
      </c>
      <c r="HJ192" s="12">
        <f t="shared" si="170"/>
        <v>0</v>
      </c>
      <c r="HK192" s="12">
        <f t="shared" si="171"/>
        <v>0</v>
      </c>
      <c r="HL192" s="12">
        <f t="shared" si="172"/>
        <v>0</v>
      </c>
      <c r="HM192" s="12">
        <f t="shared" si="173"/>
        <v>0</v>
      </c>
      <c r="HN192" s="12">
        <f t="shared" si="174"/>
        <v>0</v>
      </c>
      <c r="HO192" s="12">
        <f t="shared" si="175"/>
        <v>0</v>
      </c>
      <c r="HP192" s="12">
        <f t="shared" si="176"/>
        <v>0</v>
      </c>
      <c r="HQ192" s="12">
        <f t="shared" si="177"/>
        <v>0</v>
      </c>
      <c r="HR192" s="12">
        <f t="shared" si="178"/>
        <v>0</v>
      </c>
      <c r="HS192" s="12">
        <f t="shared" si="179"/>
        <v>0</v>
      </c>
      <c r="HT192" s="12">
        <f t="shared" si="180"/>
        <v>0</v>
      </c>
      <c r="HU192" s="12">
        <f t="shared" si="181"/>
        <v>0</v>
      </c>
      <c r="HV192" s="12">
        <f t="shared" si="182"/>
        <v>0</v>
      </c>
      <c r="HW192" s="12">
        <f t="shared" si="183"/>
        <v>0</v>
      </c>
      <c r="HX192" s="12">
        <f t="shared" si="184"/>
        <v>0</v>
      </c>
      <c r="HY192" s="12">
        <f t="shared" si="185"/>
        <v>0</v>
      </c>
      <c r="HZ192" s="12">
        <f t="shared" si="186"/>
        <v>0</v>
      </c>
      <c r="IA192" s="12">
        <f t="shared" si="187"/>
        <v>0</v>
      </c>
      <c r="IB192" s="12">
        <f t="shared" si="188"/>
        <v>0</v>
      </c>
      <c r="IC192" s="12">
        <f t="shared" si="189"/>
        <v>0</v>
      </c>
      <c r="ID192" s="12">
        <f t="shared" si="190"/>
        <v>0</v>
      </c>
      <c r="IE192" s="12">
        <f t="shared" si="191"/>
        <v>0</v>
      </c>
      <c r="IF192" s="12">
        <f t="shared" si="192"/>
        <v>0</v>
      </c>
      <c r="IG192" s="12">
        <f t="shared" si="193"/>
        <v>0</v>
      </c>
      <c r="IH192" s="12">
        <f t="shared" si="194"/>
        <v>0</v>
      </c>
      <c r="II192" s="12">
        <f t="shared" si="195"/>
        <v>0</v>
      </c>
      <c r="IJ192" s="12">
        <f t="shared" si="196"/>
        <v>0</v>
      </c>
      <c r="IK192" s="12">
        <f t="shared" si="197"/>
        <v>0</v>
      </c>
      <c r="IL192" s="12">
        <f t="shared" si="198"/>
        <v>0</v>
      </c>
      <c r="IM192" s="12">
        <f t="shared" si="199"/>
        <v>0</v>
      </c>
      <c r="IN192" s="12">
        <f t="shared" si="200"/>
        <v>0</v>
      </c>
      <c r="IO192" s="12">
        <f t="shared" si="201"/>
        <v>0</v>
      </c>
      <c r="IP192" s="12">
        <f t="shared" si="202"/>
        <v>0</v>
      </c>
      <c r="IQ192" s="12">
        <f t="shared" si="203"/>
        <v>0</v>
      </c>
      <c r="IR192" s="12">
        <f t="shared" si="204"/>
        <v>0</v>
      </c>
      <c r="IS192" s="12">
        <f t="shared" si="205"/>
        <v>0</v>
      </c>
      <c r="IT192" s="12">
        <f t="shared" si="206"/>
        <v>0</v>
      </c>
      <c r="IU192" s="12">
        <f t="shared" si="207"/>
        <v>0</v>
      </c>
      <c r="IV192" s="12">
        <f t="shared" si="208"/>
        <v>0</v>
      </c>
      <c r="IW192" s="12">
        <f t="shared" si="209"/>
        <v>0</v>
      </c>
      <c r="IX192" s="12">
        <f t="shared" si="210"/>
        <v>0</v>
      </c>
      <c r="IY192" s="12">
        <f t="shared" si="211"/>
        <v>0</v>
      </c>
      <c r="IZ192" s="12">
        <f t="shared" si="212"/>
        <v>1</v>
      </c>
      <c r="JA192" s="13">
        <f t="shared" si="213"/>
        <v>0</v>
      </c>
      <c r="JB192" s="13">
        <f t="shared" si="214"/>
        <v>1</v>
      </c>
      <c r="JC192" s="13">
        <f t="shared" si="215"/>
        <v>0</v>
      </c>
      <c r="JD192" s="13">
        <f t="shared" si="216"/>
        <v>1</v>
      </c>
      <c r="JE192" s="13">
        <f t="shared" si="217"/>
        <v>0</v>
      </c>
      <c r="JF192" s="13">
        <f t="shared" si="218"/>
        <v>0</v>
      </c>
      <c r="JG192" s="13">
        <f t="shared" si="219"/>
        <v>0</v>
      </c>
      <c r="JH192" s="13">
        <f t="shared" si="220"/>
        <v>0</v>
      </c>
      <c r="JI192" s="13">
        <f t="shared" si="221"/>
        <v>1</v>
      </c>
      <c r="JJ192" s="13">
        <f t="shared" si="222"/>
        <v>0</v>
      </c>
      <c r="JK192" s="13">
        <f t="shared" si="223"/>
        <v>1</v>
      </c>
      <c r="JL192" s="13">
        <f t="shared" si="224"/>
        <v>0</v>
      </c>
      <c r="JM192" s="13">
        <f t="shared" si="225"/>
        <v>0</v>
      </c>
      <c r="JN192" s="13">
        <f t="shared" si="226"/>
        <v>0</v>
      </c>
      <c r="JO192" s="13">
        <f t="shared" si="227"/>
        <v>0</v>
      </c>
      <c r="JP192" s="13">
        <f t="shared" si="228"/>
        <v>0</v>
      </c>
      <c r="JQ192" s="13">
        <f t="shared" si="229"/>
        <v>0</v>
      </c>
      <c r="JR192" s="13">
        <f t="shared" si="230"/>
        <v>0</v>
      </c>
      <c r="JS192" s="13">
        <f t="shared" si="231"/>
        <v>0</v>
      </c>
      <c r="JT192" s="13">
        <f t="shared" si="232"/>
        <v>0</v>
      </c>
      <c r="JU192" s="13">
        <f t="shared" si="233"/>
        <v>0</v>
      </c>
      <c r="JV192" s="12">
        <f t="shared" si="234"/>
        <v>0</v>
      </c>
      <c r="JW192" s="12">
        <f t="shared" si="235"/>
        <v>0</v>
      </c>
      <c r="JX192" s="12">
        <f t="shared" si="236"/>
        <v>0</v>
      </c>
      <c r="JY192" s="12">
        <f t="shared" si="237"/>
        <v>0</v>
      </c>
      <c r="JZ192" s="12">
        <f t="shared" si="238"/>
        <v>0</v>
      </c>
      <c r="KA192" s="12">
        <f t="shared" si="239"/>
        <v>0</v>
      </c>
      <c r="KB192" s="12">
        <f t="shared" si="240"/>
        <v>0</v>
      </c>
      <c r="KC192" s="12">
        <f t="shared" si="241"/>
        <v>0</v>
      </c>
      <c r="KD192" s="12">
        <f t="shared" si="242"/>
        <v>0</v>
      </c>
      <c r="KE192" s="12">
        <f t="shared" si="243"/>
        <v>0</v>
      </c>
      <c r="KF192" s="12">
        <f t="shared" si="244"/>
        <v>0</v>
      </c>
      <c r="KG192" s="12">
        <f t="shared" si="245"/>
        <v>0</v>
      </c>
      <c r="KH192" s="12">
        <f t="shared" si="246"/>
        <v>0</v>
      </c>
      <c r="KI192" s="12">
        <f t="shared" si="247"/>
        <v>0</v>
      </c>
      <c r="KJ192" s="12">
        <f t="shared" si="248"/>
        <v>0</v>
      </c>
      <c r="KK192" s="12">
        <f t="shared" si="249"/>
        <v>0</v>
      </c>
      <c r="KL192" s="12">
        <f t="shared" si="250"/>
        <v>0</v>
      </c>
      <c r="KM192" s="12">
        <f t="shared" si="251"/>
        <v>0</v>
      </c>
      <c r="KN192" s="12">
        <f t="shared" si="252"/>
        <v>0</v>
      </c>
      <c r="KO192" s="12">
        <f t="shared" si="253"/>
        <v>0</v>
      </c>
      <c r="KP192" s="12">
        <f t="shared" si="254"/>
        <v>0</v>
      </c>
      <c r="KQ192" s="12">
        <f t="shared" si="255"/>
        <v>0</v>
      </c>
      <c r="KR192" s="12">
        <f t="shared" si="256"/>
        <v>0</v>
      </c>
      <c r="KS192" s="12">
        <f t="shared" si="257"/>
        <v>0</v>
      </c>
      <c r="KT192" s="12">
        <f t="shared" si="258"/>
        <v>0</v>
      </c>
      <c r="KU192" s="12">
        <f t="shared" si="259"/>
        <v>0</v>
      </c>
      <c r="KV192" s="12">
        <f t="shared" si="260"/>
        <v>0</v>
      </c>
      <c r="KW192" s="12">
        <f t="shared" si="261"/>
        <v>0</v>
      </c>
      <c r="KX192" s="12">
        <f t="shared" si="262"/>
        <v>0</v>
      </c>
      <c r="KY192" s="12">
        <f t="shared" si="263"/>
        <v>0</v>
      </c>
      <c r="KZ192" s="12">
        <f t="shared" si="264"/>
        <v>0</v>
      </c>
      <c r="LA192" s="12">
        <f t="shared" si="265"/>
        <v>0</v>
      </c>
      <c r="LB192" s="12">
        <f t="shared" si="266"/>
        <v>0</v>
      </c>
      <c r="LC192" s="12">
        <f t="shared" si="267"/>
        <v>0</v>
      </c>
      <c r="LD192" s="12">
        <f t="shared" si="268"/>
        <v>0</v>
      </c>
      <c r="LE192" s="12">
        <f t="shared" si="269"/>
        <v>0</v>
      </c>
      <c r="LF192" s="12">
        <f t="shared" si="270"/>
        <v>0</v>
      </c>
      <c r="LG192" s="12">
        <f t="shared" si="271"/>
        <v>0</v>
      </c>
      <c r="LH192" s="12">
        <f t="shared" si="272"/>
        <v>0</v>
      </c>
      <c r="LI192" s="12">
        <f t="shared" si="273"/>
        <v>0</v>
      </c>
      <c r="LJ192" s="12">
        <f t="shared" si="274"/>
        <v>0</v>
      </c>
      <c r="LK192" s="12">
        <f t="shared" si="275"/>
        <v>0</v>
      </c>
      <c r="LL192" s="12">
        <f t="shared" si="276"/>
        <v>0</v>
      </c>
      <c r="LM192" s="12">
        <f t="shared" si="277"/>
        <v>0</v>
      </c>
      <c r="LN192" s="12">
        <f t="shared" si="278"/>
        <v>0</v>
      </c>
      <c r="LO192" s="12">
        <f t="shared" si="279"/>
        <v>0</v>
      </c>
      <c r="LP192" s="12">
        <f t="shared" si="280"/>
        <v>0</v>
      </c>
      <c r="LQ192" s="12">
        <f t="shared" si="281"/>
        <v>0</v>
      </c>
      <c r="LR192" s="12">
        <f t="shared" si="282"/>
        <v>0</v>
      </c>
      <c r="LS192" s="12">
        <f t="shared" si="283"/>
        <v>0</v>
      </c>
      <c r="LT192" s="13">
        <f t="shared" si="284"/>
        <v>0</v>
      </c>
      <c r="LU192" s="13">
        <f t="shared" si="285"/>
        <v>0</v>
      </c>
      <c r="LV192" s="13">
        <f t="shared" si="286"/>
        <v>1</v>
      </c>
      <c r="LW192" s="13">
        <f t="shared" si="287"/>
        <v>0</v>
      </c>
      <c r="LX192" s="13">
        <f t="shared" si="288"/>
        <v>0</v>
      </c>
      <c r="LY192" s="13">
        <f t="shared" si="289"/>
        <v>0</v>
      </c>
      <c r="LZ192" s="13">
        <f t="shared" si="290"/>
        <v>0</v>
      </c>
      <c r="MA192" s="13">
        <f t="shared" si="291"/>
        <v>0</v>
      </c>
      <c r="MB192" s="13">
        <f t="shared" si="292"/>
        <v>0</v>
      </c>
      <c r="MC192" s="13">
        <f t="shared" si="293"/>
        <v>0</v>
      </c>
      <c r="MD192" s="13">
        <f t="shared" si="294"/>
        <v>0</v>
      </c>
      <c r="ME192" s="13">
        <f t="shared" si="295"/>
        <v>0</v>
      </c>
      <c r="MF192" s="13">
        <f t="shared" si="296"/>
        <v>0</v>
      </c>
      <c r="MG192" s="13">
        <f t="shared" si="297"/>
        <v>0</v>
      </c>
      <c r="MH192" s="13">
        <f t="shared" si="298"/>
        <v>0</v>
      </c>
      <c r="MI192" s="13">
        <f t="shared" si="299"/>
        <v>0</v>
      </c>
      <c r="MJ192" s="13">
        <f t="shared" si="300"/>
        <v>0</v>
      </c>
      <c r="MK192" s="13">
        <f t="shared" si="301"/>
        <v>0</v>
      </c>
      <c r="ML192" s="14">
        <f t="shared" si="302"/>
        <v>0</v>
      </c>
      <c r="MM192" s="14">
        <f t="shared" si="303"/>
        <v>0</v>
      </c>
      <c r="MN192" s="14">
        <f t="shared" si="304"/>
        <v>0</v>
      </c>
      <c r="MO192" s="14">
        <f t="shared" si="305"/>
        <v>0</v>
      </c>
      <c r="MP192" s="14">
        <f t="shared" si="306"/>
        <v>0</v>
      </c>
      <c r="MQ192" s="14">
        <f t="shared" si="307"/>
        <v>0</v>
      </c>
      <c r="MR192" s="14">
        <f t="shared" si="308"/>
        <v>0</v>
      </c>
      <c r="MS192" s="14">
        <f t="shared" si="309"/>
        <v>0</v>
      </c>
      <c r="MT192" s="14">
        <f t="shared" si="310"/>
        <v>0</v>
      </c>
      <c r="MU192" s="14">
        <f t="shared" si="311"/>
        <v>0</v>
      </c>
      <c r="MV192" s="14">
        <f t="shared" si="312"/>
        <v>0</v>
      </c>
      <c r="MW192" s="14">
        <f t="shared" si="313"/>
        <v>0</v>
      </c>
      <c r="MX192" s="14">
        <f t="shared" si="314"/>
        <v>0</v>
      </c>
      <c r="MY192" s="14">
        <f t="shared" si="315"/>
        <v>0</v>
      </c>
      <c r="MZ192" s="14">
        <f t="shared" si="316"/>
        <v>0</v>
      </c>
      <c r="NA192" s="14">
        <f t="shared" si="317"/>
        <v>0</v>
      </c>
      <c r="NB192" s="14">
        <f t="shared" si="318"/>
        <v>0</v>
      </c>
    </row>
    <row r="193" ht="15.75" customHeight="1">
      <c r="A193" s="2">
        <v>67.0</v>
      </c>
      <c r="B193" s="2" t="s">
        <v>3581</v>
      </c>
      <c r="C193" s="2" t="s">
        <v>3582</v>
      </c>
      <c r="D193" s="2" t="s">
        <v>3583</v>
      </c>
      <c r="E193" s="2">
        <v>2021.0</v>
      </c>
      <c r="F193" s="2" t="s">
        <v>3584</v>
      </c>
      <c r="G193" s="2" t="s">
        <v>371</v>
      </c>
      <c r="H193" s="2" t="s">
        <v>1160</v>
      </c>
      <c r="J193" s="2" t="s">
        <v>3585</v>
      </c>
      <c r="K193" s="2" t="s">
        <v>3586</v>
      </c>
      <c r="M193" s="2">
        <v>1.0</v>
      </c>
      <c r="N193" s="2" t="s">
        <v>3587</v>
      </c>
      <c r="O193" s="2" t="s">
        <v>3588</v>
      </c>
      <c r="P193" s="2" t="s">
        <v>3589</v>
      </c>
      <c r="Q193" s="2" t="s">
        <v>3590</v>
      </c>
      <c r="R193" s="2" t="s">
        <v>3591</v>
      </c>
      <c r="S193" s="2" t="s">
        <v>3592</v>
      </c>
      <c r="Y193" s="2" t="s">
        <v>3593</v>
      </c>
      <c r="AB193" s="2" t="s">
        <v>1080</v>
      </c>
      <c r="AG193" s="2" t="s">
        <v>3594</v>
      </c>
      <c r="AK193" s="2" t="s">
        <v>3584</v>
      </c>
      <c r="AL193" s="2" t="s">
        <v>384</v>
      </c>
      <c r="AN193" s="2" t="s">
        <v>386</v>
      </c>
      <c r="AO193" s="2" t="s">
        <v>3595</v>
      </c>
      <c r="AP193" s="2" t="s">
        <v>386</v>
      </c>
      <c r="AQ193" s="2">
        <v>200.0</v>
      </c>
      <c r="AR193" s="2" t="s">
        <v>3596</v>
      </c>
      <c r="AS193" s="2" t="b">
        <v>1</v>
      </c>
      <c r="AT193" s="3">
        <v>0.0</v>
      </c>
      <c r="AU193" s="4">
        <v>1.0</v>
      </c>
      <c r="AV193" s="4"/>
      <c r="AW193" s="5">
        <f t="shared" si="432"/>
        <v>0</v>
      </c>
      <c r="AX193" s="5">
        <f t="shared" si="4"/>
        <v>0</v>
      </c>
      <c r="AY193" s="5">
        <f t="shared" si="5"/>
        <v>0</v>
      </c>
      <c r="AZ193" s="5">
        <f t="shared" si="6"/>
        <v>0</v>
      </c>
      <c r="BA193" s="5">
        <f t="shared" si="7"/>
        <v>0</v>
      </c>
      <c r="BB193" s="5">
        <f t="shared" si="8"/>
        <v>0</v>
      </c>
      <c r="BC193" s="5">
        <f t="shared" si="9"/>
        <v>0</v>
      </c>
      <c r="BD193" s="5">
        <f t="shared" si="10"/>
        <v>0</v>
      </c>
      <c r="BE193" s="5">
        <f t="shared" si="11"/>
        <v>0</v>
      </c>
      <c r="BF193" s="5">
        <f t="shared" si="12"/>
        <v>0</v>
      </c>
      <c r="BG193" s="5">
        <f t="shared" si="13"/>
        <v>0</v>
      </c>
      <c r="BH193" s="5">
        <f t="shared" si="14"/>
        <v>0</v>
      </c>
      <c r="BI193" s="5">
        <f t="shared" si="15"/>
        <v>0</v>
      </c>
      <c r="BJ193" s="5">
        <f t="shared" si="16"/>
        <v>0</v>
      </c>
      <c r="BK193" s="5">
        <f t="shared" si="17"/>
        <v>0</v>
      </c>
      <c r="BL193" s="5">
        <f t="shared" si="18"/>
        <v>0</v>
      </c>
      <c r="BM193" s="5">
        <f t="shared" si="19"/>
        <v>0</v>
      </c>
      <c r="BN193" s="5">
        <f t="shared" si="20"/>
        <v>0</v>
      </c>
      <c r="BO193" s="5">
        <f t="shared" si="21"/>
        <v>0</v>
      </c>
      <c r="BP193" s="5">
        <f t="shared" si="22"/>
        <v>0</v>
      </c>
      <c r="BQ193" s="5">
        <f t="shared" si="23"/>
        <v>0</v>
      </c>
      <c r="BR193" s="5">
        <f t="shared" si="24"/>
        <v>0</v>
      </c>
      <c r="BS193" s="5">
        <f t="shared" si="25"/>
        <v>0</v>
      </c>
      <c r="BT193" s="5">
        <f t="shared" si="26"/>
        <v>0</v>
      </c>
      <c r="BU193" s="5">
        <f t="shared" si="27"/>
        <v>0</v>
      </c>
      <c r="BV193" s="5">
        <f t="shared" ref="BV193:BW193" si="742">IF(OR(ISNUMBER(SEARCH("grit",$D193)),ISNUMBER(SEARCH("grit",$T193)),ISNUMBER(SEARCH("grit",$R193)),ISNUMBER(SEARCH("grit",$S193)),
ISNUMBER(SEARCH("determination",$D193)),ISNUMBER(SEARCH("determination",$T193)),ISNUMBER(SEARCH("determination",$R193)),ISNUMBER(SEARCH("determination",$S193)),
ISNUMBER(SEARCH("tenacity",$D193)),ISNUMBER(SEARCH("tenacity",$T193)),ISNUMBER(SEARCH("tenacity",$R193)),ISNUMBER(SEARCH("tenacity",$S193)),
ISNUMBER(SEARCH("endurance",$D193)),ISNUMBER(SEARCH("endurance",$T193)),ISNUMBER(SEARCH("endurance",$R193)),ISNUMBER(SEARCH("endurance",$S193)),
ISNUMBER(SEARCH("fortitude",$D193)),ISNUMBER(SEARCH("fortitude",$T193)),ISNUMBER(SEARCH("fortitude",$R193)),ISNUMBER(SEARCH("fortitude",$S193)),
ISNUMBER(SEARCH("resolve",$D193)),ISNUMBER(SEARCH("resolve",$T193)),ISNUMBER(SEARCH("resolve",$R193)),ISNUMBER(SEARCH("resolve",$S193)),
ISNUMBER(SEARCH("stamina",$D193)),ISNUMBER(SEARCH("stamina",$T193)),ISNUMBER(SEARCH("stamina",$R193)),ISNUMBER(SEARCH("stamina",$S193)),
ISNUMBER(SEARCH("guts",$D193)),ISNUMBER(SEARCH("guts",$T193)),ISNUMBER(SEARCH("guts",$R193)),ISNUMBER(SEARCH("guts",$S193)),
ISNUMBER(SEARCH("spunk",$D193)),ISNUMBER(SEARCH("spunk",$T193)),ISNUMBER(SEARCH("spunk",$R193)),ISNUMBER(SEARCH("spunk",$S193))), 1, 0)</f>
        <v>0</v>
      </c>
      <c r="BW193" s="5">
        <f t="shared" si="742"/>
        <v>0</v>
      </c>
      <c r="BX193" s="5">
        <f t="shared" si="29"/>
        <v>0</v>
      </c>
      <c r="BY193" s="5">
        <f t="shared" si="30"/>
        <v>0</v>
      </c>
      <c r="BZ193" s="5">
        <f t="shared" si="31"/>
        <v>0</v>
      </c>
      <c r="CA193" s="5">
        <f t="shared" si="32"/>
        <v>1</v>
      </c>
      <c r="CB193" s="5">
        <f t="shared" si="33"/>
        <v>0</v>
      </c>
      <c r="CC193" s="5">
        <f t="shared" si="34"/>
        <v>0</v>
      </c>
      <c r="CD193" s="5">
        <f t="shared" si="35"/>
        <v>0</v>
      </c>
      <c r="CE193" s="5">
        <f t="shared" si="36"/>
        <v>0</v>
      </c>
      <c r="CF193" s="5">
        <f t="shared" si="37"/>
        <v>0</v>
      </c>
      <c r="CG193" s="5">
        <f t="shared" si="38"/>
        <v>0</v>
      </c>
      <c r="CH193" s="5">
        <f t="shared" si="39"/>
        <v>0</v>
      </c>
      <c r="CI193" s="5">
        <f t="shared" si="40"/>
        <v>0</v>
      </c>
      <c r="CJ193" s="5">
        <f t="shared" si="41"/>
        <v>0</v>
      </c>
      <c r="CK193" s="5">
        <f t="shared" si="42"/>
        <v>1</v>
      </c>
      <c r="CL193" s="5">
        <f t="shared" si="43"/>
        <v>0</v>
      </c>
      <c r="CM193" s="5">
        <f t="shared" si="44"/>
        <v>0</v>
      </c>
      <c r="CN193" s="5">
        <f t="shared" si="45"/>
        <v>0</v>
      </c>
      <c r="CO193" s="5">
        <f t="shared" si="46"/>
        <v>0</v>
      </c>
      <c r="CP193" s="6">
        <f t="shared" si="47"/>
        <v>0</v>
      </c>
      <c r="CQ193" s="6">
        <f t="shared" si="48"/>
        <v>0</v>
      </c>
      <c r="CR193" s="6">
        <f t="shared" si="49"/>
        <v>0</v>
      </c>
      <c r="CS193" s="6">
        <f t="shared" si="50"/>
        <v>0</v>
      </c>
      <c r="CT193" s="6">
        <f t="shared" si="584"/>
        <v>0</v>
      </c>
      <c r="CU193" s="6">
        <f t="shared" si="52"/>
        <v>0</v>
      </c>
      <c r="CV193" s="6">
        <f t="shared" si="53"/>
        <v>0</v>
      </c>
      <c r="CW193" s="6">
        <f t="shared" si="54"/>
        <v>0</v>
      </c>
      <c r="CX193" s="6">
        <f t="shared" si="55"/>
        <v>0</v>
      </c>
      <c r="CY193" s="6">
        <f t="shared" si="56"/>
        <v>0</v>
      </c>
      <c r="CZ193" s="6">
        <f t="shared" si="57"/>
        <v>0</v>
      </c>
      <c r="DA193" s="6">
        <f t="shared" si="58"/>
        <v>0</v>
      </c>
      <c r="DB193" s="6">
        <f t="shared" si="59"/>
        <v>0</v>
      </c>
      <c r="DC193" s="6">
        <f t="shared" si="60"/>
        <v>0</v>
      </c>
      <c r="DD193" s="6">
        <f t="shared" si="61"/>
        <v>0</v>
      </c>
      <c r="DE193" s="6">
        <f t="shared" si="62"/>
        <v>0</v>
      </c>
      <c r="DF193" s="6">
        <f t="shared" si="63"/>
        <v>0</v>
      </c>
      <c r="DG193" s="6">
        <f t="shared" si="64"/>
        <v>0</v>
      </c>
      <c r="DH193" s="6">
        <f t="shared" si="697"/>
        <v>0</v>
      </c>
      <c r="DI193" s="6">
        <f t="shared" si="66"/>
        <v>0</v>
      </c>
      <c r="DJ193" s="6">
        <f t="shared" si="653"/>
        <v>0</v>
      </c>
      <c r="DK193" s="7">
        <f t="shared" si="68"/>
        <v>0</v>
      </c>
      <c r="DL193" s="7">
        <f t="shared" si="498"/>
        <v>0</v>
      </c>
      <c r="DM193" s="7">
        <f t="shared" si="70"/>
        <v>0</v>
      </c>
      <c r="DN193" s="7">
        <f t="shared" si="71"/>
        <v>0</v>
      </c>
      <c r="DO193" s="7">
        <f t="shared" si="72"/>
        <v>0</v>
      </c>
      <c r="DP193" s="8">
        <f t="shared" si="73"/>
        <v>0</v>
      </c>
      <c r="DQ193" s="8">
        <f t="shared" si="74"/>
        <v>1</v>
      </c>
      <c r="DR193" s="7">
        <f t="shared" si="75"/>
        <v>0</v>
      </c>
      <c r="DS193" s="7">
        <f t="shared" si="76"/>
        <v>0</v>
      </c>
      <c r="DT193" s="7">
        <f t="shared" si="77"/>
        <v>0</v>
      </c>
      <c r="DU193" s="9">
        <f t="shared" si="78"/>
        <v>0</v>
      </c>
      <c r="DV193" s="9">
        <f t="shared" si="79"/>
        <v>0</v>
      </c>
      <c r="DW193" s="9">
        <f t="shared" si="80"/>
        <v>0</v>
      </c>
      <c r="DX193" s="9">
        <f t="shared" si="81"/>
        <v>0</v>
      </c>
      <c r="DY193" s="9">
        <f t="shared" si="82"/>
        <v>0</v>
      </c>
      <c r="DZ193" s="9">
        <f t="shared" si="83"/>
        <v>0</v>
      </c>
      <c r="EA193" s="9">
        <f t="shared" si="84"/>
        <v>0</v>
      </c>
      <c r="EB193" s="9">
        <f t="shared" si="85"/>
        <v>0</v>
      </c>
      <c r="EC193" s="9">
        <f t="shared" si="86"/>
        <v>0</v>
      </c>
      <c r="ED193" s="9">
        <f t="shared" si="87"/>
        <v>0</v>
      </c>
      <c r="EE193" s="9">
        <f t="shared" si="88"/>
        <v>0</v>
      </c>
      <c r="EF193" s="9">
        <f t="shared" si="89"/>
        <v>0</v>
      </c>
      <c r="EG193" s="9">
        <f t="shared" si="90"/>
        <v>0</v>
      </c>
      <c r="EH193" s="9">
        <f t="shared" si="91"/>
        <v>0</v>
      </c>
      <c r="EI193" s="9">
        <f t="shared" si="92"/>
        <v>0</v>
      </c>
      <c r="EJ193" s="10">
        <f t="shared" si="93"/>
        <v>0</v>
      </c>
      <c r="EK193" s="10">
        <f t="shared" si="94"/>
        <v>0</v>
      </c>
      <c r="EL193" s="10">
        <f t="shared" ref="EL193:EM193" si="743">IF(OR(ISNUMBER(SEARCH("ai software toolkit", $D193)), ISNUMBER(SEARCH("ai software toolkit", $T193)), ISNUMBER(SEARCH("ai software toolkit", $R193)), ISNUMBER(SEARCH("ai software toolkit", $S193))), 1, 0)</f>
        <v>0</v>
      </c>
      <c r="EM193" s="10">
        <f t="shared" si="743"/>
        <v>0</v>
      </c>
      <c r="EN193" s="10">
        <f t="shared" si="96"/>
        <v>0</v>
      </c>
      <c r="EO193" s="10">
        <f t="shared" si="97"/>
        <v>0</v>
      </c>
      <c r="EP193" s="10">
        <f t="shared" si="98"/>
        <v>0</v>
      </c>
      <c r="EQ193" s="10">
        <f t="shared" si="99"/>
        <v>0</v>
      </c>
      <c r="ER193" s="10">
        <f t="shared" si="100"/>
        <v>0</v>
      </c>
      <c r="ES193" s="10">
        <f t="shared" si="101"/>
        <v>0</v>
      </c>
      <c r="ET193" s="10">
        <f t="shared" si="102"/>
        <v>0</v>
      </c>
      <c r="EU193" s="10">
        <f t="shared" si="103"/>
        <v>0</v>
      </c>
      <c r="EV193" s="10">
        <f t="shared" si="104"/>
        <v>0</v>
      </c>
      <c r="EW193" s="10">
        <f t="shared" si="105"/>
        <v>0</v>
      </c>
      <c r="EX193" s="10">
        <f t="shared" si="106"/>
        <v>0</v>
      </c>
      <c r="EY193" s="10">
        <f t="shared" si="107"/>
        <v>0</v>
      </c>
      <c r="EZ193" s="10">
        <f t="shared" si="108"/>
        <v>0</v>
      </c>
      <c r="FA193" s="10">
        <f t="shared" si="109"/>
        <v>0</v>
      </c>
      <c r="FB193" s="10">
        <f t="shared" si="110"/>
        <v>0</v>
      </c>
      <c r="FC193" s="10">
        <f t="shared" si="111"/>
        <v>0</v>
      </c>
      <c r="FD193" s="10">
        <f t="shared" si="112"/>
        <v>0</v>
      </c>
      <c r="FE193" s="10">
        <f t="shared" si="113"/>
        <v>0</v>
      </c>
      <c r="FF193" s="10">
        <f t="shared" si="114"/>
        <v>0</v>
      </c>
      <c r="FG193" s="10">
        <f t="shared" si="115"/>
        <v>0</v>
      </c>
      <c r="FH193" s="10">
        <f t="shared" si="116"/>
        <v>0</v>
      </c>
      <c r="FI193" s="10">
        <f t="shared" si="117"/>
        <v>0</v>
      </c>
      <c r="FJ193" s="10">
        <f t="shared" si="118"/>
        <v>0</v>
      </c>
      <c r="FK193" s="10">
        <f t="shared" si="119"/>
        <v>0</v>
      </c>
      <c r="FL193" s="10">
        <f t="shared" si="120"/>
        <v>0</v>
      </c>
      <c r="FM193" s="10">
        <f t="shared" si="121"/>
        <v>0</v>
      </c>
      <c r="FN193" s="10">
        <f t="shared" si="122"/>
        <v>0</v>
      </c>
      <c r="FO193" s="10">
        <f t="shared" si="123"/>
        <v>0</v>
      </c>
      <c r="FP193" s="10">
        <f t="shared" si="124"/>
        <v>0</v>
      </c>
      <c r="FQ193" s="10">
        <f t="shared" si="125"/>
        <v>0</v>
      </c>
      <c r="FR193" s="11">
        <f t="shared" si="709"/>
        <v>0</v>
      </c>
      <c r="FS193" s="11">
        <f t="shared" si="127"/>
        <v>0</v>
      </c>
      <c r="FT193" s="11">
        <f t="shared" si="128"/>
        <v>0</v>
      </c>
      <c r="FU193" s="11">
        <f t="shared" si="129"/>
        <v>0</v>
      </c>
      <c r="FV193" s="11">
        <f t="shared" si="130"/>
        <v>0</v>
      </c>
      <c r="FW193" s="11">
        <f t="shared" si="131"/>
        <v>0</v>
      </c>
      <c r="FX193" s="11">
        <f t="shared" si="132"/>
        <v>0</v>
      </c>
      <c r="FY193" s="11">
        <f t="shared" si="133"/>
        <v>0</v>
      </c>
      <c r="FZ193" s="11">
        <f t="shared" si="134"/>
        <v>0</v>
      </c>
      <c r="GA193" s="11">
        <f t="shared" si="135"/>
        <v>0</v>
      </c>
      <c r="GB193" s="11">
        <f t="shared" si="136"/>
        <v>0</v>
      </c>
      <c r="GC193" s="11">
        <f t="shared" si="137"/>
        <v>0</v>
      </c>
      <c r="GD193" s="11">
        <f t="shared" si="138"/>
        <v>0</v>
      </c>
      <c r="GE193" s="11">
        <f t="shared" si="139"/>
        <v>0</v>
      </c>
      <c r="GF193" s="11">
        <f t="shared" si="140"/>
        <v>0</v>
      </c>
      <c r="GG193" s="11">
        <f t="shared" si="141"/>
        <v>0</v>
      </c>
      <c r="GH193" s="11">
        <f t="shared" si="142"/>
        <v>0</v>
      </c>
      <c r="GI193" s="11">
        <f t="shared" si="143"/>
        <v>0</v>
      </c>
      <c r="GJ193" s="11">
        <f t="shared" si="144"/>
        <v>0</v>
      </c>
      <c r="GK193" s="11">
        <f t="shared" si="145"/>
        <v>0</v>
      </c>
      <c r="GL193" s="11">
        <f t="shared" si="146"/>
        <v>0</v>
      </c>
      <c r="GM193" s="11">
        <f t="shared" si="147"/>
        <v>0</v>
      </c>
      <c r="GN193" s="11">
        <f t="shared" si="148"/>
        <v>0</v>
      </c>
      <c r="GO193" s="11">
        <f t="shared" si="149"/>
        <v>0</v>
      </c>
      <c r="GP193" s="11">
        <f t="shared" si="150"/>
        <v>0</v>
      </c>
      <c r="GQ193" s="11">
        <f t="shared" si="151"/>
        <v>0</v>
      </c>
      <c r="GR193" s="11">
        <f t="shared" si="152"/>
        <v>0</v>
      </c>
      <c r="GS193" s="11">
        <f t="shared" si="153"/>
        <v>0</v>
      </c>
      <c r="GT193" s="11">
        <f t="shared" si="154"/>
        <v>0</v>
      </c>
      <c r="GU193" s="12">
        <f t="shared" si="155"/>
        <v>0</v>
      </c>
      <c r="GV193" s="12">
        <f t="shared" si="156"/>
        <v>0</v>
      </c>
      <c r="GW193" s="12">
        <f t="shared" si="157"/>
        <v>0</v>
      </c>
      <c r="GX193" s="12">
        <f t="shared" si="158"/>
        <v>0</v>
      </c>
      <c r="GY193" s="12">
        <f t="shared" si="159"/>
        <v>0</v>
      </c>
      <c r="GZ193" s="12">
        <f t="shared" si="160"/>
        <v>0</v>
      </c>
      <c r="HA193" s="12">
        <f t="shared" si="161"/>
        <v>0</v>
      </c>
      <c r="HB193" s="12">
        <f t="shared" si="162"/>
        <v>0</v>
      </c>
      <c r="HC193" s="12">
        <f t="shared" si="163"/>
        <v>0</v>
      </c>
      <c r="HD193" s="12">
        <f t="shared" si="164"/>
        <v>0</v>
      </c>
      <c r="HE193" s="12">
        <f t="shared" si="165"/>
        <v>0</v>
      </c>
      <c r="HF193" s="12">
        <f t="shared" si="166"/>
        <v>0</v>
      </c>
      <c r="HG193" s="12">
        <f t="shared" si="167"/>
        <v>0</v>
      </c>
      <c r="HH193" s="12">
        <f t="shared" si="168"/>
        <v>0</v>
      </c>
      <c r="HI193" s="12">
        <f t="shared" si="169"/>
        <v>0</v>
      </c>
      <c r="HJ193" s="12">
        <f t="shared" si="170"/>
        <v>0</v>
      </c>
      <c r="HK193" s="12">
        <f t="shared" si="171"/>
        <v>0</v>
      </c>
      <c r="HL193" s="12">
        <f t="shared" si="172"/>
        <v>0</v>
      </c>
      <c r="HM193" s="12">
        <f t="shared" si="173"/>
        <v>0</v>
      </c>
      <c r="HN193" s="12">
        <f t="shared" si="174"/>
        <v>0</v>
      </c>
      <c r="HO193" s="12">
        <f t="shared" si="175"/>
        <v>0</v>
      </c>
      <c r="HP193" s="12">
        <f t="shared" si="176"/>
        <v>0</v>
      </c>
      <c r="HQ193" s="12">
        <f t="shared" si="177"/>
        <v>0</v>
      </c>
      <c r="HR193" s="12">
        <f t="shared" si="178"/>
        <v>0</v>
      </c>
      <c r="HS193" s="12">
        <f t="shared" si="179"/>
        <v>0</v>
      </c>
      <c r="HT193" s="12">
        <f t="shared" si="180"/>
        <v>0</v>
      </c>
      <c r="HU193" s="12">
        <f t="shared" si="181"/>
        <v>0</v>
      </c>
      <c r="HV193" s="12">
        <f t="shared" si="182"/>
        <v>0</v>
      </c>
      <c r="HW193" s="12">
        <f t="shared" si="183"/>
        <v>0</v>
      </c>
      <c r="HX193" s="12">
        <f t="shared" si="184"/>
        <v>0</v>
      </c>
      <c r="HY193" s="12">
        <f t="shared" si="185"/>
        <v>0</v>
      </c>
      <c r="HZ193" s="12">
        <f t="shared" si="186"/>
        <v>0</v>
      </c>
      <c r="IA193" s="12">
        <f t="shared" si="187"/>
        <v>0</v>
      </c>
      <c r="IB193" s="12">
        <f t="shared" si="188"/>
        <v>0</v>
      </c>
      <c r="IC193" s="12">
        <f t="shared" si="189"/>
        <v>0</v>
      </c>
      <c r="ID193" s="12">
        <f t="shared" si="190"/>
        <v>0</v>
      </c>
      <c r="IE193" s="12">
        <f t="shared" si="191"/>
        <v>0</v>
      </c>
      <c r="IF193" s="12">
        <f t="shared" si="192"/>
        <v>0</v>
      </c>
      <c r="IG193" s="12">
        <f t="shared" si="193"/>
        <v>0</v>
      </c>
      <c r="IH193" s="12">
        <f t="shared" si="194"/>
        <v>0</v>
      </c>
      <c r="II193" s="12">
        <f t="shared" si="195"/>
        <v>0</v>
      </c>
      <c r="IJ193" s="12">
        <f t="shared" si="196"/>
        <v>0</v>
      </c>
      <c r="IK193" s="12">
        <f t="shared" si="197"/>
        <v>0</v>
      </c>
      <c r="IL193" s="12">
        <f t="shared" si="198"/>
        <v>0</v>
      </c>
      <c r="IM193" s="12">
        <f t="shared" si="199"/>
        <v>0</v>
      </c>
      <c r="IN193" s="12">
        <f t="shared" si="200"/>
        <v>0</v>
      </c>
      <c r="IO193" s="12">
        <f t="shared" si="201"/>
        <v>0</v>
      </c>
      <c r="IP193" s="12">
        <f t="shared" si="202"/>
        <v>0</v>
      </c>
      <c r="IQ193" s="12">
        <f t="shared" si="203"/>
        <v>0</v>
      </c>
      <c r="IR193" s="12">
        <f t="shared" si="204"/>
        <v>0</v>
      </c>
      <c r="IS193" s="12">
        <f t="shared" si="205"/>
        <v>0</v>
      </c>
      <c r="IT193" s="12">
        <f t="shared" si="206"/>
        <v>0</v>
      </c>
      <c r="IU193" s="12">
        <f t="shared" si="207"/>
        <v>0</v>
      </c>
      <c r="IV193" s="12">
        <f t="shared" si="208"/>
        <v>0</v>
      </c>
      <c r="IW193" s="12">
        <f t="shared" si="209"/>
        <v>0</v>
      </c>
      <c r="IX193" s="12">
        <f t="shared" si="210"/>
        <v>0</v>
      </c>
      <c r="IY193" s="12">
        <f t="shared" si="211"/>
        <v>0</v>
      </c>
      <c r="IZ193" s="12">
        <f t="shared" si="212"/>
        <v>1</v>
      </c>
      <c r="JA193" s="13">
        <f t="shared" si="213"/>
        <v>0</v>
      </c>
      <c r="JB193" s="13">
        <f t="shared" si="214"/>
        <v>0</v>
      </c>
      <c r="JC193" s="13">
        <f t="shared" si="215"/>
        <v>0</v>
      </c>
      <c r="JD193" s="13">
        <f t="shared" si="216"/>
        <v>0</v>
      </c>
      <c r="JE193" s="13">
        <f t="shared" si="217"/>
        <v>0</v>
      </c>
      <c r="JF193" s="13">
        <f t="shared" si="218"/>
        <v>0</v>
      </c>
      <c r="JG193" s="13">
        <f t="shared" si="219"/>
        <v>0</v>
      </c>
      <c r="JH193" s="13">
        <f t="shared" si="220"/>
        <v>0</v>
      </c>
      <c r="JI193" s="13">
        <f t="shared" si="221"/>
        <v>0</v>
      </c>
      <c r="JJ193" s="13">
        <f t="shared" si="222"/>
        <v>0</v>
      </c>
      <c r="JK193" s="13">
        <f t="shared" si="223"/>
        <v>0</v>
      </c>
      <c r="JL193" s="13">
        <f t="shared" si="224"/>
        <v>0</v>
      </c>
      <c r="JM193" s="13">
        <f t="shared" si="225"/>
        <v>0</v>
      </c>
      <c r="JN193" s="13">
        <f t="shared" si="226"/>
        <v>0</v>
      </c>
      <c r="JO193" s="13">
        <f t="shared" si="227"/>
        <v>0</v>
      </c>
      <c r="JP193" s="13">
        <f t="shared" si="228"/>
        <v>0</v>
      </c>
      <c r="JQ193" s="13">
        <f t="shared" si="229"/>
        <v>0</v>
      </c>
      <c r="JR193" s="13">
        <f t="shared" si="230"/>
        <v>0</v>
      </c>
      <c r="JS193" s="13">
        <f t="shared" si="231"/>
        <v>0</v>
      </c>
      <c r="JT193" s="13">
        <f t="shared" si="232"/>
        <v>0</v>
      </c>
      <c r="JU193" s="13">
        <f t="shared" si="233"/>
        <v>0</v>
      </c>
      <c r="JV193" s="12">
        <f t="shared" si="234"/>
        <v>0</v>
      </c>
      <c r="JW193" s="12">
        <f t="shared" si="235"/>
        <v>0</v>
      </c>
      <c r="JX193" s="12">
        <f t="shared" si="236"/>
        <v>0</v>
      </c>
      <c r="JY193" s="12">
        <f t="shared" si="237"/>
        <v>0</v>
      </c>
      <c r="JZ193" s="12">
        <f t="shared" si="238"/>
        <v>0</v>
      </c>
      <c r="KA193" s="12">
        <f t="shared" si="239"/>
        <v>0</v>
      </c>
      <c r="KB193" s="12">
        <f t="shared" si="240"/>
        <v>0</v>
      </c>
      <c r="KC193" s="12">
        <f t="shared" si="241"/>
        <v>0</v>
      </c>
      <c r="KD193" s="12">
        <f t="shared" si="242"/>
        <v>0</v>
      </c>
      <c r="KE193" s="12">
        <f t="shared" si="243"/>
        <v>0</v>
      </c>
      <c r="KF193" s="12">
        <f t="shared" si="244"/>
        <v>0</v>
      </c>
      <c r="KG193" s="12">
        <f t="shared" si="245"/>
        <v>0</v>
      </c>
      <c r="KH193" s="12">
        <f t="shared" si="246"/>
        <v>0</v>
      </c>
      <c r="KI193" s="12">
        <f t="shared" si="247"/>
        <v>0</v>
      </c>
      <c r="KJ193" s="12">
        <f t="shared" si="248"/>
        <v>0</v>
      </c>
      <c r="KK193" s="12">
        <f t="shared" si="249"/>
        <v>0</v>
      </c>
      <c r="KL193" s="12">
        <f t="shared" si="250"/>
        <v>0</v>
      </c>
      <c r="KM193" s="12">
        <f t="shared" si="251"/>
        <v>0</v>
      </c>
      <c r="KN193" s="12">
        <f t="shared" si="252"/>
        <v>0</v>
      </c>
      <c r="KO193" s="12">
        <f t="shared" si="253"/>
        <v>0</v>
      </c>
      <c r="KP193" s="12">
        <f t="shared" si="254"/>
        <v>0</v>
      </c>
      <c r="KQ193" s="12">
        <f t="shared" si="255"/>
        <v>0</v>
      </c>
      <c r="KR193" s="12">
        <f t="shared" si="256"/>
        <v>0</v>
      </c>
      <c r="KS193" s="12">
        <f t="shared" si="257"/>
        <v>0</v>
      </c>
      <c r="KT193" s="12">
        <f t="shared" si="258"/>
        <v>0</v>
      </c>
      <c r="KU193" s="12">
        <f t="shared" si="259"/>
        <v>0</v>
      </c>
      <c r="KV193" s="12">
        <f t="shared" si="260"/>
        <v>0</v>
      </c>
      <c r="KW193" s="12">
        <f t="shared" si="261"/>
        <v>0</v>
      </c>
      <c r="KX193" s="12">
        <f t="shared" si="262"/>
        <v>0</v>
      </c>
      <c r="KY193" s="12">
        <f t="shared" si="263"/>
        <v>0</v>
      </c>
      <c r="KZ193" s="12">
        <f t="shared" si="264"/>
        <v>0</v>
      </c>
      <c r="LA193" s="12">
        <f t="shared" si="265"/>
        <v>0</v>
      </c>
      <c r="LB193" s="12">
        <f t="shared" si="266"/>
        <v>0</v>
      </c>
      <c r="LC193" s="12">
        <f t="shared" si="267"/>
        <v>0</v>
      </c>
      <c r="LD193" s="12">
        <f t="shared" si="268"/>
        <v>0</v>
      </c>
      <c r="LE193" s="12">
        <f t="shared" si="269"/>
        <v>0</v>
      </c>
      <c r="LF193" s="12">
        <f t="shared" si="270"/>
        <v>0</v>
      </c>
      <c r="LG193" s="12">
        <f t="shared" si="271"/>
        <v>0</v>
      </c>
      <c r="LH193" s="12">
        <f t="shared" si="272"/>
        <v>0</v>
      </c>
      <c r="LI193" s="12">
        <f t="shared" si="273"/>
        <v>0</v>
      </c>
      <c r="LJ193" s="12">
        <f t="shared" si="274"/>
        <v>0</v>
      </c>
      <c r="LK193" s="12">
        <f t="shared" si="275"/>
        <v>0</v>
      </c>
      <c r="LL193" s="12">
        <f t="shared" si="276"/>
        <v>0</v>
      </c>
      <c r="LM193" s="12">
        <f t="shared" si="277"/>
        <v>0</v>
      </c>
      <c r="LN193" s="12">
        <f t="shared" si="278"/>
        <v>0</v>
      </c>
      <c r="LO193" s="12">
        <f t="shared" si="279"/>
        <v>0</v>
      </c>
      <c r="LP193" s="12">
        <f t="shared" si="280"/>
        <v>0</v>
      </c>
      <c r="LQ193" s="12">
        <f t="shared" si="281"/>
        <v>0</v>
      </c>
      <c r="LR193" s="12">
        <f t="shared" si="282"/>
        <v>0</v>
      </c>
      <c r="LS193" s="12">
        <f t="shared" si="283"/>
        <v>0</v>
      </c>
      <c r="LT193" s="13">
        <f t="shared" si="284"/>
        <v>0</v>
      </c>
      <c r="LU193" s="13">
        <f t="shared" si="285"/>
        <v>0</v>
      </c>
      <c r="LV193" s="13">
        <f t="shared" si="286"/>
        <v>0</v>
      </c>
      <c r="LW193" s="13">
        <f t="shared" si="287"/>
        <v>1</v>
      </c>
      <c r="LX193" s="13">
        <f t="shared" si="288"/>
        <v>0</v>
      </c>
      <c r="LY193" s="13">
        <f t="shared" si="289"/>
        <v>0</v>
      </c>
      <c r="LZ193" s="13">
        <f t="shared" si="290"/>
        <v>0</v>
      </c>
      <c r="MA193" s="13">
        <f t="shared" si="291"/>
        <v>0</v>
      </c>
      <c r="MB193" s="13">
        <f t="shared" si="292"/>
        <v>0</v>
      </c>
      <c r="MC193" s="13">
        <f t="shared" si="293"/>
        <v>0</v>
      </c>
      <c r="MD193" s="13">
        <f t="shared" si="294"/>
        <v>0</v>
      </c>
      <c r="ME193" s="13">
        <f t="shared" si="295"/>
        <v>0</v>
      </c>
      <c r="MF193" s="13">
        <f t="shared" si="296"/>
        <v>0</v>
      </c>
      <c r="MG193" s="13">
        <f t="shared" si="297"/>
        <v>0</v>
      </c>
      <c r="MH193" s="13">
        <f t="shared" si="298"/>
        <v>0</v>
      </c>
      <c r="MI193" s="13">
        <f t="shared" si="299"/>
        <v>0</v>
      </c>
      <c r="MJ193" s="13">
        <f t="shared" si="300"/>
        <v>0</v>
      </c>
      <c r="MK193" s="13">
        <f t="shared" si="301"/>
        <v>0</v>
      </c>
      <c r="ML193" s="14">
        <f t="shared" si="302"/>
        <v>0</v>
      </c>
      <c r="MM193" s="14">
        <f t="shared" si="303"/>
        <v>0</v>
      </c>
      <c r="MN193" s="14">
        <f t="shared" si="304"/>
        <v>0</v>
      </c>
      <c r="MO193" s="14">
        <f t="shared" si="305"/>
        <v>0</v>
      </c>
      <c r="MP193" s="14">
        <f t="shared" si="306"/>
        <v>0</v>
      </c>
      <c r="MQ193" s="14">
        <f t="shared" si="307"/>
        <v>0</v>
      </c>
      <c r="MR193" s="14">
        <f t="shared" si="308"/>
        <v>0</v>
      </c>
      <c r="MS193" s="14">
        <f t="shared" si="309"/>
        <v>0</v>
      </c>
      <c r="MT193" s="14">
        <f t="shared" si="310"/>
        <v>0</v>
      </c>
      <c r="MU193" s="14">
        <f t="shared" si="311"/>
        <v>0</v>
      </c>
      <c r="MV193" s="14">
        <f t="shared" si="312"/>
        <v>0</v>
      </c>
      <c r="MW193" s="14">
        <f t="shared" si="313"/>
        <v>0</v>
      </c>
      <c r="MX193" s="14">
        <f t="shared" si="314"/>
        <v>0</v>
      </c>
      <c r="MY193" s="14">
        <f t="shared" si="315"/>
        <v>0</v>
      </c>
      <c r="MZ193" s="14">
        <f t="shared" si="316"/>
        <v>0</v>
      </c>
      <c r="NA193" s="14">
        <f t="shared" si="317"/>
        <v>0</v>
      </c>
      <c r="NB193" s="14">
        <f t="shared" si="318"/>
        <v>0</v>
      </c>
    </row>
    <row r="194" ht="15.75" customHeight="1">
      <c r="A194" s="2">
        <v>157.0</v>
      </c>
      <c r="B194" s="2" t="s">
        <v>3597</v>
      </c>
      <c r="C194" s="2" t="s">
        <v>3598</v>
      </c>
      <c r="D194" s="2" t="s">
        <v>3599</v>
      </c>
      <c r="E194" s="2">
        <v>2021.0</v>
      </c>
      <c r="F194" s="2" t="s">
        <v>3600</v>
      </c>
      <c r="G194" s="2" t="s">
        <v>371</v>
      </c>
      <c r="H194" s="2" t="s">
        <v>510</v>
      </c>
      <c r="J194" s="2" t="s">
        <v>3601</v>
      </c>
      <c r="K194" s="2" t="s">
        <v>3602</v>
      </c>
      <c r="M194" s="2">
        <v>1.0</v>
      </c>
      <c r="N194" s="2" t="s">
        <v>3603</v>
      </c>
      <c r="O194" s="2" t="s">
        <v>3604</v>
      </c>
      <c r="P194" s="2" t="s">
        <v>3605</v>
      </c>
      <c r="Q194" s="2" t="s">
        <v>3606</v>
      </c>
      <c r="R194" s="2" t="s">
        <v>3607</v>
      </c>
      <c r="S194" s="2" t="s">
        <v>3608</v>
      </c>
      <c r="T194" s="2" t="s">
        <v>3609</v>
      </c>
      <c r="Y194" s="2" t="s">
        <v>3610</v>
      </c>
      <c r="AB194" s="2" t="s">
        <v>3611</v>
      </c>
      <c r="AG194" s="2" t="s">
        <v>3612</v>
      </c>
      <c r="AK194" s="2" t="s">
        <v>3613</v>
      </c>
      <c r="AL194" s="2" t="s">
        <v>384</v>
      </c>
      <c r="AM194" s="2" t="s">
        <v>1306</v>
      </c>
      <c r="AN194" s="2" t="s">
        <v>386</v>
      </c>
      <c r="AO194" s="2" t="s">
        <v>3614</v>
      </c>
      <c r="AP194" s="2" t="s">
        <v>386</v>
      </c>
      <c r="AQ194" s="2">
        <v>561.0</v>
      </c>
      <c r="AR194" s="2" t="s">
        <v>3615</v>
      </c>
      <c r="AS194" s="2" t="b">
        <v>1</v>
      </c>
      <c r="AT194" s="3">
        <v>0.0</v>
      </c>
      <c r="AU194" s="4"/>
      <c r="AV194" s="4"/>
      <c r="AW194" s="5">
        <f t="shared" si="432"/>
        <v>0</v>
      </c>
      <c r="AX194" s="5">
        <f t="shared" si="4"/>
        <v>0</v>
      </c>
      <c r="AY194" s="5">
        <f t="shared" si="5"/>
        <v>0</v>
      </c>
      <c r="AZ194" s="5">
        <f t="shared" si="6"/>
        <v>0</v>
      </c>
      <c r="BA194" s="5">
        <f t="shared" si="7"/>
        <v>0</v>
      </c>
      <c r="BB194" s="5">
        <f t="shared" si="8"/>
        <v>0</v>
      </c>
      <c r="BC194" s="5">
        <f t="shared" si="9"/>
        <v>0</v>
      </c>
      <c r="BD194" s="5">
        <f t="shared" si="10"/>
        <v>0</v>
      </c>
      <c r="BE194" s="5">
        <f t="shared" si="11"/>
        <v>0</v>
      </c>
      <c r="BF194" s="5">
        <f t="shared" si="12"/>
        <v>0</v>
      </c>
      <c r="BG194" s="5">
        <f t="shared" si="13"/>
        <v>0</v>
      </c>
      <c r="BH194" s="5">
        <f t="shared" si="14"/>
        <v>0</v>
      </c>
      <c r="BI194" s="5">
        <f t="shared" si="15"/>
        <v>0</v>
      </c>
      <c r="BJ194" s="5">
        <f t="shared" si="16"/>
        <v>0</v>
      </c>
      <c r="BK194" s="5">
        <f t="shared" si="17"/>
        <v>0</v>
      </c>
      <c r="BL194" s="5">
        <f t="shared" si="18"/>
        <v>0</v>
      </c>
      <c r="BM194" s="5">
        <f t="shared" si="19"/>
        <v>0</v>
      </c>
      <c r="BN194" s="5">
        <f t="shared" si="20"/>
        <v>0</v>
      </c>
      <c r="BO194" s="5">
        <f t="shared" si="21"/>
        <v>0</v>
      </c>
      <c r="BP194" s="5">
        <f t="shared" si="22"/>
        <v>0</v>
      </c>
      <c r="BQ194" s="5">
        <f t="shared" si="23"/>
        <v>0</v>
      </c>
      <c r="BR194" s="5">
        <f t="shared" si="24"/>
        <v>0</v>
      </c>
      <c r="BS194" s="5">
        <f t="shared" si="25"/>
        <v>0</v>
      </c>
      <c r="BT194" s="5">
        <f t="shared" si="26"/>
        <v>0</v>
      </c>
      <c r="BU194" s="5">
        <f t="shared" si="27"/>
        <v>0</v>
      </c>
      <c r="BV194" s="5">
        <f t="shared" ref="BV194:BW194" si="744">IF(OR(ISNUMBER(SEARCH("grit",$D194)),ISNUMBER(SEARCH("grit",$T194)),ISNUMBER(SEARCH("grit",$R194)),ISNUMBER(SEARCH("grit",$S194)),
ISNUMBER(SEARCH("determination",$D194)),ISNUMBER(SEARCH("determination",$T194)),ISNUMBER(SEARCH("determination",$R194)),ISNUMBER(SEARCH("determination",$S194)),
ISNUMBER(SEARCH("tenacity",$D194)),ISNUMBER(SEARCH("tenacity",$T194)),ISNUMBER(SEARCH("tenacity",$R194)),ISNUMBER(SEARCH("tenacity",$S194)),
ISNUMBER(SEARCH("endurance",$D194)),ISNUMBER(SEARCH("endurance",$T194)),ISNUMBER(SEARCH("endurance",$R194)),ISNUMBER(SEARCH("endurance",$S194)),
ISNUMBER(SEARCH("fortitude",$D194)),ISNUMBER(SEARCH("fortitude",$T194)),ISNUMBER(SEARCH("fortitude",$R194)),ISNUMBER(SEARCH("fortitude",$S194)),
ISNUMBER(SEARCH("resolve",$D194)),ISNUMBER(SEARCH("resolve",$T194)),ISNUMBER(SEARCH("resolve",$R194)),ISNUMBER(SEARCH("resolve",$S194)),
ISNUMBER(SEARCH("stamina",$D194)),ISNUMBER(SEARCH("stamina",$T194)),ISNUMBER(SEARCH("stamina",$R194)),ISNUMBER(SEARCH("stamina",$S194)),
ISNUMBER(SEARCH("guts",$D194)),ISNUMBER(SEARCH("guts",$T194)),ISNUMBER(SEARCH("guts",$R194)),ISNUMBER(SEARCH("guts",$S194)),
ISNUMBER(SEARCH("spunk",$D194)),ISNUMBER(SEARCH("spunk",$T194)),ISNUMBER(SEARCH("spunk",$R194)),ISNUMBER(SEARCH("spunk",$S194))), 1, 0)</f>
        <v>0</v>
      </c>
      <c r="BW194" s="5">
        <f t="shared" si="744"/>
        <v>0</v>
      </c>
      <c r="BX194" s="5">
        <f t="shared" si="29"/>
        <v>0</v>
      </c>
      <c r="BY194" s="5">
        <f t="shared" si="30"/>
        <v>0</v>
      </c>
      <c r="BZ194" s="5">
        <f t="shared" si="31"/>
        <v>0</v>
      </c>
      <c r="CA194" s="5">
        <f t="shared" si="32"/>
        <v>0</v>
      </c>
      <c r="CB194" s="5">
        <f t="shared" si="33"/>
        <v>0</v>
      </c>
      <c r="CC194" s="5">
        <f t="shared" si="34"/>
        <v>0</v>
      </c>
      <c r="CD194" s="5">
        <f t="shared" si="35"/>
        <v>0</v>
      </c>
      <c r="CE194" s="5">
        <f t="shared" si="36"/>
        <v>0</v>
      </c>
      <c r="CF194" s="5">
        <f t="shared" si="37"/>
        <v>0</v>
      </c>
      <c r="CG194" s="5">
        <f t="shared" si="38"/>
        <v>0</v>
      </c>
      <c r="CH194" s="5">
        <f t="shared" si="39"/>
        <v>0</v>
      </c>
      <c r="CI194" s="5">
        <f t="shared" si="40"/>
        <v>0</v>
      </c>
      <c r="CJ194" s="5">
        <f t="shared" si="41"/>
        <v>0</v>
      </c>
      <c r="CK194" s="5">
        <f t="shared" si="42"/>
        <v>0</v>
      </c>
      <c r="CL194" s="5">
        <f t="shared" si="43"/>
        <v>0</v>
      </c>
      <c r="CM194" s="5">
        <f t="shared" si="44"/>
        <v>0</v>
      </c>
      <c r="CN194" s="5">
        <f t="shared" si="45"/>
        <v>0</v>
      </c>
      <c r="CO194" s="5">
        <f t="shared" si="46"/>
        <v>0</v>
      </c>
      <c r="CP194" s="6">
        <f t="shared" si="47"/>
        <v>0</v>
      </c>
      <c r="CQ194" s="6">
        <f t="shared" si="48"/>
        <v>0</v>
      </c>
      <c r="CR194" s="6">
        <f t="shared" si="49"/>
        <v>0</v>
      </c>
      <c r="CS194" s="6">
        <f t="shared" si="50"/>
        <v>0</v>
      </c>
      <c r="CT194" s="6">
        <f t="shared" si="584"/>
        <v>0</v>
      </c>
      <c r="CU194" s="6">
        <f t="shared" si="52"/>
        <v>0</v>
      </c>
      <c r="CV194" s="6">
        <f t="shared" si="53"/>
        <v>0</v>
      </c>
      <c r="CW194" s="6">
        <f t="shared" si="54"/>
        <v>0</v>
      </c>
      <c r="CX194" s="6">
        <f t="shared" si="55"/>
        <v>0</v>
      </c>
      <c r="CY194" s="6">
        <f t="shared" si="56"/>
        <v>0</v>
      </c>
      <c r="CZ194" s="6">
        <f t="shared" si="57"/>
        <v>0</v>
      </c>
      <c r="DA194" s="6">
        <f t="shared" si="58"/>
        <v>0</v>
      </c>
      <c r="DB194" s="6">
        <f t="shared" si="59"/>
        <v>0</v>
      </c>
      <c r="DC194" s="6">
        <f t="shared" si="60"/>
        <v>0</v>
      </c>
      <c r="DD194" s="6">
        <f t="shared" si="61"/>
        <v>0</v>
      </c>
      <c r="DE194" s="6">
        <f t="shared" si="62"/>
        <v>0</v>
      </c>
      <c r="DF194" s="6">
        <f t="shared" si="63"/>
        <v>0</v>
      </c>
      <c r="DG194" s="6">
        <f t="shared" si="64"/>
        <v>0</v>
      </c>
      <c r="DH194" s="6">
        <f t="shared" si="697"/>
        <v>0</v>
      </c>
      <c r="DI194" s="6">
        <f t="shared" si="66"/>
        <v>0</v>
      </c>
      <c r="DJ194" s="6">
        <f t="shared" si="653"/>
        <v>0</v>
      </c>
      <c r="DK194" s="7">
        <f t="shared" si="68"/>
        <v>0</v>
      </c>
      <c r="DL194" s="7">
        <f t="shared" si="498"/>
        <v>0</v>
      </c>
      <c r="DM194" s="7">
        <f t="shared" si="70"/>
        <v>0</v>
      </c>
      <c r="DN194" s="7">
        <f t="shared" si="71"/>
        <v>0</v>
      </c>
      <c r="DO194" s="7">
        <f t="shared" si="72"/>
        <v>0</v>
      </c>
      <c r="DP194" s="8">
        <f t="shared" si="73"/>
        <v>0</v>
      </c>
      <c r="DQ194" s="8">
        <f t="shared" si="74"/>
        <v>1</v>
      </c>
      <c r="DR194" s="7">
        <f t="shared" si="75"/>
        <v>0</v>
      </c>
      <c r="DS194" s="7">
        <f t="shared" si="76"/>
        <v>0</v>
      </c>
      <c r="DT194" s="7">
        <f t="shared" si="77"/>
        <v>0</v>
      </c>
      <c r="DU194" s="9">
        <f t="shared" si="78"/>
        <v>0</v>
      </c>
      <c r="DV194" s="9">
        <f t="shared" si="79"/>
        <v>0</v>
      </c>
      <c r="DW194" s="9">
        <f t="shared" si="80"/>
        <v>0</v>
      </c>
      <c r="DX194" s="9">
        <f t="shared" si="81"/>
        <v>0</v>
      </c>
      <c r="DY194" s="9">
        <f t="shared" si="82"/>
        <v>0</v>
      </c>
      <c r="DZ194" s="9">
        <f t="shared" si="83"/>
        <v>0</v>
      </c>
      <c r="EA194" s="9">
        <f t="shared" si="84"/>
        <v>0</v>
      </c>
      <c r="EB194" s="9">
        <f t="shared" si="85"/>
        <v>0</v>
      </c>
      <c r="EC194" s="9">
        <f t="shared" si="86"/>
        <v>0</v>
      </c>
      <c r="ED194" s="9">
        <f t="shared" si="87"/>
        <v>0</v>
      </c>
      <c r="EE194" s="9">
        <f t="shared" si="88"/>
        <v>0</v>
      </c>
      <c r="EF194" s="9">
        <f t="shared" si="89"/>
        <v>0</v>
      </c>
      <c r="EG194" s="9">
        <f t="shared" si="90"/>
        <v>0</v>
      </c>
      <c r="EH194" s="9">
        <f t="shared" si="91"/>
        <v>0</v>
      </c>
      <c r="EI194" s="9">
        <f t="shared" si="92"/>
        <v>0</v>
      </c>
      <c r="EJ194" s="10">
        <f t="shared" si="93"/>
        <v>0</v>
      </c>
      <c r="EK194" s="10">
        <f t="shared" si="94"/>
        <v>0</v>
      </c>
      <c r="EL194" s="10">
        <f t="shared" ref="EL194:EM194" si="745">IF(OR(ISNUMBER(SEARCH("ai software toolkit", $D194)), ISNUMBER(SEARCH("ai software toolkit", $T194)), ISNUMBER(SEARCH("ai software toolkit", $R194)), ISNUMBER(SEARCH("ai software toolkit", $S194))), 1, 0)</f>
        <v>0</v>
      </c>
      <c r="EM194" s="10">
        <f t="shared" si="745"/>
        <v>0</v>
      </c>
      <c r="EN194" s="10">
        <f t="shared" si="96"/>
        <v>0</v>
      </c>
      <c r="EO194" s="10">
        <f t="shared" si="97"/>
        <v>0</v>
      </c>
      <c r="EP194" s="10">
        <f t="shared" si="98"/>
        <v>0</v>
      </c>
      <c r="EQ194" s="10">
        <f t="shared" si="99"/>
        <v>0</v>
      </c>
      <c r="ER194" s="10">
        <f t="shared" si="100"/>
        <v>0</v>
      </c>
      <c r="ES194" s="10">
        <f t="shared" si="101"/>
        <v>0</v>
      </c>
      <c r="ET194" s="10">
        <f t="shared" si="102"/>
        <v>0</v>
      </c>
      <c r="EU194" s="10">
        <f t="shared" si="103"/>
        <v>0</v>
      </c>
      <c r="EV194" s="10">
        <f t="shared" si="104"/>
        <v>0</v>
      </c>
      <c r="EW194" s="10">
        <f t="shared" si="105"/>
        <v>0</v>
      </c>
      <c r="EX194" s="10">
        <f t="shared" si="106"/>
        <v>0</v>
      </c>
      <c r="EY194" s="10">
        <f t="shared" si="107"/>
        <v>0</v>
      </c>
      <c r="EZ194" s="10">
        <f t="shared" si="108"/>
        <v>0</v>
      </c>
      <c r="FA194" s="10">
        <f t="shared" si="109"/>
        <v>0</v>
      </c>
      <c r="FB194" s="10">
        <f t="shared" si="110"/>
        <v>0</v>
      </c>
      <c r="FC194" s="10">
        <f t="shared" si="111"/>
        <v>0</v>
      </c>
      <c r="FD194" s="10">
        <f t="shared" si="112"/>
        <v>0</v>
      </c>
      <c r="FE194" s="10">
        <f t="shared" si="113"/>
        <v>0</v>
      </c>
      <c r="FF194" s="10">
        <f t="shared" si="114"/>
        <v>0</v>
      </c>
      <c r="FG194" s="10">
        <f t="shared" si="115"/>
        <v>0</v>
      </c>
      <c r="FH194" s="10">
        <f t="shared" si="116"/>
        <v>0</v>
      </c>
      <c r="FI194" s="10">
        <f t="shared" si="117"/>
        <v>0</v>
      </c>
      <c r="FJ194" s="10">
        <f t="shared" si="118"/>
        <v>0</v>
      </c>
      <c r="FK194" s="10">
        <f t="shared" si="119"/>
        <v>0</v>
      </c>
      <c r="FL194" s="10">
        <f t="shared" si="120"/>
        <v>0</v>
      </c>
      <c r="FM194" s="10">
        <f t="shared" si="121"/>
        <v>0</v>
      </c>
      <c r="FN194" s="10">
        <f t="shared" si="122"/>
        <v>0</v>
      </c>
      <c r="FO194" s="10">
        <f t="shared" si="123"/>
        <v>0</v>
      </c>
      <c r="FP194" s="10">
        <f t="shared" si="124"/>
        <v>0</v>
      </c>
      <c r="FQ194" s="10">
        <f t="shared" si="125"/>
        <v>0</v>
      </c>
      <c r="FR194" s="11">
        <f t="shared" si="709"/>
        <v>0</v>
      </c>
      <c r="FS194" s="11">
        <f t="shared" si="127"/>
        <v>0</v>
      </c>
      <c r="FT194" s="11">
        <f t="shared" si="128"/>
        <v>0</v>
      </c>
      <c r="FU194" s="11">
        <f t="shared" si="129"/>
        <v>0</v>
      </c>
      <c r="FV194" s="11">
        <f t="shared" si="130"/>
        <v>0</v>
      </c>
      <c r="FW194" s="11">
        <f t="shared" si="131"/>
        <v>0</v>
      </c>
      <c r="FX194" s="11">
        <f t="shared" si="132"/>
        <v>0</v>
      </c>
      <c r="FY194" s="11">
        <f t="shared" si="133"/>
        <v>0</v>
      </c>
      <c r="FZ194" s="11">
        <f t="shared" si="134"/>
        <v>0</v>
      </c>
      <c r="GA194" s="11">
        <f t="shared" si="135"/>
        <v>0</v>
      </c>
      <c r="GB194" s="11">
        <f t="shared" si="136"/>
        <v>0</v>
      </c>
      <c r="GC194" s="11">
        <f t="shared" si="137"/>
        <v>0</v>
      </c>
      <c r="GD194" s="11">
        <f t="shared" si="138"/>
        <v>0</v>
      </c>
      <c r="GE194" s="11">
        <f t="shared" si="139"/>
        <v>0</v>
      </c>
      <c r="GF194" s="11">
        <f t="shared" si="140"/>
        <v>0</v>
      </c>
      <c r="GG194" s="11">
        <f t="shared" si="141"/>
        <v>0</v>
      </c>
      <c r="GH194" s="11">
        <f t="shared" si="142"/>
        <v>0</v>
      </c>
      <c r="GI194" s="11">
        <f t="shared" si="143"/>
        <v>0</v>
      </c>
      <c r="GJ194" s="11">
        <f t="shared" si="144"/>
        <v>0</v>
      </c>
      <c r="GK194" s="11">
        <f t="shared" si="145"/>
        <v>0</v>
      </c>
      <c r="GL194" s="11">
        <f t="shared" si="146"/>
        <v>0</v>
      </c>
      <c r="GM194" s="11">
        <f t="shared" si="147"/>
        <v>0</v>
      </c>
      <c r="GN194" s="11">
        <f t="shared" si="148"/>
        <v>0</v>
      </c>
      <c r="GO194" s="11">
        <f t="shared" si="149"/>
        <v>0</v>
      </c>
      <c r="GP194" s="11">
        <f t="shared" si="150"/>
        <v>0</v>
      </c>
      <c r="GQ194" s="11">
        <f t="shared" si="151"/>
        <v>0</v>
      </c>
      <c r="GR194" s="11">
        <f t="shared" si="152"/>
        <v>0</v>
      </c>
      <c r="GS194" s="11">
        <f t="shared" si="153"/>
        <v>0</v>
      </c>
      <c r="GT194" s="11">
        <f t="shared" si="154"/>
        <v>0</v>
      </c>
      <c r="GU194" s="12">
        <f t="shared" si="155"/>
        <v>0</v>
      </c>
      <c r="GV194" s="12">
        <f t="shared" si="156"/>
        <v>0</v>
      </c>
      <c r="GW194" s="12">
        <f t="shared" si="157"/>
        <v>0</v>
      </c>
      <c r="GX194" s="12">
        <f t="shared" si="158"/>
        <v>0</v>
      </c>
      <c r="GY194" s="12">
        <f t="shared" si="159"/>
        <v>0</v>
      </c>
      <c r="GZ194" s="12">
        <f t="shared" si="160"/>
        <v>0</v>
      </c>
      <c r="HA194" s="12">
        <f t="shared" si="161"/>
        <v>0</v>
      </c>
      <c r="HB194" s="12">
        <f t="shared" si="162"/>
        <v>0</v>
      </c>
      <c r="HC194" s="12">
        <f t="shared" si="163"/>
        <v>0</v>
      </c>
      <c r="HD194" s="12">
        <f t="shared" si="164"/>
        <v>0</v>
      </c>
      <c r="HE194" s="12">
        <f t="shared" si="165"/>
        <v>0</v>
      </c>
      <c r="HF194" s="12">
        <f t="shared" si="166"/>
        <v>0</v>
      </c>
      <c r="HG194" s="12">
        <f t="shared" si="167"/>
        <v>0</v>
      </c>
      <c r="HH194" s="12">
        <f t="shared" si="168"/>
        <v>0</v>
      </c>
      <c r="HI194" s="12">
        <f t="shared" si="169"/>
        <v>0</v>
      </c>
      <c r="HJ194" s="12">
        <f t="shared" si="170"/>
        <v>0</v>
      </c>
      <c r="HK194" s="12">
        <f t="shared" si="171"/>
        <v>0</v>
      </c>
      <c r="HL194" s="12">
        <f t="shared" si="172"/>
        <v>0</v>
      </c>
      <c r="HM194" s="12">
        <f t="shared" si="173"/>
        <v>0</v>
      </c>
      <c r="HN194" s="12">
        <f t="shared" si="174"/>
        <v>0</v>
      </c>
      <c r="HO194" s="12">
        <f t="shared" si="175"/>
        <v>0</v>
      </c>
      <c r="HP194" s="12">
        <f t="shared" si="176"/>
        <v>0</v>
      </c>
      <c r="HQ194" s="12">
        <f t="shared" si="177"/>
        <v>0</v>
      </c>
      <c r="HR194" s="12">
        <f t="shared" si="178"/>
        <v>0</v>
      </c>
      <c r="HS194" s="12">
        <f t="shared" si="179"/>
        <v>0</v>
      </c>
      <c r="HT194" s="12">
        <f t="shared" si="180"/>
        <v>0</v>
      </c>
      <c r="HU194" s="12">
        <f t="shared" si="181"/>
        <v>0</v>
      </c>
      <c r="HV194" s="12">
        <f t="shared" si="182"/>
        <v>0</v>
      </c>
      <c r="HW194" s="12">
        <f t="shared" si="183"/>
        <v>0</v>
      </c>
      <c r="HX194" s="12">
        <f t="shared" si="184"/>
        <v>0</v>
      </c>
      <c r="HY194" s="12">
        <f t="shared" si="185"/>
        <v>0</v>
      </c>
      <c r="HZ194" s="12">
        <f t="shared" si="186"/>
        <v>0</v>
      </c>
      <c r="IA194" s="12">
        <f t="shared" si="187"/>
        <v>0</v>
      </c>
      <c r="IB194" s="12">
        <f t="shared" si="188"/>
        <v>0</v>
      </c>
      <c r="IC194" s="12">
        <f t="shared" si="189"/>
        <v>0</v>
      </c>
      <c r="ID194" s="12">
        <f t="shared" si="190"/>
        <v>0</v>
      </c>
      <c r="IE194" s="12">
        <f t="shared" si="191"/>
        <v>0</v>
      </c>
      <c r="IF194" s="12">
        <f t="shared" si="192"/>
        <v>0</v>
      </c>
      <c r="IG194" s="12">
        <f t="shared" si="193"/>
        <v>0</v>
      </c>
      <c r="IH194" s="12">
        <f t="shared" si="194"/>
        <v>0</v>
      </c>
      <c r="II194" s="12">
        <f t="shared" si="195"/>
        <v>0</v>
      </c>
      <c r="IJ194" s="12">
        <f t="shared" si="196"/>
        <v>0</v>
      </c>
      <c r="IK194" s="12">
        <f t="shared" si="197"/>
        <v>0</v>
      </c>
      <c r="IL194" s="12">
        <f t="shared" si="198"/>
        <v>0</v>
      </c>
      <c r="IM194" s="12">
        <f t="shared" si="199"/>
        <v>0</v>
      </c>
      <c r="IN194" s="12">
        <f t="shared" si="200"/>
        <v>0</v>
      </c>
      <c r="IO194" s="12">
        <f t="shared" si="201"/>
        <v>0</v>
      </c>
      <c r="IP194" s="12">
        <f t="shared" si="202"/>
        <v>0</v>
      </c>
      <c r="IQ194" s="12">
        <f t="shared" si="203"/>
        <v>0</v>
      </c>
      <c r="IR194" s="12">
        <f t="shared" si="204"/>
        <v>0</v>
      </c>
      <c r="IS194" s="12">
        <f t="shared" si="205"/>
        <v>0</v>
      </c>
      <c r="IT194" s="12">
        <f t="shared" si="206"/>
        <v>0</v>
      </c>
      <c r="IU194" s="12">
        <f t="shared" si="207"/>
        <v>0</v>
      </c>
      <c r="IV194" s="12">
        <f t="shared" si="208"/>
        <v>0</v>
      </c>
      <c r="IW194" s="12">
        <f t="shared" si="209"/>
        <v>0</v>
      </c>
      <c r="IX194" s="12">
        <f t="shared" si="210"/>
        <v>0</v>
      </c>
      <c r="IY194" s="12">
        <f t="shared" si="211"/>
        <v>0</v>
      </c>
      <c r="IZ194" s="12">
        <f t="shared" si="212"/>
        <v>0</v>
      </c>
      <c r="JA194" s="13">
        <f t="shared" si="213"/>
        <v>0</v>
      </c>
      <c r="JB194" s="13">
        <f t="shared" si="214"/>
        <v>0</v>
      </c>
      <c r="JC194" s="13">
        <f t="shared" si="215"/>
        <v>0</v>
      </c>
      <c r="JD194" s="13">
        <f t="shared" si="216"/>
        <v>0</v>
      </c>
      <c r="JE194" s="13">
        <f t="shared" si="217"/>
        <v>0</v>
      </c>
      <c r="JF194" s="13">
        <f t="shared" si="218"/>
        <v>1</v>
      </c>
      <c r="JG194" s="13">
        <f t="shared" si="219"/>
        <v>0</v>
      </c>
      <c r="JH194" s="13">
        <f t="shared" si="220"/>
        <v>0</v>
      </c>
      <c r="JI194" s="13">
        <f t="shared" si="221"/>
        <v>0</v>
      </c>
      <c r="JJ194" s="13">
        <f t="shared" si="222"/>
        <v>0</v>
      </c>
      <c r="JK194" s="13">
        <f t="shared" si="223"/>
        <v>0</v>
      </c>
      <c r="JL194" s="13">
        <f t="shared" si="224"/>
        <v>0</v>
      </c>
      <c r="JM194" s="13">
        <f t="shared" si="225"/>
        <v>0</v>
      </c>
      <c r="JN194" s="13">
        <f t="shared" si="226"/>
        <v>0</v>
      </c>
      <c r="JO194" s="13">
        <f t="shared" si="227"/>
        <v>0</v>
      </c>
      <c r="JP194" s="13">
        <f t="shared" si="228"/>
        <v>0</v>
      </c>
      <c r="JQ194" s="13">
        <f t="shared" si="229"/>
        <v>0</v>
      </c>
      <c r="JR194" s="13">
        <f t="shared" si="230"/>
        <v>0</v>
      </c>
      <c r="JS194" s="13">
        <f t="shared" si="231"/>
        <v>0</v>
      </c>
      <c r="JT194" s="13">
        <f t="shared" si="232"/>
        <v>0</v>
      </c>
      <c r="JU194" s="13">
        <f t="shared" si="233"/>
        <v>0</v>
      </c>
      <c r="JV194" s="12">
        <f t="shared" si="234"/>
        <v>0</v>
      </c>
      <c r="JW194" s="12">
        <f t="shared" si="235"/>
        <v>0</v>
      </c>
      <c r="JX194" s="12">
        <f t="shared" si="236"/>
        <v>0</v>
      </c>
      <c r="JY194" s="12">
        <f t="shared" si="237"/>
        <v>0</v>
      </c>
      <c r="JZ194" s="12">
        <f t="shared" si="238"/>
        <v>0</v>
      </c>
      <c r="KA194" s="12">
        <f t="shared" si="239"/>
        <v>0</v>
      </c>
      <c r="KB194" s="12">
        <f t="shared" si="240"/>
        <v>0</v>
      </c>
      <c r="KC194" s="12">
        <f t="shared" si="241"/>
        <v>0</v>
      </c>
      <c r="KD194" s="12">
        <f t="shared" si="242"/>
        <v>0</v>
      </c>
      <c r="KE194" s="12">
        <f t="shared" si="243"/>
        <v>0</v>
      </c>
      <c r="KF194" s="12">
        <f t="shared" si="244"/>
        <v>0</v>
      </c>
      <c r="KG194" s="12">
        <f t="shared" si="245"/>
        <v>0</v>
      </c>
      <c r="KH194" s="12">
        <f t="shared" si="246"/>
        <v>0</v>
      </c>
      <c r="KI194" s="12">
        <f t="shared" si="247"/>
        <v>0</v>
      </c>
      <c r="KJ194" s="12">
        <f t="shared" si="248"/>
        <v>0</v>
      </c>
      <c r="KK194" s="12">
        <f t="shared" si="249"/>
        <v>0</v>
      </c>
      <c r="KL194" s="12">
        <f t="shared" si="250"/>
        <v>0</v>
      </c>
      <c r="KM194" s="12">
        <f t="shared" si="251"/>
        <v>0</v>
      </c>
      <c r="KN194" s="12">
        <f t="shared" si="252"/>
        <v>0</v>
      </c>
      <c r="KO194" s="12">
        <f t="shared" si="253"/>
        <v>0</v>
      </c>
      <c r="KP194" s="12">
        <f t="shared" si="254"/>
        <v>0</v>
      </c>
      <c r="KQ194" s="12">
        <f t="shared" si="255"/>
        <v>0</v>
      </c>
      <c r="KR194" s="12">
        <f t="shared" si="256"/>
        <v>0</v>
      </c>
      <c r="KS194" s="12">
        <f t="shared" si="257"/>
        <v>0</v>
      </c>
      <c r="KT194" s="12">
        <f t="shared" si="258"/>
        <v>0</v>
      </c>
      <c r="KU194" s="12">
        <f t="shared" si="259"/>
        <v>0</v>
      </c>
      <c r="KV194" s="12">
        <f t="shared" si="260"/>
        <v>0</v>
      </c>
      <c r="KW194" s="12">
        <f t="shared" si="261"/>
        <v>0</v>
      </c>
      <c r="KX194" s="12">
        <f t="shared" si="262"/>
        <v>0</v>
      </c>
      <c r="KY194" s="12">
        <f t="shared" si="263"/>
        <v>0</v>
      </c>
      <c r="KZ194" s="12">
        <f t="shared" si="264"/>
        <v>0</v>
      </c>
      <c r="LA194" s="12">
        <f t="shared" si="265"/>
        <v>0</v>
      </c>
      <c r="LB194" s="12">
        <f t="shared" si="266"/>
        <v>0</v>
      </c>
      <c r="LC194" s="12">
        <f t="shared" si="267"/>
        <v>0</v>
      </c>
      <c r="LD194" s="12">
        <f t="shared" si="268"/>
        <v>0</v>
      </c>
      <c r="LE194" s="12">
        <f t="shared" si="269"/>
        <v>0</v>
      </c>
      <c r="LF194" s="12">
        <f t="shared" si="270"/>
        <v>0</v>
      </c>
      <c r="LG194" s="12">
        <f t="shared" si="271"/>
        <v>0</v>
      </c>
      <c r="LH194" s="12">
        <f t="shared" si="272"/>
        <v>0</v>
      </c>
      <c r="LI194" s="12">
        <f t="shared" si="273"/>
        <v>0</v>
      </c>
      <c r="LJ194" s="12">
        <f t="shared" si="274"/>
        <v>0</v>
      </c>
      <c r="LK194" s="12">
        <f t="shared" si="275"/>
        <v>0</v>
      </c>
      <c r="LL194" s="12">
        <f t="shared" si="276"/>
        <v>0</v>
      </c>
      <c r="LM194" s="12">
        <f t="shared" si="277"/>
        <v>0</v>
      </c>
      <c r="LN194" s="12">
        <f t="shared" si="278"/>
        <v>0</v>
      </c>
      <c r="LO194" s="12">
        <f t="shared" si="279"/>
        <v>0</v>
      </c>
      <c r="LP194" s="12">
        <f t="shared" si="280"/>
        <v>0</v>
      </c>
      <c r="LQ194" s="12">
        <f t="shared" si="281"/>
        <v>0</v>
      </c>
      <c r="LR194" s="12">
        <f t="shared" si="282"/>
        <v>0</v>
      </c>
      <c r="LS194" s="12">
        <f t="shared" si="283"/>
        <v>0</v>
      </c>
      <c r="LT194" s="13">
        <f t="shared" si="284"/>
        <v>0</v>
      </c>
      <c r="LU194" s="13">
        <f t="shared" si="285"/>
        <v>0</v>
      </c>
      <c r="LV194" s="13">
        <f t="shared" si="286"/>
        <v>0</v>
      </c>
      <c r="LW194" s="13">
        <f t="shared" si="287"/>
        <v>0</v>
      </c>
      <c r="LX194" s="13">
        <f t="shared" si="288"/>
        <v>0</v>
      </c>
      <c r="LY194" s="13">
        <f t="shared" si="289"/>
        <v>0</v>
      </c>
      <c r="LZ194" s="13">
        <f t="shared" si="290"/>
        <v>0</v>
      </c>
      <c r="MA194" s="13">
        <f t="shared" si="291"/>
        <v>0</v>
      </c>
      <c r="MB194" s="13">
        <f t="shared" si="292"/>
        <v>0</v>
      </c>
      <c r="MC194" s="13">
        <f t="shared" si="293"/>
        <v>0</v>
      </c>
      <c r="MD194" s="13">
        <f t="shared" si="294"/>
        <v>0</v>
      </c>
      <c r="ME194" s="13">
        <f t="shared" si="295"/>
        <v>0</v>
      </c>
      <c r="MF194" s="13">
        <f t="shared" si="296"/>
        <v>0</v>
      </c>
      <c r="MG194" s="13">
        <f t="shared" si="297"/>
        <v>0</v>
      </c>
      <c r="MH194" s="13">
        <f t="shared" si="298"/>
        <v>0</v>
      </c>
      <c r="MI194" s="13">
        <f t="shared" si="299"/>
        <v>0</v>
      </c>
      <c r="MJ194" s="13">
        <f t="shared" si="300"/>
        <v>0</v>
      </c>
      <c r="MK194" s="13">
        <f t="shared" si="301"/>
        <v>0</v>
      </c>
      <c r="ML194" s="14">
        <f t="shared" si="302"/>
        <v>0</v>
      </c>
      <c r="MM194" s="14">
        <f t="shared" si="303"/>
        <v>0</v>
      </c>
      <c r="MN194" s="14">
        <f t="shared" si="304"/>
        <v>0</v>
      </c>
      <c r="MO194" s="14">
        <f t="shared" si="305"/>
        <v>0</v>
      </c>
      <c r="MP194" s="14">
        <f t="shared" si="306"/>
        <v>0</v>
      </c>
      <c r="MQ194" s="14">
        <f t="shared" si="307"/>
        <v>0</v>
      </c>
      <c r="MR194" s="14">
        <f t="shared" si="308"/>
        <v>0</v>
      </c>
      <c r="MS194" s="14">
        <f t="shared" si="309"/>
        <v>0</v>
      </c>
      <c r="MT194" s="14">
        <f t="shared" si="310"/>
        <v>0</v>
      </c>
      <c r="MU194" s="14">
        <f t="shared" si="311"/>
        <v>0</v>
      </c>
      <c r="MV194" s="14">
        <f t="shared" si="312"/>
        <v>0</v>
      </c>
      <c r="MW194" s="14">
        <f t="shared" si="313"/>
        <v>0</v>
      </c>
      <c r="MX194" s="14">
        <f t="shared" si="314"/>
        <v>0</v>
      </c>
      <c r="MY194" s="14">
        <f t="shared" si="315"/>
        <v>0</v>
      </c>
      <c r="MZ194" s="14">
        <f t="shared" si="316"/>
        <v>0</v>
      </c>
      <c r="NA194" s="14">
        <f t="shared" si="317"/>
        <v>0</v>
      </c>
      <c r="NB194" s="14">
        <f t="shared" si="318"/>
        <v>0</v>
      </c>
    </row>
    <row r="195" ht="15.75" customHeight="1">
      <c r="A195" s="2">
        <v>511.0</v>
      </c>
      <c r="B195" s="2" t="s">
        <v>3616</v>
      </c>
      <c r="C195" s="2" t="s">
        <v>3617</v>
      </c>
      <c r="D195" s="2" t="s">
        <v>3618</v>
      </c>
      <c r="E195" s="2">
        <v>2023.0</v>
      </c>
      <c r="F195" s="2" t="s">
        <v>1125</v>
      </c>
      <c r="G195" s="2">
        <v>13.0</v>
      </c>
      <c r="I195" s="2" t="s">
        <v>3619</v>
      </c>
      <c r="M195" s="2">
        <v>1.0</v>
      </c>
      <c r="N195" s="2" t="s">
        <v>3620</v>
      </c>
      <c r="O195" s="2" t="s">
        <v>3621</v>
      </c>
      <c r="P195" s="2" t="s">
        <v>3622</v>
      </c>
      <c r="Q195" s="2" t="s">
        <v>3623</v>
      </c>
      <c r="R195" s="2" t="s">
        <v>3624</v>
      </c>
      <c r="S195" s="2" t="s">
        <v>3625</v>
      </c>
      <c r="Y195" s="2" t="s">
        <v>3626</v>
      </c>
      <c r="AB195" s="2" t="s">
        <v>1039</v>
      </c>
      <c r="AG195" s="2" t="s">
        <v>1134</v>
      </c>
      <c r="AK195" s="2" t="s">
        <v>1135</v>
      </c>
      <c r="AL195" s="2" t="s">
        <v>384</v>
      </c>
      <c r="AM195" s="2" t="s">
        <v>484</v>
      </c>
      <c r="AN195" s="2" t="s">
        <v>386</v>
      </c>
      <c r="AO195" s="2" t="s">
        <v>3627</v>
      </c>
      <c r="AP195" s="2" t="s">
        <v>386</v>
      </c>
      <c r="AQ195" s="2">
        <v>1976.0</v>
      </c>
      <c r="AR195" s="2" t="s">
        <v>3628</v>
      </c>
      <c r="AS195" s="2" t="b">
        <v>1</v>
      </c>
      <c r="AT195" s="3">
        <v>0.0</v>
      </c>
      <c r="AU195" s="4"/>
      <c r="AV195" s="4">
        <v>1.0</v>
      </c>
      <c r="AW195" s="5">
        <f t="shared" si="432"/>
        <v>0</v>
      </c>
      <c r="AX195" s="5">
        <f t="shared" si="4"/>
        <v>0</v>
      </c>
      <c r="AY195" s="5">
        <f t="shared" si="5"/>
        <v>0</v>
      </c>
      <c r="AZ195" s="5">
        <f t="shared" si="6"/>
        <v>0</v>
      </c>
      <c r="BA195" s="5">
        <f t="shared" si="7"/>
        <v>0</v>
      </c>
      <c r="BB195" s="5">
        <f t="shared" si="8"/>
        <v>0</v>
      </c>
      <c r="BC195" s="5">
        <f t="shared" si="9"/>
        <v>0</v>
      </c>
      <c r="BD195" s="5">
        <f t="shared" si="10"/>
        <v>0</v>
      </c>
      <c r="BE195" s="5">
        <f t="shared" si="11"/>
        <v>0</v>
      </c>
      <c r="BF195" s="5">
        <f t="shared" si="12"/>
        <v>0</v>
      </c>
      <c r="BG195" s="5">
        <f t="shared" si="13"/>
        <v>0</v>
      </c>
      <c r="BH195" s="5">
        <f t="shared" si="14"/>
        <v>0</v>
      </c>
      <c r="BI195" s="5">
        <f t="shared" si="15"/>
        <v>0</v>
      </c>
      <c r="BJ195" s="5">
        <f t="shared" si="16"/>
        <v>0</v>
      </c>
      <c r="BK195" s="5">
        <f t="shared" si="17"/>
        <v>0</v>
      </c>
      <c r="BL195" s="5">
        <f t="shared" si="18"/>
        <v>0</v>
      </c>
      <c r="BM195" s="5">
        <f t="shared" si="19"/>
        <v>0</v>
      </c>
      <c r="BN195" s="5">
        <f t="shared" si="20"/>
        <v>0</v>
      </c>
      <c r="BO195" s="5">
        <f t="shared" si="21"/>
        <v>0</v>
      </c>
      <c r="BP195" s="5">
        <f t="shared" si="22"/>
        <v>0</v>
      </c>
      <c r="BQ195" s="5">
        <f t="shared" si="23"/>
        <v>0</v>
      </c>
      <c r="BR195" s="5">
        <f t="shared" si="24"/>
        <v>0</v>
      </c>
      <c r="BS195" s="5">
        <f t="shared" si="25"/>
        <v>0</v>
      </c>
      <c r="BT195" s="5">
        <f t="shared" si="26"/>
        <v>0</v>
      </c>
      <c r="BU195" s="5">
        <f t="shared" si="27"/>
        <v>0</v>
      </c>
      <c r="BV195" s="5">
        <f t="shared" ref="BV195:BW195" si="746">IF(OR(ISNUMBER(SEARCH("grit",$D195)),ISNUMBER(SEARCH("grit",$T195)),ISNUMBER(SEARCH("grit",$R195)),ISNUMBER(SEARCH("grit",$S195)),
ISNUMBER(SEARCH("determination",$D195)),ISNUMBER(SEARCH("determination",$T195)),ISNUMBER(SEARCH("determination",$R195)),ISNUMBER(SEARCH("determination",$S195)),
ISNUMBER(SEARCH("tenacity",$D195)),ISNUMBER(SEARCH("tenacity",$T195)),ISNUMBER(SEARCH("tenacity",$R195)),ISNUMBER(SEARCH("tenacity",$S195)),
ISNUMBER(SEARCH("endurance",$D195)),ISNUMBER(SEARCH("endurance",$T195)),ISNUMBER(SEARCH("endurance",$R195)),ISNUMBER(SEARCH("endurance",$S195)),
ISNUMBER(SEARCH("fortitude",$D195)),ISNUMBER(SEARCH("fortitude",$T195)),ISNUMBER(SEARCH("fortitude",$R195)),ISNUMBER(SEARCH("fortitude",$S195)),
ISNUMBER(SEARCH("resolve",$D195)),ISNUMBER(SEARCH("resolve",$T195)),ISNUMBER(SEARCH("resolve",$R195)),ISNUMBER(SEARCH("resolve",$S195)),
ISNUMBER(SEARCH("stamina",$D195)),ISNUMBER(SEARCH("stamina",$T195)),ISNUMBER(SEARCH("stamina",$R195)),ISNUMBER(SEARCH("stamina",$S195)),
ISNUMBER(SEARCH("guts",$D195)),ISNUMBER(SEARCH("guts",$T195)),ISNUMBER(SEARCH("guts",$R195)),ISNUMBER(SEARCH("guts",$S195)),
ISNUMBER(SEARCH("spunk",$D195)),ISNUMBER(SEARCH("spunk",$T195)),ISNUMBER(SEARCH("spunk",$R195)),ISNUMBER(SEARCH("spunk",$S195))), 1, 0)</f>
        <v>0</v>
      </c>
      <c r="BW195" s="5">
        <f t="shared" si="746"/>
        <v>0</v>
      </c>
      <c r="BX195" s="5">
        <f t="shared" si="29"/>
        <v>0</v>
      </c>
      <c r="BY195" s="5">
        <f t="shared" si="30"/>
        <v>0</v>
      </c>
      <c r="BZ195" s="5">
        <f t="shared" si="31"/>
        <v>0</v>
      </c>
      <c r="CA195" s="5">
        <f t="shared" si="32"/>
        <v>0</v>
      </c>
      <c r="CB195" s="5">
        <f t="shared" si="33"/>
        <v>0</v>
      </c>
      <c r="CC195" s="5">
        <f t="shared" si="34"/>
        <v>0</v>
      </c>
      <c r="CD195" s="5">
        <f t="shared" si="35"/>
        <v>1</v>
      </c>
      <c r="CE195" s="5">
        <f t="shared" si="36"/>
        <v>1</v>
      </c>
      <c r="CF195" s="5">
        <f t="shared" si="37"/>
        <v>0</v>
      </c>
      <c r="CG195" s="5">
        <f t="shared" si="38"/>
        <v>0</v>
      </c>
      <c r="CH195" s="5">
        <f t="shared" si="39"/>
        <v>0</v>
      </c>
      <c r="CI195" s="5">
        <f t="shared" si="40"/>
        <v>0</v>
      </c>
      <c r="CJ195" s="5">
        <f t="shared" si="41"/>
        <v>0</v>
      </c>
      <c r="CK195" s="5">
        <f t="shared" si="42"/>
        <v>1</v>
      </c>
      <c r="CL195" s="5">
        <f t="shared" si="43"/>
        <v>0</v>
      </c>
      <c r="CM195" s="5">
        <f t="shared" si="44"/>
        <v>0</v>
      </c>
      <c r="CN195" s="5">
        <f t="shared" si="45"/>
        <v>0</v>
      </c>
      <c r="CO195" s="5">
        <f t="shared" si="46"/>
        <v>0</v>
      </c>
      <c r="CP195" s="6">
        <f t="shared" si="47"/>
        <v>0</v>
      </c>
      <c r="CQ195" s="6">
        <f t="shared" si="48"/>
        <v>0</v>
      </c>
      <c r="CR195" s="6">
        <f t="shared" si="49"/>
        <v>0</v>
      </c>
      <c r="CS195" s="6">
        <f t="shared" si="50"/>
        <v>0</v>
      </c>
      <c r="CT195" s="6">
        <f t="shared" si="584"/>
        <v>0</v>
      </c>
      <c r="CU195" s="6">
        <f t="shared" si="52"/>
        <v>0</v>
      </c>
      <c r="CV195" s="6">
        <f t="shared" si="53"/>
        <v>0</v>
      </c>
      <c r="CW195" s="6">
        <f t="shared" si="54"/>
        <v>0</v>
      </c>
      <c r="CX195" s="6">
        <f t="shared" si="55"/>
        <v>0</v>
      </c>
      <c r="CY195" s="6">
        <f t="shared" si="56"/>
        <v>0</v>
      </c>
      <c r="CZ195" s="6">
        <f t="shared" si="57"/>
        <v>0</v>
      </c>
      <c r="DA195" s="6">
        <f t="shared" si="58"/>
        <v>0</v>
      </c>
      <c r="DB195" s="6">
        <f t="shared" si="59"/>
        <v>0</v>
      </c>
      <c r="DC195" s="6">
        <f t="shared" si="60"/>
        <v>0</v>
      </c>
      <c r="DD195" s="6">
        <f t="shared" si="61"/>
        <v>0</v>
      </c>
      <c r="DE195" s="6">
        <f t="shared" si="62"/>
        <v>0</v>
      </c>
      <c r="DF195" s="6">
        <f t="shared" si="63"/>
        <v>0</v>
      </c>
      <c r="DG195" s="6">
        <f t="shared" si="64"/>
        <v>0</v>
      </c>
      <c r="DH195" s="6">
        <f t="shared" si="697"/>
        <v>0</v>
      </c>
      <c r="DI195" s="6">
        <f t="shared" si="66"/>
        <v>0</v>
      </c>
      <c r="DJ195" s="6">
        <f t="shared" si="653"/>
        <v>0</v>
      </c>
      <c r="DK195" s="7">
        <f t="shared" si="68"/>
        <v>0</v>
      </c>
      <c r="DL195" s="7">
        <f t="shared" si="498"/>
        <v>0</v>
      </c>
      <c r="DM195" s="7">
        <f t="shared" si="70"/>
        <v>0</v>
      </c>
      <c r="DN195" s="7">
        <f t="shared" si="71"/>
        <v>0</v>
      </c>
      <c r="DO195" s="7">
        <f t="shared" si="72"/>
        <v>0</v>
      </c>
      <c r="DP195" s="8">
        <f t="shared" si="73"/>
        <v>0</v>
      </c>
      <c r="DQ195" s="8">
        <f t="shared" si="74"/>
        <v>0</v>
      </c>
      <c r="DR195" s="7">
        <f t="shared" si="75"/>
        <v>0</v>
      </c>
      <c r="DS195" s="7">
        <f t="shared" si="76"/>
        <v>0</v>
      </c>
      <c r="DT195" s="7">
        <f t="shared" si="77"/>
        <v>0</v>
      </c>
      <c r="DU195" s="9">
        <f t="shared" si="78"/>
        <v>0</v>
      </c>
      <c r="DV195" s="9">
        <f t="shared" si="79"/>
        <v>0</v>
      </c>
      <c r="DW195" s="9">
        <f t="shared" si="80"/>
        <v>0</v>
      </c>
      <c r="DX195" s="9">
        <f t="shared" si="81"/>
        <v>0</v>
      </c>
      <c r="DY195" s="9">
        <f t="shared" si="82"/>
        <v>0</v>
      </c>
      <c r="DZ195" s="9">
        <f t="shared" si="83"/>
        <v>0</v>
      </c>
      <c r="EA195" s="9">
        <f t="shared" si="84"/>
        <v>0</v>
      </c>
      <c r="EB195" s="9">
        <f t="shared" si="85"/>
        <v>0</v>
      </c>
      <c r="EC195" s="9">
        <f t="shared" si="86"/>
        <v>0</v>
      </c>
      <c r="ED195" s="9">
        <f t="shared" si="87"/>
        <v>0</v>
      </c>
      <c r="EE195" s="9">
        <f t="shared" si="88"/>
        <v>0</v>
      </c>
      <c r="EF195" s="9">
        <f t="shared" si="89"/>
        <v>0</v>
      </c>
      <c r="EG195" s="9">
        <f t="shared" si="90"/>
        <v>0</v>
      </c>
      <c r="EH195" s="9">
        <f t="shared" si="91"/>
        <v>0</v>
      </c>
      <c r="EI195" s="9">
        <f t="shared" si="92"/>
        <v>0</v>
      </c>
      <c r="EJ195" s="10">
        <f t="shared" si="93"/>
        <v>1</v>
      </c>
      <c r="EK195" s="10">
        <f t="shared" si="94"/>
        <v>0</v>
      </c>
      <c r="EL195" s="10">
        <f t="shared" ref="EL195:EM195" si="747">IF(OR(ISNUMBER(SEARCH("ai software toolkit", $D195)), ISNUMBER(SEARCH("ai software toolkit", $T195)), ISNUMBER(SEARCH("ai software toolkit", $R195)), ISNUMBER(SEARCH("ai software toolkit", $S195))), 1, 0)</f>
        <v>0</v>
      </c>
      <c r="EM195" s="10">
        <f t="shared" si="747"/>
        <v>0</v>
      </c>
      <c r="EN195" s="10">
        <f t="shared" si="96"/>
        <v>0</v>
      </c>
      <c r="EO195" s="10">
        <f t="shared" si="97"/>
        <v>1</v>
      </c>
      <c r="EP195" s="10">
        <f t="shared" si="98"/>
        <v>0</v>
      </c>
      <c r="EQ195" s="10">
        <f t="shared" si="99"/>
        <v>0</v>
      </c>
      <c r="ER195" s="10">
        <f t="shared" si="100"/>
        <v>0</v>
      </c>
      <c r="ES195" s="10">
        <f t="shared" si="101"/>
        <v>0</v>
      </c>
      <c r="ET195" s="10">
        <f t="shared" si="102"/>
        <v>0</v>
      </c>
      <c r="EU195" s="10">
        <f t="shared" si="103"/>
        <v>0</v>
      </c>
      <c r="EV195" s="10">
        <f t="shared" si="104"/>
        <v>0</v>
      </c>
      <c r="EW195" s="10">
        <f t="shared" si="105"/>
        <v>0</v>
      </c>
      <c r="EX195" s="10">
        <f t="shared" si="106"/>
        <v>0</v>
      </c>
      <c r="EY195" s="10">
        <f t="shared" si="107"/>
        <v>0</v>
      </c>
      <c r="EZ195" s="10">
        <f t="shared" si="108"/>
        <v>0</v>
      </c>
      <c r="FA195" s="10">
        <f t="shared" si="109"/>
        <v>0</v>
      </c>
      <c r="FB195" s="10">
        <f t="shared" si="110"/>
        <v>0</v>
      </c>
      <c r="FC195" s="10">
        <f t="shared" si="111"/>
        <v>0</v>
      </c>
      <c r="FD195" s="10">
        <f t="shared" si="112"/>
        <v>0</v>
      </c>
      <c r="FE195" s="10">
        <f t="shared" si="113"/>
        <v>0</v>
      </c>
      <c r="FF195" s="10">
        <f t="shared" si="114"/>
        <v>0</v>
      </c>
      <c r="FG195" s="10">
        <f t="shared" si="115"/>
        <v>0</v>
      </c>
      <c r="FH195" s="10">
        <f t="shared" si="116"/>
        <v>0</v>
      </c>
      <c r="FI195" s="10">
        <f t="shared" si="117"/>
        <v>0</v>
      </c>
      <c r="FJ195" s="10">
        <f t="shared" si="118"/>
        <v>0</v>
      </c>
      <c r="FK195" s="10">
        <f t="shared" si="119"/>
        <v>0</v>
      </c>
      <c r="FL195" s="10">
        <f t="shared" si="120"/>
        <v>0</v>
      </c>
      <c r="FM195" s="10">
        <f t="shared" si="121"/>
        <v>0</v>
      </c>
      <c r="FN195" s="10">
        <f t="shared" si="122"/>
        <v>0</v>
      </c>
      <c r="FO195" s="10">
        <f t="shared" si="123"/>
        <v>0</v>
      </c>
      <c r="FP195" s="10">
        <f t="shared" si="124"/>
        <v>0</v>
      </c>
      <c r="FQ195" s="10">
        <f t="shared" si="125"/>
        <v>0</v>
      </c>
      <c r="FR195" s="11">
        <f t="shared" si="709"/>
        <v>0</v>
      </c>
      <c r="FS195" s="11">
        <f t="shared" si="127"/>
        <v>0</v>
      </c>
      <c r="FT195" s="11">
        <f t="shared" si="128"/>
        <v>0</v>
      </c>
      <c r="FU195" s="11">
        <f t="shared" si="129"/>
        <v>0</v>
      </c>
      <c r="FV195" s="11">
        <f t="shared" si="130"/>
        <v>0</v>
      </c>
      <c r="FW195" s="11">
        <f t="shared" si="131"/>
        <v>0</v>
      </c>
      <c r="FX195" s="11">
        <f t="shared" si="132"/>
        <v>0</v>
      </c>
      <c r="FY195" s="11">
        <f t="shared" si="133"/>
        <v>0</v>
      </c>
      <c r="FZ195" s="11">
        <f t="shared" si="134"/>
        <v>0</v>
      </c>
      <c r="GA195" s="11">
        <f t="shared" si="135"/>
        <v>0</v>
      </c>
      <c r="GB195" s="11">
        <f t="shared" si="136"/>
        <v>0</v>
      </c>
      <c r="GC195" s="11">
        <f t="shared" si="137"/>
        <v>0</v>
      </c>
      <c r="GD195" s="11">
        <f t="shared" si="138"/>
        <v>0</v>
      </c>
      <c r="GE195" s="11">
        <f t="shared" si="139"/>
        <v>0</v>
      </c>
      <c r="GF195" s="11">
        <f t="shared" si="140"/>
        <v>0</v>
      </c>
      <c r="GG195" s="11">
        <f t="shared" si="141"/>
        <v>0</v>
      </c>
      <c r="GH195" s="11">
        <f t="shared" si="142"/>
        <v>0</v>
      </c>
      <c r="GI195" s="11">
        <f t="shared" si="143"/>
        <v>0</v>
      </c>
      <c r="GJ195" s="11">
        <f t="shared" si="144"/>
        <v>0</v>
      </c>
      <c r="GK195" s="11">
        <f t="shared" si="145"/>
        <v>0</v>
      </c>
      <c r="GL195" s="11">
        <f t="shared" si="146"/>
        <v>0</v>
      </c>
      <c r="GM195" s="11">
        <f t="shared" si="147"/>
        <v>0</v>
      </c>
      <c r="GN195" s="11">
        <f t="shared" si="148"/>
        <v>0</v>
      </c>
      <c r="GO195" s="11">
        <f t="shared" si="149"/>
        <v>0</v>
      </c>
      <c r="GP195" s="11">
        <f t="shared" si="150"/>
        <v>0</v>
      </c>
      <c r="GQ195" s="11">
        <f t="shared" si="151"/>
        <v>0</v>
      </c>
      <c r="GR195" s="11">
        <f t="shared" si="152"/>
        <v>0</v>
      </c>
      <c r="GS195" s="11">
        <f t="shared" si="153"/>
        <v>0</v>
      </c>
      <c r="GT195" s="11">
        <f t="shared" si="154"/>
        <v>0</v>
      </c>
      <c r="GU195" s="12">
        <f t="shared" si="155"/>
        <v>0</v>
      </c>
      <c r="GV195" s="12">
        <f t="shared" si="156"/>
        <v>0</v>
      </c>
      <c r="GW195" s="12">
        <f t="shared" si="157"/>
        <v>0</v>
      </c>
      <c r="GX195" s="12">
        <f t="shared" si="158"/>
        <v>0</v>
      </c>
      <c r="GY195" s="12">
        <f t="shared" si="159"/>
        <v>0</v>
      </c>
      <c r="GZ195" s="12">
        <f t="shared" si="160"/>
        <v>0</v>
      </c>
      <c r="HA195" s="12">
        <f t="shared" si="161"/>
        <v>0</v>
      </c>
      <c r="HB195" s="12">
        <f t="shared" si="162"/>
        <v>0</v>
      </c>
      <c r="HC195" s="12">
        <f t="shared" si="163"/>
        <v>0</v>
      </c>
      <c r="HD195" s="12">
        <f t="shared" si="164"/>
        <v>0</v>
      </c>
      <c r="HE195" s="12">
        <f t="shared" si="165"/>
        <v>0</v>
      </c>
      <c r="HF195" s="12">
        <f t="shared" si="166"/>
        <v>0</v>
      </c>
      <c r="HG195" s="12">
        <f t="shared" si="167"/>
        <v>0</v>
      </c>
      <c r="HH195" s="12">
        <f t="shared" si="168"/>
        <v>0</v>
      </c>
      <c r="HI195" s="12">
        <f t="shared" si="169"/>
        <v>0</v>
      </c>
      <c r="HJ195" s="12">
        <f t="shared" si="170"/>
        <v>0</v>
      </c>
      <c r="HK195" s="12">
        <f t="shared" si="171"/>
        <v>0</v>
      </c>
      <c r="HL195" s="12">
        <f t="shared" si="172"/>
        <v>0</v>
      </c>
      <c r="HM195" s="12">
        <f t="shared" si="173"/>
        <v>0</v>
      </c>
      <c r="HN195" s="12">
        <f t="shared" si="174"/>
        <v>0</v>
      </c>
      <c r="HO195" s="12">
        <f t="shared" si="175"/>
        <v>0</v>
      </c>
      <c r="HP195" s="12">
        <f t="shared" si="176"/>
        <v>0</v>
      </c>
      <c r="HQ195" s="12">
        <f t="shared" si="177"/>
        <v>0</v>
      </c>
      <c r="HR195" s="12">
        <f t="shared" si="178"/>
        <v>0</v>
      </c>
      <c r="HS195" s="12">
        <f t="shared" si="179"/>
        <v>0</v>
      </c>
      <c r="HT195" s="12">
        <f t="shared" si="180"/>
        <v>0</v>
      </c>
      <c r="HU195" s="12">
        <f t="shared" si="181"/>
        <v>0</v>
      </c>
      <c r="HV195" s="12">
        <f t="shared" si="182"/>
        <v>0</v>
      </c>
      <c r="HW195" s="12">
        <f t="shared" si="183"/>
        <v>0</v>
      </c>
      <c r="HX195" s="12">
        <f t="shared" si="184"/>
        <v>0</v>
      </c>
      <c r="HY195" s="12">
        <f t="shared" si="185"/>
        <v>0</v>
      </c>
      <c r="HZ195" s="12">
        <f t="shared" si="186"/>
        <v>0</v>
      </c>
      <c r="IA195" s="12">
        <f t="shared" si="187"/>
        <v>0</v>
      </c>
      <c r="IB195" s="12">
        <f t="shared" si="188"/>
        <v>0</v>
      </c>
      <c r="IC195" s="12">
        <f t="shared" si="189"/>
        <v>0</v>
      </c>
      <c r="ID195" s="12">
        <f t="shared" si="190"/>
        <v>0</v>
      </c>
      <c r="IE195" s="12">
        <f t="shared" si="191"/>
        <v>0</v>
      </c>
      <c r="IF195" s="12">
        <f t="shared" si="192"/>
        <v>0</v>
      </c>
      <c r="IG195" s="12">
        <f t="shared" si="193"/>
        <v>0</v>
      </c>
      <c r="IH195" s="12">
        <f t="shared" si="194"/>
        <v>0</v>
      </c>
      <c r="II195" s="12">
        <f t="shared" si="195"/>
        <v>0</v>
      </c>
      <c r="IJ195" s="12">
        <f t="shared" si="196"/>
        <v>0</v>
      </c>
      <c r="IK195" s="12">
        <f t="shared" si="197"/>
        <v>0</v>
      </c>
      <c r="IL195" s="12">
        <f t="shared" si="198"/>
        <v>0</v>
      </c>
      <c r="IM195" s="12">
        <f t="shared" si="199"/>
        <v>0</v>
      </c>
      <c r="IN195" s="12">
        <f t="shared" si="200"/>
        <v>0</v>
      </c>
      <c r="IO195" s="12">
        <f t="shared" si="201"/>
        <v>0</v>
      </c>
      <c r="IP195" s="12">
        <f t="shared" si="202"/>
        <v>0</v>
      </c>
      <c r="IQ195" s="12">
        <f t="shared" si="203"/>
        <v>0</v>
      </c>
      <c r="IR195" s="12">
        <f t="shared" si="204"/>
        <v>0</v>
      </c>
      <c r="IS195" s="12">
        <f t="shared" si="205"/>
        <v>0</v>
      </c>
      <c r="IT195" s="12">
        <f t="shared" si="206"/>
        <v>0</v>
      </c>
      <c r="IU195" s="12">
        <f t="shared" si="207"/>
        <v>0</v>
      </c>
      <c r="IV195" s="12">
        <f t="shared" si="208"/>
        <v>0</v>
      </c>
      <c r="IW195" s="12">
        <f t="shared" si="209"/>
        <v>0</v>
      </c>
      <c r="IX195" s="12">
        <f t="shared" si="210"/>
        <v>0</v>
      </c>
      <c r="IY195" s="12">
        <f t="shared" si="211"/>
        <v>0</v>
      </c>
      <c r="IZ195" s="12">
        <f t="shared" si="212"/>
        <v>1</v>
      </c>
      <c r="JA195" s="13">
        <f t="shared" si="213"/>
        <v>0</v>
      </c>
      <c r="JB195" s="13">
        <f t="shared" si="214"/>
        <v>0</v>
      </c>
      <c r="JC195" s="13">
        <f t="shared" si="215"/>
        <v>0</v>
      </c>
      <c r="JD195" s="13">
        <f t="shared" si="216"/>
        <v>0</v>
      </c>
      <c r="JE195" s="13">
        <f t="shared" si="217"/>
        <v>0</v>
      </c>
      <c r="JF195" s="13">
        <f t="shared" si="218"/>
        <v>0</v>
      </c>
      <c r="JG195" s="13">
        <f t="shared" si="219"/>
        <v>0</v>
      </c>
      <c r="JH195" s="13">
        <f t="shared" si="220"/>
        <v>0</v>
      </c>
      <c r="JI195" s="13">
        <f t="shared" si="221"/>
        <v>0</v>
      </c>
      <c r="JJ195" s="13">
        <f t="shared" si="222"/>
        <v>0</v>
      </c>
      <c r="JK195" s="13">
        <f t="shared" si="223"/>
        <v>0</v>
      </c>
      <c r="JL195" s="13">
        <f t="shared" si="224"/>
        <v>0</v>
      </c>
      <c r="JM195" s="13">
        <f t="shared" si="225"/>
        <v>0</v>
      </c>
      <c r="JN195" s="13">
        <f t="shared" si="226"/>
        <v>0</v>
      </c>
      <c r="JO195" s="13">
        <f t="shared" si="227"/>
        <v>0</v>
      </c>
      <c r="JP195" s="13">
        <f t="shared" si="228"/>
        <v>0</v>
      </c>
      <c r="JQ195" s="13">
        <f t="shared" si="229"/>
        <v>0</v>
      </c>
      <c r="JR195" s="13">
        <f t="shared" si="230"/>
        <v>0</v>
      </c>
      <c r="JS195" s="13">
        <f t="shared" si="231"/>
        <v>0</v>
      </c>
      <c r="JT195" s="13">
        <f t="shared" si="232"/>
        <v>0</v>
      </c>
      <c r="JU195" s="13">
        <f t="shared" si="233"/>
        <v>0</v>
      </c>
      <c r="JV195" s="12">
        <f t="shared" si="234"/>
        <v>0</v>
      </c>
      <c r="JW195" s="12">
        <f t="shared" si="235"/>
        <v>0</v>
      </c>
      <c r="JX195" s="12">
        <f t="shared" si="236"/>
        <v>0</v>
      </c>
      <c r="JY195" s="12">
        <f t="shared" si="237"/>
        <v>0</v>
      </c>
      <c r="JZ195" s="12">
        <f t="shared" si="238"/>
        <v>0</v>
      </c>
      <c r="KA195" s="12">
        <f t="shared" si="239"/>
        <v>0</v>
      </c>
      <c r="KB195" s="12">
        <f t="shared" si="240"/>
        <v>0</v>
      </c>
      <c r="KC195" s="12">
        <f t="shared" si="241"/>
        <v>0</v>
      </c>
      <c r="KD195" s="12">
        <f t="shared" si="242"/>
        <v>0</v>
      </c>
      <c r="KE195" s="12">
        <f t="shared" si="243"/>
        <v>0</v>
      </c>
      <c r="KF195" s="12">
        <f t="shared" si="244"/>
        <v>0</v>
      </c>
      <c r="KG195" s="12">
        <f t="shared" si="245"/>
        <v>0</v>
      </c>
      <c r="KH195" s="12">
        <f t="shared" si="246"/>
        <v>0</v>
      </c>
      <c r="KI195" s="12">
        <f t="shared" si="247"/>
        <v>0</v>
      </c>
      <c r="KJ195" s="12">
        <f t="shared" si="248"/>
        <v>0</v>
      </c>
      <c r="KK195" s="12">
        <f t="shared" si="249"/>
        <v>0</v>
      </c>
      <c r="KL195" s="12">
        <f t="shared" si="250"/>
        <v>0</v>
      </c>
      <c r="KM195" s="12">
        <f t="shared" si="251"/>
        <v>0</v>
      </c>
      <c r="KN195" s="12">
        <f t="shared" si="252"/>
        <v>0</v>
      </c>
      <c r="KO195" s="12">
        <f t="shared" si="253"/>
        <v>0</v>
      </c>
      <c r="KP195" s="12">
        <f t="shared" si="254"/>
        <v>0</v>
      </c>
      <c r="KQ195" s="12">
        <f t="shared" si="255"/>
        <v>0</v>
      </c>
      <c r="KR195" s="12">
        <f t="shared" si="256"/>
        <v>0</v>
      </c>
      <c r="KS195" s="12">
        <f t="shared" si="257"/>
        <v>0</v>
      </c>
      <c r="KT195" s="12">
        <f t="shared" si="258"/>
        <v>0</v>
      </c>
      <c r="KU195" s="12">
        <f t="shared" si="259"/>
        <v>0</v>
      </c>
      <c r="KV195" s="12">
        <f t="shared" si="260"/>
        <v>0</v>
      </c>
      <c r="KW195" s="12">
        <f t="shared" si="261"/>
        <v>0</v>
      </c>
      <c r="KX195" s="12">
        <f t="shared" si="262"/>
        <v>0</v>
      </c>
      <c r="KY195" s="12">
        <f t="shared" si="263"/>
        <v>0</v>
      </c>
      <c r="KZ195" s="12">
        <f t="shared" si="264"/>
        <v>0</v>
      </c>
      <c r="LA195" s="12">
        <f t="shared" si="265"/>
        <v>0</v>
      </c>
      <c r="LB195" s="12">
        <f t="shared" si="266"/>
        <v>0</v>
      </c>
      <c r="LC195" s="12">
        <f t="shared" si="267"/>
        <v>0</v>
      </c>
      <c r="LD195" s="12">
        <f t="shared" si="268"/>
        <v>0</v>
      </c>
      <c r="LE195" s="12">
        <f t="shared" si="269"/>
        <v>0</v>
      </c>
      <c r="LF195" s="12">
        <f t="shared" si="270"/>
        <v>0</v>
      </c>
      <c r="LG195" s="12">
        <f t="shared" si="271"/>
        <v>0</v>
      </c>
      <c r="LH195" s="12">
        <f t="shared" si="272"/>
        <v>0</v>
      </c>
      <c r="LI195" s="12">
        <f t="shared" si="273"/>
        <v>0</v>
      </c>
      <c r="LJ195" s="12">
        <f t="shared" si="274"/>
        <v>0</v>
      </c>
      <c r="LK195" s="12">
        <f t="shared" si="275"/>
        <v>0</v>
      </c>
      <c r="LL195" s="12">
        <f t="shared" si="276"/>
        <v>0</v>
      </c>
      <c r="LM195" s="12">
        <f t="shared" si="277"/>
        <v>0</v>
      </c>
      <c r="LN195" s="12">
        <f t="shared" si="278"/>
        <v>0</v>
      </c>
      <c r="LO195" s="12">
        <f t="shared" si="279"/>
        <v>0</v>
      </c>
      <c r="LP195" s="12">
        <f t="shared" si="280"/>
        <v>0</v>
      </c>
      <c r="LQ195" s="12">
        <f t="shared" si="281"/>
        <v>0</v>
      </c>
      <c r="LR195" s="12">
        <f t="shared" si="282"/>
        <v>0</v>
      </c>
      <c r="LS195" s="12">
        <f t="shared" si="283"/>
        <v>0</v>
      </c>
      <c r="LT195" s="13">
        <f t="shared" si="284"/>
        <v>0</v>
      </c>
      <c r="LU195" s="13">
        <f t="shared" si="285"/>
        <v>0</v>
      </c>
      <c r="LV195" s="13">
        <f t="shared" si="286"/>
        <v>0</v>
      </c>
      <c r="LW195" s="13">
        <f t="shared" si="287"/>
        <v>0</v>
      </c>
      <c r="LX195" s="13">
        <f t="shared" si="288"/>
        <v>0</v>
      </c>
      <c r="LY195" s="13">
        <f t="shared" si="289"/>
        <v>0</v>
      </c>
      <c r="LZ195" s="13">
        <f t="shared" si="290"/>
        <v>0</v>
      </c>
      <c r="MA195" s="13">
        <f t="shared" si="291"/>
        <v>0</v>
      </c>
      <c r="MB195" s="13">
        <f t="shared" si="292"/>
        <v>0</v>
      </c>
      <c r="MC195" s="13">
        <f t="shared" si="293"/>
        <v>0</v>
      </c>
      <c r="MD195" s="13">
        <f t="shared" si="294"/>
        <v>0</v>
      </c>
      <c r="ME195" s="13">
        <f t="shared" si="295"/>
        <v>0</v>
      </c>
      <c r="MF195" s="13">
        <f t="shared" si="296"/>
        <v>0</v>
      </c>
      <c r="MG195" s="13">
        <f t="shared" si="297"/>
        <v>0</v>
      </c>
      <c r="MH195" s="13">
        <f t="shared" si="298"/>
        <v>0</v>
      </c>
      <c r="MI195" s="13">
        <f t="shared" si="299"/>
        <v>1</v>
      </c>
      <c r="MJ195" s="13">
        <f t="shared" si="300"/>
        <v>0</v>
      </c>
      <c r="MK195" s="13">
        <f t="shared" si="301"/>
        <v>0</v>
      </c>
      <c r="ML195" s="14">
        <f t="shared" si="302"/>
        <v>0</v>
      </c>
      <c r="MM195" s="14">
        <f t="shared" si="303"/>
        <v>0</v>
      </c>
      <c r="MN195" s="14">
        <f t="shared" si="304"/>
        <v>0</v>
      </c>
      <c r="MO195" s="14">
        <f t="shared" si="305"/>
        <v>1</v>
      </c>
      <c r="MP195" s="14">
        <f t="shared" si="306"/>
        <v>0</v>
      </c>
      <c r="MQ195" s="14">
        <f t="shared" si="307"/>
        <v>0</v>
      </c>
      <c r="MR195" s="14">
        <f t="shared" si="308"/>
        <v>0</v>
      </c>
      <c r="MS195" s="14">
        <f t="shared" si="309"/>
        <v>0</v>
      </c>
      <c r="MT195" s="14">
        <f t="shared" si="310"/>
        <v>0</v>
      </c>
      <c r="MU195" s="14">
        <f t="shared" si="311"/>
        <v>0</v>
      </c>
      <c r="MV195" s="14">
        <f t="shared" si="312"/>
        <v>0</v>
      </c>
      <c r="MW195" s="14">
        <f t="shared" si="313"/>
        <v>0</v>
      </c>
      <c r="MX195" s="14">
        <f t="shared" si="314"/>
        <v>0</v>
      </c>
      <c r="MY195" s="14">
        <f t="shared" si="315"/>
        <v>0</v>
      </c>
      <c r="MZ195" s="14">
        <f t="shared" si="316"/>
        <v>0</v>
      </c>
      <c r="NA195" s="14">
        <f t="shared" si="317"/>
        <v>1</v>
      </c>
      <c r="NB195" s="14">
        <f t="shared" si="318"/>
        <v>0</v>
      </c>
    </row>
    <row r="196" ht="15.75" customHeight="1">
      <c r="A196" s="2">
        <v>753.0</v>
      </c>
      <c r="B196" s="2" t="s">
        <v>3629</v>
      </c>
      <c r="C196" s="2" t="s">
        <v>3630</v>
      </c>
      <c r="D196" s="2" t="s">
        <v>3631</v>
      </c>
      <c r="E196" s="2">
        <v>2022.0</v>
      </c>
      <c r="F196" s="2" t="s">
        <v>3632</v>
      </c>
      <c r="G196" s="2">
        <v>64.0</v>
      </c>
      <c r="H196" s="2" t="s">
        <v>392</v>
      </c>
      <c r="I196" s="2" t="s">
        <v>3633</v>
      </c>
      <c r="M196" s="2">
        <v>1.0</v>
      </c>
      <c r="N196" s="2" t="s">
        <v>3634</v>
      </c>
      <c r="O196" s="2" t="s">
        <v>3635</v>
      </c>
      <c r="P196" s="2" t="s">
        <v>3636</v>
      </c>
      <c r="Q196" s="2" t="s">
        <v>3637</v>
      </c>
      <c r="R196" s="2" t="s">
        <v>3638</v>
      </c>
      <c r="S196" s="2" t="s">
        <v>3639</v>
      </c>
      <c r="T196" s="2" t="s">
        <v>3640</v>
      </c>
      <c r="Y196" s="2" t="s">
        <v>3641</v>
      </c>
      <c r="AB196" s="2" t="s">
        <v>3642</v>
      </c>
      <c r="AG196" s="2" t="s">
        <v>3643</v>
      </c>
      <c r="AJ196" s="2">
        <v>3.5144462E7</v>
      </c>
      <c r="AK196" s="2" t="s">
        <v>3644</v>
      </c>
      <c r="AL196" s="2" t="s">
        <v>384</v>
      </c>
      <c r="AM196" s="2" t="s">
        <v>484</v>
      </c>
      <c r="AN196" s="2" t="s">
        <v>386</v>
      </c>
      <c r="AO196" s="2" t="s">
        <v>3645</v>
      </c>
      <c r="AP196" s="2" t="s">
        <v>386</v>
      </c>
      <c r="AQ196" s="2">
        <v>2935.0</v>
      </c>
      <c r="AR196" s="2" t="s">
        <v>3631</v>
      </c>
      <c r="AS196" s="2" t="b">
        <v>0</v>
      </c>
      <c r="AT196" s="3">
        <v>0.0</v>
      </c>
      <c r="AU196" s="4"/>
      <c r="AV196" s="4"/>
      <c r="AW196" s="5">
        <f t="shared" si="432"/>
        <v>0</v>
      </c>
      <c r="AX196" s="5">
        <f t="shared" si="4"/>
        <v>0</v>
      </c>
      <c r="AY196" s="5">
        <f t="shared" si="5"/>
        <v>0</v>
      </c>
      <c r="AZ196" s="5">
        <f t="shared" si="6"/>
        <v>0</v>
      </c>
      <c r="BA196" s="5">
        <f t="shared" si="7"/>
        <v>0</v>
      </c>
      <c r="BB196" s="5">
        <f t="shared" si="8"/>
        <v>0</v>
      </c>
      <c r="BC196" s="5">
        <f t="shared" si="9"/>
        <v>0</v>
      </c>
      <c r="BD196" s="5">
        <f t="shared" si="10"/>
        <v>0</v>
      </c>
      <c r="BE196" s="5">
        <f t="shared" si="11"/>
        <v>0</v>
      </c>
      <c r="BF196" s="5">
        <f t="shared" si="12"/>
        <v>0</v>
      </c>
      <c r="BG196" s="5">
        <f t="shared" si="13"/>
        <v>0</v>
      </c>
      <c r="BH196" s="5">
        <f t="shared" si="14"/>
        <v>0</v>
      </c>
      <c r="BI196" s="5">
        <f t="shared" si="15"/>
        <v>0</v>
      </c>
      <c r="BJ196" s="5">
        <f t="shared" si="16"/>
        <v>0</v>
      </c>
      <c r="BK196" s="5">
        <f t="shared" si="17"/>
        <v>0</v>
      </c>
      <c r="BL196" s="5">
        <f t="shared" si="18"/>
        <v>0</v>
      </c>
      <c r="BM196" s="5">
        <f t="shared" si="19"/>
        <v>0</v>
      </c>
      <c r="BN196" s="5">
        <f t="shared" si="20"/>
        <v>0</v>
      </c>
      <c r="BO196" s="5">
        <f t="shared" si="21"/>
        <v>0</v>
      </c>
      <c r="BP196" s="5">
        <f t="shared" si="22"/>
        <v>0</v>
      </c>
      <c r="BQ196" s="5">
        <f t="shared" si="23"/>
        <v>0</v>
      </c>
      <c r="BR196" s="5">
        <f t="shared" si="24"/>
        <v>0</v>
      </c>
      <c r="BS196" s="5">
        <f t="shared" si="25"/>
        <v>0</v>
      </c>
      <c r="BT196" s="5">
        <f t="shared" si="26"/>
        <v>1</v>
      </c>
      <c r="BU196" s="5">
        <f t="shared" si="27"/>
        <v>0</v>
      </c>
      <c r="BV196" s="5">
        <f t="shared" ref="BV196:BW196" si="748">IF(OR(ISNUMBER(SEARCH("grit",$D196)),ISNUMBER(SEARCH("grit",$T196)),ISNUMBER(SEARCH("grit",$R196)),ISNUMBER(SEARCH("grit",$S196)),
ISNUMBER(SEARCH("determination",$D196)),ISNUMBER(SEARCH("determination",$T196)),ISNUMBER(SEARCH("determination",$R196)),ISNUMBER(SEARCH("determination",$S196)),
ISNUMBER(SEARCH("tenacity",$D196)),ISNUMBER(SEARCH("tenacity",$T196)),ISNUMBER(SEARCH("tenacity",$R196)),ISNUMBER(SEARCH("tenacity",$S196)),
ISNUMBER(SEARCH("endurance",$D196)),ISNUMBER(SEARCH("endurance",$T196)),ISNUMBER(SEARCH("endurance",$R196)),ISNUMBER(SEARCH("endurance",$S196)),
ISNUMBER(SEARCH("fortitude",$D196)),ISNUMBER(SEARCH("fortitude",$T196)),ISNUMBER(SEARCH("fortitude",$R196)),ISNUMBER(SEARCH("fortitude",$S196)),
ISNUMBER(SEARCH("resolve",$D196)),ISNUMBER(SEARCH("resolve",$T196)),ISNUMBER(SEARCH("resolve",$R196)),ISNUMBER(SEARCH("resolve",$S196)),
ISNUMBER(SEARCH("stamina",$D196)),ISNUMBER(SEARCH("stamina",$T196)),ISNUMBER(SEARCH("stamina",$R196)),ISNUMBER(SEARCH("stamina",$S196)),
ISNUMBER(SEARCH("guts",$D196)),ISNUMBER(SEARCH("guts",$T196)),ISNUMBER(SEARCH("guts",$R196)),ISNUMBER(SEARCH("guts",$S196)),
ISNUMBER(SEARCH("spunk",$D196)),ISNUMBER(SEARCH("spunk",$T196)),ISNUMBER(SEARCH("spunk",$R196)),ISNUMBER(SEARCH("spunk",$S196))), 1, 0)</f>
        <v>0</v>
      </c>
      <c r="BW196" s="5">
        <f t="shared" si="748"/>
        <v>0</v>
      </c>
      <c r="BX196" s="5">
        <f t="shared" si="29"/>
        <v>0</v>
      </c>
      <c r="BY196" s="5">
        <f t="shared" si="30"/>
        <v>0</v>
      </c>
      <c r="BZ196" s="5">
        <f t="shared" si="31"/>
        <v>0</v>
      </c>
      <c r="CA196" s="5">
        <f t="shared" si="32"/>
        <v>0</v>
      </c>
      <c r="CB196" s="5">
        <f t="shared" si="33"/>
        <v>0</v>
      </c>
      <c r="CC196" s="5">
        <f t="shared" si="34"/>
        <v>0</v>
      </c>
      <c r="CD196" s="5">
        <f t="shared" si="35"/>
        <v>0</v>
      </c>
      <c r="CE196" s="5">
        <f t="shared" si="36"/>
        <v>0</v>
      </c>
      <c r="CF196" s="5">
        <f t="shared" si="37"/>
        <v>0</v>
      </c>
      <c r="CG196" s="5">
        <f t="shared" si="38"/>
        <v>0</v>
      </c>
      <c r="CH196" s="5">
        <f t="shared" si="39"/>
        <v>0</v>
      </c>
      <c r="CI196" s="5">
        <f t="shared" si="40"/>
        <v>0</v>
      </c>
      <c r="CJ196" s="5">
        <f t="shared" si="41"/>
        <v>0</v>
      </c>
      <c r="CK196" s="5">
        <f t="shared" si="42"/>
        <v>1</v>
      </c>
      <c r="CL196" s="5">
        <f t="shared" si="43"/>
        <v>0</v>
      </c>
      <c r="CM196" s="5">
        <f t="shared" si="44"/>
        <v>0</v>
      </c>
      <c r="CN196" s="5">
        <f t="shared" si="45"/>
        <v>0</v>
      </c>
      <c r="CO196" s="5">
        <f t="shared" si="46"/>
        <v>0</v>
      </c>
      <c r="CP196" s="6">
        <f t="shared" si="47"/>
        <v>0</v>
      </c>
      <c r="CQ196" s="6">
        <f t="shared" si="48"/>
        <v>1</v>
      </c>
      <c r="CR196" s="6">
        <f t="shared" si="49"/>
        <v>0</v>
      </c>
      <c r="CS196" s="6">
        <f t="shared" si="50"/>
        <v>0</v>
      </c>
      <c r="CT196" s="6">
        <f t="shared" si="584"/>
        <v>0</v>
      </c>
      <c r="CU196" s="6">
        <f t="shared" si="52"/>
        <v>0</v>
      </c>
      <c r="CV196" s="6">
        <f t="shared" si="53"/>
        <v>0</v>
      </c>
      <c r="CW196" s="6">
        <f t="shared" si="54"/>
        <v>0</v>
      </c>
      <c r="CX196" s="6">
        <f t="shared" si="55"/>
        <v>0</v>
      </c>
      <c r="CY196" s="6">
        <f t="shared" si="56"/>
        <v>0</v>
      </c>
      <c r="CZ196" s="6">
        <f t="shared" si="57"/>
        <v>0</v>
      </c>
      <c r="DA196" s="6">
        <f t="shared" si="58"/>
        <v>0</v>
      </c>
      <c r="DB196" s="6">
        <f t="shared" si="59"/>
        <v>1</v>
      </c>
      <c r="DC196" s="6">
        <f t="shared" si="60"/>
        <v>1</v>
      </c>
      <c r="DD196" s="6">
        <f t="shared" si="61"/>
        <v>0</v>
      </c>
      <c r="DE196" s="6">
        <f t="shared" si="62"/>
        <v>0</v>
      </c>
      <c r="DF196" s="6">
        <f t="shared" si="63"/>
        <v>0</v>
      </c>
      <c r="DG196" s="6">
        <f t="shared" si="64"/>
        <v>0</v>
      </c>
      <c r="DH196" s="6">
        <f t="shared" si="697"/>
        <v>0</v>
      </c>
      <c r="DI196" s="6">
        <f t="shared" si="66"/>
        <v>1</v>
      </c>
      <c r="DJ196" s="6">
        <f t="shared" si="653"/>
        <v>0</v>
      </c>
      <c r="DK196" s="7">
        <f t="shared" si="68"/>
        <v>0</v>
      </c>
      <c r="DL196" s="7">
        <f t="shared" si="498"/>
        <v>0</v>
      </c>
      <c r="DM196" s="7">
        <f t="shared" si="70"/>
        <v>0</v>
      </c>
      <c r="DN196" s="7">
        <f t="shared" si="71"/>
        <v>0</v>
      </c>
      <c r="DO196" s="7">
        <f t="shared" si="72"/>
        <v>1</v>
      </c>
      <c r="DP196" s="8">
        <f t="shared" si="73"/>
        <v>0</v>
      </c>
      <c r="DQ196" s="8">
        <f t="shared" si="74"/>
        <v>1</v>
      </c>
      <c r="DR196" s="7">
        <f t="shared" si="75"/>
        <v>0</v>
      </c>
      <c r="DS196" s="7">
        <f t="shared" si="76"/>
        <v>0</v>
      </c>
      <c r="DT196" s="7">
        <f t="shared" si="77"/>
        <v>0</v>
      </c>
      <c r="DU196" s="9">
        <f t="shared" si="78"/>
        <v>0</v>
      </c>
      <c r="DV196" s="9">
        <f t="shared" si="79"/>
        <v>0</v>
      </c>
      <c r="DW196" s="9">
        <f t="shared" si="80"/>
        <v>0</v>
      </c>
      <c r="DX196" s="9">
        <f t="shared" si="81"/>
        <v>0</v>
      </c>
      <c r="DY196" s="9">
        <f t="shared" si="82"/>
        <v>0</v>
      </c>
      <c r="DZ196" s="9">
        <f t="shared" si="83"/>
        <v>0</v>
      </c>
      <c r="EA196" s="9">
        <f t="shared" si="84"/>
        <v>0</v>
      </c>
      <c r="EB196" s="9">
        <f t="shared" si="85"/>
        <v>0</v>
      </c>
      <c r="EC196" s="9">
        <f t="shared" si="86"/>
        <v>0</v>
      </c>
      <c r="ED196" s="9">
        <f t="shared" si="87"/>
        <v>0</v>
      </c>
      <c r="EE196" s="9">
        <f t="shared" si="88"/>
        <v>0</v>
      </c>
      <c r="EF196" s="9">
        <f t="shared" si="89"/>
        <v>0</v>
      </c>
      <c r="EG196" s="9">
        <f t="shared" si="90"/>
        <v>0</v>
      </c>
      <c r="EH196" s="9">
        <f t="shared" si="91"/>
        <v>0</v>
      </c>
      <c r="EI196" s="9">
        <f t="shared" si="92"/>
        <v>0</v>
      </c>
      <c r="EJ196" s="10">
        <f t="shared" si="93"/>
        <v>0</v>
      </c>
      <c r="EK196" s="10">
        <f t="shared" si="94"/>
        <v>0</v>
      </c>
      <c r="EL196" s="10">
        <f t="shared" ref="EL196:EM196" si="749">IF(OR(ISNUMBER(SEARCH("ai software toolkit", $D196)), ISNUMBER(SEARCH("ai software toolkit", $T196)), ISNUMBER(SEARCH("ai software toolkit", $R196)), ISNUMBER(SEARCH("ai software toolkit", $S196))), 1, 0)</f>
        <v>0</v>
      </c>
      <c r="EM196" s="10">
        <f t="shared" si="749"/>
        <v>0</v>
      </c>
      <c r="EN196" s="10">
        <f t="shared" si="96"/>
        <v>0</v>
      </c>
      <c r="EO196" s="10">
        <f t="shared" si="97"/>
        <v>0</v>
      </c>
      <c r="EP196" s="10">
        <f t="shared" si="98"/>
        <v>0</v>
      </c>
      <c r="EQ196" s="10">
        <f t="shared" si="99"/>
        <v>0</v>
      </c>
      <c r="ER196" s="10">
        <f t="shared" si="100"/>
        <v>0</v>
      </c>
      <c r="ES196" s="10">
        <f t="shared" si="101"/>
        <v>0</v>
      </c>
      <c r="ET196" s="10">
        <f t="shared" si="102"/>
        <v>0</v>
      </c>
      <c r="EU196" s="10">
        <f t="shared" si="103"/>
        <v>0</v>
      </c>
      <c r="EV196" s="10">
        <f t="shared" si="104"/>
        <v>0</v>
      </c>
      <c r="EW196" s="10">
        <f t="shared" si="105"/>
        <v>0</v>
      </c>
      <c r="EX196" s="10">
        <f t="shared" si="106"/>
        <v>0</v>
      </c>
      <c r="EY196" s="10">
        <f t="shared" si="107"/>
        <v>0</v>
      </c>
      <c r="EZ196" s="10">
        <f t="shared" si="108"/>
        <v>0</v>
      </c>
      <c r="FA196" s="10">
        <f t="shared" si="109"/>
        <v>0</v>
      </c>
      <c r="FB196" s="10">
        <f t="shared" si="110"/>
        <v>0</v>
      </c>
      <c r="FC196" s="10">
        <f t="shared" si="111"/>
        <v>0</v>
      </c>
      <c r="FD196" s="10">
        <f t="shared" si="112"/>
        <v>0</v>
      </c>
      <c r="FE196" s="10">
        <f t="shared" si="113"/>
        <v>0</v>
      </c>
      <c r="FF196" s="10">
        <f t="shared" si="114"/>
        <v>0</v>
      </c>
      <c r="FG196" s="10">
        <f t="shared" si="115"/>
        <v>0</v>
      </c>
      <c r="FH196" s="10">
        <f t="shared" si="116"/>
        <v>0</v>
      </c>
      <c r="FI196" s="10">
        <f t="shared" si="117"/>
        <v>0</v>
      </c>
      <c r="FJ196" s="10">
        <f t="shared" si="118"/>
        <v>0</v>
      </c>
      <c r="FK196" s="10">
        <f t="shared" si="119"/>
        <v>0</v>
      </c>
      <c r="FL196" s="10">
        <f t="shared" si="120"/>
        <v>0</v>
      </c>
      <c r="FM196" s="10">
        <f t="shared" si="121"/>
        <v>0</v>
      </c>
      <c r="FN196" s="10">
        <f t="shared" si="122"/>
        <v>0</v>
      </c>
      <c r="FO196" s="10">
        <f t="shared" si="123"/>
        <v>0</v>
      </c>
      <c r="FP196" s="10">
        <f t="shared" si="124"/>
        <v>0</v>
      </c>
      <c r="FQ196" s="10">
        <f t="shared" si="125"/>
        <v>0</v>
      </c>
      <c r="FR196" s="11">
        <f t="shared" si="709"/>
        <v>0</v>
      </c>
      <c r="FS196" s="11">
        <f t="shared" si="127"/>
        <v>0</v>
      </c>
      <c r="FT196" s="11">
        <f t="shared" si="128"/>
        <v>0</v>
      </c>
      <c r="FU196" s="11">
        <f t="shared" si="129"/>
        <v>0</v>
      </c>
      <c r="FV196" s="11">
        <f t="shared" si="130"/>
        <v>0</v>
      </c>
      <c r="FW196" s="11">
        <f t="shared" si="131"/>
        <v>0</v>
      </c>
      <c r="FX196" s="11">
        <f t="shared" si="132"/>
        <v>0</v>
      </c>
      <c r="FY196" s="11">
        <f t="shared" si="133"/>
        <v>0</v>
      </c>
      <c r="FZ196" s="11">
        <f t="shared" si="134"/>
        <v>0</v>
      </c>
      <c r="GA196" s="11">
        <f t="shared" si="135"/>
        <v>0</v>
      </c>
      <c r="GB196" s="11">
        <f t="shared" si="136"/>
        <v>0</v>
      </c>
      <c r="GC196" s="11">
        <f t="shared" si="137"/>
        <v>0</v>
      </c>
      <c r="GD196" s="11">
        <f t="shared" si="138"/>
        <v>0</v>
      </c>
      <c r="GE196" s="11">
        <f t="shared" si="139"/>
        <v>0</v>
      </c>
      <c r="GF196" s="11">
        <f t="shared" si="140"/>
        <v>0</v>
      </c>
      <c r="GG196" s="11">
        <f t="shared" si="141"/>
        <v>0</v>
      </c>
      <c r="GH196" s="11">
        <f t="shared" si="142"/>
        <v>0</v>
      </c>
      <c r="GI196" s="11">
        <f t="shared" si="143"/>
        <v>0</v>
      </c>
      <c r="GJ196" s="11">
        <f t="shared" si="144"/>
        <v>0</v>
      </c>
      <c r="GK196" s="11">
        <f t="shared" si="145"/>
        <v>0</v>
      </c>
      <c r="GL196" s="11">
        <f t="shared" si="146"/>
        <v>0</v>
      </c>
      <c r="GM196" s="11">
        <f t="shared" si="147"/>
        <v>0</v>
      </c>
      <c r="GN196" s="11">
        <f t="shared" si="148"/>
        <v>0</v>
      </c>
      <c r="GO196" s="11">
        <f t="shared" si="149"/>
        <v>0</v>
      </c>
      <c r="GP196" s="11">
        <f t="shared" si="150"/>
        <v>0</v>
      </c>
      <c r="GQ196" s="11">
        <f t="shared" si="151"/>
        <v>0</v>
      </c>
      <c r="GR196" s="11">
        <f t="shared" si="152"/>
        <v>0</v>
      </c>
      <c r="GS196" s="11">
        <f t="shared" si="153"/>
        <v>0</v>
      </c>
      <c r="GT196" s="11">
        <f t="shared" si="154"/>
        <v>0</v>
      </c>
      <c r="GU196" s="12">
        <f t="shared" si="155"/>
        <v>0</v>
      </c>
      <c r="GV196" s="12">
        <f t="shared" si="156"/>
        <v>0</v>
      </c>
      <c r="GW196" s="12">
        <f t="shared" si="157"/>
        <v>0</v>
      </c>
      <c r="GX196" s="12">
        <f t="shared" si="158"/>
        <v>0</v>
      </c>
      <c r="GY196" s="12">
        <f t="shared" si="159"/>
        <v>0</v>
      </c>
      <c r="GZ196" s="12">
        <f t="shared" si="160"/>
        <v>0</v>
      </c>
      <c r="HA196" s="12">
        <f t="shared" si="161"/>
        <v>0</v>
      </c>
      <c r="HB196" s="12">
        <f t="shared" si="162"/>
        <v>0</v>
      </c>
      <c r="HC196" s="12">
        <f t="shared" si="163"/>
        <v>0</v>
      </c>
      <c r="HD196" s="12">
        <f t="shared" si="164"/>
        <v>0</v>
      </c>
      <c r="HE196" s="12">
        <f t="shared" si="165"/>
        <v>0</v>
      </c>
      <c r="HF196" s="12">
        <f t="shared" si="166"/>
        <v>0</v>
      </c>
      <c r="HG196" s="12">
        <f t="shared" si="167"/>
        <v>0</v>
      </c>
      <c r="HH196" s="12">
        <f t="shared" si="168"/>
        <v>0</v>
      </c>
      <c r="HI196" s="12">
        <f t="shared" si="169"/>
        <v>0</v>
      </c>
      <c r="HJ196" s="12">
        <f t="shared" si="170"/>
        <v>0</v>
      </c>
      <c r="HK196" s="12">
        <f t="shared" si="171"/>
        <v>0</v>
      </c>
      <c r="HL196" s="12">
        <f t="shared" si="172"/>
        <v>0</v>
      </c>
      <c r="HM196" s="12">
        <f t="shared" si="173"/>
        <v>0</v>
      </c>
      <c r="HN196" s="12">
        <f t="shared" si="174"/>
        <v>0</v>
      </c>
      <c r="HO196" s="12">
        <f t="shared" si="175"/>
        <v>0</v>
      </c>
      <c r="HP196" s="12">
        <f t="shared" si="176"/>
        <v>0</v>
      </c>
      <c r="HQ196" s="12">
        <f t="shared" si="177"/>
        <v>0</v>
      </c>
      <c r="HR196" s="12">
        <f t="shared" si="178"/>
        <v>0</v>
      </c>
      <c r="HS196" s="12">
        <f t="shared" si="179"/>
        <v>0</v>
      </c>
      <c r="HT196" s="12">
        <f t="shared" si="180"/>
        <v>0</v>
      </c>
      <c r="HU196" s="12">
        <f t="shared" si="181"/>
        <v>0</v>
      </c>
      <c r="HV196" s="12">
        <f t="shared" si="182"/>
        <v>0</v>
      </c>
      <c r="HW196" s="12">
        <f t="shared" si="183"/>
        <v>0</v>
      </c>
      <c r="HX196" s="12">
        <f t="shared" si="184"/>
        <v>0</v>
      </c>
      <c r="HY196" s="12">
        <f t="shared" si="185"/>
        <v>0</v>
      </c>
      <c r="HZ196" s="12">
        <f t="shared" si="186"/>
        <v>0</v>
      </c>
      <c r="IA196" s="12">
        <f t="shared" si="187"/>
        <v>0</v>
      </c>
      <c r="IB196" s="12">
        <f t="shared" si="188"/>
        <v>0</v>
      </c>
      <c r="IC196" s="12">
        <f t="shared" si="189"/>
        <v>0</v>
      </c>
      <c r="ID196" s="12">
        <f t="shared" si="190"/>
        <v>0</v>
      </c>
      <c r="IE196" s="12">
        <f t="shared" si="191"/>
        <v>0</v>
      </c>
      <c r="IF196" s="12">
        <f t="shared" si="192"/>
        <v>0</v>
      </c>
      <c r="IG196" s="12">
        <f t="shared" si="193"/>
        <v>0</v>
      </c>
      <c r="IH196" s="12">
        <f t="shared" si="194"/>
        <v>0</v>
      </c>
      <c r="II196" s="12">
        <f t="shared" si="195"/>
        <v>0</v>
      </c>
      <c r="IJ196" s="12">
        <f t="shared" si="196"/>
        <v>0</v>
      </c>
      <c r="IK196" s="12">
        <f t="shared" si="197"/>
        <v>0</v>
      </c>
      <c r="IL196" s="12">
        <f t="shared" si="198"/>
        <v>0</v>
      </c>
      <c r="IM196" s="12">
        <f t="shared" si="199"/>
        <v>0</v>
      </c>
      <c r="IN196" s="12">
        <f t="shared" si="200"/>
        <v>0</v>
      </c>
      <c r="IO196" s="12">
        <f t="shared" si="201"/>
        <v>0</v>
      </c>
      <c r="IP196" s="12">
        <f t="shared" si="202"/>
        <v>0</v>
      </c>
      <c r="IQ196" s="12">
        <f t="shared" si="203"/>
        <v>0</v>
      </c>
      <c r="IR196" s="12">
        <f t="shared" si="204"/>
        <v>0</v>
      </c>
      <c r="IS196" s="12">
        <f t="shared" si="205"/>
        <v>0</v>
      </c>
      <c r="IT196" s="12">
        <f t="shared" si="206"/>
        <v>0</v>
      </c>
      <c r="IU196" s="12">
        <f t="shared" si="207"/>
        <v>0</v>
      </c>
      <c r="IV196" s="12">
        <f t="shared" si="208"/>
        <v>0</v>
      </c>
      <c r="IW196" s="12">
        <f t="shared" si="209"/>
        <v>0</v>
      </c>
      <c r="IX196" s="12">
        <f t="shared" si="210"/>
        <v>0</v>
      </c>
      <c r="IY196" s="12">
        <f t="shared" si="211"/>
        <v>0</v>
      </c>
      <c r="IZ196" s="12">
        <f t="shared" si="212"/>
        <v>0</v>
      </c>
      <c r="JA196" s="13">
        <f t="shared" si="213"/>
        <v>0</v>
      </c>
      <c r="JB196" s="13">
        <f t="shared" si="214"/>
        <v>0</v>
      </c>
      <c r="JC196" s="13">
        <f t="shared" si="215"/>
        <v>0</v>
      </c>
      <c r="JD196" s="13">
        <f t="shared" si="216"/>
        <v>0</v>
      </c>
      <c r="JE196" s="13">
        <f t="shared" si="217"/>
        <v>0</v>
      </c>
      <c r="JF196" s="13">
        <f t="shared" si="218"/>
        <v>0</v>
      </c>
      <c r="JG196" s="13">
        <f t="shared" si="219"/>
        <v>0</v>
      </c>
      <c r="JH196" s="13">
        <f t="shared" si="220"/>
        <v>0</v>
      </c>
      <c r="JI196" s="13">
        <f t="shared" si="221"/>
        <v>0</v>
      </c>
      <c r="JJ196" s="13">
        <f t="shared" si="222"/>
        <v>0</v>
      </c>
      <c r="JK196" s="13">
        <f t="shared" si="223"/>
        <v>0</v>
      </c>
      <c r="JL196" s="13">
        <f t="shared" si="224"/>
        <v>0</v>
      </c>
      <c r="JM196" s="13">
        <f t="shared" si="225"/>
        <v>0</v>
      </c>
      <c r="JN196" s="13">
        <f t="shared" si="226"/>
        <v>0</v>
      </c>
      <c r="JO196" s="13">
        <f t="shared" si="227"/>
        <v>0</v>
      </c>
      <c r="JP196" s="13">
        <f t="shared" si="228"/>
        <v>0</v>
      </c>
      <c r="JQ196" s="13">
        <f t="shared" si="229"/>
        <v>0</v>
      </c>
      <c r="JR196" s="13">
        <f t="shared" si="230"/>
        <v>0</v>
      </c>
      <c r="JS196" s="13">
        <f t="shared" si="231"/>
        <v>0</v>
      </c>
      <c r="JT196" s="13">
        <f t="shared" si="232"/>
        <v>0</v>
      </c>
      <c r="JU196" s="13">
        <f t="shared" si="233"/>
        <v>0</v>
      </c>
      <c r="JV196" s="12">
        <f t="shared" si="234"/>
        <v>0</v>
      </c>
      <c r="JW196" s="12">
        <f t="shared" si="235"/>
        <v>0</v>
      </c>
      <c r="JX196" s="12">
        <f t="shared" si="236"/>
        <v>0</v>
      </c>
      <c r="JY196" s="12">
        <f t="shared" si="237"/>
        <v>0</v>
      </c>
      <c r="JZ196" s="12">
        <f t="shared" si="238"/>
        <v>0</v>
      </c>
      <c r="KA196" s="12">
        <f t="shared" si="239"/>
        <v>0</v>
      </c>
      <c r="KB196" s="12">
        <f t="shared" si="240"/>
        <v>0</v>
      </c>
      <c r="KC196" s="12">
        <f t="shared" si="241"/>
        <v>0</v>
      </c>
      <c r="KD196" s="12">
        <f t="shared" si="242"/>
        <v>0</v>
      </c>
      <c r="KE196" s="12">
        <f t="shared" si="243"/>
        <v>0</v>
      </c>
      <c r="KF196" s="12">
        <f t="shared" si="244"/>
        <v>0</v>
      </c>
      <c r="KG196" s="12">
        <f t="shared" si="245"/>
        <v>0</v>
      </c>
      <c r="KH196" s="12">
        <f t="shared" si="246"/>
        <v>0</v>
      </c>
      <c r="KI196" s="12">
        <f t="shared" si="247"/>
        <v>0</v>
      </c>
      <c r="KJ196" s="12">
        <f t="shared" si="248"/>
        <v>0</v>
      </c>
      <c r="KK196" s="12">
        <f t="shared" si="249"/>
        <v>0</v>
      </c>
      <c r="KL196" s="12">
        <f t="shared" si="250"/>
        <v>0</v>
      </c>
      <c r="KM196" s="12">
        <f t="shared" si="251"/>
        <v>0</v>
      </c>
      <c r="KN196" s="12">
        <f t="shared" si="252"/>
        <v>0</v>
      </c>
      <c r="KO196" s="12">
        <f t="shared" si="253"/>
        <v>0</v>
      </c>
      <c r="KP196" s="12">
        <f t="shared" si="254"/>
        <v>0</v>
      </c>
      <c r="KQ196" s="12">
        <f t="shared" si="255"/>
        <v>0</v>
      </c>
      <c r="KR196" s="12">
        <f t="shared" si="256"/>
        <v>0</v>
      </c>
      <c r="KS196" s="12">
        <f t="shared" si="257"/>
        <v>0</v>
      </c>
      <c r="KT196" s="12">
        <f t="shared" si="258"/>
        <v>0</v>
      </c>
      <c r="KU196" s="12">
        <f t="shared" si="259"/>
        <v>0</v>
      </c>
      <c r="KV196" s="12">
        <f t="shared" si="260"/>
        <v>0</v>
      </c>
      <c r="KW196" s="12">
        <f t="shared" si="261"/>
        <v>0</v>
      </c>
      <c r="KX196" s="12">
        <f t="shared" si="262"/>
        <v>0</v>
      </c>
      <c r="KY196" s="12">
        <f t="shared" si="263"/>
        <v>0</v>
      </c>
      <c r="KZ196" s="12">
        <f t="shared" si="264"/>
        <v>0</v>
      </c>
      <c r="LA196" s="12">
        <f t="shared" si="265"/>
        <v>0</v>
      </c>
      <c r="LB196" s="12">
        <f t="shared" si="266"/>
        <v>0</v>
      </c>
      <c r="LC196" s="12">
        <f t="shared" si="267"/>
        <v>0</v>
      </c>
      <c r="LD196" s="12">
        <f t="shared" si="268"/>
        <v>0</v>
      </c>
      <c r="LE196" s="12">
        <f t="shared" si="269"/>
        <v>0</v>
      </c>
      <c r="LF196" s="12">
        <f t="shared" si="270"/>
        <v>0</v>
      </c>
      <c r="LG196" s="12">
        <f t="shared" si="271"/>
        <v>0</v>
      </c>
      <c r="LH196" s="12">
        <f t="shared" si="272"/>
        <v>0</v>
      </c>
      <c r="LI196" s="12">
        <f t="shared" si="273"/>
        <v>0</v>
      </c>
      <c r="LJ196" s="12">
        <f t="shared" si="274"/>
        <v>0</v>
      </c>
      <c r="LK196" s="12">
        <f t="shared" si="275"/>
        <v>0</v>
      </c>
      <c r="LL196" s="12">
        <f t="shared" si="276"/>
        <v>0</v>
      </c>
      <c r="LM196" s="12">
        <f t="shared" si="277"/>
        <v>0</v>
      </c>
      <c r="LN196" s="12">
        <f t="shared" si="278"/>
        <v>0</v>
      </c>
      <c r="LO196" s="12">
        <f t="shared" si="279"/>
        <v>0</v>
      </c>
      <c r="LP196" s="12">
        <f t="shared" si="280"/>
        <v>0</v>
      </c>
      <c r="LQ196" s="12">
        <f t="shared" si="281"/>
        <v>0</v>
      </c>
      <c r="LR196" s="12">
        <f t="shared" si="282"/>
        <v>0</v>
      </c>
      <c r="LS196" s="12">
        <f t="shared" si="283"/>
        <v>0</v>
      </c>
      <c r="LT196" s="13">
        <f t="shared" si="284"/>
        <v>0</v>
      </c>
      <c r="LU196" s="13">
        <f t="shared" si="285"/>
        <v>0</v>
      </c>
      <c r="LV196" s="13">
        <f t="shared" si="286"/>
        <v>0</v>
      </c>
      <c r="LW196" s="13">
        <f t="shared" si="287"/>
        <v>0</v>
      </c>
      <c r="LX196" s="13">
        <f t="shared" si="288"/>
        <v>0</v>
      </c>
      <c r="LY196" s="13">
        <f t="shared" si="289"/>
        <v>0</v>
      </c>
      <c r="LZ196" s="13">
        <f t="shared" si="290"/>
        <v>0</v>
      </c>
      <c r="MA196" s="13">
        <f t="shared" si="291"/>
        <v>1</v>
      </c>
      <c r="MB196" s="13">
        <f t="shared" si="292"/>
        <v>1</v>
      </c>
      <c r="MC196" s="13">
        <f t="shared" si="293"/>
        <v>0</v>
      </c>
      <c r="MD196" s="13">
        <f t="shared" si="294"/>
        <v>0</v>
      </c>
      <c r="ME196" s="13">
        <f t="shared" si="295"/>
        <v>0</v>
      </c>
      <c r="MF196" s="13">
        <f t="shared" si="296"/>
        <v>0</v>
      </c>
      <c r="MG196" s="13">
        <f t="shared" si="297"/>
        <v>0</v>
      </c>
      <c r="MH196" s="13">
        <f t="shared" si="298"/>
        <v>0</v>
      </c>
      <c r="MI196" s="13">
        <f t="shared" si="299"/>
        <v>0</v>
      </c>
      <c r="MJ196" s="13">
        <f t="shared" si="300"/>
        <v>0</v>
      </c>
      <c r="MK196" s="13">
        <f t="shared" si="301"/>
        <v>0</v>
      </c>
      <c r="ML196" s="14">
        <f t="shared" si="302"/>
        <v>0</v>
      </c>
      <c r="MM196" s="14">
        <f t="shared" si="303"/>
        <v>0</v>
      </c>
      <c r="MN196" s="14">
        <f t="shared" si="304"/>
        <v>0</v>
      </c>
      <c r="MO196" s="14">
        <f t="shared" si="305"/>
        <v>0</v>
      </c>
      <c r="MP196" s="14">
        <f t="shared" si="306"/>
        <v>0</v>
      </c>
      <c r="MQ196" s="14">
        <f t="shared" si="307"/>
        <v>0</v>
      </c>
      <c r="MR196" s="14">
        <f t="shared" si="308"/>
        <v>0</v>
      </c>
      <c r="MS196" s="14">
        <f t="shared" si="309"/>
        <v>0</v>
      </c>
      <c r="MT196" s="14">
        <f t="shared" si="310"/>
        <v>0</v>
      </c>
      <c r="MU196" s="14">
        <f t="shared" si="311"/>
        <v>0</v>
      </c>
      <c r="MV196" s="14">
        <f t="shared" si="312"/>
        <v>0</v>
      </c>
      <c r="MW196" s="14">
        <f t="shared" si="313"/>
        <v>0</v>
      </c>
      <c r="MX196" s="14">
        <f t="shared" si="314"/>
        <v>0</v>
      </c>
      <c r="MY196" s="14">
        <f t="shared" si="315"/>
        <v>0</v>
      </c>
      <c r="MZ196" s="14">
        <f t="shared" si="316"/>
        <v>0</v>
      </c>
      <c r="NA196" s="14">
        <f t="shared" si="317"/>
        <v>0</v>
      </c>
      <c r="NB196" s="14">
        <f t="shared" si="318"/>
        <v>0</v>
      </c>
    </row>
    <row r="197" ht="15.75" customHeight="1">
      <c r="A197" s="2">
        <v>717.0</v>
      </c>
      <c r="B197" s="2" t="s">
        <v>3646</v>
      </c>
      <c r="C197" s="2" t="s">
        <v>3647</v>
      </c>
      <c r="D197" s="2" t="s">
        <v>3648</v>
      </c>
      <c r="E197" s="2">
        <v>2022.0</v>
      </c>
      <c r="F197" s="2" t="s">
        <v>3649</v>
      </c>
      <c r="M197" s="2">
        <v>1.0</v>
      </c>
      <c r="N197" s="2" t="s">
        <v>3650</v>
      </c>
      <c r="O197" s="2" t="s">
        <v>3651</v>
      </c>
      <c r="P197" s="2" t="s">
        <v>3652</v>
      </c>
      <c r="Q197" s="2" t="s">
        <v>3653</v>
      </c>
      <c r="R197" s="2" t="s">
        <v>3654</v>
      </c>
      <c r="S197" s="2" t="s">
        <v>3655</v>
      </c>
      <c r="T197" s="2" t="s">
        <v>3656</v>
      </c>
      <c r="Y197" s="2" t="s">
        <v>3657</v>
      </c>
      <c r="AB197" s="2" t="s">
        <v>1080</v>
      </c>
      <c r="AG197" s="2" t="s">
        <v>3658</v>
      </c>
      <c r="AK197" s="2" t="s">
        <v>3659</v>
      </c>
      <c r="AL197" s="2" t="s">
        <v>2966</v>
      </c>
      <c r="AM197" s="2" t="s">
        <v>2613</v>
      </c>
      <c r="AN197" s="2" t="s">
        <v>386</v>
      </c>
      <c r="AO197" s="2" t="s">
        <v>3660</v>
      </c>
      <c r="AP197" s="2" t="s">
        <v>386</v>
      </c>
      <c r="AQ197" s="2">
        <v>2826.0</v>
      </c>
      <c r="AR197" s="2" t="s">
        <v>3661</v>
      </c>
      <c r="AS197" s="2" t="b">
        <v>1</v>
      </c>
      <c r="AT197" s="3">
        <v>0.0</v>
      </c>
      <c r="AU197" s="4"/>
      <c r="AV197" s="4"/>
      <c r="AW197" s="5">
        <f t="shared" si="432"/>
        <v>0</v>
      </c>
      <c r="AX197" s="5">
        <f t="shared" si="4"/>
        <v>0</v>
      </c>
      <c r="AY197" s="5">
        <f t="shared" si="5"/>
        <v>0</v>
      </c>
      <c r="AZ197" s="5">
        <f t="shared" si="6"/>
        <v>0</v>
      </c>
      <c r="BA197" s="5">
        <f t="shared" si="7"/>
        <v>0</v>
      </c>
      <c r="BB197" s="5">
        <f t="shared" si="8"/>
        <v>0</v>
      </c>
      <c r="BC197" s="5">
        <f t="shared" si="9"/>
        <v>0</v>
      </c>
      <c r="BD197" s="5">
        <f t="shared" si="10"/>
        <v>0</v>
      </c>
      <c r="BE197" s="5">
        <f t="shared" si="11"/>
        <v>0</v>
      </c>
      <c r="BF197" s="5">
        <f t="shared" si="12"/>
        <v>0</v>
      </c>
      <c r="BG197" s="5">
        <f t="shared" si="13"/>
        <v>0</v>
      </c>
      <c r="BH197" s="5">
        <f t="shared" si="14"/>
        <v>0</v>
      </c>
      <c r="BI197" s="5">
        <f t="shared" si="15"/>
        <v>0</v>
      </c>
      <c r="BJ197" s="5">
        <f t="shared" si="16"/>
        <v>0</v>
      </c>
      <c r="BK197" s="5">
        <f t="shared" si="17"/>
        <v>0</v>
      </c>
      <c r="BL197" s="5">
        <f t="shared" si="18"/>
        <v>0</v>
      </c>
      <c r="BM197" s="5">
        <f t="shared" si="19"/>
        <v>0</v>
      </c>
      <c r="BN197" s="5">
        <f t="shared" si="20"/>
        <v>0</v>
      </c>
      <c r="BO197" s="5">
        <f t="shared" si="21"/>
        <v>0</v>
      </c>
      <c r="BP197" s="5">
        <f t="shared" si="22"/>
        <v>0</v>
      </c>
      <c r="BQ197" s="5">
        <f t="shared" si="23"/>
        <v>0</v>
      </c>
      <c r="BR197" s="5">
        <f t="shared" si="24"/>
        <v>0</v>
      </c>
      <c r="BS197" s="5">
        <f t="shared" si="25"/>
        <v>0</v>
      </c>
      <c r="BT197" s="5">
        <f t="shared" si="26"/>
        <v>0</v>
      </c>
      <c r="BU197" s="5">
        <f t="shared" si="27"/>
        <v>0</v>
      </c>
      <c r="BV197" s="5">
        <f t="shared" ref="BV197:BW197" si="750">IF(OR(ISNUMBER(SEARCH("grit",$D197)),ISNUMBER(SEARCH("grit",$T197)),ISNUMBER(SEARCH("grit",$R197)),ISNUMBER(SEARCH("grit",$S197)),
ISNUMBER(SEARCH("determination",$D197)),ISNUMBER(SEARCH("determination",$T197)),ISNUMBER(SEARCH("determination",$R197)),ISNUMBER(SEARCH("determination",$S197)),
ISNUMBER(SEARCH("tenacity",$D197)),ISNUMBER(SEARCH("tenacity",$T197)),ISNUMBER(SEARCH("tenacity",$R197)),ISNUMBER(SEARCH("tenacity",$S197)),
ISNUMBER(SEARCH("endurance",$D197)),ISNUMBER(SEARCH("endurance",$T197)),ISNUMBER(SEARCH("endurance",$R197)),ISNUMBER(SEARCH("endurance",$S197)),
ISNUMBER(SEARCH("fortitude",$D197)),ISNUMBER(SEARCH("fortitude",$T197)),ISNUMBER(SEARCH("fortitude",$R197)),ISNUMBER(SEARCH("fortitude",$S197)),
ISNUMBER(SEARCH("resolve",$D197)),ISNUMBER(SEARCH("resolve",$T197)),ISNUMBER(SEARCH("resolve",$R197)),ISNUMBER(SEARCH("resolve",$S197)),
ISNUMBER(SEARCH("stamina",$D197)),ISNUMBER(SEARCH("stamina",$T197)),ISNUMBER(SEARCH("stamina",$R197)),ISNUMBER(SEARCH("stamina",$S197)),
ISNUMBER(SEARCH("guts",$D197)),ISNUMBER(SEARCH("guts",$T197)),ISNUMBER(SEARCH("guts",$R197)),ISNUMBER(SEARCH("guts",$S197)),
ISNUMBER(SEARCH("spunk",$D197)),ISNUMBER(SEARCH("spunk",$T197)),ISNUMBER(SEARCH("spunk",$R197)),ISNUMBER(SEARCH("spunk",$S197))), 1, 0)</f>
        <v>0</v>
      </c>
      <c r="BW197" s="5">
        <f t="shared" si="750"/>
        <v>0</v>
      </c>
      <c r="BX197" s="5">
        <f t="shared" si="29"/>
        <v>0</v>
      </c>
      <c r="BY197" s="5">
        <f t="shared" si="30"/>
        <v>0</v>
      </c>
      <c r="BZ197" s="5">
        <f t="shared" si="31"/>
        <v>0</v>
      </c>
      <c r="CA197" s="5">
        <f t="shared" si="32"/>
        <v>0</v>
      </c>
      <c r="CB197" s="5">
        <f t="shared" si="33"/>
        <v>0</v>
      </c>
      <c r="CC197" s="5">
        <f t="shared" si="34"/>
        <v>0</v>
      </c>
      <c r="CD197" s="5">
        <f t="shared" si="35"/>
        <v>0</v>
      </c>
      <c r="CE197" s="5">
        <f t="shared" si="36"/>
        <v>0</v>
      </c>
      <c r="CF197" s="5">
        <f t="shared" si="37"/>
        <v>0</v>
      </c>
      <c r="CG197" s="5">
        <f t="shared" si="38"/>
        <v>0</v>
      </c>
      <c r="CH197" s="5">
        <f t="shared" si="39"/>
        <v>0</v>
      </c>
      <c r="CI197" s="5">
        <f t="shared" si="40"/>
        <v>0</v>
      </c>
      <c r="CJ197" s="5">
        <f t="shared" si="41"/>
        <v>0</v>
      </c>
      <c r="CK197" s="5">
        <f t="shared" si="42"/>
        <v>0</v>
      </c>
      <c r="CL197" s="5">
        <f t="shared" si="43"/>
        <v>0</v>
      </c>
      <c r="CM197" s="5">
        <f t="shared" si="44"/>
        <v>0</v>
      </c>
      <c r="CN197" s="5">
        <f t="shared" si="45"/>
        <v>0</v>
      </c>
      <c r="CO197" s="5">
        <f t="shared" si="46"/>
        <v>0</v>
      </c>
      <c r="CP197" s="6">
        <f t="shared" si="47"/>
        <v>0</v>
      </c>
      <c r="CQ197" s="6">
        <f t="shared" si="48"/>
        <v>0</v>
      </c>
      <c r="CR197" s="6">
        <f t="shared" si="49"/>
        <v>0</v>
      </c>
      <c r="CS197" s="6">
        <f t="shared" si="50"/>
        <v>0</v>
      </c>
      <c r="CT197" s="6">
        <f t="shared" si="584"/>
        <v>0</v>
      </c>
      <c r="CU197" s="6">
        <f t="shared" si="52"/>
        <v>0</v>
      </c>
      <c r="CV197" s="6">
        <f t="shared" si="53"/>
        <v>0</v>
      </c>
      <c r="CW197" s="6">
        <f t="shared" si="54"/>
        <v>0</v>
      </c>
      <c r="CX197" s="6">
        <f t="shared" si="55"/>
        <v>0</v>
      </c>
      <c r="CY197" s="6">
        <f t="shared" si="56"/>
        <v>0</v>
      </c>
      <c r="CZ197" s="6">
        <f t="shared" si="57"/>
        <v>0</v>
      </c>
      <c r="DA197" s="6">
        <f t="shared" si="58"/>
        <v>0</v>
      </c>
      <c r="DB197" s="6">
        <f t="shared" si="59"/>
        <v>0</v>
      </c>
      <c r="DC197" s="6">
        <f t="shared" si="60"/>
        <v>0</v>
      </c>
      <c r="DD197" s="6">
        <f t="shared" si="61"/>
        <v>0</v>
      </c>
      <c r="DE197" s="6">
        <f t="shared" si="62"/>
        <v>0</v>
      </c>
      <c r="DF197" s="6">
        <f t="shared" si="63"/>
        <v>0</v>
      </c>
      <c r="DG197" s="6">
        <f t="shared" si="64"/>
        <v>0</v>
      </c>
      <c r="DH197" s="6">
        <f t="shared" si="697"/>
        <v>0</v>
      </c>
      <c r="DI197" s="6">
        <f t="shared" si="66"/>
        <v>0</v>
      </c>
      <c r="DJ197" s="6">
        <f t="shared" si="653"/>
        <v>0</v>
      </c>
      <c r="DK197" s="7">
        <f t="shared" si="68"/>
        <v>0</v>
      </c>
      <c r="DL197" s="7">
        <f t="shared" si="498"/>
        <v>0</v>
      </c>
      <c r="DM197" s="7">
        <f t="shared" si="70"/>
        <v>0</v>
      </c>
      <c r="DN197" s="7">
        <f t="shared" si="71"/>
        <v>0</v>
      </c>
      <c r="DO197" s="7">
        <f t="shared" si="72"/>
        <v>1</v>
      </c>
      <c r="DP197" s="8">
        <f t="shared" si="73"/>
        <v>0</v>
      </c>
      <c r="DQ197" s="8">
        <f t="shared" si="74"/>
        <v>1</v>
      </c>
      <c r="DR197" s="7">
        <f t="shared" si="75"/>
        <v>0</v>
      </c>
      <c r="DS197" s="7">
        <f t="shared" si="76"/>
        <v>0</v>
      </c>
      <c r="DT197" s="7">
        <f t="shared" si="77"/>
        <v>0</v>
      </c>
      <c r="DU197" s="9">
        <f t="shared" si="78"/>
        <v>0</v>
      </c>
      <c r="DV197" s="9">
        <f t="shared" si="79"/>
        <v>0</v>
      </c>
      <c r="DW197" s="9">
        <f t="shared" si="80"/>
        <v>0</v>
      </c>
      <c r="DX197" s="9">
        <f t="shared" si="81"/>
        <v>0</v>
      </c>
      <c r="DY197" s="9">
        <f t="shared" si="82"/>
        <v>0</v>
      </c>
      <c r="DZ197" s="9">
        <f t="shared" si="83"/>
        <v>0</v>
      </c>
      <c r="EA197" s="9">
        <f t="shared" si="84"/>
        <v>0</v>
      </c>
      <c r="EB197" s="9">
        <f t="shared" si="85"/>
        <v>0</v>
      </c>
      <c r="EC197" s="9">
        <f t="shared" si="86"/>
        <v>0</v>
      </c>
      <c r="ED197" s="9">
        <f t="shared" si="87"/>
        <v>0</v>
      </c>
      <c r="EE197" s="9">
        <f t="shared" si="88"/>
        <v>0</v>
      </c>
      <c r="EF197" s="9">
        <f t="shared" si="89"/>
        <v>0</v>
      </c>
      <c r="EG197" s="9">
        <f t="shared" si="90"/>
        <v>0</v>
      </c>
      <c r="EH197" s="9">
        <f t="shared" si="91"/>
        <v>0</v>
      </c>
      <c r="EI197" s="9">
        <f t="shared" si="92"/>
        <v>0</v>
      </c>
      <c r="EJ197" s="10">
        <f t="shared" si="93"/>
        <v>0</v>
      </c>
      <c r="EK197" s="10">
        <f t="shared" si="94"/>
        <v>0</v>
      </c>
      <c r="EL197" s="10">
        <f t="shared" ref="EL197:EM197" si="751">IF(OR(ISNUMBER(SEARCH("ai software toolkit", $D197)), ISNUMBER(SEARCH("ai software toolkit", $T197)), ISNUMBER(SEARCH("ai software toolkit", $R197)), ISNUMBER(SEARCH("ai software toolkit", $S197))), 1, 0)</f>
        <v>0</v>
      </c>
      <c r="EM197" s="10">
        <f t="shared" si="751"/>
        <v>0</v>
      </c>
      <c r="EN197" s="10">
        <f t="shared" si="96"/>
        <v>0</v>
      </c>
      <c r="EO197" s="10">
        <f t="shared" si="97"/>
        <v>0</v>
      </c>
      <c r="EP197" s="10">
        <f t="shared" si="98"/>
        <v>0</v>
      </c>
      <c r="EQ197" s="10">
        <f t="shared" si="99"/>
        <v>0</v>
      </c>
      <c r="ER197" s="10">
        <f t="shared" si="100"/>
        <v>0</v>
      </c>
      <c r="ES197" s="10">
        <f t="shared" si="101"/>
        <v>0</v>
      </c>
      <c r="ET197" s="10">
        <f t="shared" si="102"/>
        <v>0</v>
      </c>
      <c r="EU197" s="10">
        <f t="shared" si="103"/>
        <v>0</v>
      </c>
      <c r="EV197" s="10">
        <f t="shared" si="104"/>
        <v>0</v>
      </c>
      <c r="EW197" s="10">
        <f t="shared" si="105"/>
        <v>0</v>
      </c>
      <c r="EX197" s="10">
        <f t="shared" si="106"/>
        <v>0</v>
      </c>
      <c r="EY197" s="10">
        <f t="shared" si="107"/>
        <v>0</v>
      </c>
      <c r="EZ197" s="10">
        <f t="shared" si="108"/>
        <v>0</v>
      </c>
      <c r="FA197" s="10">
        <f t="shared" si="109"/>
        <v>0</v>
      </c>
      <c r="FB197" s="10">
        <f t="shared" si="110"/>
        <v>0</v>
      </c>
      <c r="FC197" s="10">
        <f t="shared" si="111"/>
        <v>0</v>
      </c>
      <c r="FD197" s="10">
        <f t="shared" si="112"/>
        <v>0</v>
      </c>
      <c r="FE197" s="10">
        <f t="shared" si="113"/>
        <v>0</v>
      </c>
      <c r="FF197" s="10">
        <f t="shared" si="114"/>
        <v>0</v>
      </c>
      <c r="FG197" s="10">
        <f t="shared" si="115"/>
        <v>0</v>
      </c>
      <c r="FH197" s="10">
        <f t="shared" si="116"/>
        <v>0</v>
      </c>
      <c r="FI197" s="10">
        <f t="shared" si="117"/>
        <v>0</v>
      </c>
      <c r="FJ197" s="10">
        <f t="shared" si="118"/>
        <v>0</v>
      </c>
      <c r="FK197" s="10">
        <f t="shared" si="119"/>
        <v>0</v>
      </c>
      <c r="FL197" s="10">
        <f t="shared" si="120"/>
        <v>0</v>
      </c>
      <c r="FM197" s="10">
        <f t="shared" si="121"/>
        <v>0</v>
      </c>
      <c r="FN197" s="10">
        <f t="shared" si="122"/>
        <v>0</v>
      </c>
      <c r="FO197" s="10">
        <f t="shared" si="123"/>
        <v>0</v>
      </c>
      <c r="FP197" s="10">
        <f t="shared" si="124"/>
        <v>0</v>
      </c>
      <c r="FQ197" s="10">
        <f t="shared" si="125"/>
        <v>0</v>
      </c>
      <c r="FR197" s="11">
        <f t="shared" si="709"/>
        <v>0</v>
      </c>
      <c r="FS197" s="11">
        <f t="shared" si="127"/>
        <v>0</v>
      </c>
      <c r="FT197" s="11">
        <f t="shared" si="128"/>
        <v>0</v>
      </c>
      <c r="FU197" s="11">
        <f t="shared" si="129"/>
        <v>0</v>
      </c>
      <c r="FV197" s="11">
        <f t="shared" si="130"/>
        <v>0</v>
      </c>
      <c r="FW197" s="11">
        <f t="shared" si="131"/>
        <v>0</v>
      </c>
      <c r="FX197" s="11">
        <f t="shared" si="132"/>
        <v>0</v>
      </c>
      <c r="FY197" s="11">
        <f t="shared" si="133"/>
        <v>0</v>
      </c>
      <c r="FZ197" s="11">
        <f t="shared" si="134"/>
        <v>0</v>
      </c>
      <c r="GA197" s="11">
        <f t="shared" si="135"/>
        <v>0</v>
      </c>
      <c r="GB197" s="11">
        <f t="shared" si="136"/>
        <v>0</v>
      </c>
      <c r="GC197" s="11">
        <f t="shared" si="137"/>
        <v>0</v>
      </c>
      <c r="GD197" s="11">
        <f t="shared" si="138"/>
        <v>0</v>
      </c>
      <c r="GE197" s="11">
        <f t="shared" si="139"/>
        <v>0</v>
      </c>
      <c r="GF197" s="11">
        <f t="shared" si="140"/>
        <v>0</v>
      </c>
      <c r="GG197" s="11">
        <f t="shared" si="141"/>
        <v>0</v>
      </c>
      <c r="GH197" s="11">
        <f t="shared" si="142"/>
        <v>0</v>
      </c>
      <c r="GI197" s="11">
        <f t="shared" si="143"/>
        <v>0</v>
      </c>
      <c r="GJ197" s="11">
        <f t="shared" si="144"/>
        <v>0</v>
      </c>
      <c r="GK197" s="11">
        <f t="shared" si="145"/>
        <v>0</v>
      </c>
      <c r="GL197" s="11">
        <f t="shared" si="146"/>
        <v>0</v>
      </c>
      <c r="GM197" s="11">
        <f t="shared" si="147"/>
        <v>0</v>
      </c>
      <c r="GN197" s="11">
        <f t="shared" si="148"/>
        <v>0</v>
      </c>
      <c r="GO197" s="11">
        <f t="shared" si="149"/>
        <v>0</v>
      </c>
      <c r="GP197" s="11">
        <f t="shared" si="150"/>
        <v>0</v>
      </c>
      <c r="GQ197" s="11">
        <f t="shared" si="151"/>
        <v>0</v>
      </c>
      <c r="GR197" s="11">
        <f t="shared" si="152"/>
        <v>0</v>
      </c>
      <c r="GS197" s="11">
        <f t="shared" si="153"/>
        <v>0</v>
      </c>
      <c r="GT197" s="11">
        <f t="shared" si="154"/>
        <v>0</v>
      </c>
      <c r="GU197" s="12">
        <f t="shared" si="155"/>
        <v>0</v>
      </c>
      <c r="GV197" s="12">
        <f t="shared" si="156"/>
        <v>0</v>
      </c>
      <c r="GW197" s="12">
        <f t="shared" si="157"/>
        <v>0</v>
      </c>
      <c r="GX197" s="12">
        <f t="shared" si="158"/>
        <v>0</v>
      </c>
      <c r="GY197" s="12">
        <f t="shared" si="159"/>
        <v>0</v>
      </c>
      <c r="GZ197" s="12">
        <f t="shared" si="160"/>
        <v>0</v>
      </c>
      <c r="HA197" s="12">
        <f t="shared" si="161"/>
        <v>0</v>
      </c>
      <c r="HB197" s="12">
        <f t="shared" si="162"/>
        <v>0</v>
      </c>
      <c r="HC197" s="12">
        <f t="shared" si="163"/>
        <v>0</v>
      </c>
      <c r="HD197" s="12">
        <f t="shared" si="164"/>
        <v>0</v>
      </c>
      <c r="HE197" s="12">
        <f t="shared" si="165"/>
        <v>0</v>
      </c>
      <c r="HF197" s="12">
        <f t="shared" si="166"/>
        <v>0</v>
      </c>
      <c r="HG197" s="12">
        <f t="shared" si="167"/>
        <v>0</v>
      </c>
      <c r="HH197" s="12">
        <f t="shared" si="168"/>
        <v>0</v>
      </c>
      <c r="HI197" s="12">
        <f t="shared" si="169"/>
        <v>0</v>
      </c>
      <c r="HJ197" s="12">
        <f t="shared" si="170"/>
        <v>0</v>
      </c>
      <c r="HK197" s="12">
        <f t="shared" si="171"/>
        <v>0</v>
      </c>
      <c r="HL197" s="12">
        <f t="shared" si="172"/>
        <v>0</v>
      </c>
      <c r="HM197" s="12">
        <f t="shared" si="173"/>
        <v>0</v>
      </c>
      <c r="HN197" s="12">
        <f t="shared" si="174"/>
        <v>0</v>
      </c>
      <c r="HO197" s="12">
        <f t="shared" si="175"/>
        <v>0</v>
      </c>
      <c r="HP197" s="12">
        <f t="shared" si="176"/>
        <v>0</v>
      </c>
      <c r="HQ197" s="12">
        <f t="shared" si="177"/>
        <v>0</v>
      </c>
      <c r="HR197" s="12">
        <f t="shared" si="178"/>
        <v>0</v>
      </c>
      <c r="HS197" s="12">
        <f t="shared" si="179"/>
        <v>0</v>
      </c>
      <c r="HT197" s="12">
        <f t="shared" si="180"/>
        <v>0</v>
      </c>
      <c r="HU197" s="12">
        <f t="shared" si="181"/>
        <v>0</v>
      </c>
      <c r="HV197" s="12">
        <f t="shared" si="182"/>
        <v>0</v>
      </c>
      <c r="HW197" s="12">
        <f t="shared" si="183"/>
        <v>0</v>
      </c>
      <c r="HX197" s="12">
        <f t="shared" si="184"/>
        <v>0</v>
      </c>
      <c r="HY197" s="12">
        <f t="shared" si="185"/>
        <v>0</v>
      </c>
      <c r="HZ197" s="12">
        <f t="shared" si="186"/>
        <v>0</v>
      </c>
      <c r="IA197" s="12">
        <f t="shared" si="187"/>
        <v>0</v>
      </c>
      <c r="IB197" s="12">
        <f t="shared" si="188"/>
        <v>0</v>
      </c>
      <c r="IC197" s="12">
        <f t="shared" si="189"/>
        <v>0</v>
      </c>
      <c r="ID197" s="12">
        <f t="shared" si="190"/>
        <v>0</v>
      </c>
      <c r="IE197" s="12">
        <f t="shared" si="191"/>
        <v>0</v>
      </c>
      <c r="IF197" s="12">
        <f t="shared" si="192"/>
        <v>0</v>
      </c>
      <c r="IG197" s="12">
        <f t="shared" si="193"/>
        <v>0</v>
      </c>
      <c r="IH197" s="12">
        <f t="shared" si="194"/>
        <v>0</v>
      </c>
      <c r="II197" s="12">
        <f t="shared" si="195"/>
        <v>0</v>
      </c>
      <c r="IJ197" s="12">
        <f t="shared" si="196"/>
        <v>0</v>
      </c>
      <c r="IK197" s="12">
        <f t="shared" si="197"/>
        <v>0</v>
      </c>
      <c r="IL197" s="12">
        <f t="shared" si="198"/>
        <v>0</v>
      </c>
      <c r="IM197" s="12">
        <f t="shared" si="199"/>
        <v>0</v>
      </c>
      <c r="IN197" s="12">
        <f t="shared" si="200"/>
        <v>0</v>
      </c>
      <c r="IO197" s="12">
        <f t="shared" si="201"/>
        <v>0</v>
      </c>
      <c r="IP197" s="12">
        <f t="shared" si="202"/>
        <v>0</v>
      </c>
      <c r="IQ197" s="12">
        <f t="shared" si="203"/>
        <v>0</v>
      </c>
      <c r="IR197" s="12">
        <f t="shared" si="204"/>
        <v>0</v>
      </c>
      <c r="IS197" s="12">
        <f t="shared" si="205"/>
        <v>0</v>
      </c>
      <c r="IT197" s="12">
        <f t="shared" si="206"/>
        <v>0</v>
      </c>
      <c r="IU197" s="12">
        <f t="shared" si="207"/>
        <v>0</v>
      </c>
      <c r="IV197" s="12">
        <f t="shared" si="208"/>
        <v>0</v>
      </c>
      <c r="IW197" s="12">
        <f t="shared" si="209"/>
        <v>0</v>
      </c>
      <c r="IX197" s="12">
        <f t="shared" si="210"/>
        <v>0</v>
      </c>
      <c r="IY197" s="12">
        <f t="shared" si="211"/>
        <v>0</v>
      </c>
      <c r="IZ197" s="12">
        <f t="shared" si="212"/>
        <v>1</v>
      </c>
      <c r="JA197" s="13">
        <f t="shared" si="213"/>
        <v>0</v>
      </c>
      <c r="JB197" s="13">
        <f t="shared" si="214"/>
        <v>0</v>
      </c>
      <c r="JC197" s="13">
        <f t="shared" si="215"/>
        <v>0</v>
      </c>
      <c r="JD197" s="13">
        <f t="shared" si="216"/>
        <v>0</v>
      </c>
      <c r="JE197" s="13">
        <f t="shared" si="217"/>
        <v>0</v>
      </c>
      <c r="JF197" s="13">
        <f t="shared" si="218"/>
        <v>0</v>
      </c>
      <c r="JG197" s="13">
        <f t="shared" si="219"/>
        <v>0</v>
      </c>
      <c r="JH197" s="13">
        <f t="shared" si="220"/>
        <v>0</v>
      </c>
      <c r="JI197" s="13">
        <f t="shared" si="221"/>
        <v>0</v>
      </c>
      <c r="JJ197" s="13">
        <f t="shared" si="222"/>
        <v>0</v>
      </c>
      <c r="JK197" s="13">
        <f t="shared" si="223"/>
        <v>0</v>
      </c>
      <c r="JL197" s="13">
        <f t="shared" si="224"/>
        <v>0</v>
      </c>
      <c r="JM197" s="13">
        <f t="shared" si="225"/>
        <v>0</v>
      </c>
      <c r="JN197" s="13">
        <f t="shared" si="226"/>
        <v>0</v>
      </c>
      <c r="JO197" s="13">
        <f t="shared" si="227"/>
        <v>0</v>
      </c>
      <c r="JP197" s="13">
        <f t="shared" si="228"/>
        <v>0</v>
      </c>
      <c r="JQ197" s="13">
        <f t="shared" si="229"/>
        <v>0</v>
      </c>
      <c r="JR197" s="13">
        <f t="shared" si="230"/>
        <v>0</v>
      </c>
      <c r="JS197" s="13">
        <f t="shared" si="231"/>
        <v>0</v>
      </c>
      <c r="JT197" s="13">
        <f t="shared" si="232"/>
        <v>0</v>
      </c>
      <c r="JU197" s="13">
        <f t="shared" si="233"/>
        <v>0</v>
      </c>
      <c r="JV197" s="12">
        <f t="shared" si="234"/>
        <v>0</v>
      </c>
      <c r="JW197" s="12">
        <f t="shared" si="235"/>
        <v>0</v>
      </c>
      <c r="JX197" s="12">
        <f t="shared" si="236"/>
        <v>0</v>
      </c>
      <c r="JY197" s="12">
        <f t="shared" si="237"/>
        <v>0</v>
      </c>
      <c r="JZ197" s="12">
        <f t="shared" si="238"/>
        <v>0</v>
      </c>
      <c r="KA197" s="12">
        <f t="shared" si="239"/>
        <v>0</v>
      </c>
      <c r="KB197" s="12">
        <f t="shared" si="240"/>
        <v>0</v>
      </c>
      <c r="KC197" s="12">
        <f t="shared" si="241"/>
        <v>0</v>
      </c>
      <c r="KD197" s="12">
        <f t="shared" si="242"/>
        <v>0</v>
      </c>
      <c r="KE197" s="12">
        <f t="shared" si="243"/>
        <v>0</v>
      </c>
      <c r="KF197" s="12">
        <f t="shared" si="244"/>
        <v>0</v>
      </c>
      <c r="KG197" s="12">
        <f t="shared" si="245"/>
        <v>0</v>
      </c>
      <c r="KH197" s="12">
        <f t="shared" si="246"/>
        <v>0</v>
      </c>
      <c r="KI197" s="12">
        <f t="shared" si="247"/>
        <v>0</v>
      </c>
      <c r="KJ197" s="12">
        <f t="shared" si="248"/>
        <v>0</v>
      </c>
      <c r="KK197" s="12">
        <f t="shared" si="249"/>
        <v>0</v>
      </c>
      <c r="KL197" s="12">
        <f t="shared" si="250"/>
        <v>0</v>
      </c>
      <c r="KM197" s="12">
        <f t="shared" si="251"/>
        <v>0</v>
      </c>
      <c r="KN197" s="12">
        <f t="shared" si="252"/>
        <v>0</v>
      </c>
      <c r="KO197" s="12">
        <f t="shared" si="253"/>
        <v>0</v>
      </c>
      <c r="KP197" s="12">
        <f t="shared" si="254"/>
        <v>0</v>
      </c>
      <c r="KQ197" s="12">
        <f t="shared" si="255"/>
        <v>0</v>
      </c>
      <c r="KR197" s="12">
        <f t="shared" si="256"/>
        <v>0</v>
      </c>
      <c r="KS197" s="12">
        <f t="shared" si="257"/>
        <v>0</v>
      </c>
      <c r="KT197" s="12">
        <f t="shared" si="258"/>
        <v>0</v>
      </c>
      <c r="KU197" s="12">
        <f t="shared" si="259"/>
        <v>0</v>
      </c>
      <c r="KV197" s="12">
        <f t="shared" si="260"/>
        <v>0</v>
      </c>
      <c r="KW197" s="12">
        <f t="shared" si="261"/>
        <v>0</v>
      </c>
      <c r="KX197" s="12">
        <f t="shared" si="262"/>
        <v>0</v>
      </c>
      <c r="KY197" s="12">
        <f t="shared" si="263"/>
        <v>0</v>
      </c>
      <c r="KZ197" s="12">
        <f t="shared" si="264"/>
        <v>0</v>
      </c>
      <c r="LA197" s="12">
        <f t="shared" si="265"/>
        <v>0</v>
      </c>
      <c r="LB197" s="12">
        <f t="shared" si="266"/>
        <v>0</v>
      </c>
      <c r="LC197" s="12">
        <f t="shared" si="267"/>
        <v>0</v>
      </c>
      <c r="LD197" s="12">
        <f t="shared" si="268"/>
        <v>0</v>
      </c>
      <c r="LE197" s="12">
        <f t="shared" si="269"/>
        <v>0</v>
      </c>
      <c r="LF197" s="12">
        <f t="shared" si="270"/>
        <v>0</v>
      </c>
      <c r="LG197" s="12">
        <f t="shared" si="271"/>
        <v>0</v>
      </c>
      <c r="LH197" s="12">
        <f t="shared" si="272"/>
        <v>0</v>
      </c>
      <c r="LI197" s="12">
        <f t="shared" si="273"/>
        <v>0</v>
      </c>
      <c r="LJ197" s="12">
        <f t="shared" si="274"/>
        <v>0</v>
      </c>
      <c r="LK197" s="12">
        <f t="shared" si="275"/>
        <v>0</v>
      </c>
      <c r="LL197" s="12">
        <f t="shared" si="276"/>
        <v>0</v>
      </c>
      <c r="LM197" s="12">
        <f t="shared" si="277"/>
        <v>0</v>
      </c>
      <c r="LN197" s="12">
        <f t="shared" si="278"/>
        <v>0</v>
      </c>
      <c r="LO197" s="12">
        <f t="shared" si="279"/>
        <v>0</v>
      </c>
      <c r="LP197" s="12">
        <f t="shared" si="280"/>
        <v>0</v>
      </c>
      <c r="LQ197" s="12">
        <f t="shared" si="281"/>
        <v>0</v>
      </c>
      <c r="LR197" s="12">
        <f t="shared" si="282"/>
        <v>0</v>
      </c>
      <c r="LS197" s="12">
        <f t="shared" si="283"/>
        <v>0</v>
      </c>
      <c r="LT197" s="13">
        <f t="shared" si="284"/>
        <v>0</v>
      </c>
      <c r="LU197" s="13">
        <f t="shared" si="285"/>
        <v>0</v>
      </c>
      <c r="LV197" s="13">
        <f t="shared" si="286"/>
        <v>0</v>
      </c>
      <c r="LW197" s="13">
        <f t="shared" si="287"/>
        <v>0</v>
      </c>
      <c r="LX197" s="13">
        <f t="shared" si="288"/>
        <v>0</v>
      </c>
      <c r="LY197" s="13">
        <f t="shared" si="289"/>
        <v>0</v>
      </c>
      <c r="LZ197" s="13">
        <f t="shared" si="290"/>
        <v>0</v>
      </c>
      <c r="MA197" s="13">
        <f t="shared" si="291"/>
        <v>0</v>
      </c>
      <c r="MB197" s="13">
        <f t="shared" si="292"/>
        <v>0</v>
      </c>
      <c r="MC197" s="13">
        <f t="shared" si="293"/>
        <v>0</v>
      </c>
      <c r="MD197" s="13">
        <f t="shared" si="294"/>
        <v>0</v>
      </c>
      <c r="ME197" s="13">
        <f t="shared" si="295"/>
        <v>0</v>
      </c>
      <c r="MF197" s="13">
        <f t="shared" si="296"/>
        <v>0</v>
      </c>
      <c r="MG197" s="13">
        <f t="shared" si="297"/>
        <v>0</v>
      </c>
      <c r="MH197" s="13">
        <f t="shared" si="298"/>
        <v>0</v>
      </c>
      <c r="MI197" s="13">
        <f t="shared" si="299"/>
        <v>0</v>
      </c>
      <c r="MJ197" s="13">
        <f t="shared" si="300"/>
        <v>0</v>
      </c>
      <c r="MK197" s="13">
        <f t="shared" si="301"/>
        <v>0</v>
      </c>
      <c r="ML197" s="14">
        <f t="shared" si="302"/>
        <v>0</v>
      </c>
      <c r="MM197" s="14">
        <f t="shared" si="303"/>
        <v>0</v>
      </c>
      <c r="MN197" s="14">
        <f t="shared" si="304"/>
        <v>0</v>
      </c>
      <c r="MO197" s="14">
        <f t="shared" si="305"/>
        <v>1</v>
      </c>
      <c r="MP197" s="14">
        <f t="shared" si="306"/>
        <v>1</v>
      </c>
      <c r="MQ197" s="14">
        <f t="shared" si="307"/>
        <v>0</v>
      </c>
      <c r="MR197" s="14">
        <f t="shared" si="308"/>
        <v>0</v>
      </c>
      <c r="MS197" s="14">
        <f t="shared" si="309"/>
        <v>0</v>
      </c>
      <c r="MT197" s="14">
        <f t="shared" si="310"/>
        <v>0</v>
      </c>
      <c r="MU197" s="14">
        <f t="shared" si="311"/>
        <v>0</v>
      </c>
      <c r="MV197" s="14">
        <f t="shared" si="312"/>
        <v>0</v>
      </c>
      <c r="MW197" s="14">
        <f t="shared" si="313"/>
        <v>0</v>
      </c>
      <c r="MX197" s="14">
        <f t="shared" si="314"/>
        <v>0</v>
      </c>
      <c r="MY197" s="14">
        <f t="shared" si="315"/>
        <v>0</v>
      </c>
      <c r="MZ197" s="14">
        <f t="shared" si="316"/>
        <v>0</v>
      </c>
      <c r="NA197" s="14">
        <f t="shared" si="317"/>
        <v>0</v>
      </c>
      <c r="NB197" s="14">
        <f t="shared" si="318"/>
        <v>0</v>
      </c>
    </row>
    <row r="198" ht="15.75" customHeight="1">
      <c r="A198" s="2">
        <v>124.0</v>
      </c>
      <c r="B198" s="2" t="s">
        <v>3662</v>
      </c>
      <c r="C198" s="2" t="s">
        <v>3663</v>
      </c>
      <c r="D198" s="2" t="s">
        <v>3664</v>
      </c>
      <c r="E198" s="2">
        <v>2021.0</v>
      </c>
      <c r="F198" s="2" t="s">
        <v>3665</v>
      </c>
      <c r="G198" s="2" t="s">
        <v>1069</v>
      </c>
      <c r="H198" s="2" t="s">
        <v>510</v>
      </c>
      <c r="I198" s="2" t="s">
        <v>3666</v>
      </c>
      <c r="M198" s="2">
        <v>1.0</v>
      </c>
      <c r="N198" s="2" t="s">
        <v>3667</v>
      </c>
      <c r="O198" s="2" t="s">
        <v>3668</v>
      </c>
      <c r="P198" s="2" t="s">
        <v>3669</v>
      </c>
      <c r="Q198" s="2" t="s">
        <v>3670</v>
      </c>
      <c r="R198" s="2" t="s">
        <v>3671</v>
      </c>
      <c r="S198" s="2" t="s">
        <v>3672</v>
      </c>
      <c r="Y198" s="2" t="s">
        <v>3673</v>
      </c>
      <c r="AB198" s="2" t="s">
        <v>481</v>
      </c>
      <c r="AG198" s="2" t="s">
        <v>3674</v>
      </c>
      <c r="AK198" s="2" t="s">
        <v>3675</v>
      </c>
      <c r="AL198" s="2" t="s">
        <v>384</v>
      </c>
      <c r="AM198" s="2" t="s">
        <v>484</v>
      </c>
      <c r="AN198" s="2" t="s">
        <v>386</v>
      </c>
      <c r="AO198" s="2" t="s">
        <v>3676</v>
      </c>
      <c r="AP198" s="2" t="s">
        <v>386</v>
      </c>
      <c r="AQ198" s="2">
        <v>412.0</v>
      </c>
      <c r="AR198" s="2" t="s">
        <v>3677</v>
      </c>
      <c r="AS198" s="2" t="b">
        <v>1</v>
      </c>
      <c r="AT198" s="3">
        <v>0.0</v>
      </c>
      <c r="AU198" s="4"/>
      <c r="AV198" s="4"/>
      <c r="AW198" s="5">
        <f t="shared" si="432"/>
        <v>0</v>
      </c>
      <c r="AX198" s="5">
        <f t="shared" si="4"/>
        <v>0</v>
      </c>
      <c r="AY198" s="5">
        <f t="shared" si="5"/>
        <v>0</v>
      </c>
      <c r="AZ198" s="5">
        <f t="shared" si="6"/>
        <v>0</v>
      </c>
      <c r="BA198" s="5">
        <f t="shared" si="7"/>
        <v>0</v>
      </c>
      <c r="BB198" s="5">
        <f t="shared" si="8"/>
        <v>0</v>
      </c>
      <c r="BC198" s="5">
        <f t="shared" si="9"/>
        <v>0</v>
      </c>
      <c r="BD198" s="5">
        <f t="shared" si="10"/>
        <v>0</v>
      </c>
      <c r="BE198" s="5">
        <f t="shared" si="11"/>
        <v>0</v>
      </c>
      <c r="BF198" s="5">
        <f t="shared" si="12"/>
        <v>0</v>
      </c>
      <c r="BG198" s="5">
        <f t="shared" si="13"/>
        <v>0</v>
      </c>
      <c r="BH198" s="5">
        <f t="shared" si="14"/>
        <v>0</v>
      </c>
      <c r="BI198" s="5">
        <f t="shared" si="15"/>
        <v>0</v>
      </c>
      <c r="BJ198" s="5">
        <f t="shared" si="16"/>
        <v>0</v>
      </c>
      <c r="BK198" s="5">
        <f t="shared" si="17"/>
        <v>0</v>
      </c>
      <c r="BL198" s="5">
        <f t="shared" si="18"/>
        <v>0</v>
      </c>
      <c r="BM198" s="5">
        <f t="shared" si="19"/>
        <v>0</v>
      </c>
      <c r="BN198" s="5">
        <f t="shared" si="20"/>
        <v>0</v>
      </c>
      <c r="BO198" s="5">
        <f t="shared" si="21"/>
        <v>0</v>
      </c>
      <c r="BP198" s="5">
        <f t="shared" si="22"/>
        <v>0</v>
      </c>
      <c r="BQ198" s="5">
        <f t="shared" si="23"/>
        <v>0</v>
      </c>
      <c r="BR198" s="5">
        <f t="shared" si="24"/>
        <v>0</v>
      </c>
      <c r="BS198" s="5">
        <f t="shared" si="25"/>
        <v>0</v>
      </c>
      <c r="BT198" s="5">
        <f t="shared" si="26"/>
        <v>0</v>
      </c>
      <c r="BU198" s="5">
        <f t="shared" si="27"/>
        <v>0</v>
      </c>
      <c r="BV198" s="5">
        <f t="shared" ref="BV198:BW198" si="752">IF(OR(ISNUMBER(SEARCH("grit",$D198)),ISNUMBER(SEARCH("grit",$T198)),ISNUMBER(SEARCH("grit",$R198)),ISNUMBER(SEARCH("grit",$S198)),
ISNUMBER(SEARCH("determination",$D198)),ISNUMBER(SEARCH("determination",$T198)),ISNUMBER(SEARCH("determination",$R198)),ISNUMBER(SEARCH("determination",$S198)),
ISNUMBER(SEARCH("tenacity",$D198)),ISNUMBER(SEARCH("tenacity",$T198)),ISNUMBER(SEARCH("tenacity",$R198)),ISNUMBER(SEARCH("tenacity",$S198)),
ISNUMBER(SEARCH("endurance",$D198)),ISNUMBER(SEARCH("endurance",$T198)),ISNUMBER(SEARCH("endurance",$R198)),ISNUMBER(SEARCH("endurance",$S198)),
ISNUMBER(SEARCH("fortitude",$D198)),ISNUMBER(SEARCH("fortitude",$T198)),ISNUMBER(SEARCH("fortitude",$R198)),ISNUMBER(SEARCH("fortitude",$S198)),
ISNUMBER(SEARCH("resolve",$D198)),ISNUMBER(SEARCH("resolve",$T198)),ISNUMBER(SEARCH("resolve",$R198)),ISNUMBER(SEARCH("resolve",$S198)),
ISNUMBER(SEARCH("stamina",$D198)),ISNUMBER(SEARCH("stamina",$T198)),ISNUMBER(SEARCH("stamina",$R198)),ISNUMBER(SEARCH("stamina",$S198)),
ISNUMBER(SEARCH("guts",$D198)),ISNUMBER(SEARCH("guts",$T198)),ISNUMBER(SEARCH("guts",$R198)),ISNUMBER(SEARCH("guts",$S198)),
ISNUMBER(SEARCH("spunk",$D198)),ISNUMBER(SEARCH("spunk",$T198)),ISNUMBER(SEARCH("spunk",$R198)),ISNUMBER(SEARCH("spunk",$S198))), 1, 0)</f>
        <v>0</v>
      </c>
      <c r="BW198" s="5">
        <f t="shared" si="752"/>
        <v>0</v>
      </c>
      <c r="BX198" s="5">
        <f t="shared" si="29"/>
        <v>0</v>
      </c>
      <c r="BY198" s="5">
        <f t="shared" si="30"/>
        <v>0</v>
      </c>
      <c r="BZ198" s="5">
        <f t="shared" si="31"/>
        <v>0</v>
      </c>
      <c r="CA198" s="5">
        <f t="shared" si="32"/>
        <v>0</v>
      </c>
      <c r="CB198" s="5">
        <f t="shared" si="33"/>
        <v>0</v>
      </c>
      <c r="CC198" s="5">
        <f t="shared" si="34"/>
        <v>0</v>
      </c>
      <c r="CD198" s="5">
        <f t="shared" si="35"/>
        <v>0</v>
      </c>
      <c r="CE198" s="5">
        <f t="shared" si="36"/>
        <v>0</v>
      </c>
      <c r="CF198" s="5">
        <f t="shared" si="37"/>
        <v>0</v>
      </c>
      <c r="CG198" s="5">
        <f t="shared" si="38"/>
        <v>0</v>
      </c>
      <c r="CH198" s="5">
        <f t="shared" si="39"/>
        <v>0</v>
      </c>
      <c r="CI198" s="5">
        <f t="shared" si="40"/>
        <v>0</v>
      </c>
      <c r="CJ198" s="5">
        <f t="shared" si="41"/>
        <v>0</v>
      </c>
      <c r="CK198" s="5">
        <f t="shared" si="42"/>
        <v>0</v>
      </c>
      <c r="CL198" s="5">
        <f t="shared" si="43"/>
        <v>0</v>
      </c>
      <c r="CM198" s="5">
        <f t="shared" si="44"/>
        <v>0</v>
      </c>
      <c r="CN198" s="5">
        <f t="shared" si="45"/>
        <v>0</v>
      </c>
      <c r="CO198" s="5">
        <f t="shared" si="46"/>
        <v>0</v>
      </c>
      <c r="CP198" s="6">
        <f t="shared" si="47"/>
        <v>0</v>
      </c>
      <c r="CQ198" s="6">
        <f t="shared" si="48"/>
        <v>0</v>
      </c>
      <c r="CR198" s="6">
        <f t="shared" si="49"/>
        <v>0</v>
      </c>
      <c r="CS198" s="6">
        <f t="shared" si="50"/>
        <v>0</v>
      </c>
      <c r="CT198" s="6">
        <f t="shared" si="584"/>
        <v>0</v>
      </c>
      <c r="CU198" s="6">
        <f t="shared" si="52"/>
        <v>0</v>
      </c>
      <c r="CV198" s="6">
        <f t="shared" si="53"/>
        <v>0</v>
      </c>
      <c r="CW198" s="6">
        <f t="shared" si="54"/>
        <v>0</v>
      </c>
      <c r="CX198" s="6">
        <f t="shared" si="55"/>
        <v>0</v>
      </c>
      <c r="CY198" s="6">
        <f t="shared" si="56"/>
        <v>0</v>
      </c>
      <c r="CZ198" s="6">
        <f t="shared" si="57"/>
        <v>0</v>
      </c>
      <c r="DA198" s="6">
        <f t="shared" si="58"/>
        <v>0</v>
      </c>
      <c r="DB198" s="6">
        <f t="shared" si="59"/>
        <v>0</v>
      </c>
      <c r="DC198" s="6">
        <f t="shared" si="60"/>
        <v>0</v>
      </c>
      <c r="DD198" s="6">
        <f t="shared" si="61"/>
        <v>0</v>
      </c>
      <c r="DE198" s="6">
        <f t="shared" si="62"/>
        <v>0</v>
      </c>
      <c r="DF198" s="6">
        <f t="shared" si="63"/>
        <v>0</v>
      </c>
      <c r="DG198" s="6">
        <f t="shared" si="64"/>
        <v>0</v>
      </c>
      <c r="DH198" s="6">
        <f t="shared" si="697"/>
        <v>0</v>
      </c>
      <c r="DI198" s="6">
        <f t="shared" si="66"/>
        <v>1</v>
      </c>
      <c r="DJ198" s="6">
        <f t="shared" si="653"/>
        <v>0</v>
      </c>
      <c r="DK198" s="7">
        <f t="shared" si="68"/>
        <v>0</v>
      </c>
      <c r="DL198" s="7">
        <f t="shared" si="498"/>
        <v>0</v>
      </c>
      <c r="DM198" s="7">
        <f t="shared" si="70"/>
        <v>0</v>
      </c>
      <c r="DN198" s="7">
        <f t="shared" si="71"/>
        <v>0</v>
      </c>
      <c r="DO198" s="7">
        <f t="shared" si="72"/>
        <v>1</v>
      </c>
      <c r="DP198" s="8">
        <f t="shared" si="73"/>
        <v>0</v>
      </c>
      <c r="DQ198" s="8">
        <f t="shared" si="74"/>
        <v>1</v>
      </c>
      <c r="DR198" s="7">
        <f t="shared" si="75"/>
        <v>0</v>
      </c>
      <c r="DS198" s="7">
        <f t="shared" si="76"/>
        <v>0</v>
      </c>
      <c r="DT198" s="7">
        <f t="shared" si="77"/>
        <v>0</v>
      </c>
      <c r="DU198" s="9">
        <f t="shared" si="78"/>
        <v>0</v>
      </c>
      <c r="DV198" s="9">
        <f t="shared" si="79"/>
        <v>0</v>
      </c>
      <c r="DW198" s="9">
        <f t="shared" si="80"/>
        <v>0</v>
      </c>
      <c r="DX198" s="9">
        <f t="shared" si="81"/>
        <v>0</v>
      </c>
      <c r="DY198" s="9">
        <f t="shared" si="82"/>
        <v>0</v>
      </c>
      <c r="DZ198" s="9">
        <f t="shared" si="83"/>
        <v>0</v>
      </c>
      <c r="EA198" s="9">
        <f t="shared" si="84"/>
        <v>0</v>
      </c>
      <c r="EB198" s="9">
        <f t="shared" si="85"/>
        <v>0</v>
      </c>
      <c r="EC198" s="9">
        <f t="shared" si="86"/>
        <v>0</v>
      </c>
      <c r="ED198" s="9">
        <f t="shared" si="87"/>
        <v>0</v>
      </c>
      <c r="EE198" s="9">
        <f t="shared" si="88"/>
        <v>0</v>
      </c>
      <c r="EF198" s="9">
        <f t="shared" si="89"/>
        <v>0</v>
      </c>
      <c r="EG198" s="9">
        <f t="shared" si="90"/>
        <v>0</v>
      </c>
      <c r="EH198" s="9">
        <f t="shared" si="91"/>
        <v>0</v>
      </c>
      <c r="EI198" s="9">
        <f t="shared" si="92"/>
        <v>0</v>
      </c>
      <c r="EJ198" s="10">
        <f t="shared" si="93"/>
        <v>0</v>
      </c>
      <c r="EK198" s="10">
        <f t="shared" si="94"/>
        <v>0</v>
      </c>
      <c r="EL198" s="10">
        <f t="shared" ref="EL198:EM198" si="753">IF(OR(ISNUMBER(SEARCH("ai software toolkit", $D198)), ISNUMBER(SEARCH("ai software toolkit", $T198)), ISNUMBER(SEARCH("ai software toolkit", $R198)), ISNUMBER(SEARCH("ai software toolkit", $S198))), 1, 0)</f>
        <v>0</v>
      </c>
      <c r="EM198" s="10">
        <f t="shared" si="753"/>
        <v>0</v>
      </c>
      <c r="EN198" s="10">
        <f t="shared" si="96"/>
        <v>0</v>
      </c>
      <c r="EO198" s="10">
        <f t="shared" si="97"/>
        <v>0</v>
      </c>
      <c r="EP198" s="10">
        <f t="shared" si="98"/>
        <v>0</v>
      </c>
      <c r="EQ198" s="10">
        <f t="shared" si="99"/>
        <v>0</v>
      </c>
      <c r="ER198" s="10">
        <f t="shared" si="100"/>
        <v>0</v>
      </c>
      <c r="ES198" s="10">
        <f t="shared" si="101"/>
        <v>0</v>
      </c>
      <c r="ET198" s="10">
        <f t="shared" si="102"/>
        <v>0</v>
      </c>
      <c r="EU198" s="10">
        <f t="shared" si="103"/>
        <v>0</v>
      </c>
      <c r="EV198" s="10">
        <f t="shared" si="104"/>
        <v>0</v>
      </c>
      <c r="EW198" s="10">
        <f t="shared" si="105"/>
        <v>0</v>
      </c>
      <c r="EX198" s="10">
        <f t="shared" si="106"/>
        <v>0</v>
      </c>
      <c r="EY198" s="10">
        <f t="shared" si="107"/>
        <v>0</v>
      </c>
      <c r="EZ198" s="10">
        <f t="shared" si="108"/>
        <v>0</v>
      </c>
      <c r="FA198" s="10">
        <f t="shared" si="109"/>
        <v>0</v>
      </c>
      <c r="FB198" s="10">
        <f t="shared" si="110"/>
        <v>0</v>
      </c>
      <c r="FC198" s="10">
        <f t="shared" si="111"/>
        <v>0</v>
      </c>
      <c r="FD198" s="10">
        <f t="shared" si="112"/>
        <v>0</v>
      </c>
      <c r="FE198" s="10">
        <f t="shared" si="113"/>
        <v>0</v>
      </c>
      <c r="FF198" s="10">
        <f t="shared" si="114"/>
        <v>0</v>
      </c>
      <c r="FG198" s="10">
        <f t="shared" si="115"/>
        <v>0</v>
      </c>
      <c r="FH198" s="10">
        <f t="shared" si="116"/>
        <v>0</v>
      </c>
      <c r="FI198" s="10">
        <f t="shared" si="117"/>
        <v>0</v>
      </c>
      <c r="FJ198" s="10">
        <f t="shared" si="118"/>
        <v>0</v>
      </c>
      <c r="FK198" s="10">
        <f t="shared" si="119"/>
        <v>0</v>
      </c>
      <c r="FL198" s="10">
        <f t="shared" si="120"/>
        <v>0</v>
      </c>
      <c r="FM198" s="10">
        <f t="shared" si="121"/>
        <v>0</v>
      </c>
      <c r="FN198" s="10">
        <f t="shared" si="122"/>
        <v>0</v>
      </c>
      <c r="FO198" s="10">
        <f t="shared" si="123"/>
        <v>0</v>
      </c>
      <c r="FP198" s="10">
        <f t="shared" si="124"/>
        <v>0</v>
      </c>
      <c r="FQ198" s="10">
        <f t="shared" si="125"/>
        <v>1</v>
      </c>
      <c r="FR198" s="11">
        <f t="shared" si="709"/>
        <v>0</v>
      </c>
      <c r="FS198" s="11">
        <f t="shared" si="127"/>
        <v>0</v>
      </c>
      <c r="FT198" s="11">
        <f t="shared" si="128"/>
        <v>0</v>
      </c>
      <c r="FU198" s="11">
        <f t="shared" si="129"/>
        <v>0</v>
      </c>
      <c r="FV198" s="11">
        <f t="shared" si="130"/>
        <v>0</v>
      </c>
      <c r="FW198" s="11">
        <f t="shared" si="131"/>
        <v>0</v>
      </c>
      <c r="FX198" s="11">
        <f t="shared" si="132"/>
        <v>0</v>
      </c>
      <c r="FY198" s="11">
        <f t="shared" si="133"/>
        <v>0</v>
      </c>
      <c r="FZ198" s="11">
        <f t="shared" si="134"/>
        <v>0</v>
      </c>
      <c r="GA198" s="11">
        <f t="shared" si="135"/>
        <v>0</v>
      </c>
      <c r="GB198" s="11">
        <f t="shared" si="136"/>
        <v>0</v>
      </c>
      <c r="GC198" s="11">
        <f t="shared" si="137"/>
        <v>0</v>
      </c>
      <c r="GD198" s="11">
        <f t="shared" si="138"/>
        <v>0</v>
      </c>
      <c r="GE198" s="11">
        <f t="shared" si="139"/>
        <v>0</v>
      </c>
      <c r="GF198" s="11">
        <f t="shared" si="140"/>
        <v>0</v>
      </c>
      <c r="GG198" s="11">
        <f t="shared" si="141"/>
        <v>0</v>
      </c>
      <c r="GH198" s="11">
        <f t="shared" si="142"/>
        <v>0</v>
      </c>
      <c r="GI198" s="11">
        <f t="shared" si="143"/>
        <v>0</v>
      </c>
      <c r="GJ198" s="11">
        <f t="shared" si="144"/>
        <v>0</v>
      </c>
      <c r="GK198" s="11">
        <f t="shared" si="145"/>
        <v>0</v>
      </c>
      <c r="GL198" s="11">
        <f t="shared" si="146"/>
        <v>0</v>
      </c>
      <c r="GM198" s="11">
        <f t="shared" si="147"/>
        <v>0</v>
      </c>
      <c r="GN198" s="11">
        <f t="shared" si="148"/>
        <v>0</v>
      </c>
      <c r="GO198" s="11">
        <f t="shared" si="149"/>
        <v>0</v>
      </c>
      <c r="GP198" s="11">
        <f t="shared" si="150"/>
        <v>0</v>
      </c>
      <c r="GQ198" s="11">
        <f t="shared" si="151"/>
        <v>0</v>
      </c>
      <c r="GR198" s="11">
        <f t="shared" si="152"/>
        <v>1</v>
      </c>
      <c r="GS198" s="11">
        <f t="shared" si="153"/>
        <v>0</v>
      </c>
      <c r="GT198" s="11">
        <f t="shared" si="154"/>
        <v>0</v>
      </c>
      <c r="GU198" s="12">
        <f t="shared" si="155"/>
        <v>0</v>
      </c>
      <c r="GV198" s="12">
        <f t="shared" si="156"/>
        <v>0</v>
      </c>
      <c r="GW198" s="12">
        <f t="shared" si="157"/>
        <v>0</v>
      </c>
      <c r="GX198" s="12">
        <f t="shared" si="158"/>
        <v>0</v>
      </c>
      <c r="GY198" s="12">
        <f t="shared" si="159"/>
        <v>0</v>
      </c>
      <c r="GZ198" s="12">
        <f t="shared" si="160"/>
        <v>0</v>
      </c>
      <c r="HA198" s="12">
        <f t="shared" si="161"/>
        <v>0</v>
      </c>
      <c r="HB198" s="12">
        <f t="shared" si="162"/>
        <v>0</v>
      </c>
      <c r="HC198" s="12">
        <f t="shared" si="163"/>
        <v>0</v>
      </c>
      <c r="HD198" s="12">
        <f t="shared" si="164"/>
        <v>0</v>
      </c>
      <c r="HE198" s="12">
        <f t="shared" si="165"/>
        <v>0</v>
      </c>
      <c r="HF198" s="12">
        <f t="shared" si="166"/>
        <v>0</v>
      </c>
      <c r="HG198" s="12">
        <f t="shared" si="167"/>
        <v>0</v>
      </c>
      <c r="HH198" s="12">
        <f t="shared" si="168"/>
        <v>0</v>
      </c>
      <c r="HI198" s="12">
        <f t="shared" si="169"/>
        <v>0</v>
      </c>
      <c r="HJ198" s="12">
        <f t="shared" si="170"/>
        <v>0</v>
      </c>
      <c r="HK198" s="12">
        <f t="shared" si="171"/>
        <v>0</v>
      </c>
      <c r="HL198" s="12">
        <f t="shared" si="172"/>
        <v>0</v>
      </c>
      <c r="HM198" s="12">
        <f t="shared" si="173"/>
        <v>0</v>
      </c>
      <c r="HN198" s="12">
        <f t="shared" si="174"/>
        <v>0</v>
      </c>
      <c r="HO198" s="12">
        <f t="shared" si="175"/>
        <v>0</v>
      </c>
      <c r="HP198" s="12">
        <f t="shared" si="176"/>
        <v>0</v>
      </c>
      <c r="HQ198" s="12">
        <f t="shared" si="177"/>
        <v>0</v>
      </c>
      <c r="HR198" s="12">
        <f t="shared" si="178"/>
        <v>0</v>
      </c>
      <c r="HS198" s="12">
        <f t="shared" si="179"/>
        <v>0</v>
      </c>
      <c r="HT198" s="12">
        <f t="shared" si="180"/>
        <v>0</v>
      </c>
      <c r="HU198" s="12">
        <f t="shared" si="181"/>
        <v>0</v>
      </c>
      <c r="HV198" s="12">
        <f t="shared" si="182"/>
        <v>0</v>
      </c>
      <c r="HW198" s="12">
        <f t="shared" si="183"/>
        <v>0</v>
      </c>
      <c r="HX198" s="12">
        <f t="shared" si="184"/>
        <v>0</v>
      </c>
      <c r="HY198" s="12">
        <f t="shared" si="185"/>
        <v>0</v>
      </c>
      <c r="HZ198" s="12">
        <f t="shared" si="186"/>
        <v>0</v>
      </c>
      <c r="IA198" s="12">
        <f t="shared" si="187"/>
        <v>0</v>
      </c>
      <c r="IB198" s="12">
        <f t="shared" si="188"/>
        <v>0</v>
      </c>
      <c r="IC198" s="12">
        <f t="shared" si="189"/>
        <v>0</v>
      </c>
      <c r="ID198" s="12">
        <f t="shared" si="190"/>
        <v>0</v>
      </c>
      <c r="IE198" s="12">
        <f t="shared" si="191"/>
        <v>0</v>
      </c>
      <c r="IF198" s="12">
        <f t="shared" si="192"/>
        <v>0</v>
      </c>
      <c r="IG198" s="12">
        <f t="shared" si="193"/>
        <v>0</v>
      </c>
      <c r="IH198" s="12">
        <f t="shared" si="194"/>
        <v>0</v>
      </c>
      <c r="II198" s="12">
        <f t="shared" si="195"/>
        <v>0</v>
      </c>
      <c r="IJ198" s="12">
        <f t="shared" si="196"/>
        <v>0</v>
      </c>
      <c r="IK198" s="12">
        <f t="shared" si="197"/>
        <v>0</v>
      </c>
      <c r="IL198" s="12">
        <f t="shared" si="198"/>
        <v>0</v>
      </c>
      <c r="IM198" s="12">
        <f t="shared" si="199"/>
        <v>0</v>
      </c>
      <c r="IN198" s="12">
        <f t="shared" si="200"/>
        <v>0</v>
      </c>
      <c r="IO198" s="12">
        <f t="shared" si="201"/>
        <v>0</v>
      </c>
      <c r="IP198" s="12">
        <f t="shared" si="202"/>
        <v>0</v>
      </c>
      <c r="IQ198" s="12">
        <f t="shared" si="203"/>
        <v>0</v>
      </c>
      <c r="IR198" s="12">
        <f t="shared" si="204"/>
        <v>0</v>
      </c>
      <c r="IS198" s="12">
        <f t="shared" si="205"/>
        <v>0</v>
      </c>
      <c r="IT198" s="12">
        <f t="shared" si="206"/>
        <v>0</v>
      </c>
      <c r="IU198" s="12">
        <f t="shared" si="207"/>
        <v>0</v>
      </c>
      <c r="IV198" s="12">
        <f t="shared" si="208"/>
        <v>0</v>
      </c>
      <c r="IW198" s="12">
        <f t="shared" si="209"/>
        <v>0</v>
      </c>
      <c r="IX198" s="12">
        <f t="shared" si="210"/>
        <v>0</v>
      </c>
      <c r="IY198" s="12">
        <f t="shared" si="211"/>
        <v>0</v>
      </c>
      <c r="IZ198" s="12">
        <f t="shared" si="212"/>
        <v>0</v>
      </c>
      <c r="JA198" s="13">
        <f t="shared" si="213"/>
        <v>0</v>
      </c>
      <c r="JB198" s="13">
        <f t="shared" si="214"/>
        <v>0</v>
      </c>
      <c r="JC198" s="13">
        <f t="shared" si="215"/>
        <v>0</v>
      </c>
      <c r="JD198" s="13">
        <f t="shared" si="216"/>
        <v>0</v>
      </c>
      <c r="JE198" s="13">
        <f t="shared" si="217"/>
        <v>0</v>
      </c>
      <c r="JF198" s="13">
        <f t="shared" si="218"/>
        <v>0</v>
      </c>
      <c r="JG198" s="13">
        <f t="shared" si="219"/>
        <v>0</v>
      </c>
      <c r="JH198" s="13">
        <f t="shared" si="220"/>
        <v>0</v>
      </c>
      <c r="JI198" s="13">
        <f t="shared" si="221"/>
        <v>0</v>
      </c>
      <c r="JJ198" s="13">
        <f t="shared" si="222"/>
        <v>0</v>
      </c>
      <c r="JK198" s="13">
        <f t="shared" si="223"/>
        <v>0</v>
      </c>
      <c r="JL198" s="13">
        <f t="shared" si="224"/>
        <v>0</v>
      </c>
      <c r="JM198" s="13">
        <f t="shared" si="225"/>
        <v>0</v>
      </c>
      <c r="JN198" s="13">
        <f t="shared" si="226"/>
        <v>0</v>
      </c>
      <c r="JO198" s="13">
        <f t="shared" si="227"/>
        <v>0</v>
      </c>
      <c r="JP198" s="13">
        <f t="shared" si="228"/>
        <v>0</v>
      </c>
      <c r="JQ198" s="13">
        <f t="shared" si="229"/>
        <v>0</v>
      </c>
      <c r="JR198" s="13">
        <f t="shared" si="230"/>
        <v>0</v>
      </c>
      <c r="JS198" s="13">
        <f t="shared" si="231"/>
        <v>0</v>
      </c>
      <c r="JT198" s="13">
        <f t="shared" si="232"/>
        <v>0</v>
      </c>
      <c r="JU198" s="13">
        <f t="shared" si="233"/>
        <v>0</v>
      </c>
      <c r="JV198" s="12">
        <f t="shared" si="234"/>
        <v>0</v>
      </c>
      <c r="JW198" s="12">
        <f t="shared" si="235"/>
        <v>0</v>
      </c>
      <c r="JX198" s="12">
        <f t="shared" si="236"/>
        <v>0</v>
      </c>
      <c r="JY198" s="12">
        <f t="shared" si="237"/>
        <v>0</v>
      </c>
      <c r="JZ198" s="12">
        <f t="shared" si="238"/>
        <v>0</v>
      </c>
      <c r="KA198" s="12">
        <f t="shared" si="239"/>
        <v>0</v>
      </c>
      <c r="KB198" s="12">
        <f t="shared" si="240"/>
        <v>0</v>
      </c>
      <c r="KC198" s="12">
        <f t="shared" si="241"/>
        <v>0</v>
      </c>
      <c r="KD198" s="12">
        <f t="shared" si="242"/>
        <v>0</v>
      </c>
      <c r="KE198" s="12">
        <f t="shared" si="243"/>
        <v>0</v>
      </c>
      <c r="KF198" s="12">
        <f t="shared" si="244"/>
        <v>0</v>
      </c>
      <c r="KG198" s="12">
        <f t="shared" si="245"/>
        <v>0</v>
      </c>
      <c r="KH198" s="12">
        <f t="shared" si="246"/>
        <v>0</v>
      </c>
      <c r="KI198" s="12">
        <f t="shared" si="247"/>
        <v>0</v>
      </c>
      <c r="KJ198" s="12">
        <f t="shared" si="248"/>
        <v>0</v>
      </c>
      <c r="KK198" s="12">
        <f t="shared" si="249"/>
        <v>0</v>
      </c>
      <c r="KL198" s="12">
        <f t="shared" si="250"/>
        <v>0</v>
      </c>
      <c r="KM198" s="12">
        <f t="shared" si="251"/>
        <v>0</v>
      </c>
      <c r="KN198" s="12">
        <f t="shared" si="252"/>
        <v>0</v>
      </c>
      <c r="KO198" s="12">
        <f t="shared" si="253"/>
        <v>0</v>
      </c>
      <c r="KP198" s="12">
        <f t="shared" si="254"/>
        <v>0</v>
      </c>
      <c r="KQ198" s="12">
        <f t="shared" si="255"/>
        <v>0</v>
      </c>
      <c r="KR198" s="12">
        <f t="shared" si="256"/>
        <v>0</v>
      </c>
      <c r="KS198" s="12">
        <f t="shared" si="257"/>
        <v>0</v>
      </c>
      <c r="KT198" s="12">
        <f t="shared" si="258"/>
        <v>0</v>
      </c>
      <c r="KU198" s="12">
        <f t="shared" si="259"/>
        <v>0</v>
      </c>
      <c r="KV198" s="12">
        <f t="shared" si="260"/>
        <v>0</v>
      </c>
      <c r="KW198" s="12">
        <f t="shared" si="261"/>
        <v>0</v>
      </c>
      <c r="KX198" s="12">
        <f t="shared" si="262"/>
        <v>0</v>
      </c>
      <c r="KY198" s="12">
        <f t="shared" si="263"/>
        <v>0</v>
      </c>
      <c r="KZ198" s="12">
        <f t="shared" si="264"/>
        <v>0</v>
      </c>
      <c r="LA198" s="12">
        <f t="shared" si="265"/>
        <v>0</v>
      </c>
      <c r="LB198" s="12">
        <f t="shared" si="266"/>
        <v>0</v>
      </c>
      <c r="LC198" s="12">
        <f t="shared" si="267"/>
        <v>0</v>
      </c>
      <c r="LD198" s="12">
        <f t="shared" si="268"/>
        <v>0</v>
      </c>
      <c r="LE198" s="12">
        <f t="shared" si="269"/>
        <v>0</v>
      </c>
      <c r="LF198" s="12">
        <f t="shared" si="270"/>
        <v>0</v>
      </c>
      <c r="LG198" s="12">
        <f t="shared" si="271"/>
        <v>0</v>
      </c>
      <c r="LH198" s="12">
        <f t="shared" si="272"/>
        <v>0</v>
      </c>
      <c r="LI198" s="12">
        <f t="shared" si="273"/>
        <v>0</v>
      </c>
      <c r="LJ198" s="12">
        <f t="shared" si="274"/>
        <v>0</v>
      </c>
      <c r="LK198" s="12">
        <f t="shared" si="275"/>
        <v>0</v>
      </c>
      <c r="LL198" s="12">
        <f t="shared" si="276"/>
        <v>0</v>
      </c>
      <c r="LM198" s="12">
        <f t="shared" si="277"/>
        <v>0</v>
      </c>
      <c r="LN198" s="12">
        <f t="shared" si="278"/>
        <v>0</v>
      </c>
      <c r="LO198" s="12">
        <f t="shared" si="279"/>
        <v>0</v>
      </c>
      <c r="LP198" s="12">
        <f t="shared" si="280"/>
        <v>0</v>
      </c>
      <c r="LQ198" s="12">
        <f t="shared" si="281"/>
        <v>0</v>
      </c>
      <c r="LR198" s="12">
        <f t="shared" si="282"/>
        <v>0</v>
      </c>
      <c r="LS198" s="12">
        <f t="shared" si="283"/>
        <v>0</v>
      </c>
      <c r="LT198" s="13">
        <f t="shared" si="284"/>
        <v>0</v>
      </c>
      <c r="LU198" s="13">
        <f t="shared" si="285"/>
        <v>0</v>
      </c>
      <c r="LV198" s="13">
        <f t="shared" si="286"/>
        <v>0</v>
      </c>
      <c r="LW198" s="13">
        <f t="shared" si="287"/>
        <v>0</v>
      </c>
      <c r="LX198" s="13">
        <f t="shared" si="288"/>
        <v>0</v>
      </c>
      <c r="LY198" s="13">
        <f t="shared" si="289"/>
        <v>0</v>
      </c>
      <c r="LZ198" s="13">
        <f t="shared" si="290"/>
        <v>0</v>
      </c>
      <c r="MA198" s="13">
        <f t="shared" si="291"/>
        <v>0</v>
      </c>
      <c r="MB198" s="13">
        <f t="shared" si="292"/>
        <v>1</v>
      </c>
      <c r="MC198" s="13">
        <f t="shared" si="293"/>
        <v>0</v>
      </c>
      <c r="MD198" s="13">
        <f t="shared" si="294"/>
        <v>0</v>
      </c>
      <c r="ME198" s="13">
        <f t="shared" si="295"/>
        <v>1</v>
      </c>
      <c r="MF198" s="13">
        <f t="shared" si="296"/>
        <v>0</v>
      </c>
      <c r="MG198" s="13">
        <f t="shared" si="297"/>
        <v>0</v>
      </c>
      <c r="MH198" s="13">
        <f t="shared" si="298"/>
        <v>0</v>
      </c>
      <c r="MI198" s="13">
        <f t="shared" si="299"/>
        <v>0</v>
      </c>
      <c r="MJ198" s="13">
        <f t="shared" si="300"/>
        <v>0</v>
      </c>
      <c r="MK198" s="13">
        <f t="shared" si="301"/>
        <v>0</v>
      </c>
      <c r="ML198" s="14">
        <f t="shared" si="302"/>
        <v>0</v>
      </c>
      <c r="MM198" s="14">
        <f t="shared" si="303"/>
        <v>0</v>
      </c>
      <c r="MN198" s="14">
        <f t="shared" si="304"/>
        <v>0</v>
      </c>
      <c r="MO198" s="14">
        <f t="shared" si="305"/>
        <v>0</v>
      </c>
      <c r="MP198" s="14">
        <f t="shared" si="306"/>
        <v>0</v>
      </c>
      <c r="MQ198" s="14">
        <f t="shared" si="307"/>
        <v>0</v>
      </c>
      <c r="MR198" s="14">
        <f t="shared" si="308"/>
        <v>0</v>
      </c>
      <c r="MS198" s="14">
        <f t="shared" si="309"/>
        <v>0</v>
      </c>
      <c r="MT198" s="14">
        <f t="shared" si="310"/>
        <v>0</v>
      </c>
      <c r="MU198" s="14">
        <f t="shared" si="311"/>
        <v>0</v>
      </c>
      <c r="MV198" s="14">
        <f t="shared" si="312"/>
        <v>0</v>
      </c>
      <c r="MW198" s="14">
        <f t="shared" si="313"/>
        <v>0</v>
      </c>
      <c r="MX198" s="14">
        <f t="shared" si="314"/>
        <v>0</v>
      </c>
      <c r="MY198" s="14">
        <f t="shared" si="315"/>
        <v>0</v>
      </c>
      <c r="MZ198" s="14">
        <f t="shared" si="316"/>
        <v>0</v>
      </c>
      <c r="NA198" s="14">
        <f t="shared" si="317"/>
        <v>0</v>
      </c>
      <c r="NB198" s="14">
        <f t="shared" si="318"/>
        <v>0</v>
      </c>
    </row>
    <row r="199" ht="15.75" customHeight="1">
      <c r="A199" s="2">
        <v>78.0</v>
      </c>
      <c r="B199" s="2" t="s">
        <v>3678</v>
      </c>
      <c r="C199" s="2" t="s">
        <v>3679</v>
      </c>
      <c r="D199" s="2" t="s">
        <v>3680</v>
      </c>
      <c r="E199" s="2">
        <v>2021.0</v>
      </c>
      <c r="F199" s="2" t="s">
        <v>3681</v>
      </c>
      <c r="G199" s="2" t="s">
        <v>656</v>
      </c>
      <c r="I199" s="2" t="s">
        <v>3682</v>
      </c>
      <c r="M199" s="2">
        <v>1.0</v>
      </c>
      <c r="N199" s="2" t="s">
        <v>3683</v>
      </c>
      <c r="O199" s="2" t="s">
        <v>3684</v>
      </c>
      <c r="P199" s="2" t="s">
        <v>3685</v>
      </c>
      <c r="Q199" s="2" t="s">
        <v>3686</v>
      </c>
      <c r="R199" s="2" t="s">
        <v>3687</v>
      </c>
      <c r="S199" s="2" t="s">
        <v>3688</v>
      </c>
      <c r="Y199" s="2" t="s">
        <v>3689</v>
      </c>
      <c r="AB199" s="2" t="s">
        <v>1039</v>
      </c>
      <c r="AG199" s="2" t="s">
        <v>3690</v>
      </c>
      <c r="AK199" s="2" t="s">
        <v>3691</v>
      </c>
      <c r="AL199" s="2" t="s">
        <v>384</v>
      </c>
      <c r="AM199" s="2" t="s">
        <v>484</v>
      </c>
      <c r="AN199" s="2" t="s">
        <v>386</v>
      </c>
      <c r="AO199" s="2" t="s">
        <v>3692</v>
      </c>
      <c r="AP199" s="2" t="s">
        <v>386</v>
      </c>
      <c r="AQ199" s="2">
        <v>244.0</v>
      </c>
      <c r="AR199" s="2" t="s">
        <v>3693</v>
      </c>
      <c r="AS199" s="2" t="b">
        <v>1</v>
      </c>
      <c r="AT199" s="3">
        <v>0.0</v>
      </c>
      <c r="AU199" s="4"/>
      <c r="AV199" s="4"/>
      <c r="AW199" s="5">
        <f t="shared" si="432"/>
        <v>0</v>
      </c>
      <c r="AX199" s="5">
        <f t="shared" si="4"/>
        <v>0</v>
      </c>
      <c r="AY199" s="5">
        <f t="shared" si="5"/>
        <v>0</v>
      </c>
      <c r="AZ199" s="5">
        <f t="shared" si="6"/>
        <v>0</v>
      </c>
      <c r="BA199" s="5">
        <f t="shared" si="7"/>
        <v>0</v>
      </c>
      <c r="BB199" s="5">
        <f t="shared" si="8"/>
        <v>0</v>
      </c>
      <c r="BC199" s="5">
        <f t="shared" si="9"/>
        <v>0</v>
      </c>
      <c r="BD199" s="5">
        <f t="shared" si="10"/>
        <v>0</v>
      </c>
      <c r="BE199" s="5">
        <f t="shared" si="11"/>
        <v>0</v>
      </c>
      <c r="BF199" s="5">
        <f t="shared" si="12"/>
        <v>0</v>
      </c>
      <c r="BG199" s="5">
        <f t="shared" si="13"/>
        <v>0</v>
      </c>
      <c r="BH199" s="5">
        <f t="shared" si="14"/>
        <v>0</v>
      </c>
      <c r="BI199" s="5">
        <f t="shared" si="15"/>
        <v>0</v>
      </c>
      <c r="BJ199" s="5">
        <f t="shared" si="16"/>
        <v>0</v>
      </c>
      <c r="BK199" s="5">
        <f t="shared" si="17"/>
        <v>0</v>
      </c>
      <c r="BL199" s="5">
        <f t="shared" si="18"/>
        <v>0</v>
      </c>
      <c r="BM199" s="5">
        <f t="shared" si="19"/>
        <v>0</v>
      </c>
      <c r="BN199" s="5">
        <f t="shared" si="20"/>
        <v>0</v>
      </c>
      <c r="BO199" s="5">
        <f t="shared" si="21"/>
        <v>0</v>
      </c>
      <c r="BP199" s="5">
        <f t="shared" si="22"/>
        <v>0</v>
      </c>
      <c r="BQ199" s="5">
        <f t="shared" si="23"/>
        <v>0</v>
      </c>
      <c r="BR199" s="5">
        <f t="shared" si="24"/>
        <v>0</v>
      </c>
      <c r="BS199" s="5">
        <f t="shared" si="25"/>
        <v>0</v>
      </c>
      <c r="BT199" s="5">
        <f t="shared" si="26"/>
        <v>0</v>
      </c>
      <c r="BU199" s="5">
        <f t="shared" si="27"/>
        <v>0</v>
      </c>
      <c r="BV199" s="5">
        <f t="shared" ref="BV199:BW199" si="754">IF(OR(ISNUMBER(SEARCH("grit",$D199)),ISNUMBER(SEARCH("grit",$T199)),ISNUMBER(SEARCH("grit",$R199)),ISNUMBER(SEARCH("grit",$S199)),
ISNUMBER(SEARCH("determination",$D199)),ISNUMBER(SEARCH("determination",$T199)),ISNUMBER(SEARCH("determination",$R199)),ISNUMBER(SEARCH("determination",$S199)),
ISNUMBER(SEARCH("tenacity",$D199)),ISNUMBER(SEARCH("tenacity",$T199)),ISNUMBER(SEARCH("tenacity",$R199)),ISNUMBER(SEARCH("tenacity",$S199)),
ISNUMBER(SEARCH("endurance",$D199)),ISNUMBER(SEARCH("endurance",$T199)),ISNUMBER(SEARCH("endurance",$R199)),ISNUMBER(SEARCH("endurance",$S199)),
ISNUMBER(SEARCH("fortitude",$D199)),ISNUMBER(SEARCH("fortitude",$T199)),ISNUMBER(SEARCH("fortitude",$R199)),ISNUMBER(SEARCH("fortitude",$S199)),
ISNUMBER(SEARCH("resolve",$D199)),ISNUMBER(SEARCH("resolve",$T199)),ISNUMBER(SEARCH("resolve",$R199)),ISNUMBER(SEARCH("resolve",$S199)),
ISNUMBER(SEARCH("stamina",$D199)),ISNUMBER(SEARCH("stamina",$T199)),ISNUMBER(SEARCH("stamina",$R199)),ISNUMBER(SEARCH("stamina",$S199)),
ISNUMBER(SEARCH("guts",$D199)),ISNUMBER(SEARCH("guts",$T199)),ISNUMBER(SEARCH("guts",$R199)),ISNUMBER(SEARCH("guts",$S199)),
ISNUMBER(SEARCH("spunk",$D199)),ISNUMBER(SEARCH("spunk",$T199)),ISNUMBER(SEARCH("spunk",$R199)),ISNUMBER(SEARCH("spunk",$S199))), 1, 0)</f>
        <v>0</v>
      </c>
      <c r="BW199" s="5">
        <f t="shared" si="754"/>
        <v>0</v>
      </c>
      <c r="BX199" s="5">
        <f t="shared" si="29"/>
        <v>0</v>
      </c>
      <c r="BY199" s="5">
        <f t="shared" si="30"/>
        <v>0</v>
      </c>
      <c r="BZ199" s="5">
        <f t="shared" si="31"/>
        <v>0</v>
      </c>
      <c r="CA199" s="5">
        <f t="shared" si="32"/>
        <v>0</v>
      </c>
      <c r="CB199" s="5">
        <f t="shared" si="33"/>
        <v>0</v>
      </c>
      <c r="CC199" s="5">
        <f t="shared" si="34"/>
        <v>0</v>
      </c>
      <c r="CD199" s="5">
        <f t="shared" si="35"/>
        <v>0</v>
      </c>
      <c r="CE199" s="5">
        <f t="shared" si="36"/>
        <v>0</v>
      </c>
      <c r="CF199" s="5">
        <f t="shared" si="37"/>
        <v>0</v>
      </c>
      <c r="CG199" s="5">
        <f t="shared" si="38"/>
        <v>0</v>
      </c>
      <c r="CH199" s="5">
        <f t="shared" si="39"/>
        <v>0</v>
      </c>
      <c r="CI199" s="5">
        <f t="shared" si="40"/>
        <v>0</v>
      </c>
      <c r="CJ199" s="5">
        <f t="shared" si="41"/>
        <v>0</v>
      </c>
      <c r="CK199" s="5">
        <f t="shared" si="42"/>
        <v>0</v>
      </c>
      <c r="CL199" s="5">
        <f t="shared" si="43"/>
        <v>0</v>
      </c>
      <c r="CM199" s="5">
        <f t="shared" si="44"/>
        <v>0</v>
      </c>
      <c r="CN199" s="5">
        <f t="shared" si="45"/>
        <v>0</v>
      </c>
      <c r="CO199" s="5">
        <f t="shared" si="46"/>
        <v>0</v>
      </c>
      <c r="CP199" s="6">
        <f t="shared" si="47"/>
        <v>0</v>
      </c>
      <c r="CQ199" s="6">
        <f t="shared" si="48"/>
        <v>0</v>
      </c>
      <c r="CR199" s="6">
        <f t="shared" si="49"/>
        <v>0</v>
      </c>
      <c r="CS199" s="6">
        <f t="shared" si="50"/>
        <v>0</v>
      </c>
      <c r="CT199" s="6">
        <f t="shared" si="584"/>
        <v>0</v>
      </c>
      <c r="CU199" s="6">
        <f t="shared" si="52"/>
        <v>0</v>
      </c>
      <c r="CV199" s="6">
        <f t="shared" si="53"/>
        <v>0</v>
      </c>
      <c r="CW199" s="6">
        <f t="shared" si="54"/>
        <v>0</v>
      </c>
      <c r="CX199" s="6">
        <f t="shared" si="55"/>
        <v>0</v>
      </c>
      <c r="CY199" s="6">
        <f t="shared" si="56"/>
        <v>0</v>
      </c>
      <c r="CZ199" s="6">
        <f t="shared" si="57"/>
        <v>0</v>
      </c>
      <c r="DA199" s="6">
        <f t="shared" si="58"/>
        <v>0</v>
      </c>
      <c r="DB199" s="6">
        <f t="shared" si="59"/>
        <v>0</v>
      </c>
      <c r="DC199" s="6">
        <f t="shared" si="60"/>
        <v>0</v>
      </c>
      <c r="DD199" s="6">
        <f t="shared" si="61"/>
        <v>0</v>
      </c>
      <c r="DE199" s="6">
        <f t="shared" si="62"/>
        <v>0</v>
      </c>
      <c r="DF199" s="6">
        <f t="shared" si="63"/>
        <v>0</v>
      </c>
      <c r="DG199" s="6">
        <f t="shared" si="64"/>
        <v>0</v>
      </c>
      <c r="DH199" s="6">
        <f t="shared" si="697"/>
        <v>0</v>
      </c>
      <c r="DI199" s="6">
        <f t="shared" si="66"/>
        <v>0</v>
      </c>
      <c r="DJ199" s="6">
        <f t="shared" si="653"/>
        <v>0</v>
      </c>
      <c r="DK199" s="7">
        <f t="shared" si="68"/>
        <v>0</v>
      </c>
      <c r="DL199" s="7">
        <f t="shared" si="498"/>
        <v>0</v>
      </c>
      <c r="DM199" s="7">
        <f t="shared" si="70"/>
        <v>0</v>
      </c>
      <c r="DN199" s="7">
        <f t="shared" si="71"/>
        <v>0</v>
      </c>
      <c r="DO199" s="7">
        <f t="shared" si="72"/>
        <v>0</v>
      </c>
      <c r="DP199" s="8">
        <f t="shared" si="73"/>
        <v>0</v>
      </c>
      <c r="DQ199" s="8">
        <f t="shared" si="74"/>
        <v>1</v>
      </c>
      <c r="DR199" s="7">
        <f t="shared" si="75"/>
        <v>0</v>
      </c>
      <c r="DS199" s="7">
        <f t="shared" si="76"/>
        <v>0</v>
      </c>
      <c r="DT199" s="7">
        <f t="shared" si="77"/>
        <v>0</v>
      </c>
      <c r="DU199" s="9">
        <f t="shared" si="78"/>
        <v>0</v>
      </c>
      <c r="DV199" s="9">
        <f t="shared" si="79"/>
        <v>0</v>
      </c>
      <c r="DW199" s="9">
        <f t="shared" si="80"/>
        <v>0</v>
      </c>
      <c r="DX199" s="9">
        <f t="shared" si="81"/>
        <v>0</v>
      </c>
      <c r="DY199" s="9">
        <f t="shared" si="82"/>
        <v>0</v>
      </c>
      <c r="DZ199" s="9">
        <f t="shared" si="83"/>
        <v>0</v>
      </c>
      <c r="EA199" s="9">
        <f t="shared" si="84"/>
        <v>0</v>
      </c>
      <c r="EB199" s="9">
        <f t="shared" si="85"/>
        <v>0</v>
      </c>
      <c r="EC199" s="9">
        <f t="shared" si="86"/>
        <v>0</v>
      </c>
      <c r="ED199" s="9">
        <f t="shared" si="87"/>
        <v>0</v>
      </c>
      <c r="EE199" s="9">
        <f t="shared" si="88"/>
        <v>0</v>
      </c>
      <c r="EF199" s="9">
        <f t="shared" si="89"/>
        <v>0</v>
      </c>
      <c r="EG199" s="9">
        <f t="shared" si="90"/>
        <v>0</v>
      </c>
      <c r="EH199" s="9">
        <f t="shared" si="91"/>
        <v>0</v>
      </c>
      <c r="EI199" s="9">
        <f t="shared" si="92"/>
        <v>0</v>
      </c>
      <c r="EJ199" s="10">
        <f t="shared" si="93"/>
        <v>0</v>
      </c>
      <c r="EK199" s="10">
        <f t="shared" si="94"/>
        <v>0</v>
      </c>
      <c r="EL199" s="10">
        <f t="shared" ref="EL199:EM199" si="755">IF(OR(ISNUMBER(SEARCH("ai software toolkit", $D199)), ISNUMBER(SEARCH("ai software toolkit", $T199)), ISNUMBER(SEARCH("ai software toolkit", $R199)), ISNUMBER(SEARCH("ai software toolkit", $S199))), 1, 0)</f>
        <v>0</v>
      </c>
      <c r="EM199" s="10">
        <f t="shared" si="755"/>
        <v>0</v>
      </c>
      <c r="EN199" s="10">
        <f t="shared" si="96"/>
        <v>0</v>
      </c>
      <c r="EO199" s="10">
        <f t="shared" si="97"/>
        <v>0</v>
      </c>
      <c r="EP199" s="10">
        <f t="shared" si="98"/>
        <v>0</v>
      </c>
      <c r="EQ199" s="10">
        <f t="shared" si="99"/>
        <v>0</v>
      </c>
      <c r="ER199" s="10">
        <f t="shared" si="100"/>
        <v>0</v>
      </c>
      <c r="ES199" s="10">
        <f t="shared" si="101"/>
        <v>0</v>
      </c>
      <c r="ET199" s="10">
        <f t="shared" si="102"/>
        <v>0</v>
      </c>
      <c r="EU199" s="10">
        <f t="shared" si="103"/>
        <v>0</v>
      </c>
      <c r="EV199" s="10">
        <f t="shared" si="104"/>
        <v>0</v>
      </c>
      <c r="EW199" s="10">
        <f t="shared" si="105"/>
        <v>0</v>
      </c>
      <c r="EX199" s="10">
        <f t="shared" si="106"/>
        <v>0</v>
      </c>
      <c r="EY199" s="10">
        <f t="shared" si="107"/>
        <v>0</v>
      </c>
      <c r="EZ199" s="10">
        <f t="shared" si="108"/>
        <v>0</v>
      </c>
      <c r="FA199" s="10">
        <f t="shared" si="109"/>
        <v>0</v>
      </c>
      <c r="FB199" s="10">
        <f t="shared" si="110"/>
        <v>0</v>
      </c>
      <c r="FC199" s="10">
        <f t="shared" si="111"/>
        <v>0</v>
      </c>
      <c r="FD199" s="10">
        <f t="shared" si="112"/>
        <v>0</v>
      </c>
      <c r="FE199" s="10">
        <f t="shared" si="113"/>
        <v>0</v>
      </c>
      <c r="FF199" s="10">
        <f t="shared" si="114"/>
        <v>0</v>
      </c>
      <c r="FG199" s="10">
        <f t="shared" si="115"/>
        <v>0</v>
      </c>
      <c r="FH199" s="10">
        <f t="shared" si="116"/>
        <v>0</v>
      </c>
      <c r="FI199" s="10">
        <f t="shared" si="117"/>
        <v>0</v>
      </c>
      <c r="FJ199" s="10">
        <f t="shared" si="118"/>
        <v>0</v>
      </c>
      <c r="FK199" s="10">
        <f t="shared" si="119"/>
        <v>0</v>
      </c>
      <c r="FL199" s="10">
        <f t="shared" si="120"/>
        <v>0</v>
      </c>
      <c r="FM199" s="10">
        <f t="shared" si="121"/>
        <v>0</v>
      </c>
      <c r="FN199" s="10">
        <f t="shared" si="122"/>
        <v>0</v>
      </c>
      <c r="FO199" s="10">
        <f t="shared" si="123"/>
        <v>0</v>
      </c>
      <c r="FP199" s="10">
        <f t="shared" si="124"/>
        <v>0</v>
      </c>
      <c r="FQ199" s="10">
        <f t="shared" si="125"/>
        <v>0</v>
      </c>
      <c r="FR199" s="11">
        <f>IF(
OR(
ISNUMBER(SEARCH("chatbot",$D199)),ISNUMBER(SEARCH("chatbot",$T199)),ISNUMBER(SEARCH("chatbot",$R198)),ISNUMBER(SEARCH("chatbot",$S199)),
ISNUMBER(SEARCH("virtual assistance",$D199)),ISNUMBER(SEARCH("virtual assistance",$T199)),ISNUMBER(SEARCH("virtual assistance",$R199)),ISNUMBER(SEARCH("virtual assistance",$S199))), 1, 0)</f>
        <v>0</v>
      </c>
      <c r="FS199" s="11">
        <f t="shared" si="127"/>
        <v>0</v>
      </c>
      <c r="FT199" s="11">
        <f t="shared" si="128"/>
        <v>0</v>
      </c>
      <c r="FU199" s="11">
        <f t="shared" si="129"/>
        <v>0</v>
      </c>
      <c r="FV199" s="11">
        <f t="shared" si="130"/>
        <v>0</v>
      </c>
      <c r="FW199" s="11">
        <f t="shared" si="131"/>
        <v>0</v>
      </c>
      <c r="FX199" s="11">
        <f t="shared" si="132"/>
        <v>0</v>
      </c>
      <c r="FY199" s="11">
        <f t="shared" si="133"/>
        <v>0</v>
      </c>
      <c r="FZ199" s="11">
        <f t="shared" si="134"/>
        <v>0</v>
      </c>
      <c r="GA199" s="11">
        <f t="shared" si="135"/>
        <v>0</v>
      </c>
      <c r="GB199" s="11">
        <f t="shared" si="136"/>
        <v>0</v>
      </c>
      <c r="GC199" s="11">
        <f t="shared" si="137"/>
        <v>0</v>
      </c>
      <c r="GD199" s="11">
        <f t="shared" si="138"/>
        <v>0</v>
      </c>
      <c r="GE199" s="11">
        <f t="shared" si="139"/>
        <v>0</v>
      </c>
      <c r="GF199" s="11">
        <f t="shared" si="140"/>
        <v>0</v>
      </c>
      <c r="GG199" s="11">
        <f t="shared" si="141"/>
        <v>0</v>
      </c>
      <c r="GH199" s="11">
        <f t="shared" si="142"/>
        <v>0</v>
      </c>
      <c r="GI199" s="11">
        <f t="shared" si="143"/>
        <v>0</v>
      </c>
      <c r="GJ199" s="11">
        <f t="shared" si="144"/>
        <v>0</v>
      </c>
      <c r="GK199" s="11">
        <f t="shared" si="145"/>
        <v>0</v>
      </c>
      <c r="GL199" s="11">
        <f t="shared" si="146"/>
        <v>0</v>
      </c>
      <c r="GM199" s="11">
        <f t="shared" si="147"/>
        <v>0</v>
      </c>
      <c r="GN199" s="11">
        <f t="shared" si="148"/>
        <v>0</v>
      </c>
      <c r="GO199" s="11">
        <f t="shared" si="149"/>
        <v>0</v>
      </c>
      <c r="GP199" s="11">
        <f t="shared" si="150"/>
        <v>0</v>
      </c>
      <c r="GQ199" s="11">
        <f t="shared" si="151"/>
        <v>0</v>
      </c>
      <c r="GR199" s="11">
        <f t="shared" si="152"/>
        <v>0</v>
      </c>
      <c r="GS199" s="11">
        <f t="shared" si="153"/>
        <v>0</v>
      </c>
      <c r="GT199" s="11">
        <f t="shared" si="154"/>
        <v>0</v>
      </c>
      <c r="GU199" s="12">
        <f t="shared" si="155"/>
        <v>0</v>
      </c>
      <c r="GV199" s="12">
        <f t="shared" si="156"/>
        <v>0</v>
      </c>
      <c r="GW199" s="12">
        <f t="shared" si="157"/>
        <v>0</v>
      </c>
      <c r="GX199" s="12">
        <f t="shared" si="158"/>
        <v>0</v>
      </c>
      <c r="GY199" s="12">
        <f t="shared" si="159"/>
        <v>0</v>
      </c>
      <c r="GZ199" s="12">
        <f t="shared" si="160"/>
        <v>0</v>
      </c>
      <c r="HA199" s="12">
        <f t="shared" si="161"/>
        <v>0</v>
      </c>
      <c r="HB199" s="12">
        <f t="shared" si="162"/>
        <v>0</v>
      </c>
      <c r="HC199" s="12">
        <f t="shared" si="163"/>
        <v>0</v>
      </c>
      <c r="HD199" s="12">
        <f t="shared" si="164"/>
        <v>0</v>
      </c>
      <c r="HE199" s="12">
        <f t="shared" si="165"/>
        <v>0</v>
      </c>
      <c r="HF199" s="12">
        <f t="shared" si="166"/>
        <v>0</v>
      </c>
      <c r="HG199" s="12">
        <f t="shared" si="167"/>
        <v>0</v>
      </c>
      <c r="HH199" s="12">
        <f t="shared" si="168"/>
        <v>0</v>
      </c>
      <c r="HI199" s="12">
        <f t="shared" si="169"/>
        <v>0</v>
      </c>
      <c r="HJ199" s="12">
        <f t="shared" si="170"/>
        <v>0</v>
      </c>
      <c r="HK199" s="12">
        <f t="shared" si="171"/>
        <v>0</v>
      </c>
      <c r="HL199" s="12">
        <f t="shared" si="172"/>
        <v>0</v>
      </c>
      <c r="HM199" s="12">
        <f t="shared" si="173"/>
        <v>0</v>
      </c>
      <c r="HN199" s="12">
        <f t="shared" si="174"/>
        <v>0</v>
      </c>
      <c r="HO199" s="12">
        <f t="shared" si="175"/>
        <v>0</v>
      </c>
      <c r="HP199" s="12">
        <f t="shared" si="176"/>
        <v>0</v>
      </c>
      <c r="HQ199" s="12">
        <f t="shared" si="177"/>
        <v>0</v>
      </c>
      <c r="HR199" s="12">
        <f t="shared" si="178"/>
        <v>0</v>
      </c>
      <c r="HS199" s="12">
        <f t="shared" si="179"/>
        <v>0</v>
      </c>
      <c r="HT199" s="12">
        <f t="shared" si="180"/>
        <v>0</v>
      </c>
      <c r="HU199" s="12">
        <f t="shared" si="181"/>
        <v>0</v>
      </c>
      <c r="HV199" s="12">
        <f t="shared" si="182"/>
        <v>0</v>
      </c>
      <c r="HW199" s="12">
        <f t="shared" si="183"/>
        <v>0</v>
      </c>
      <c r="HX199" s="12">
        <f t="shared" si="184"/>
        <v>0</v>
      </c>
      <c r="HY199" s="12">
        <f t="shared" si="185"/>
        <v>0</v>
      </c>
      <c r="HZ199" s="12">
        <f t="shared" si="186"/>
        <v>0</v>
      </c>
      <c r="IA199" s="12">
        <f t="shared" si="187"/>
        <v>0</v>
      </c>
      <c r="IB199" s="12">
        <f t="shared" si="188"/>
        <v>0</v>
      </c>
      <c r="IC199" s="12">
        <f t="shared" si="189"/>
        <v>0</v>
      </c>
      <c r="ID199" s="12">
        <f t="shared" si="190"/>
        <v>0</v>
      </c>
      <c r="IE199" s="12">
        <f t="shared" si="191"/>
        <v>0</v>
      </c>
      <c r="IF199" s="12">
        <f t="shared" si="192"/>
        <v>0</v>
      </c>
      <c r="IG199" s="12">
        <f t="shared" si="193"/>
        <v>0</v>
      </c>
      <c r="IH199" s="12">
        <f t="shared" si="194"/>
        <v>0</v>
      </c>
      <c r="II199" s="12">
        <f t="shared" si="195"/>
        <v>0</v>
      </c>
      <c r="IJ199" s="12">
        <f t="shared" si="196"/>
        <v>0</v>
      </c>
      <c r="IK199" s="12">
        <f t="shared" si="197"/>
        <v>0</v>
      </c>
      <c r="IL199" s="12">
        <f t="shared" si="198"/>
        <v>0</v>
      </c>
      <c r="IM199" s="12">
        <f t="shared" si="199"/>
        <v>0</v>
      </c>
      <c r="IN199" s="12">
        <f t="shared" si="200"/>
        <v>0</v>
      </c>
      <c r="IO199" s="12">
        <f t="shared" si="201"/>
        <v>0</v>
      </c>
      <c r="IP199" s="12">
        <f t="shared" si="202"/>
        <v>0</v>
      </c>
      <c r="IQ199" s="12">
        <f t="shared" si="203"/>
        <v>0</v>
      </c>
      <c r="IR199" s="12">
        <f t="shared" si="204"/>
        <v>0</v>
      </c>
      <c r="IS199" s="12">
        <f t="shared" si="205"/>
        <v>0</v>
      </c>
      <c r="IT199" s="12">
        <f t="shared" si="206"/>
        <v>0</v>
      </c>
      <c r="IU199" s="12">
        <f t="shared" si="207"/>
        <v>0</v>
      </c>
      <c r="IV199" s="12">
        <f t="shared" si="208"/>
        <v>0</v>
      </c>
      <c r="IW199" s="12">
        <f t="shared" si="209"/>
        <v>0</v>
      </c>
      <c r="IX199" s="12">
        <f t="shared" si="210"/>
        <v>0</v>
      </c>
      <c r="IY199" s="12">
        <f t="shared" si="211"/>
        <v>0</v>
      </c>
      <c r="IZ199" s="12">
        <f t="shared" si="212"/>
        <v>0</v>
      </c>
      <c r="JA199" s="13">
        <f t="shared" si="213"/>
        <v>0</v>
      </c>
      <c r="JB199" s="13">
        <f t="shared" si="214"/>
        <v>0</v>
      </c>
      <c r="JC199" s="13">
        <f t="shared" si="215"/>
        <v>0</v>
      </c>
      <c r="JD199" s="13">
        <f t="shared" si="216"/>
        <v>0</v>
      </c>
      <c r="JE199" s="13">
        <f t="shared" si="217"/>
        <v>0</v>
      </c>
      <c r="JF199" s="13">
        <f t="shared" si="218"/>
        <v>0</v>
      </c>
      <c r="JG199" s="13">
        <f t="shared" si="219"/>
        <v>0</v>
      </c>
      <c r="JH199" s="13">
        <f t="shared" si="220"/>
        <v>0</v>
      </c>
      <c r="JI199" s="13">
        <f t="shared" si="221"/>
        <v>0</v>
      </c>
      <c r="JJ199" s="13">
        <f t="shared" si="222"/>
        <v>0</v>
      </c>
      <c r="JK199" s="13">
        <f t="shared" si="223"/>
        <v>0</v>
      </c>
      <c r="JL199" s="13">
        <f t="shared" si="224"/>
        <v>0</v>
      </c>
      <c r="JM199" s="13">
        <f t="shared" si="225"/>
        <v>0</v>
      </c>
      <c r="JN199" s="13">
        <f t="shared" si="226"/>
        <v>0</v>
      </c>
      <c r="JO199" s="13">
        <f t="shared" si="227"/>
        <v>0</v>
      </c>
      <c r="JP199" s="13">
        <f t="shared" si="228"/>
        <v>0</v>
      </c>
      <c r="JQ199" s="13">
        <f t="shared" si="229"/>
        <v>0</v>
      </c>
      <c r="JR199" s="13">
        <f t="shared" si="230"/>
        <v>0</v>
      </c>
      <c r="JS199" s="13">
        <f t="shared" si="231"/>
        <v>0</v>
      </c>
      <c r="JT199" s="13">
        <f t="shared" si="232"/>
        <v>0</v>
      </c>
      <c r="JU199" s="13">
        <f t="shared" si="233"/>
        <v>0</v>
      </c>
      <c r="JV199" s="12">
        <f t="shared" si="234"/>
        <v>0</v>
      </c>
      <c r="JW199" s="12">
        <f t="shared" si="235"/>
        <v>0</v>
      </c>
      <c r="JX199" s="12">
        <f t="shared" si="236"/>
        <v>0</v>
      </c>
      <c r="JY199" s="12">
        <f t="shared" si="237"/>
        <v>0</v>
      </c>
      <c r="JZ199" s="12">
        <f t="shared" si="238"/>
        <v>0</v>
      </c>
      <c r="KA199" s="12">
        <f t="shared" si="239"/>
        <v>0</v>
      </c>
      <c r="KB199" s="12">
        <f t="shared" si="240"/>
        <v>0</v>
      </c>
      <c r="KC199" s="12">
        <f t="shared" si="241"/>
        <v>0</v>
      </c>
      <c r="KD199" s="12">
        <f t="shared" si="242"/>
        <v>0</v>
      </c>
      <c r="KE199" s="12">
        <f t="shared" si="243"/>
        <v>0</v>
      </c>
      <c r="KF199" s="12">
        <f t="shared" si="244"/>
        <v>0</v>
      </c>
      <c r="KG199" s="12">
        <f t="shared" si="245"/>
        <v>0</v>
      </c>
      <c r="KH199" s="12">
        <f t="shared" si="246"/>
        <v>0</v>
      </c>
      <c r="KI199" s="12">
        <f t="shared" si="247"/>
        <v>0</v>
      </c>
      <c r="KJ199" s="12">
        <f t="shared" si="248"/>
        <v>0</v>
      </c>
      <c r="KK199" s="12">
        <f t="shared" si="249"/>
        <v>0</v>
      </c>
      <c r="KL199" s="12">
        <f t="shared" si="250"/>
        <v>0</v>
      </c>
      <c r="KM199" s="12">
        <f t="shared" si="251"/>
        <v>0</v>
      </c>
      <c r="KN199" s="12">
        <f t="shared" si="252"/>
        <v>0</v>
      </c>
      <c r="KO199" s="12">
        <f t="shared" si="253"/>
        <v>0</v>
      </c>
      <c r="KP199" s="12">
        <f t="shared" si="254"/>
        <v>0</v>
      </c>
      <c r="KQ199" s="12">
        <f t="shared" si="255"/>
        <v>0</v>
      </c>
      <c r="KR199" s="12">
        <f t="shared" si="256"/>
        <v>0</v>
      </c>
      <c r="KS199" s="12">
        <f t="shared" si="257"/>
        <v>0</v>
      </c>
      <c r="KT199" s="12">
        <f t="shared" si="258"/>
        <v>0</v>
      </c>
      <c r="KU199" s="12">
        <f t="shared" si="259"/>
        <v>0</v>
      </c>
      <c r="KV199" s="12">
        <f t="shared" si="260"/>
        <v>0</v>
      </c>
      <c r="KW199" s="12">
        <f t="shared" si="261"/>
        <v>0</v>
      </c>
      <c r="KX199" s="12">
        <f t="shared" si="262"/>
        <v>0</v>
      </c>
      <c r="KY199" s="12">
        <f t="shared" si="263"/>
        <v>0</v>
      </c>
      <c r="KZ199" s="12">
        <f t="shared" si="264"/>
        <v>0</v>
      </c>
      <c r="LA199" s="12">
        <f t="shared" si="265"/>
        <v>0</v>
      </c>
      <c r="LB199" s="12">
        <f t="shared" si="266"/>
        <v>0</v>
      </c>
      <c r="LC199" s="12">
        <f t="shared" si="267"/>
        <v>0</v>
      </c>
      <c r="LD199" s="12">
        <f t="shared" si="268"/>
        <v>0</v>
      </c>
      <c r="LE199" s="12">
        <f t="shared" si="269"/>
        <v>0</v>
      </c>
      <c r="LF199" s="12">
        <f t="shared" si="270"/>
        <v>0</v>
      </c>
      <c r="LG199" s="12">
        <f t="shared" si="271"/>
        <v>0</v>
      </c>
      <c r="LH199" s="12">
        <f t="shared" si="272"/>
        <v>0</v>
      </c>
      <c r="LI199" s="12">
        <f t="shared" si="273"/>
        <v>0</v>
      </c>
      <c r="LJ199" s="12">
        <f t="shared" si="274"/>
        <v>0</v>
      </c>
      <c r="LK199" s="12">
        <f t="shared" si="275"/>
        <v>0</v>
      </c>
      <c r="LL199" s="12">
        <f t="shared" si="276"/>
        <v>0</v>
      </c>
      <c r="LM199" s="12">
        <f t="shared" si="277"/>
        <v>0</v>
      </c>
      <c r="LN199" s="12">
        <f t="shared" si="278"/>
        <v>0</v>
      </c>
      <c r="LO199" s="12">
        <f t="shared" si="279"/>
        <v>0</v>
      </c>
      <c r="LP199" s="12">
        <f t="shared" si="280"/>
        <v>0</v>
      </c>
      <c r="LQ199" s="12">
        <f t="shared" si="281"/>
        <v>0</v>
      </c>
      <c r="LR199" s="12">
        <f t="shared" si="282"/>
        <v>0</v>
      </c>
      <c r="LS199" s="12">
        <f t="shared" si="283"/>
        <v>0</v>
      </c>
      <c r="LT199" s="13">
        <f t="shared" si="284"/>
        <v>0</v>
      </c>
      <c r="LU199" s="13">
        <f t="shared" si="285"/>
        <v>0</v>
      </c>
      <c r="LV199" s="13">
        <f t="shared" si="286"/>
        <v>0</v>
      </c>
      <c r="LW199" s="13">
        <f t="shared" si="287"/>
        <v>0</v>
      </c>
      <c r="LX199" s="13">
        <f t="shared" si="288"/>
        <v>0</v>
      </c>
      <c r="LY199" s="13">
        <f t="shared" si="289"/>
        <v>0</v>
      </c>
      <c r="LZ199" s="13">
        <f t="shared" si="290"/>
        <v>0</v>
      </c>
      <c r="MA199" s="13">
        <f t="shared" si="291"/>
        <v>0</v>
      </c>
      <c r="MB199" s="13">
        <f t="shared" si="292"/>
        <v>0</v>
      </c>
      <c r="MC199" s="13">
        <f t="shared" si="293"/>
        <v>0</v>
      </c>
      <c r="MD199" s="13">
        <f t="shared" si="294"/>
        <v>0</v>
      </c>
      <c r="ME199" s="13">
        <f t="shared" si="295"/>
        <v>0</v>
      </c>
      <c r="MF199" s="13">
        <f t="shared" si="296"/>
        <v>0</v>
      </c>
      <c r="MG199" s="13">
        <f t="shared" si="297"/>
        <v>0</v>
      </c>
      <c r="MH199" s="13">
        <f t="shared" si="298"/>
        <v>0</v>
      </c>
      <c r="MI199" s="13">
        <f t="shared" si="299"/>
        <v>0</v>
      </c>
      <c r="MJ199" s="13">
        <f t="shared" si="300"/>
        <v>0</v>
      </c>
      <c r="MK199" s="13">
        <f t="shared" si="301"/>
        <v>0</v>
      </c>
      <c r="ML199" s="14">
        <f t="shared" si="302"/>
        <v>0</v>
      </c>
      <c r="MM199" s="14">
        <f t="shared" si="303"/>
        <v>0</v>
      </c>
      <c r="MN199" s="14">
        <f t="shared" si="304"/>
        <v>0</v>
      </c>
      <c r="MO199" s="14">
        <f t="shared" si="305"/>
        <v>0</v>
      </c>
      <c r="MP199" s="14">
        <f t="shared" si="306"/>
        <v>0</v>
      </c>
      <c r="MQ199" s="14">
        <f t="shared" si="307"/>
        <v>0</v>
      </c>
      <c r="MR199" s="14">
        <f t="shared" si="308"/>
        <v>0</v>
      </c>
      <c r="MS199" s="14">
        <f t="shared" si="309"/>
        <v>0</v>
      </c>
      <c r="MT199" s="14">
        <f t="shared" si="310"/>
        <v>0</v>
      </c>
      <c r="MU199" s="14">
        <f t="shared" si="311"/>
        <v>0</v>
      </c>
      <c r="MV199" s="14">
        <f t="shared" si="312"/>
        <v>0</v>
      </c>
      <c r="MW199" s="14">
        <f t="shared" si="313"/>
        <v>0</v>
      </c>
      <c r="MX199" s="14">
        <f t="shared" si="314"/>
        <v>0</v>
      </c>
      <c r="MY199" s="14">
        <f t="shared" si="315"/>
        <v>0</v>
      </c>
      <c r="MZ199" s="14">
        <f t="shared" si="316"/>
        <v>0</v>
      </c>
      <c r="NA199" s="14">
        <f t="shared" si="317"/>
        <v>0</v>
      </c>
      <c r="NB199" s="14">
        <f t="shared" si="318"/>
        <v>0</v>
      </c>
    </row>
    <row r="200" ht="15.75" customHeight="1">
      <c r="A200" s="2">
        <v>763.0</v>
      </c>
      <c r="B200" s="2" t="s">
        <v>3694</v>
      </c>
      <c r="C200" s="2" t="s">
        <v>3695</v>
      </c>
      <c r="D200" s="2" t="s">
        <v>3696</v>
      </c>
      <c r="E200" s="2">
        <v>2022.0</v>
      </c>
      <c r="F200" s="2" t="s">
        <v>3697</v>
      </c>
      <c r="G200" s="2">
        <v>70.0</v>
      </c>
      <c r="H200" s="2" t="s">
        <v>432</v>
      </c>
      <c r="J200" s="2" t="s">
        <v>3426</v>
      </c>
      <c r="K200" s="2" t="s">
        <v>3698</v>
      </c>
      <c r="M200" s="2">
        <v>1.0</v>
      </c>
      <c r="N200" s="2" t="s">
        <v>3699</v>
      </c>
      <c r="O200" s="2" t="s">
        <v>3700</v>
      </c>
      <c r="P200" s="2" t="s">
        <v>3701</v>
      </c>
      <c r="Q200" s="2" t="s">
        <v>3702</v>
      </c>
      <c r="R200" s="2" t="s">
        <v>3703</v>
      </c>
      <c r="S200" s="2" t="s">
        <v>3704</v>
      </c>
      <c r="T200" s="2" t="s">
        <v>3705</v>
      </c>
      <c r="Y200" s="2" t="s">
        <v>3706</v>
      </c>
      <c r="AB200" s="2" t="s">
        <v>3707</v>
      </c>
      <c r="AG200" s="2" t="s">
        <v>3708</v>
      </c>
      <c r="AK200" s="2" t="s">
        <v>3709</v>
      </c>
      <c r="AL200" s="2" t="s">
        <v>384</v>
      </c>
      <c r="AM200" s="2" t="s">
        <v>1306</v>
      </c>
      <c r="AN200" s="2" t="s">
        <v>386</v>
      </c>
      <c r="AO200" s="2" t="s">
        <v>3710</v>
      </c>
      <c r="AP200" s="2" t="s">
        <v>386</v>
      </c>
      <c r="AQ200" s="2">
        <v>2982.0</v>
      </c>
      <c r="AR200" s="2" t="s">
        <v>3696</v>
      </c>
      <c r="AS200" s="2" t="b">
        <v>1</v>
      </c>
      <c r="AT200" s="3">
        <v>0.0</v>
      </c>
      <c r="AU200" s="4"/>
      <c r="AV200" s="4"/>
      <c r="AW200" s="5">
        <f t="shared" si="432"/>
        <v>0</v>
      </c>
      <c r="AX200" s="5">
        <f t="shared" si="4"/>
        <v>0</v>
      </c>
      <c r="AY200" s="5">
        <f t="shared" si="5"/>
        <v>0</v>
      </c>
      <c r="AZ200" s="5">
        <f t="shared" si="6"/>
        <v>0</v>
      </c>
      <c r="BA200" s="5">
        <f t="shared" si="7"/>
        <v>0</v>
      </c>
      <c r="BB200" s="5">
        <f t="shared" si="8"/>
        <v>0</v>
      </c>
      <c r="BC200" s="5">
        <f t="shared" si="9"/>
        <v>0</v>
      </c>
      <c r="BD200" s="5">
        <f t="shared" si="10"/>
        <v>0</v>
      </c>
      <c r="BE200" s="5">
        <f t="shared" si="11"/>
        <v>0</v>
      </c>
      <c r="BF200" s="5">
        <f t="shared" si="12"/>
        <v>0</v>
      </c>
      <c r="BG200" s="5">
        <f t="shared" si="13"/>
        <v>0</v>
      </c>
      <c r="BH200" s="5">
        <f t="shared" si="14"/>
        <v>0</v>
      </c>
      <c r="BI200" s="5">
        <f t="shared" si="15"/>
        <v>0</v>
      </c>
      <c r="BJ200" s="5">
        <f t="shared" si="16"/>
        <v>0</v>
      </c>
      <c r="BK200" s="5">
        <f t="shared" si="17"/>
        <v>0</v>
      </c>
      <c r="BL200" s="5">
        <f t="shared" si="18"/>
        <v>0</v>
      </c>
      <c r="BM200" s="5">
        <f t="shared" si="19"/>
        <v>0</v>
      </c>
      <c r="BN200" s="5">
        <f t="shared" si="20"/>
        <v>0</v>
      </c>
      <c r="BO200" s="5">
        <f t="shared" si="21"/>
        <v>0</v>
      </c>
      <c r="BP200" s="5">
        <f t="shared" si="22"/>
        <v>0</v>
      </c>
      <c r="BQ200" s="5">
        <f t="shared" si="23"/>
        <v>0</v>
      </c>
      <c r="BR200" s="5">
        <f t="shared" si="24"/>
        <v>0</v>
      </c>
      <c r="BS200" s="5">
        <f t="shared" si="25"/>
        <v>1</v>
      </c>
      <c r="BT200" s="5">
        <f t="shared" si="26"/>
        <v>0</v>
      </c>
      <c r="BU200" s="5">
        <f t="shared" si="27"/>
        <v>0</v>
      </c>
      <c r="BV200" s="5">
        <f t="shared" ref="BV200:BW200" si="756">IF(OR(ISNUMBER(SEARCH("grit",$D200)),ISNUMBER(SEARCH("grit",$T200)),ISNUMBER(SEARCH("grit",$R200)),ISNUMBER(SEARCH("grit",$S200)),
ISNUMBER(SEARCH("determination",$D200)),ISNUMBER(SEARCH("determination",$T200)),ISNUMBER(SEARCH("determination",$R200)),ISNUMBER(SEARCH("determination",$S200)),
ISNUMBER(SEARCH("tenacity",$D200)),ISNUMBER(SEARCH("tenacity",$T200)),ISNUMBER(SEARCH("tenacity",$R200)),ISNUMBER(SEARCH("tenacity",$S200)),
ISNUMBER(SEARCH("endurance",$D200)),ISNUMBER(SEARCH("endurance",$T200)),ISNUMBER(SEARCH("endurance",$R200)),ISNUMBER(SEARCH("endurance",$S200)),
ISNUMBER(SEARCH("fortitude",$D200)),ISNUMBER(SEARCH("fortitude",$T200)),ISNUMBER(SEARCH("fortitude",$R200)),ISNUMBER(SEARCH("fortitude",$S200)),
ISNUMBER(SEARCH("resolve",$D200)),ISNUMBER(SEARCH("resolve",$T200)),ISNUMBER(SEARCH("resolve",$R200)),ISNUMBER(SEARCH("resolve",$S200)),
ISNUMBER(SEARCH("stamina",$D200)),ISNUMBER(SEARCH("stamina",$T200)),ISNUMBER(SEARCH("stamina",$R200)),ISNUMBER(SEARCH("stamina",$S200)),
ISNUMBER(SEARCH("guts",$D200)),ISNUMBER(SEARCH("guts",$T200)),ISNUMBER(SEARCH("guts",$R200)),ISNUMBER(SEARCH("guts",$S200)),
ISNUMBER(SEARCH("spunk",$D200)),ISNUMBER(SEARCH("spunk",$T200)),ISNUMBER(SEARCH("spunk",$R200)),ISNUMBER(SEARCH("spunk",$S200))), 1, 0)</f>
        <v>0</v>
      </c>
      <c r="BW200" s="5">
        <f t="shared" si="756"/>
        <v>0</v>
      </c>
      <c r="BX200" s="5">
        <f t="shared" si="29"/>
        <v>0</v>
      </c>
      <c r="BY200" s="5">
        <f t="shared" si="30"/>
        <v>0</v>
      </c>
      <c r="BZ200" s="5">
        <f t="shared" si="31"/>
        <v>0</v>
      </c>
      <c r="CA200" s="5">
        <f t="shared" si="32"/>
        <v>0</v>
      </c>
      <c r="CB200" s="5">
        <f t="shared" si="33"/>
        <v>0</v>
      </c>
      <c r="CC200" s="5">
        <f t="shared" si="34"/>
        <v>0</v>
      </c>
      <c r="CD200" s="5">
        <f t="shared" si="35"/>
        <v>0</v>
      </c>
      <c r="CE200" s="5">
        <f t="shared" si="36"/>
        <v>0</v>
      </c>
      <c r="CF200" s="5">
        <f t="shared" si="37"/>
        <v>0</v>
      </c>
      <c r="CG200" s="5">
        <f t="shared" si="38"/>
        <v>0</v>
      </c>
      <c r="CH200" s="5">
        <f t="shared" si="39"/>
        <v>0</v>
      </c>
      <c r="CI200" s="5">
        <f t="shared" si="40"/>
        <v>0</v>
      </c>
      <c r="CJ200" s="5">
        <f t="shared" si="41"/>
        <v>0</v>
      </c>
      <c r="CK200" s="5">
        <f t="shared" si="42"/>
        <v>0</v>
      </c>
      <c r="CL200" s="5">
        <f t="shared" si="43"/>
        <v>0</v>
      </c>
      <c r="CM200" s="5">
        <f t="shared" si="44"/>
        <v>0</v>
      </c>
      <c r="CN200" s="5">
        <f t="shared" si="45"/>
        <v>0</v>
      </c>
      <c r="CO200" s="5">
        <f t="shared" si="46"/>
        <v>0</v>
      </c>
      <c r="CP200" s="6">
        <f t="shared" si="47"/>
        <v>0</v>
      </c>
      <c r="CQ200" s="6">
        <f t="shared" si="48"/>
        <v>0</v>
      </c>
      <c r="CR200" s="6">
        <f t="shared" si="49"/>
        <v>0</v>
      </c>
      <c r="CS200" s="6">
        <f t="shared" si="50"/>
        <v>0</v>
      </c>
      <c r="CT200" s="6">
        <f t="shared" si="584"/>
        <v>0</v>
      </c>
      <c r="CU200" s="6">
        <f t="shared" si="52"/>
        <v>0</v>
      </c>
      <c r="CV200" s="6">
        <f t="shared" si="53"/>
        <v>0</v>
      </c>
      <c r="CW200" s="6">
        <f t="shared" si="54"/>
        <v>0</v>
      </c>
      <c r="CX200" s="6">
        <f t="shared" si="55"/>
        <v>0</v>
      </c>
      <c r="CY200" s="6">
        <f t="shared" si="56"/>
        <v>0</v>
      </c>
      <c r="CZ200" s="6">
        <f t="shared" si="57"/>
        <v>0</v>
      </c>
      <c r="DA200" s="6">
        <f t="shared" si="58"/>
        <v>0</v>
      </c>
      <c r="DB200" s="6">
        <f t="shared" si="59"/>
        <v>0</v>
      </c>
      <c r="DC200" s="6">
        <f t="shared" si="60"/>
        <v>0</v>
      </c>
      <c r="DD200" s="6">
        <f t="shared" si="61"/>
        <v>0</v>
      </c>
      <c r="DE200" s="6">
        <f t="shared" si="62"/>
        <v>0</v>
      </c>
      <c r="DF200" s="6">
        <f t="shared" si="63"/>
        <v>0</v>
      </c>
      <c r="DG200" s="6">
        <f t="shared" si="64"/>
        <v>0</v>
      </c>
      <c r="DH200" s="6">
        <f t="shared" si="697"/>
        <v>0</v>
      </c>
      <c r="DI200" s="6">
        <f t="shared" si="66"/>
        <v>0</v>
      </c>
      <c r="DJ200" s="6">
        <f t="shared" si="653"/>
        <v>0</v>
      </c>
      <c r="DK200" s="7">
        <f t="shared" si="68"/>
        <v>0</v>
      </c>
      <c r="DL200" s="7">
        <f t="shared" si="498"/>
        <v>0</v>
      </c>
      <c r="DM200" s="7">
        <f t="shared" si="70"/>
        <v>0</v>
      </c>
      <c r="DN200" s="7">
        <f t="shared" si="71"/>
        <v>0</v>
      </c>
      <c r="DO200" s="7">
        <f t="shared" si="72"/>
        <v>0</v>
      </c>
      <c r="DP200" s="8">
        <f t="shared" si="73"/>
        <v>0</v>
      </c>
      <c r="DQ200" s="8">
        <f t="shared" si="74"/>
        <v>1</v>
      </c>
      <c r="DR200" s="7">
        <f t="shared" si="75"/>
        <v>0</v>
      </c>
      <c r="DS200" s="7">
        <f t="shared" si="76"/>
        <v>0</v>
      </c>
      <c r="DT200" s="7">
        <f t="shared" si="77"/>
        <v>0</v>
      </c>
      <c r="DU200" s="9">
        <f t="shared" si="78"/>
        <v>0</v>
      </c>
      <c r="DV200" s="9">
        <f t="shared" si="79"/>
        <v>0</v>
      </c>
      <c r="DW200" s="9">
        <f t="shared" si="80"/>
        <v>0</v>
      </c>
      <c r="DX200" s="9">
        <f t="shared" si="81"/>
        <v>0</v>
      </c>
      <c r="DY200" s="9">
        <f t="shared" si="82"/>
        <v>0</v>
      </c>
      <c r="DZ200" s="9">
        <f t="shared" si="83"/>
        <v>0</v>
      </c>
      <c r="EA200" s="9">
        <f t="shared" si="84"/>
        <v>0</v>
      </c>
      <c r="EB200" s="9">
        <f t="shared" si="85"/>
        <v>0</v>
      </c>
      <c r="EC200" s="9">
        <f t="shared" si="86"/>
        <v>0</v>
      </c>
      <c r="ED200" s="9">
        <f t="shared" si="87"/>
        <v>0</v>
      </c>
      <c r="EE200" s="9">
        <f t="shared" si="88"/>
        <v>0</v>
      </c>
      <c r="EF200" s="9">
        <f t="shared" si="89"/>
        <v>0</v>
      </c>
      <c r="EG200" s="9">
        <f t="shared" si="90"/>
        <v>0</v>
      </c>
      <c r="EH200" s="9">
        <f t="shared" si="91"/>
        <v>0</v>
      </c>
      <c r="EI200" s="9">
        <f t="shared" si="92"/>
        <v>0</v>
      </c>
      <c r="EJ200" s="10">
        <f t="shared" si="93"/>
        <v>0</v>
      </c>
      <c r="EK200" s="10">
        <f t="shared" si="94"/>
        <v>0</v>
      </c>
      <c r="EL200" s="10">
        <f t="shared" ref="EL200:EM200" si="757">IF(OR(ISNUMBER(SEARCH("ai software toolkit", $D200)), ISNUMBER(SEARCH("ai software toolkit", $T200)), ISNUMBER(SEARCH("ai software toolkit", $R200)), ISNUMBER(SEARCH("ai software toolkit", $S200))), 1, 0)</f>
        <v>0</v>
      </c>
      <c r="EM200" s="10">
        <f t="shared" si="757"/>
        <v>0</v>
      </c>
      <c r="EN200" s="10">
        <f t="shared" si="96"/>
        <v>0</v>
      </c>
      <c r="EO200" s="10">
        <f t="shared" si="97"/>
        <v>1</v>
      </c>
      <c r="EP200" s="10">
        <f t="shared" si="98"/>
        <v>0</v>
      </c>
      <c r="EQ200" s="10">
        <f t="shared" si="99"/>
        <v>0</v>
      </c>
      <c r="ER200" s="10">
        <f t="shared" si="100"/>
        <v>0</v>
      </c>
      <c r="ES200" s="10">
        <f t="shared" si="101"/>
        <v>0</v>
      </c>
      <c r="ET200" s="10">
        <f t="shared" si="102"/>
        <v>0</v>
      </c>
      <c r="EU200" s="10">
        <f t="shared" si="103"/>
        <v>0</v>
      </c>
      <c r="EV200" s="10">
        <f t="shared" si="104"/>
        <v>0</v>
      </c>
      <c r="EW200" s="10">
        <f t="shared" si="105"/>
        <v>0</v>
      </c>
      <c r="EX200" s="10">
        <f t="shared" si="106"/>
        <v>0</v>
      </c>
      <c r="EY200" s="10">
        <f t="shared" si="107"/>
        <v>0</v>
      </c>
      <c r="EZ200" s="10">
        <f t="shared" si="108"/>
        <v>0</v>
      </c>
      <c r="FA200" s="10">
        <f t="shared" si="109"/>
        <v>0</v>
      </c>
      <c r="FB200" s="10">
        <f t="shared" si="110"/>
        <v>0</v>
      </c>
      <c r="FC200" s="10">
        <f t="shared" si="111"/>
        <v>0</v>
      </c>
      <c r="FD200" s="10">
        <f t="shared" si="112"/>
        <v>0</v>
      </c>
      <c r="FE200" s="10">
        <f t="shared" si="113"/>
        <v>0</v>
      </c>
      <c r="FF200" s="10">
        <f t="shared" si="114"/>
        <v>0</v>
      </c>
      <c r="FG200" s="10">
        <f t="shared" si="115"/>
        <v>0</v>
      </c>
      <c r="FH200" s="10">
        <f t="shared" si="116"/>
        <v>0</v>
      </c>
      <c r="FI200" s="10">
        <f t="shared" si="117"/>
        <v>0</v>
      </c>
      <c r="FJ200" s="10">
        <f t="shared" si="118"/>
        <v>0</v>
      </c>
      <c r="FK200" s="10">
        <f t="shared" si="119"/>
        <v>0</v>
      </c>
      <c r="FL200" s="10">
        <f t="shared" si="120"/>
        <v>0</v>
      </c>
      <c r="FM200" s="10">
        <f t="shared" si="121"/>
        <v>0</v>
      </c>
      <c r="FN200" s="10">
        <f t="shared" si="122"/>
        <v>0</v>
      </c>
      <c r="FO200" s="10">
        <f t="shared" si="123"/>
        <v>0</v>
      </c>
      <c r="FP200" s="10">
        <f t="shared" si="124"/>
        <v>0</v>
      </c>
      <c r="FQ200" s="10">
        <f t="shared" si="125"/>
        <v>0</v>
      </c>
      <c r="FR200" s="11">
        <f t="shared" ref="FR200:FR201" si="760">IF(
OR(
ISNUMBER(SEARCH("chatbot",$D200)),ISNUMBER(SEARCH("chatbot",$T200)),ISNUMBER(SEARCH("chatbot",#REF!)),ISNUMBER(SEARCH("chatbot",$S200)),
ISNUMBER(SEARCH("virtual assistance",$D200)),ISNUMBER(SEARCH("virtual assistance",$T200)),ISNUMBER(SEARCH("virtual assistance",$R200)),ISNUMBER(SEARCH("virtual assistance",$S200))), 1, 0)</f>
        <v>0</v>
      </c>
      <c r="FS200" s="11">
        <f t="shared" si="127"/>
        <v>0</v>
      </c>
      <c r="FT200" s="11">
        <f t="shared" si="128"/>
        <v>0</v>
      </c>
      <c r="FU200" s="11">
        <f t="shared" si="129"/>
        <v>0</v>
      </c>
      <c r="FV200" s="11">
        <f t="shared" si="130"/>
        <v>0</v>
      </c>
      <c r="FW200" s="11">
        <f t="shared" si="131"/>
        <v>0</v>
      </c>
      <c r="FX200" s="11">
        <f t="shared" si="132"/>
        <v>0</v>
      </c>
      <c r="FY200" s="11">
        <f t="shared" si="133"/>
        <v>0</v>
      </c>
      <c r="FZ200" s="11">
        <f t="shared" si="134"/>
        <v>0</v>
      </c>
      <c r="GA200" s="11">
        <f t="shared" si="135"/>
        <v>0</v>
      </c>
      <c r="GB200" s="11">
        <f t="shared" si="136"/>
        <v>0</v>
      </c>
      <c r="GC200" s="11">
        <f t="shared" si="137"/>
        <v>0</v>
      </c>
      <c r="GD200" s="11">
        <f t="shared" si="138"/>
        <v>0</v>
      </c>
      <c r="GE200" s="11">
        <f t="shared" si="139"/>
        <v>0</v>
      </c>
      <c r="GF200" s="11">
        <f t="shared" si="140"/>
        <v>0</v>
      </c>
      <c r="GG200" s="11">
        <f t="shared" si="141"/>
        <v>0</v>
      </c>
      <c r="GH200" s="11">
        <f t="shared" si="142"/>
        <v>0</v>
      </c>
      <c r="GI200" s="11">
        <f t="shared" si="143"/>
        <v>0</v>
      </c>
      <c r="GJ200" s="11">
        <f t="shared" si="144"/>
        <v>0</v>
      </c>
      <c r="GK200" s="11">
        <f t="shared" si="145"/>
        <v>0</v>
      </c>
      <c r="GL200" s="11">
        <f t="shared" si="146"/>
        <v>0</v>
      </c>
      <c r="GM200" s="11">
        <f t="shared" si="147"/>
        <v>0</v>
      </c>
      <c r="GN200" s="11">
        <f t="shared" si="148"/>
        <v>0</v>
      </c>
      <c r="GO200" s="11">
        <f t="shared" si="149"/>
        <v>0</v>
      </c>
      <c r="GP200" s="11">
        <f t="shared" si="150"/>
        <v>0</v>
      </c>
      <c r="GQ200" s="11">
        <f t="shared" si="151"/>
        <v>0</v>
      </c>
      <c r="GR200" s="11">
        <f t="shared" si="152"/>
        <v>0</v>
      </c>
      <c r="GS200" s="11">
        <f t="shared" si="153"/>
        <v>0</v>
      </c>
      <c r="GT200" s="11">
        <f t="shared" si="154"/>
        <v>0</v>
      </c>
      <c r="GU200" s="12">
        <f t="shared" si="155"/>
        <v>0</v>
      </c>
      <c r="GV200" s="12">
        <f t="shared" si="156"/>
        <v>0</v>
      </c>
      <c r="GW200" s="12">
        <f t="shared" si="157"/>
        <v>0</v>
      </c>
      <c r="GX200" s="12">
        <f t="shared" si="158"/>
        <v>0</v>
      </c>
      <c r="GY200" s="12">
        <f t="shared" si="159"/>
        <v>0</v>
      </c>
      <c r="GZ200" s="12">
        <f t="shared" si="160"/>
        <v>0</v>
      </c>
      <c r="HA200" s="12">
        <f t="shared" si="161"/>
        <v>0</v>
      </c>
      <c r="HB200" s="12">
        <f t="shared" si="162"/>
        <v>0</v>
      </c>
      <c r="HC200" s="12">
        <f t="shared" si="163"/>
        <v>0</v>
      </c>
      <c r="HD200" s="12">
        <f t="shared" si="164"/>
        <v>0</v>
      </c>
      <c r="HE200" s="12">
        <f t="shared" si="165"/>
        <v>0</v>
      </c>
      <c r="HF200" s="12">
        <f t="shared" si="166"/>
        <v>0</v>
      </c>
      <c r="HG200" s="12">
        <f t="shared" si="167"/>
        <v>0</v>
      </c>
      <c r="HH200" s="12">
        <f t="shared" si="168"/>
        <v>0</v>
      </c>
      <c r="HI200" s="12">
        <f t="shared" si="169"/>
        <v>0</v>
      </c>
      <c r="HJ200" s="12">
        <f t="shared" si="170"/>
        <v>0</v>
      </c>
      <c r="HK200" s="12">
        <f t="shared" si="171"/>
        <v>0</v>
      </c>
      <c r="HL200" s="12">
        <f t="shared" si="172"/>
        <v>0</v>
      </c>
      <c r="HM200" s="12">
        <f t="shared" si="173"/>
        <v>0</v>
      </c>
      <c r="HN200" s="12">
        <f t="shared" si="174"/>
        <v>0</v>
      </c>
      <c r="HO200" s="12">
        <f t="shared" si="175"/>
        <v>0</v>
      </c>
      <c r="HP200" s="12">
        <f t="shared" si="176"/>
        <v>0</v>
      </c>
      <c r="HQ200" s="12">
        <f t="shared" si="177"/>
        <v>0</v>
      </c>
      <c r="HR200" s="12">
        <f t="shared" si="178"/>
        <v>0</v>
      </c>
      <c r="HS200" s="12">
        <f t="shared" si="179"/>
        <v>0</v>
      </c>
      <c r="HT200" s="12">
        <f t="shared" si="180"/>
        <v>0</v>
      </c>
      <c r="HU200" s="12">
        <f t="shared" si="181"/>
        <v>0</v>
      </c>
      <c r="HV200" s="12">
        <f t="shared" si="182"/>
        <v>1</v>
      </c>
      <c r="HW200" s="12">
        <f t="shared" si="183"/>
        <v>0</v>
      </c>
      <c r="HX200" s="12">
        <f t="shared" si="184"/>
        <v>0</v>
      </c>
      <c r="HY200" s="12">
        <f t="shared" si="185"/>
        <v>0</v>
      </c>
      <c r="HZ200" s="12">
        <f t="shared" si="186"/>
        <v>0</v>
      </c>
      <c r="IA200" s="12">
        <f t="shared" si="187"/>
        <v>0</v>
      </c>
      <c r="IB200" s="12">
        <f t="shared" si="188"/>
        <v>0</v>
      </c>
      <c r="IC200" s="12">
        <f t="shared" si="189"/>
        <v>0</v>
      </c>
      <c r="ID200" s="12">
        <f t="shared" si="190"/>
        <v>0</v>
      </c>
      <c r="IE200" s="12">
        <f t="shared" si="191"/>
        <v>0</v>
      </c>
      <c r="IF200" s="12">
        <f t="shared" si="192"/>
        <v>0</v>
      </c>
      <c r="IG200" s="12">
        <f t="shared" si="193"/>
        <v>0</v>
      </c>
      <c r="IH200" s="12">
        <f t="shared" si="194"/>
        <v>0</v>
      </c>
      <c r="II200" s="12">
        <f t="shared" si="195"/>
        <v>0</v>
      </c>
      <c r="IJ200" s="12">
        <f t="shared" si="196"/>
        <v>0</v>
      </c>
      <c r="IK200" s="12">
        <f t="shared" si="197"/>
        <v>0</v>
      </c>
      <c r="IL200" s="12">
        <f t="shared" si="198"/>
        <v>0</v>
      </c>
      <c r="IM200" s="12">
        <f t="shared" si="199"/>
        <v>0</v>
      </c>
      <c r="IN200" s="12">
        <f t="shared" si="200"/>
        <v>0</v>
      </c>
      <c r="IO200" s="12">
        <f t="shared" si="201"/>
        <v>0</v>
      </c>
      <c r="IP200" s="12">
        <f t="shared" si="202"/>
        <v>0</v>
      </c>
      <c r="IQ200" s="12">
        <f t="shared" si="203"/>
        <v>0</v>
      </c>
      <c r="IR200" s="12">
        <f t="shared" si="204"/>
        <v>0</v>
      </c>
      <c r="IS200" s="12">
        <f t="shared" si="205"/>
        <v>0</v>
      </c>
      <c r="IT200" s="12">
        <f t="shared" si="206"/>
        <v>0</v>
      </c>
      <c r="IU200" s="12">
        <f t="shared" si="207"/>
        <v>0</v>
      </c>
      <c r="IV200" s="12">
        <f t="shared" si="208"/>
        <v>0</v>
      </c>
      <c r="IW200" s="12">
        <f t="shared" si="209"/>
        <v>0</v>
      </c>
      <c r="IX200" s="12">
        <f t="shared" si="210"/>
        <v>0</v>
      </c>
      <c r="IY200" s="12">
        <f t="shared" si="211"/>
        <v>0</v>
      </c>
      <c r="IZ200" s="12">
        <f t="shared" si="212"/>
        <v>0</v>
      </c>
      <c r="JA200" s="13">
        <f t="shared" si="213"/>
        <v>0</v>
      </c>
      <c r="JB200" s="13">
        <f t="shared" si="214"/>
        <v>0</v>
      </c>
      <c r="JC200" s="13">
        <f t="shared" si="215"/>
        <v>0</v>
      </c>
      <c r="JD200" s="13">
        <f t="shared" si="216"/>
        <v>0</v>
      </c>
      <c r="JE200" s="13">
        <f t="shared" si="217"/>
        <v>0</v>
      </c>
      <c r="JF200" s="13">
        <f t="shared" si="218"/>
        <v>0</v>
      </c>
      <c r="JG200" s="13">
        <f t="shared" si="219"/>
        <v>0</v>
      </c>
      <c r="JH200" s="13">
        <f t="shared" si="220"/>
        <v>0</v>
      </c>
      <c r="JI200" s="13">
        <f t="shared" si="221"/>
        <v>0</v>
      </c>
      <c r="JJ200" s="13">
        <f t="shared" si="222"/>
        <v>0</v>
      </c>
      <c r="JK200" s="13">
        <f t="shared" si="223"/>
        <v>0</v>
      </c>
      <c r="JL200" s="13">
        <f t="shared" si="224"/>
        <v>0</v>
      </c>
      <c r="JM200" s="13">
        <f t="shared" si="225"/>
        <v>0</v>
      </c>
      <c r="JN200" s="13">
        <f t="shared" si="226"/>
        <v>0</v>
      </c>
      <c r="JO200" s="13">
        <f t="shared" si="227"/>
        <v>0</v>
      </c>
      <c r="JP200" s="13">
        <f t="shared" si="228"/>
        <v>0</v>
      </c>
      <c r="JQ200" s="13">
        <f t="shared" si="229"/>
        <v>0</v>
      </c>
      <c r="JR200" s="13">
        <f t="shared" si="230"/>
        <v>0</v>
      </c>
      <c r="JS200" s="13">
        <f t="shared" si="231"/>
        <v>0</v>
      </c>
      <c r="JT200" s="13">
        <f t="shared" si="232"/>
        <v>0</v>
      </c>
      <c r="JU200" s="13">
        <f t="shared" si="233"/>
        <v>0</v>
      </c>
      <c r="JV200" s="12">
        <f t="shared" si="234"/>
        <v>0</v>
      </c>
      <c r="JW200" s="12">
        <f t="shared" si="235"/>
        <v>0</v>
      </c>
      <c r="JX200" s="12">
        <f t="shared" si="236"/>
        <v>0</v>
      </c>
      <c r="JY200" s="12">
        <f t="shared" si="237"/>
        <v>0</v>
      </c>
      <c r="JZ200" s="12">
        <f t="shared" si="238"/>
        <v>0</v>
      </c>
      <c r="KA200" s="12">
        <f t="shared" si="239"/>
        <v>0</v>
      </c>
      <c r="KB200" s="12">
        <f t="shared" si="240"/>
        <v>0</v>
      </c>
      <c r="KC200" s="12">
        <f t="shared" si="241"/>
        <v>0</v>
      </c>
      <c r="KD200" s="12">
        <f t="shared" si="242"/>
        <v>0</v>
      </c>
      <c r="KE200" s="12">
        <f t="shared" si="243"/>
        <v>0</v>
      </c>
      <c r="KF200" s="12">
        <f t="shared" si="244"/>
        <v>0</v>
      </c>
      <c r="KG200" s="12">
        <f t="shared" si="245"/>
        <v>0</v>
      </c>
      <c r="KH200" s="12">
        <f t="shared" si="246"/>
        <v>0</v>
      </c>
      <c r="KI200" s="12">
        <f t="shared" si="247"/>
        <v>0</v>
      </c>
      <c r="KJ200" s="12">
        <f t="shared" si="248"/>
        <v>0</v>
      </c>
      <c r="KK200" s="12">
        <f t="shared" si="249"/>
        <v>0</v>
      </c>
      <c r="KL200" s="12">
        <f t="shared" si="250"/>
        <v>0</v>
      </c>
      <c r="KM200" s="12">
        <f t="shared" si="251"/>
        <v>0</v>
      </c>
      <c r="KN200" s="12">
        <f t="shared" si="252"/>
        <v>0</v>
      </c>
      <c r="KO200" s="12">
        <f t="shared" si="253"/>
        <v>0</v>
      </c>
      <c r="KP200" s="12">
        <f t="shared" si="254"/>
        <v>0</v>
      </c>
      <c r="KQ200" s="12">
        <f t="shared" si="255"/>
        <v>0</v>
      </c>
      <c r="KR200" s="12">
        <f t="shared" si="256"/>
        <v>0</v>
      </c>
      <c r="KS200" s="12">
        <f t="shared" si="257"/>
        <v>0</v>
      </c>
      <c r="KT200" s="12">
        <f t="shared" si="258"/>
        <v>0</v>
      </c>
      <c r="KU200" s="12">
        <f t="shared" si="259"/>
        <v>0</v>
      </c>
      <c r="KV200" s="12">
        <f t="shared" si="260"/>
        <v>0</v>
      </c>
      <c r="KW200" s="12">
        <f t="shared" si="261"/>
        <v>0</v>
      </c>
      <c r="KX200" s="12">
        <f t="shared" si="262"/>
        <v>0</v>
      </c>
      <c r="KY200" s="12">
        <f t="shared" si="263"/>
        <v>0</v>
      </c>
      <c r="KZ200" s="12">
        <f t="shared" si="264"/>
        <v>0</v>
      </c>
      <c r="LA200" s="12">
        <f t="shared" si="265"/>
        <v>0</v>
      </c>
      <c r="LB200" s="12">
        <f t="shared" si="266"/>
        <v>0</v>
      </c>
      <c r="LC200" s="12">
        <f t="shared" si="267"/>
        <v>0</v>
      </c>
      <c r="LD200" s="12">
        <f t="shared" si="268"/>
        <v>0</v>
      </c>
      <c r="LE200" s="12">
        <f t="shared" si="269"/>
        <v>0</v>
      </c>
      <c r="LF200" s="12">
        <f t="shared" si="270"/>
        <v>0</v>
      </c>
      <c r="LG200" s="12">
        <f t="shared" si="271"/>
        <v>0</v>
      </c>
      <c r="LH200" s="12">
        <f t="shared" si="272"/>
        <v>0</v>
      </c>
      <c r="LI200" s="12">
        <f t="shared" si="273"/>
        <v>0</v>
      </c>
      <c r="LJ200" s="12">
        <f t="shared" si="274"/>
        <v>0</v>
      </c>
      <c r="LK200" s="12">
        <f t="shared" si="275"/>
        <v>0</v>
      </c>
      <c r="LL200" s="12">
        <f t="shared" si="276"/>
        <v>0</v>
      </c>
      <c r="LM200" s="12">
        <f t="shared" si="277"/>
        <v>0</v>
      </c>
      <c r="LN200" s="12">
        <f t="shared" si="278"/>
        <v>0</v>
      </c>
      <c r="LO200" s="12">
        <f t="shared" si="279"/>
        <v>0</v>
      </c>
      <c r="LP200" s="12">
        <f t="shared" si="280"/>
        <v>0</v>
      </c>
      <c r="LQ200" s="12">
        <f t="shared" si="281"/>
        <v>0</v>
      </c>
      <c r="LR200" s="12">
        <f t="shared" si="282"/>
        <v>0</v>
      </c>
      <c r="LS200" s="12">
        <f t="shared" si="283"/>
        <v>0</v>
      </c>
      <c r="LT200" s="13">
        <f t="shared" si="284"/>
        <v>0</v>
      </c>
      <c r="LU200" s="13">
        <f t="shared" si="285"/>
        <v>0</v>
      </c>
      <c r="LV200" s="13">
        <f t="shared" si="286"/>
        <v>0</v>
      </c>
      <c r="LW200" s="13">
        <f t="shared" si="287"/>
        <v>0</v>
      </c>
      <c r="LX200" s="13">
        <f t="shared" si="288"/>
        <v>0</v>
      </c>
      <c r="LY200" s="13">
        <f t="shared" si="289"/>
        <v>0</v>
      </c>
      <c r="LZ200" s="13">
        <f t="shared" si="290"/>
        <v>0</v>
      </c>
      <c r="MA200" s="13">
        <f t="shared" si="291"/>
        <v>0</v>
      </c>
      <c r="MB200" s="13">
        <f t="shared" si="292"/>
        <v>0</v>
      </c>
      <c r="MC200" s="13">
        <f t="shared" si="293"/>
        <v>0</v>
      </c>
      <c r="MD200" s="13">
        <f t="shared" si="294"/>
        <v>0</v>
      </c>
      <c r="ME200" s="13">
        <f t="shared" si="295"/>
        <v>0</v>
      </c>
      <c r="MF200" s="13">
        <f t="shared" si="296"/>
        <v>0</v>
      </c>
      <c r="MG200" s="13">
        <f t="shared" si="297"/>
        <v>0</v>
      </c>
      <c r="MH200" s="13">
        <f t="shared" si="298"/>
        <v>0</v>
      </c>
      <c r="MI200" s="13">
        <f t="shared" si="299"/>
        <v>0</v>
      </c>
      <c r="MJ200" s="13">
        <f t="shared" si="300"/>
        <v>0</v>
      </c>
      <c r="MK200" s="13">
        <f t="shared" si="301"/>
        <v>0</v>
      </c>
      <c r="ML200" s="14">
        <f t="shared" si="302"/>
        <v>0</v>
      </c>
      <c r="MM200" s="14">
        <f t="shared" si="303"/>
        <v>0</v>
      </c>
      <c r="MN200" s="14">
        <f t="shared" si="304"/>
        <v>0</v>
      </c>
      <c r="MO200" s="14">
        <f t="shared" si="305"/>
        <v>0</v>
      </c>
      <c r="MP200" s="14">
        <f t="shared" si="306"/>
        <v>0</v>
      </c>
      <c r="MQ200" s="14">
        <f t="shared" si="307"/>
        <v>0</v>
      </c>
      <c r="MR200" s="14">
        <f t="shared" si="308"/>
        <v>0</v>
      </c>
      <c r="MS200" s="14">
        <f t="shared" si="309"/>
        <v>0</v>
      </c>
      <c r="MT200" s="14">
        <f t="shared" si="310"/>
        <v>0</v>
      </c>
      <c r="MU200" s="14">
        <f t="shared" si="311"/>
        <v>0</v>
      </c>
      <c r="MV200" s="14">
        <f t="shared" si="312"/>
        <v>0</v>
      </c>
      <c r="MW200" s="14">
        <f t="shared" si="313"/>
        <v>0</v>
      </c>
      <c r="MX200" s="14">
        <f t="shared" si="314"/>
        <v>0</v>
      </c>
      <c r="MY200" s="14">
        <f t="shared" si="315"/>
        <v>0</v>
      </c>
      <c r="MZ200" s="14">
        <f t="shared" si="316"/>
        <v>0</v>
      </c>
      <c r="NA200" s="14">
        <f t="shared" si="317"/>
        <v>0</v>
      </c>
      <c r="NB200" s="14">
        <f t="shared" si="318"/>
        <v>0</v>
      </c>
    </row>
    <row r="201" ht="15.75" customHeight="1">
      <c r="A201" s="2">
        <v>555.0</v>
      </c>
      <c r="B201" s="2" t="s">
        <v>3711</v>
      </c>
      <c r="C201" s="2" t="s">
        <v>3712</v>
      </c>
      <c r="D201" s="2" t="s">
        <v>3713</v>
      </c>
      <c r="E201" s="2">
        <v>2022.0</v>
      </c>
      <c r="F201" s="2" t="s">
        <v>3714</v>
      </c>
      <c r="G201" s="2">
        <v>6.0</v>
      </c>
      <c r="H201" s="2" t="s">
        <v>371</v>
      </c>
      <c r="I201" s="2" t="s">
        <v>3715</v>
      </c>
      <c r="M201" s="2">
        <v>1.0</v>
      </c>
      <c r="N201" s="2" t="s">
        <v>3716</v>
      </c>
      <c r="O201" s="2" t="s">
        <v>3717</v>
      </c>
      <c r="P201" s="2" t="s">
        <v>3718</v>
      </c>
      <c r="Q201" s="2" t="s">
        <v>3719</v>
      </c>
      <c r="R201" s="2" t="s">
        <v>3720</v>
      </c>
      <c r="S201" s="2" t="s">
        <v>3721</v>
      </c>
      <c r="Y201" s="2" t="s">
        <v>3722</v>
      </c>
      <c r="AB201" s="2" t="s">
        <v>481</v>
      </c>
      <c r="AG201" s="2" t="s">
        <v>3723</v>
      </c>
      <c r="AK201" s="2" t="s">
        <v>3724</v>
      </c>
      <c r="AL201" s="2" t="s">
        <v>384</v>
      </c>
      <c r="AM201" s="2" t="s">
        <v>484</v>
      </c>
      <c r="AN201" s="2" t="s">
        <v>386</v>
      </c>
      <c r="AO201" s="2" t="s">
        <v>3725</v>
      </c>
      <c r="AP201" s="2" t="s">
        <v>386</v>
      </c>
      <c r="AQ201" s="2">
        <v>2143.0</v>
      </c>
      <c r="AR201" s="2" t="s">
        <v>3726</v>
      </c>
      <c r="AS201" s="2" t="b">
        <v>1</v>
      </c>
      <c r="AT201" s="3">
        <v>0.0</v>
      </c>
      <c r="AU201" s="4"/>
      <c r="AV201" s="4"/>
      <c r="AW201" s="5">
        <f t="shared" si="432"/>
        <v>0</v>
      </c>
      <c r="AX201" s="5">
        <f t="shared" si="4"/>
        <v>0</v>
      </c>
      <c r="AY201" s="5">
        <f t="shared" si="5"/>
        <v>0</v>
      </c>
      <c r="AZ201" s="5">
        <f t="shared" si="6"/>
        <v>0</v>
      </c>
      <c r="BA201" s="5">
        <f t="shared" si="7"/>
        <v>0</v>
      </c>
      <c r="BB201" s="5">
        <f t="shared" si="8"/>
        <v>0</v>
      </c>
      <c r="BC201" s="5">
        <f t="shared" si="9"/>
        <v>0</v>
      </c>
      <c r="BD201" s="5">
        <f t="shared" si="10"/>
        <v>0</v>
      </c>
      <c r="BE201" s="5">
        <f t="shared" si="11"/>
        <v>0</v>
      </c>
      <c r="BF201" s="5">
        <f t="shared" si="12"/>
        <v>0</v>
      </c>
      <c r="BG201" s="5">
        <f t="shared" si="13"/>
        <v>0</v>
      </c>
      <c r="BH201" s="5">
        <f t="shared" si="14"/>
        <v>0</v>
      </c>
      <c r="BI201" s="5">
        <f t="shared" si="15"/>
        <v>0</v>
      </c>
      <c r="BJ201" s="5">
        <f t="shared" si="16"/>
        <v>0</v>
      </c>
      <c r="BK201" s="5">
        <f t="shared" si="17"/>
        <v>0</v>
      </c>
      <c r="BL201" s="5">
        <f t="shared" si="18"/>
        <v>0</v>
      </c>
      <c r="BM201" s="5">
        <f t="shared" si="19"/>
        <v>0</v>
      </c>
      <c r="BN201" s="5">
        <f t="shared" si="20"/>
        <v>0</v>
      </c>
      <c r="BO201" s="5">
        <f t="shared" si="21"/>
        <v>0</v>
      </c>
      <c r="BP201" s="5">
        <f t="shared" si="22"/>
        <v>0</v>
      </c>
      <c r="BQ201" s="5">
        <f t="shared" si="23"/>
        <v>0</v>
      </c>
      <c r="BR201" s="5">
        <f t="shared" si="24"/>
        <v>0</v>
      </c>
      <c r="BS201" s="5">
        <f t="shared" si="25"/>
        <v>0</v>
      </c>
      <c r="BT201" s="5">
        <f t="shared" si="26"/>
        <v>0</v>
      </c>
      <c r="BU201" s="5">
        <f t="shared" si="27"/>
        <v>0</v>
      </c>
      <c r="BV201" s="5">
        <f t="shared" ref="BV201:BW201" si="758">IF(OR(ISNUMBER(SEARCH("grit",$D201)),ISNUMBER(SEARCH("grit",$T201)),ISNUMBER(SEARCH("grit",$R201)),ISNUMBER(SEARCH("grit",$S201)),
ISNUMBER(SEARCH("determination",$D201)),ISNUMBER(SEARCH("determination",$T201)),ISNUMBER(SEARCH("determination",$R201)),ISNUMBER(SEARCH("determination",$S201)),
ISNUMBER(SEARCH("tenacity",$D201)),ISNUMBER(SEARCH("tenacity",$T201)),ISNUMBER(SEARCH("tenacity",$R201)),ISNUMBER(SEARCH("tenacity",$S201)),
ISNUMBER(SEARCH("endurance",$D201)),ISNUMBER(SEARCH("endurance",$T201)),ISNUMBER(SEARCH("endurance",$R201)),ISNUMBER(SEARCH("endurance",$S201)),
ISNUMBER(SEARCH("fortitude",$D201)),ISNUMBER(SEARCH("fortitude",$T201)),ISNUMBER(SEARCH("fortitude",$R201)),ISNUMBER(SEARCH("fortitude",$S201)),
ISNUMBER(SEARCH("resolve",$D201)),ISNUMBER(SEARCH("resolve",$T201)),ISNUMBER(SEARCH("resolve",$R201)),ISNUMBER(SEARCH("resolve",$S201)),
ISNUMBER(SEARCH("stamina",$D201)),ISNUMBER(SEARCH("stamina",$T201)),ISNUMBER(SEARCH("stamina",$R201)),ISNUMBER(SEARCH("stamina",$S201)),
ISNUMBER(SEARCH("guts",$D201)),ISNUMBER(SEARCH("guts",$T201)),ISNUMBER(SEARCH("guts",$R201)),ISNUMBER(SEARCH("guts",$S201)),
ISNUMBER(SEARCH("spunk",$D201)),ISNUMBER(SEARCH("spunk",$T201)),ISNUMBER(SEARCH("spunk",$R201)),ISNUMBER(SEARCH("spunk",$S201))), 1, 0)</f>
        <v>0</v>
      </c>
      <c r="BW201" s="5">
        <f t="shared" si="758"/>
        <v>0</v>
      </c>
      <c r="BX201" s="5">
        <f t="shared" si="29"/>
        <v>0</v>
      </c>
      <c r="BY201" s="5">
        <f t="shared" si="30"/>
        <v>0</v>
      </c>
      <c r="BZ201" s="5">
        <f t="shared" si="31"/>
        <v>0</v>
      </c>
      <c r="CA201" s="5">
        <f t="shared" si="32"/>
        <v>0</v>
      </c>
      <c r="CB201" s="5">
        <f t="shared" si="33"/>
        <v>0</v>
      </c>
      <c r="CC201" s="5">
        <f t="shared" si="34"/>
        <v>0</v>
      </c>
      <c r="CD201" s="5">
        <f t="shared" si="35"/>
        <v>0</v>
      </c>
      <c r="CE201" s="5">
        <f t="shared" si="36"/>
        <v>0</v>
      </c>
      <c r="CF201" s="5">
        <f t="shared" si="37"/>
        <v>0</v>
      </c>
      <c r="CG201" s="5">
        <f t="shared" si="38"/>
        <v>0</v>
      </c>
      <c r="CH201" s="5">
        <f t="shared" si="39"/>
        <v>0</v>
      </c>
      <c r="CI201" s="5">
        <f t="shared" si="40"/>
        <v>0</v>
      </c>
      <c r="CJ201" s="5">
        <f t="shared" si="41"/>
        <v>0</v>
      </c>
      <c r="CK201" s="5">
        <f t="shared" si="42"/>
        <v>0</v>
      </c>
      <c r="CL201" s="5">
        <f t="shared" si="43"/>
        <v>0</v>
      </c>
      <c r="CM201" s="5">
        <f t="shared" si="44"/>
        <v>0</v>
      </c>
      <c r="CN201" s="5">
        <f t="shared" si="45"/>
        <v>0</v>
      </c>
      <c r="CO201" s="5">
        <f t="shared" si="46"/>
        <v>0</v>
      </c>
      <c r="CP201" s="6">
        <f t="shared" si="47"/>
        <v>0</v>
      </c>
      <c r="CQ201" s="6">
        <f t="shared" si="48"/>
        <v>0</v>
      </c>
      <c r="CR201" s="6">
        <f t="shared" si="49"/>
        <v>0</v>
      </c>
      <c r="CS201" s="6">
        <f t="shared" si="50"/>
        <v>0</v>
      </c>
      <c r="CT201" s="6">
        <f t="shared" si="584"/>
        <v>0</v>
      </c>
      <c r="CU201" s="6">
        <f t="shared" si="52"/>
        <v>0</v>
      </c>
      <c r="CV201" s="6">
        <f t="shared" si="53"/>
        <v>0</v>
      </c>
      <c r="CW201" s="6">
        <f t="shared" si="54"/>
        <v>0</v>
      </c>
      <c r="CX201" s="6">
        <f t="shared" si="55"/>
        <v>0</v>
      </c>
      <c r="CY201" s="6">
        <f t="shared" si="56"/>
        <v>0</v>
      </c>
      <c r="CZ201" s="6">
        <f t="shared" si="57"/>
        <v>0</v>
      </c>
      <c r="DA201" s="6">
        <f t="shared" si="58"/>
        <v>0</v>
      </c>
      <c r="DB201" s="6">
        <f t="shared" si="59"/>
        <v>0</v>
      </c>
      <c r="DC201" s="6">
        <f t="shared" si="60"/>
        <v>0</v>
      </c>
      <c r="DD201" s="6">
        <f t="shared" si="61"/>
        <v>0</v>
      </c>
      <c r="DE201" s="6">
        <f t="shared" si="62"/>
        <v>0</v>
      </c>
      <c r="DF201" s="6">
        <f t="shared" si="63"/>
        <v>0</v>
      </c>
      <c r="DG201" s="6">
        <f t="shared" si="64"/>
        <v>0</v>
      </c>
      <c r="DH201" s="6">
        <f t="shared" si="697"/>
        <v>0</v>
      </c>
      <c r="DI201" s="6">
        <f t="shared" si="66"/>
        <v>0</v>
      </c>
      <c r="DJ201" s="6">
        <f t="shared" si="653"/>
        <v>0</v>
      </c>
      <c r="DK201" s="7">
        <f t="shared" si="68"/>
        <v>0</v>
      </c>
      <c r="DL201" s="7">
        <f t="shared" si="498"/>
        <v>0</v>
      </c>
      <c r="DM201" s="7">
        <f t="shared" si="70"/>
        <v>0</v>
      </c>
      <c r="DN201" s="7">
        <f t="shared" si="71"/>
        <v>0</v>
      </c>
      <c r="DO201" s="7">
        <f t="shared" si="72"/>
        <v>1</v>
      </c>
      <c r="DP201" s="8">
        <f t="shared" si="73"/>
        <v>0</v>
      </c>
      <c r="DQ201" s="8">
        <f t="shared" si="74"/>
        <v>1</v>
      </c>
      <c r="DR201" s="7">
        <f t="shared" si="75"/>
        <v>0</v>
      </c>
      <c r="DS201" s="7">
        <f t="shared" si="76"/>
        <v>0</v>
      </c>
      <c r="DT201" s="7">
        <f t="shared" si="77"/>
        <v>0</v>
      </c>
      <c r="DU201" s="9">
        <f t="shared" si="78"/>
        <v>0</v>
      </c>
      <c r="DV201" s="9">
        <f t="shared" si="79"/>
        <v>0</v>
      </c>
      <c r="DW201" s="9">
        <f t="shared" si="80"/>
        <v>0</v>
      </c>
      <c r="DX201" s="9">
        <f t="shared" si="81"/>
        <v>0</v>
      </c>
      <c r="DY201" s="9">
        <f t="shared" si="82"/>
        <v>0</v>
      </c>
      <c r="DZ201" s="9">
        <f t="shared" si="83"/>
        <v>0</v>
      </c>
      <c r="EA201" s="9">
        <f t="shared" si="84"/>
        <v>0</v>
      </c>
      <c r="EB201" s="9">
        <f t="shared" si="85"/>
        <v>0</v>
      </c>
      <c r="EC201" s="9">
        <f t="shared" si="86"/>
        <v>0</v>
      </c>
      <c r="ED201" s="9">
        <f t="shared" si="87"/>
        <v>0</v>
      </c>
      <c r="EE201" s="9">
        <f t="shared" si="88"/>
        <v>0</v>
      </c>
      <c r="EF201" s="9">
        <f t="shared" si="89"/>
        <v>0</v>
      </c>
      <c r="EG201" s="9">
        <f t="shared" si="90"/>
        <v>0</v>
      </c>
      <c r="EH201" s="9">
        <f t="shared" si="91"/>
        <v>0</v>
      </c>
      <c r="EI201" s="9">
        <f t="shared" si="92"/>
        <v>0</v>
      </c>
      <c r="EJ201" s="10">
        <f t="shared" si="93"/>
        <v>0</v>
      </c>
      <c r="EK201" s="10">
        <f t="shared" si="94"/>
        <v>0</v>
      </c>
      <c r="EL201" s="10">
        <f t="shared" ref="EL201:EM201" si="759">IF(OR(ISNUMBER(SEARCH("ai software toolkit", $D201)), ISNUMBER(SEARCH("ai software toolkit", $T201)), ISNUMBER(SEARCH("ai software toolkit", $R201)), ISNUMBER(SEARCH("ai software toolkit", $S201))), 1, 0)</f>
        <v>0</v>
      </c>
      <c r="EM201" s="10">
        <f t="shared" si="759"/>
        <v>0</v>
      </c>
      <c r="EN201" s="10">
        <f t="shared" si="96"/>
        <v>0</v>
      </c>
      <c r="EO201" s="10">
        <f t="shared" si="97"/>
        <v>0</v>
      </c>
      <c r="EP201" s="10">
        <f t="shared" si="98"/>
        <v>0</v>
      </c>
      <c r="EQ201" s="10">
        <f t="shared" si="99"/>
        <v>0</v>
      </c>
      <c r="ER201" s="10">
        <f t="shared" si="100"/>
        <v>0</v>
      </c>
      <c r="ES201" s="10">
        <f t="shared" si="101"/>
        <v>0</v>
      </c>
      <c r="ET201" s="10">
        <f t="shared" si="102"/>
        <v>0</v>
      </c>
      <c r="EU201" s="10">
        <f t="shared" si="103"/>
        <v>0</v>
      </c>
      <c r="EV201" s="10">
        <f t="shared" si="104"/>
        <v>0</v>
      </c>
      <c r="EW201" s="10">
        <f t="shared" si="105"/>
        <v>0</v>
      </c>
      <c r="EX201" s="10">
        <f t="shared" si="106"/>
        <v>0</v>
      </c>
      <c r="EY201" s="10">
        <f t="shared" si="107"/>
        <v>0</v>
      </c>
      <c r="EZ201" s="10">
        <f t="shared" si="108"/>
        <v>0</v>
      </c>
      <c r="FA201" s="10">
        <f t="shared" si="109"/>
        <v>0</v>
      </c>
      <c r="FB201" s="10">
        <f t="shared" si="110"/>
        <v>0</v>
      </c>
      <c r="FC201" s="10">
        <f t="shared" si="111"/>
        <v>0</v>
      </c>
      <c r="FD201" s="10">
        <f t="shared" si="112"/>
        <v>0</v>
      </c>
      <c r="FE201" s="10">
        <f t="shared" si="113"/>
        <v>0</v>
      </c>
      <c r="FF201" s="10">
        <f t="shared" si="114"/>
        <v>0</v>
      </c>
      <c r="FG201" s="10">
        <f t="shared" si="115"/>
        <v>0</v>
      </c>
      <c r="FH201" s="10">
        <f t="shared" si="116"/>
        <v>0</v>
      </c>
      <c r="FI201" s="10">
        <f t="shared" si="117"/>
        <v>0</v>
      </c>
      <c r="FJ201" s="10">
        <f t="shared" si="118"/>
        <v>0</v>
      </c>
      <c r="FK201" s="10">
        <f t="shared" si="119"/>
        <v>0</v>
      </c>
      <c r="FL201" s="10">
        <f t="shared" si="120"/>
        <v>0</v>
      </c>
      <c r="FM201" s="10">
        <f t="shared" si="121"/>
        <v>0</v>
      </c>
      <c r="FN201" s="10">
        <f t="shared" si="122"/>
        <v>0</v>
      </c>
      <c r="FO201" s="10">
        <f t="shared" si="123"/>
        <v>0</v>
      </c>
      <c r="FP201" s="10">
        <f t="shared" si="124"/>
        <v>0</v>
      </c>
      <c r="FQ201" s="10">
        <f t="shared" si="125"/>
        <v>0</v>
      </c>
      <c r="FR201" s="11">
        <f t="shared" si="760"/>
        <v>0</v>
      </c>
      <c r="FS201" s="11">
        <f t="shared" si="127"/>
        <v>0</v>
      </c>
      <c r="FT201" s="11">
        <f t="shared" si="128"/>
        <v>0</v>
      </c>
      <c r="FU201" s="11">
        <f t="shared" si="129"/>
        <v>0</v>
      </c>
      <c r="FV201" s="11">
        <f t="shared" si="130"/>
        <v>0</v>
      </c>
      <c r="FW201" s="11">
        <f t="shared" si="131"/>
        <v>0</v>
      </c>
      <c r="FX201" s="11">
        <f t="shared" si="132"/>
        <v>0</v>
      </c>
      <c r="FY201" s="11">
        <f t="shared" si="133"/>
        <v>0</v>
      </c>
      <c r="FZ201" s="11">
        <f t="shared" si="134"/>
        <v>0</v>
      </c>
      <c r="GA201" s="11">
        <f t="shared" si="135"/>
        <v>0</v>
      </c>
      <c r="GB201" s="11">
        <f t="shared" si="136"/>
        <v>0</v>
      </c>
      <c r="GC201" s="11">
        <f t="shared" si="137"/>
        <v>0</v>
      </c>
      <c r="GD201" s="11">
        <f t="shared" si="138"/>
        <v>0</v>
      </c>
      <c r="GE201" s="11">
        <f t="shared" si="139"/>
        <v>0</v>
      </c>
      <c r="GF201" s="11">
        <f t="shared" si="140"/>
        <v>0</v>
      </c>
      <c r="GG201" s="11">
        <f t="shared" si="141"/>
        <v>0</v>
      </c>
      <c r="GH201" s="11">
        <f t="shared" si="142"/>
        <v>0</v>
      </c>
      <c r="GI201" s="11">
        <f t="shared" si="143"/>
        <v>0</v>
      </c>
      <c r="GJ201" s="11">
        <f t="shared" si="144"/>
        <v>0</v>
      </c>
      <c r="GK201" s="11">
        <f t="shared" si="145"/>
        <v>0</v>
      </c>
      <c r="GL201" s="11">
        <f t="shared" si="146"/>
        <v>0</v>
      </c>
      <c r="GM201" s="11">
        <f t="shared" si="147"/>
        <v>0</v>
      </c>
      <c r="GN201" s="11">
        <f t="shared" si="148"/>
        <v>0</v>
      </c>
      <c r="GO201" s="11">
        <f t="shared" si="149"/>
        <v>0</v>
      </c>
      <c r="GP201" s="11">
        <f t="shared" si="150"/>
        <v>0</v>
      </c>
      <c r="GQ201" s="11">
        <f t="shared" si="151"/>
        <v>0</v>
      </c>
      <c r="GR201" s="11">
        <f t="shared" si="152"/>
        <v>0</v>
      </c>
      <c r="GS201" s="11">
        <f t="shared" si="153"/>
        <v>0</v>
      </c>
      <c r="GT201" s="11">
        <f t="shared" si="154"/>
        <v>0</v>
      </c>
      <c r="GU201" s="12">
        <f t="shared" si="155"/>
        <v>0</v>
      </c>
      <c r="GV201" s="12">
        <f t="shared" si="156"/>
        <v>0</v>
      </c>
      <c r="GW201" s="12">
        <f t="shared" si="157"/>
        <v>0</v>
      </c>
      <c r="GX201" s="12">
        <f t="shared" si="158"/>
        <v>0</v>
      </c>
      <c r="GY201" s="12">
        <f t="shared" si="159"/>
        <v>0</v>
      </c>
      <c r="GZ201" s="12">
        <f t="shared" si="160"/>
        <v>0</v>
      </c>
      <c r="HA201" s="12">
        <f t="shared" si="161"/>
        <v>0</v>
      </c>
      <c r="HB201" s="12">
        <f t="shared" si="162"/>
        <v>0</v>
      </c>
      <c r="HC201" s="12">
        <f t="shared" si="163"/>
        <v>0</v>
      </c>
      <c r="HD201" s="12">
        <f t="shared" si="164"/>
        <v>0</v>
      </c>
      <c r="HE201" s="12">
        <f t="shared" si="165"/>
        <v>0</v>
      </c>
      <c r="HF201" s="12">
        <f t="shared" si="166"/>
        <v>0</v>
      </c>
      <c r="HG201" s="12">
        <f t="shared" si="167"/>
        <v>0</v>
      </c>
      <c r="HH201" s="12">
        <f t="shared" si="168"/>
        <v>0</v>
      </c>
      <c r="HI201" s="12">
        <f t="shared" si="169"/>
        <v>0</v>
      </c>
      <c r="HJ201" s="12">
        <f t="shared" si="170"/>
        <v>0</v>
      </c>
      <c r="HK201" s="12">
        <f t="shared" si="171"/>
        <v>0</v>
      </c>
      <c r="HL201" s="12">
        <f t="shared" si="172"/>
        <v>0</v>
      </c>
      <c r="HM201" s="12">
        <f t="shared" si="173"/>
        <v>0</v>
      </c>
      <c r="HN201" s="12">
        <f t="shared" si="174"/>
        <v>0</v>
      </c>
      <c r="HO201" s="12">
        <f t="shared" si="175"/>
        <v>0</v>
      </c>
      <c r="HP201" s="12">
        <f t="shared" si="176"/>
        <v>0</v>
      </c>
      <c r="HQ201" s="12">
        <f t="shared" si="177"/>
        <v>0</v>
      </c>
      <c r="HR201" s="12">
        <f t="shared" si="178"/>
        <v>0</v>
      </c>
      <c r="HS201" s="12">
        <f t="shared" si="179"/>
        <v>0</v>
      </c>
      <c r="HT201" s="12">
        <f t="shared" si="180"/>
        <v>0</v>
      </c>
      <c r="HU201" s="12">
        <f t="shared" si="181"/>
        <v>0</v>
      </c>
      <c r="HV201" s="12">
        <f t="shared" si="182"/>
        <v>0</v>
      </c>
      <c r="HW201" s="12">
        <f t="shared" si="183"/>
        <v>0</v>
      </c>
      <c r="HX201" s="12">
        <f t="shared" si="184"/>
        <v>0</v>
      </c>
      <c r="HY201" s="12">
        <f t="shared" si="185"/>
        <v>0</v>
      </c>
      <c r="HZ201" s="12">
        <f t="shared" si="186"/>
        <v>0</v>
      </c>
      <c r="IA201" s="12">
        <f t="shared" si="187"/>
        <v>0</v>
      </c>
      <c r="IB201" s="12">
        <f t="shared" si="188"/>
        <v>0</v>
      </c>
      <c r="IC201" s="12">
        <f t="shared" si="189"/>
        <v>0</v>
      </c>
      <c r="ID201" s="12">
        <f t="shared" si="190"/>
        <v>0</v>
      </c>
      <c r="IE201" s="12">
        <f t="shared" si="191"/>
        <v>0</v>
      </c>
      <c r="IF201" s="12">
        <f t="shared" si="192"/>
        <v>0</v>
      </c>
      <c r="IG201" s="12">
        <f t="shared" si="193"/>
        <v>0</v>
      </c>
      <c r="IH201" s="12">
        <f t="shared" si="194"/>
        <v>0</v>
      </c>
      <c r="II201" s="12">
        <f t="shared" si="195"/>
        <v>0</v>
      </c>
      <c r="IJ201" s="12">
        <f t="shared" si="196"/>
        <v>0</v>
      </c>
      <c r="IK201" s="12">
        <f t="shared" si="197"/>
        <v>0</v>
      </c>
      <c r="IL201" s="12">
        <f t="shared" si="198"/>
        <v>0</v>
      </c>
      <c r="IM201" s="12">
        <f t="shared" si="199"/>
        <v>0</v>
      </c>
      <c r="IN201" s="12">
        <f t="shared" si="200"/>
        <v>0</v>
      </c>
      <c r="IO201" s="12">
        <f t="shared" si="201"/>
        <v>0</v>
      </c>
      <c r="IP201" s="12">
        <f t="shared" si="202"/>
        <v>0</v>
      </c>
      <c r="IQ201" s="12">
        <f t="shared" si="203"/>
        <v>0</v>
      </c>
      <c r="IR201" s="12">
        <f t="shared" si="204"/>
        <v>0</v>
      </c>
      <c r="IS201" s="12">
        <f t="shared" si="205"/>
        <v>0</v>
      </c>
      <c r="IT201" s="12">
        <f t="shared" si="206"/>
        <v>0</v>
      </c>
      <c r="IU201" s="12">
        <f t="shared" si="207"/>
        <v>0</v>
      </c>
      <c r="IV201" s="12">
        <f t="shared" si="208"/>
        <v>0</v>
      </c>
      <c r="IW201" s="12">
        <f t="shared" si="209"/>
        <v>0</v>
      </c>
      <c r="IX201" s="12">
        <f t="shared" si="210"/>
        <v>0</v>
      </c>
      <c r="IY201" s="12">
        <f t="shared" si="211"/>
        <v>0</v>
      </c>
      <c r="IZ201" s="12">
        <f t="shared" si="212"/>
        <v>1</v>
      </c>
      <c r="JA201" s="13">
        <f t="shared" si="213"/>
        <v>0</v>
      </c>
      <c r="JB201" s="13">
        <f t="shared" si="214"/>
        <v>0</v>
      </c>
      <c r="JC201" s="13">
        <f t="shared" si="215"/>
        <v>0</v>
      </c>
      <c r="JD201" s="13">
        <f t="shared" si="216"/>
        <v>0</v>
      </c>
      <c r="JE201" s="13">
        <f t="shared" si="217"/>
        <v>0</v>
      </c>
      <c r="JF201" s="13">
        <f t="shared" si="218"/>
        <v>0</v>
      </c>
      <c r="JG201" s="13">
        <f t="shared" si="219"/>
        <v>0</v>
      </c>
      <c r="JH201" s="13">
        <f t="shared" si="220"/>
        <v>0</v>
      </c>
      <c r="JI201" s="13">
        <f t="shared" si="221"/>
        <v>0</v>
      </c>
      <c r="JJ201" s="13">
        <f t="shared" si="222"/>
        <v>0</v>
      </c>
      <c r="JK201" s="13">
        <f t="shared" si="223"/>
        <v>0</v>
      </c>
      <c r="JL201" s="13">
        <f t="shared" si="224"/>
        <v>0</v>
      </c>
      <c r="JM201" s="13">
        <f t="shared" si="225"/>
        <v>0</v>
      </c>
      <c r="JN201" s="13">
        <f t="shared" si="226"/>
        <v>0</v>
      </c>
      <c r="JO201" s="13">
        <f t="shared" si="227"/>
        <v>0</v>
      </c>
      <c r="JP201" s="13">
        <f t="shared" si="228"/>
        <v>0</v>
      </c>
      <c r="JQ201" s="13">
        <f t="shared" si="229"/>
        <v>0</v>
      </c>
      <c r="JR201" s="13">
        <f t="shared" si="230"/>
        <v>0</v>
      </c>
      <c r="JS201" s="13">
        <f t="shared" si="231"/>
        <v>0</v>
      </c>
      <c r="JT201" s="13">
        <f t="shared" si="232"/>
        <v>0</v>
      </c>
      <c r="JU201" s="13">
        <f t="shared" si="233"/>
        <v>0</v>
      </c>
      <c r="JV201" s="12">
        <f t="shared" si="234"/>
        <v>0</v>
      </c>
      <c r="JW201" s="12">
        <f t="shared" si="235"/>
        <v>0</v>
      </c>
      <c r="JX201" s="12">
        <f t="shared" si="236"/>
        <v>0</v>
      </c>
      <c r="JY201" s="12">
        <f t="shared" si="237"/>
        <v>0</v>
      </c>
      <c r="JZ201" s="12">
        <f t="shared" si="238"/>
        <v>0</v>
      </c>
      <c r="KA201" s="12">
        <f t="shared" si="239"/>
        <v>0</v>
      </c>
      <c r="KB201" s="12">
        <f t="shared" si="240"/>
        <v>0</v>
      </c>
      <c r="KC201" s="12">
        <f t="shared" si="241"/>
        <v>0</v>
      </c>
      <c r="KD201" s="12">
        <f t="shared" si="242"/>
        <v>0</v>
      </c>
      <c r="KE201" s="12">
        <f t="shared" si="243"/>
        <v>0</v>
      </c>
      <c r="KF201" s="12">
        <f t="shared" si="244"/>
        <v>0</v>
      </c>
      <c r="KG201" s="12">
        <f t="shared" si="245"/>
        <v>0</v>
      </c>
      <c r="KH201" s="12">
        <f t="shared" si="246"/>
        <v>0</v>
      </c>
      <c r="KI201" s="12">
        <f t="shared" si="247"/>
        <v>0</v>
      </c>
      <c r="KJ201" s="12">
        <f t="shared" si="248"/>
        <v>0</v>
      </c>
      <c r="KK201" s="12">
        <f t="shared" si="249"/>
        <v>0</v>
      </c>
      <c r="KL201" s="12">
        <f t="shared" si="250"/>
        <v>0</v>
      </c>
      <c r="KM201" s="12">
        <f t="shared" si="251"/>
        <v>0</v>
      </c>
      <c r="KN201" s="12">
        <f t="shared" si="252"/>
        <v>0</v>
      </c>
      <c r="KO201" s="12">
        <f t="shared" si="253"/>
        <v>0</v>
      </c>
      <c r="KP201" s="12">
        <f t="shared" si="254"/>
        <v>0</v>
      </c>
      <c r="KQ201" s="12">
        <f t="shared" si="255"/>
        <v>0</v>
      </c>
      <c r="KR201" s="12">
        <f t="shared" si="256"/>
        <v>0</v>
      </c>
      <c r="KS201" s="12">
        <f t="shared" si="257"/>
        <v>0</v>
      </c>
      <c r="KT201" s="12">
        <f t="shared" si="258"/>
        <v>0</v>
      </c>
      <c r="KU201" s="12">
        <f t="shared" si="259"/>
        <v>0</v>
      </c>
      <c r="KV201" s="12">
        <f t="shared" si="260"/>
        <v>0</v>
      </c>
      <c r="KW201" s="12">
        <f t="shared" si="261"/>
        <v>0</v>
      </c>
      <c r="KX201" s="12">
        <f t="shared" si="262"/>
        <v>0</v>
      </c>
      <c r="KY201" s="12">
        <f t="shared" si="263"/>
        <v>0</v>
      </c>
      <c r="KZ201" s="12">
        <f t="shared" si="264"/>
        <v>0</v>
      </c>
      <c r="LA201" s="12">
        <f t="shared" si="265"/>
        <v>0</v>
      </c>
      <c r="LB201" s="12">
        <f t="shared" si="266"/>
        <v>0</v>
      </c>
      <c r="LC201" s="12">
        <f t="shared" si="267"/>
        <v>0</v>
      </c>
      <c r="LD201" s="12">
        <f t="shared" si="268"/>
        <v>0</v>
      </c>
      <c r="LE201" s="12">
        <f t="shared" si="269"/>
        <v>0</v>
      </c>
      <c r="LF201" s="12">
        <f t="shared" si="270"/>
        <v>0</v>
      </c>
      <c r="LG201" s="12">
        <f t="shared" si="271"/>
        <v>0</v>
      </c>
      <c r="LH201" s="12">
        <f t="shared" si="272"/>
        <v>0</v>
      </c>
      <c r="LI201" s="12">
        <f t="shared" si="273"/>
        <v>0</v>
      </c>
      <c r="LJ201" s="12">
        <f t="shared" si="274"/>
        <v>0</v>
      </c>
      <c r="LK201" s="12">
        <f t="shared" si="275"/>
        <v>0</v>
      </c>
      <c r="LL201" s="12">
        <f t="shared" si="276"/>
        <v>0</v>
      </c>
      <c r="LM201" s="12">
        <f t="shared" si="277"/>
        <v>0</v>
      </c>
      <c r="LN201" s="12">
        <f t="shared" si="278"/>
        <v>0</v>
      </c>
      <c r="LO201" s="12">
        <f t="shared" si="279"/>
        <v>0</v>
      </c>
      <c r="LP201" s="12">
        <f t="shared" si="280"/>
        <v>0</v>
      </c>
      <c r="LQ201" s="12">
        <f t="shared" si="281"/>
        <v>0</v>
      </c>
      <c r="LR201" s="12">
        <f t="shared" si="282"/>
        <v>0</v>
      </c>
      <c r="LS201" s="12">
        <f t="shared" si="283"/>
        <v>0</v>
      </c>
      <c r="LT201" s="13">
        <f t="shared" si="284"/>
        <v>1</v>
      </c>
      <c r="LU201" s="13">
        <f t="shared" si="285"/>
        <v>0</v>
      </c>
      <c r="LV201" s="13">
        <f t="shared" si="286"/>
        <v>0</v>
      </c>
      <c r="LW201" s="13">
        <f t="shared" si="287"/>
        <v>0</v>
      </c>
      <c r="LX201" s="13">
        <f t="shared" si="288"/>
        <v>0</v>
      </c>
      <c r="LY201" s="13">
        <f t="shared" si="289"/>
        <v>0</v>
      </c>
      <c r="LZ201" s="13">
        <f t="shared" si="290"/>
        <v>0</v>
      </c>
      <c r="MA201" s="13">
        <f t="shared" si="291"/>
        <v>0</v>
      </c>
      <c r="MB201" s="13">
        <f t="shared" si="292"/>
        <v>0</v>
      </c>
      <c r="MC201" s="13">
        <f t="shared" si="293"/>
        <v>0</v>
      </c>
      <c r="MD201" s="13">
        <f t="shared" si="294"/>
        <v>0</v>
      </c>
      <c r="ME201" s="13">
        <f t="shared" si="295"/>
        <v>0</v>
      </c>
      <c r="MF201" s="13">
        <f t="shared" si="296"/>
        <v>0</v>
      </c>
      <c r="MG201" s="13">
        <f t="shared" si="297"/>
        <v>0</v>
      </c>
      <c r="MH201" s="13">
        <f t="shared" si="298"/>
        <v>0</v>
      </c>
      <c r="MI201" s="13">
        <f t="shared" si="299"/>
        <v>0</v>
      </c>
      <c r="MJ201" s="13">
        <f t="shared" si="300"/>
        <v>0</v>
      </c>
      <c r="MK201" s="13">
        <f t="shared" si="301"/>
        <v>0</v>
      </c>
      <c r="ML201" s="14">
        <f t="shared" si="302"/>
        <v>0</v>
      </c>
      <c r="MM201" s="14">
        <f t="shared" si="303"/>
        <v>0</v>
      </c>
      <c r="MN201" s="14">
        <f t="shared" si="304"/>
        <v>0</v>
      </c>
      <c r="MO201" s="14">
        <f t="shared" si="305"/>
        <v>0</v>
      </c>
      <c r="MP201" s="14">
        <f t="shared" si="306"/>
        <v>0</v>
      </c>
      <c r="MQ201" s="14">
        <f t="shared" si="307"/>
        <v>0</v>
      </c>
      <c r="MR201" s="14">
        <f t="shared" si="308"/>
        <v>0</v>
      </c>
      <c r="MS201" s="14">
        <f t="shared" si="309"/>
        <v>0</v>
      </c>
      <c r="MT201" s="14">
        <f t="shared" si="310"/>
        <v>0</v>
      </c>
      <c r="MU201" s="14">
        <f t="shared" si="311"/>
        <v>0</v>
      </c>
      <c r="MV201" s="14">
        <f t="shared" si="312"/>
        <v>0</v>
      </c>
      <c r="MW201" s="14">
        <f t="shared" si="313"/>
        <v>0</v>
      </c>
      <c r="MX201" s="14">
        <f t="shared" si="314"/>
        <v>0</v>
      </c>
      <c r="MY201" s="14">
        <f t="shared" si="315"/>
        <v>0</v>
      </c>
      <c r="MZ201" s="14">
        <f t="shared" si="316"/>
        <v>0</v>
      </c>
      <c r="NA201" s="14">
        <f t="shared" si="317"/>
        <v>0</v>
      </c>
      <c r="NB201" s="14">
        <f t="shared" si="318"/>
        <v>0</v>
      </c>
    </row>
    <row r="202" ht="15.75" customHeight="1">
      <c r="A202" s="2">
        <v>68.0</v>
      </c>
      <c r="B202" s="2" t="s">
        <v>3727</v>
      </c>
      <c r="C202" s="2" t="s">
        <v>3728</v>
      </c>
      <c r="D202" s="2" t="s">
        <v>3729</v>
      </c>
      <c r="E202" s="2">
        <v>2021.0</v>
      </c>
      <c r="F202" s="2" t="s">
        <v>3730</v>
      </c>
      <c r="G202" s="2" t="s">
        <v>1089</v>
      </c>
      <c r="I202" s="2" t="s">
        <v>3731</v>
      </c>
      <c r="M202" s="2">
        <v>1.0</v>
      </c>
      <c r="N202" s="2" t="s">
        <v>3732</v>
      </c>
      <c r="O202" s="2" t="s">
        <v>3733</v>
      </c>
      <c r="P202" s="2" t="s">
        <v>3734</v>
      </c>
      <c r="Q202" s="2" t="s">
        <v>3735</v>
      </c>
      <c r="R202" s="2" t="s">
        <v>3736</v>
      </c>
      <c r="S202" s="2" t="s">
        <v>3737</v>
      </c>
      <c r="Y202" s="2" t="s">
        <v>3738</v>
      </c>
      <c r="AB202" s="2" t="s">
        <v>422</v>
      </c>
      <c r="AG202" s="2" t="s">
        <v>3739</v>
      </c>
      <c r="AI202" s="2" t="s">
        <v>3740</v>
      </c>
      <c r="AK202" s="2" t="s">
        <v>3741</v>
      </c>
      <c r="AL202" s="2" t="s">
        <v>384</v>
      </c>
      <c r="AN202" s="2" t="s">
        <v>386</v>
      </c>
      <c r="AO202" s="2" t="s">
        <v>3742</v>
      </c>
      <c r="AP202" s="2" t="s">
        <v>386</v>
      </c>
      <c r="AQ202" s="2">
        <v>202.0</v>
      </c>
      <c r="AR202" s="2" t="s">
        <v>3729</v>
      </c>
      <c r="AS202" s="2" t="b">
        <v>1</v>
      </c>
      <c r="AT202" s="3">
        <v>0.0</v>
      </c>
      <c r="AU202" s="4">
        <v>1.0</v>
      </c>
      <c r="AV202" s="4"/>
      <c r="AW202" s="5">
        <f t="shared" si="432"/>
        <v>0</v>
      </c>
      <c r="AX202" s="5">
        <f t="shared" si="4"/>
        <v>0</v>
      </c>
      <c r="AY202" s="5">
        <f t="shared" si="5"/>
        <v>0</v>
      </c>
      <c r="AZ202" s="5">
        <f t="shared" si="6"/>
        <v>0</v>
      </c>
      <c r="BA202" s="5">
        <f t="shared" si="7"/>
        <v>0</v>
      </c>
      <c r="BB202" s="5">
        <f t="shared" si="8"/>
        <v>0</v>
      </c>
      <c r="BC202" s="5">
        <f t="shared" si="9"/>
        <v>0</v>
      </c>
      <c r="BD202" s="5">
        <f t="shared" si="10"/>
        <v>0</v>
      </c>
      <c r="BE202" s="5">
        <f t="shared" si="11"/>
        <v>0</v>
      </c>
      <c r="BF202" s="5">
        <f t="shared" si="12"/>
        <v>0</v>
      </c>
      <c r="BG202" s="5">
        <f t="shared" si="13"/>
        <v>0</v>
      </c>
      <c r="BH202" s="5">
        <f t="shared" si="14"/>
        <v>0</v>
      </c>
      <c r="BI202" s="5">
        <f t="shared" si="15"/>
        <v>0</v>
      </c>
      <c r="BJ202" s="5">
        <f t="shared" si="16"/>
        <v>0</v>
      </c>
      <c r="BK202" s="5">
        <f t="shared" si="17"/>
        <v>0</v>
      </c>
      <c r="BL202" s="5">
        <f t="shared" si="18"/>
        <v>0</v>
      </c>
      <c r="BM202" s="5">
        <f t="shared" si="19"/>
        <v>0</v>
      </c>
      <c r="BN202" s="5">
        <f t="shared" si="20"/>
        <v>0</v>
      </c>
      <c r="BO202" s="5">
        <f t="shared" si="21"/>
        <v>0</v>
      </c>
      <c r="BP202" s="5">
        <f t="shared" si="22"/>
        <v>0</v>
      </c>
      <c r="BQ202" s="5">
        <f t="shared" si="23"/>
        <v>0</v>
      </c>
      <c r="BR202" s="5">
        <f t="shared" si="24"/>
        <v>0</v>
      </c>
      <c r="BS202" s="5">
        <f t="shared" si="25"/>
        <v>0</v>
      </c>
      <c r="BT202" s="5">
        <f t="shared" si="26"/>
        <v>0</v>
      </c>
      <c r="BU202" s="5">
        <f t="shared" si="27"/>
        <v>0</v>
      </c>
      <c r="BV202" s="5">
        <f t="shared" ref="BV202:BW202" si="761">IF(OR(ISNUMBER(SEARCH("grit",$D202)),ISNUMBER(SEARCH("grit",$T202)),ISNUMBER(SEARCH("grit",$R202)),ISNUMBER(SEARCH("grit",$S202)),
ISNUMBER(SEARCH("determination",$D202)),ISNUMBER(SEARCH("determination",$T202)),ISNUMBER(SEARCH("determination",$R202)),ISNUMBER(SEARCH("determination",$S202)),
ISNUMBER(SEARCH("tenacity",$D202)),ISNUMBER(SEARCH("tenacity",$T202)),ISNUMBER(SEARCH("tenacity",$R202)),ISNUMBER(SEARCH("tenacity",$S202)),
ISNUMBER(SEARCH("endurance",$D202)),ISNUMBER(SEARCH("endurance",$T202)),ISNUMBER(SEARCH("endurance",$R202)),ISNUMBER(SEARCH("endurance",$S202)),
ISNUMBER(SEARCH("fortitude",$D202)),ISNUMBER(SEARCH("fortitude",$T202)),ISNUMBER(SEARCH("fortitude",$R202)),ISNUMBER(SEARCH("fortitude",$S202)),
ISNUMBER(SEARCH("resolve",$D202)),ISNUMBER(SEARCH("resolve",$T202)),ISNUMBER(SEARCH("resolve",$R202)),ISNUMBER(SEARCH("resolve",$S202)),
ISNUMBER(SEARCH("stamina",$D202)),ISNUMBER(SEARCH("stamina",$T202)),ISNUMBER(SEARCH("stamina",$R202)),ISNUMBER(SEARCH("stamina",$S202)),
ISNUMBER(SEARCH("guts",$D202)),ISNUMBER(SEARCH("guts",$T202)),ISNUMBER(SEARCH("guts",$R202)),ISNUMBER(SEARCH("guts",$S202)),
ISNUMBER(SEARCH("spunk",$D202)),ISNUMBER(SEARCH("spunk",$T202)),ISNUMBER(SEARCH("spunk",$R202)),ISNUMBER(SEARCH("spunk",$S202))), 1, 0)</f>
        <v>0</v>
      </c>
      <c r="BW202" s="5">
        <f t="shared" si="761"/>
        <v>0</v>
      </c>
      <c r="BX202" s="5">
        <f t="shared" si="29"/>
        <v>0</v>
      </c>
      <c r="BY202" s="5">
        <f t="shared" si="30"/>
        <v>0</v>
      </c>
      <c r="BZ202" s="5">
        <f t="shared" si="31"/>
        <v>0</v>
      </c>
      <c r="CA202" s="5">
        <f t="shared" si="32"/>
        <v>0</v>
      </c>
      <c r="CB202" s="5">
        <f t="shared" si="33"/>
        <v>0</v>
      </c>
      <c r="CC202" s="5">
        <f t="shared" si="34"/>
        <v>0</v>
      </c>
      <c r="CD202" s="5">
        <f t="shared" si="35"/>
        <v>0</v>
      </c>
      <c r="CE202" s="5">
        <f t="shared" si="36"/>
        <v>0</v>
      </c>
      <c r="CF202" s="5">
        <f t="shared" si="37"/>
        <v>0</v>
      </c>
      <c r="CG202" s="5">
        <f t="shared" si="38"/>
        <v>1</v>
      </c>
      <c r="CH202" s="5">
        <f t="shared" si="39"/>
        <v>0</v>
      </c>
      <c r="CI202" s="5">
        <f t="shared" si="40"/>
        <v>0</v>
      </c>
      <c r="CJ202" s="5">
        <f t="shared" si="41"/>
        <v>0</v>
      </c>
      <c r="CK202" s="5">
        <f t="shared" si="42"/>
        <v>0</v>
      </c>
      <c r="CL202" s="5">
        <f t="shared" si="43"/>
        <v>0</v>
      </c>
      <c r="CM202" s="5">
        <f t="shared" si="44"/>
        <v>0</v>
      </c>
      <c r="CN202" s="5">
        <f t="shared" si="45"/>
        <v>0</v>
      </c>
      <c r="CO202" s="5">
        <f t="shared" si="46"/>
        <v>0</v>
      </c>
      <c r="CP202" s="6">
        <f t="shared" si="47"/>
        <v>0</v>
      </c>
      <c r="CQ202" s="6">
        <f t="shared" si="48"/>
        <v>0</v>
      </c>
      <c r="CR202" s="6">
        <f t="shared" si="49"/>
        <v>0</v>
      </c>
      <c r="CS202" s="6">
        <f t="shared" si="50"/>
        <v>0</v>
      </c>
      <c r="CT202" s="6">
        <f t="shared" si="584"/>
        <v>1</v>
      </c>
      <c r="CU202" s="6">
        <f t="shared" si="52"/>
        <v>0</v>
      </c>
      <c r="CV202" s="6">
        <f t="shared" si="53"/>
        <v>0</v>
      </c>
      <c r="CW202" s="6">
        <f t="shared" si="54"/>
        <v>0</v>
      </c>
      <c r="CX202" s="6">
        <f t="shared" si="55"/>
        <v>0</v>
      </c>
      <c r="CY202" s="6">
        <f t="shared" si="56"/>
        <v>0</v>
      </c>
      <c r="CZ202" s="6">
        <f t="shared" si="57"/>
        <v>0</v>
      </c>
      <c r="DA202" s="6">
        <f t="shared" si="58"/>
        <v>0</v>
      </c>
      <c r="DB202" s="6">
        <f t="shared" si="59"/>
        <v>0</v>
      </c>
      <c r="DC202" s="6">
        <f t="shared" si="60"/>
        <v>0</v>
      </c>
      <c r="DD202" s="6">
        <f t="shared" si="61"/>
        <v>0</v>
      </c>
      <c r="DE202" s="6">
        <f t="shared" si="62"/>
        <v>0</v>
      </c>
      <c r="DF202" s="6">
        <f t="shared" si="63"/>
        <v>0</v>
      </c>
      <c r="DG202" s="6">
        <f t="shared" si="64"/>
        <v>0</v>
      </c>
      <c r="DH202" s="6">
        <f t="shared" si="697"/>
        <v>0</v>
      </c>
      <c r="DI202" s="6">
        <f t="shared" si="66"/>
        <v>0</v>
      </c>
      <c r="DJ202" s="6">
        <f t="shared" si="653"/>
        <v>0</v>
      </c>
      <c r="DK202" s="7">
        <f t="shared" si="68"/>
        <v>0</v>
      </c>
      <c r="DL202" s="7">
        <f t="shared" si="498"/>
        <v>0</v>
      </c>
      <c r="DM202" s="7">
        <f t="shared" si="70"/>
        <v>0</v>
      </c>
      <c r="DN202" s="7">
        <f t="shared" si="71"/>
        <v>0</v>
      </c>
      <c r="DO202" s="7">
        <f t="shared" si="72"/>
        <v>0</v>
      </c>
      <c r="DP202" s="8">
        <f t="shared" si="73"/>
        <v>0</v>
      </c>
      <c r="DQ202" s="8">
        <f t="shared" si="74"/>
        <v>1</v>
      </c>
      <c r="DR202" s="7">
        <f t="shared" si="75"/>
        <v>0</v>
      </c>
      <c r="DS202" s="7">
        <f t="shared" si="76"/>
        <v>0</v>
      </c>
      <c r="DT202" s="7">
        <f t="shared" si="77"/>
        <v>0</v>
      </c>
      <c r="DU202" s="9">
        <f t="shared" si="78"/>
        <v>0</v>
      </c>
      <c r="DV202" s="9">
        <f t="shared" si="79"/>
        <v>0</v>
      </c>
      <c r="DW202" s="9">
        <f t="shared" si="80"/>
        <v>0</v>
      </c>
      <c r="DX202" s="9">
        <f t="shared" si="81"/>
        <v>0</v>
      </c>
      <c r="DY202" s="9">
        <f t="shared" si="82"/>
        <v>0</v>
      </c>
      <c r="DZ202" s="9">
        <f t="shared" si="83"/>
        <v>0</v>
      </c>
      <c r="EA202" s="9">
        <f t="shared" si="84"/>
        <v>0</v>
      </c>
      <c r="EB202" s="9">
        <f t="shared" si="85"/>
        <v>0</v>
      </c>
      <c r="EC202" s="9">
        <f t="shared" si="86"/>
        <v>0</v>
      </c>
      <c r="ED202" s="9">
        <f t="shared" si="87"/>
        <v>0</v>
      </c>
      <c r="EE202" s="9">
        <f t="shared" si="88"/>
        <v>0</v>
      </c>
      <c r="EF202" s="9">
        <f t="shared" si="89"/>
        <v>0</v>
      </c>
      <c r="EG202" s="9">
        <f t="shared" si="90"/>
        <v>0</v>
      </c>
      <c r="EH202" s="9">
        <f t="shared" si="91"/>
        <v>0</v>
      </c>
      <c r="EI202" s="9">
        <f t="shared" si="92"/>
        <v>0</v>
      </c>
      <c r="EJ202" s="10">
        <f t="shared" si="93"/>
        <v>0</v>
      </c>
      <c r="EK202" s="10">
        <f t="shared" si="94"/>
        <v>0</v>
      </c>
      <c r="EL202" s="10">
        <f t="shared" ref="EL202:EM202" si="762">IF(OR(ISNUMBER(SEARCH("ai software toolkit", $D202)), ISNUMBER(SEARCH("ai software toolkit", $T202)), ISNUMBER(SEARCH("ai software toolkit", $R202)), ISNUMBER(SEARCH("ai software toolkit", $S202))), 1, 0)</f>
        <v>0</v>
      </c>
      <c r="EM202" s="10">
        <f t="shared" si="762"/>
        <v>0</v>
      </c>
      <c r="EN202" s="10">
        <f t="shared" si="96"/>
        <v>0</v>
      </c>
      <c r="EO202" s="10">
        <f t="shared" si="97"/>
        <v>0</v>
      </c>
      <c r="EP202" s="10">
        <f t="shared" si="98"/>
        <v>0</v>
      </c>
      <c r="EQ202" s="10">
        <f t="shared" si="99"/>
        <v>0</v>
      </c>
      <c r="ER202" s="10">
        <f t="shared" si="100"/>
        <v>0</v>
      </c>
      <c r="ES202" s="10">
        <f t="shared" si="101"/>
        <v>0</v>
      </c>
      <c r="ET202" s="10">
        <f t="shared" si="102"/>
        <v>0</v>
      </c>
      <c r="EU202" s="10">
        <f t="shared" si="103"/>
        <v>0</v>
      </c>
      <c r="EV202" s="10">
        <f t="shared" si="104"/>
        <v>0</v>
      </c>
      <c r="EW202" s="10">
        <f t="shared" si="105"/>
        <v>0</v>
      </c>
      <c r="EX202" s="10">
        <f t="shared" si="106"/>
        <v>0</v>
      </c>
      <c r="EY202" s="10">
        <f t="shared" si="107"/>
        <v>0</v>
      </c>
      <c r="EZ202" s="10">
        <f t="shared" si="108"/>
        <v>0</v>
      </c>
      <c r="FA202" s="10">
        <f t="shared" si="109"/>
        <v>0</v>
      </c>
      <c r="FB202" s="10">
        <f t="shared" si="110"/>
        <v>0</v>
      </c>
      <c r="FC202" s="10">
        <f t="shared" si="111"/>
        <v>0</v>
      </c>
      <c r="FD202" s="10">
        <f t="shared" si="112"/>
        <v>0</v>
      </c>
      <c r="FE202" s="10">
        <f t="shared" si="113"/>
        <v>0</v>
      </c>
      <c r="FF202" s="10">
        <f t="shared" si="114"/>
        <v>0</v>
      </c>
      <c r="FG202" s="10">
        <f t="shared" si="115"/>
        <v>0</v>
      </c>
      <c r="FH202" s="10">
        <f t="shared" si="116"/>
        <v>0</v>
      </c>
      <c r="FI202" s="10">
        <f t="shared" si="117"/>
        <v>0</v>
      </c>
      <c r="FJ202" s="10">
        <f t="shared" si="118"/>
        <v>0</v>
      </c>
      <c r="FK202" s="10">
        <f t="shared" si="119"/>
        <v>0</v>
      </c>
      <c r="FL202" s="10">
        <f t="shared" si="120"/>
        <v>0</v>
      </c>
      <c r="FM202" s="10">
        <f t="shared" si="121"/>
        <v>0</v>
      </c>
      <c r="FN202" s="10">
        <f t="shared" si="122"/>
        <v>0</v>
      </c>
      <c r="FO202" s="10">
        <f t="shared" si="123"/>
        <v>0</v>
      </c>
      <c r="FP202" s="10">
        <f t="shared" si="124"/>
        <v>0</v>
      </c>
      <c r="FQ202" s="10">
        <f t="shared" si="125"/>
        <v>0</v>
      </c>
      <c r="FR202" s="11">
        <f>IF(
OR(
ISNUMBER(SEARCH("chatbot",$D202)),ISNUMBER(SEARCH("chatbot",$T202)),ISNUMBER(SEARCH("chatbot",$R201)),ISNUMBER(SEARCH("chatbot",$S202)),
ISNUMBER(SEARCH("virtual assistance",$D202)),ISNUMBER(SEARCH("virtual assistance",$T202)),ISNUMBER(SEARCH("virtual assistance",$R202)),ISNUMBER(SEARCH("virtual assistance",$S202))), 1, 0)</f>
        <v>0</v>
      </c>
      <c r="FS202" s="11">
        <f t="shared" si="127"/>
        <v>0</v>
      </c>
      <c r="FT202" s="11">
        <f t="shared" si="128"/>
        <v>0</v>
      </c>
      <c r="FU202" s="11">
        <f t="shared" si="129"/>
        <v>0</v>
      </c>
      <c r="FV202" s="11">
        <f t="shared" si="130"/>
        <v>0</v>
      </c>
      <c r="FW202" s="11">
        <f t="shared" si="131"/>
        <v>0</v>
      </c>
      <c r="FX202" s="11">
        <f t="shared" si="132"/>
        <v>0</v>
      </c>
      <c r="FY202" s="11">
        <f t="shared" si="133"/>
        <v>0</v>
      </c>
      <c r="FZ202" s="11">
        <f t="shared" si="134"/>
        <v>0</v>
      </c>
      <c r="GA202" s="11">
        <f t="shared" si="135"/>
        <v>0</v>
      </c>
      <c r="GB202" s="11">
        <f t="shared" si="136"/>
        <v>0</v>
      </c>
      <c r="GC202" s="11">
        <f t="shared" si="137"/>
        <v>0</v>
      </c>
      <c r="GD202" s="11">
        <f t="shared" si="138"/>
        <v>0</v>
      </c>
      <c r="GE202" s="11">
        <f t="shared" si="139"/>
        <v>0</v>
      </c>
      <c r="GF202" s="11">
        <f t="shared" si="140"/>
        <v>0</v>
      </c>
      <c r="GG202" s="11">
        <f t="shared" si="141"/>
        <v>0</v>
      </c>
      <c r="GH202" s="11">
        <f t="shared" si="142"/>
        <v>0</v>
      </c>
      <c r="GI202" s="11">
        <f t="shared" si="143"/>
        <v>0</v>
      </c>
      <c r="GJ202" s="11">
        <f t="shared" si="144"/>
        <v>0</v>
      </c>
      <c r="GK202" s="11">
        <f t="shared" si="145"/>
        <v>0</v>
      </c>
      <c r="GL202" s="11">
        <f t="shared" si="146"/>
        <v>0</v>
      </c>
      <c r="GM202" s="11">
        <f t="shared" si="147"/>
        <v>0</v>
      </c>
      <c r="GN202" s="11">
        <f t="shared" si="148"/>
        <v>0</v>
      </c>
      <c r="GO202" s="11">
        <f t="shared" si="149"/>
        <v>0</v>
      </c>
      <c r="GP202" s="11">
        <f t="shared" si="150"/>
        <v>0</v>
      </c>
      <c r="GQ202" s="11">
        <f t="shared" si="151"/>
        <v>0</v>
      </c>
      <c r="GR202" s="11">
        <f t="shared" si="152"/>
        <v>0</v>
      </c>
      <c r="GS202" s="11">
        <f t="shared" si="153"/>
        <v>0</v>
      </c>
      <c r="GT202" s="11">
        <f t="shared" si="154"/>
        <v>0</v>
      </c>
      <c r="GU202" s="12">
        <f t="shared" si="155"/>
        <v>0</v>
      </c>
      <c r="GV202" s="12">
        <f t="shared" si="156"/>
        <v>0</v>
      </c>
      <c r="GW202" s="12">
        <f t="shared" si="157"/>
        <v>0</v>
      </c>
      <c r="GX202" s="12">
        <f t="shared" si="158"/>
        <v>0</v>
      </c>
      <c r="GY202" s="12">
        <f t="shared" si="159"/>
        <v>0</v>
      </c>
      <c r="GZ202" s="12">
        <f t="shared" si="160"/>
        <v>0</v>
      </c>
      <c r="HA202" s="12">
        <f t="shared" si="161"/>
        <v>0</v>
      </c>
      <c r="HB202" s="12">
        <f t="shared" si="162"/>
        <v>0</v>
      </c>
      <c r="HC202" s="12">
        <f t="shared" si="163"/>
        <v>0</v>
      </c>
      <c r="HD202" s="12">
        <f t="shared" si="164"/>
        <v>0</v>
      </c>
      <c r="HE202" s="12">
        <f t="shared" si="165"/>
        <v>0</v>
      </c>
      <c r="HF202" s="12">
        <f t="shared" si="166"/>
        <v>0</v>
      </c>
      <c r="HG202" s="12">
        <f t="shared" si="167"/>
        <v>0</v>
      </c>
      <c r="HH202" s="12">
        <f t="shared" si="168"/>
        <v>0</v>
      </c>
      <c r="HI202" s="12">
        <f t="shared" si="169"/>
        <v>0</v>
      </c>
      <c r="HJ202" s="12">
        <f t="shared" si="170"/>
        <v>0</v>
      </c>
      <c r="HK202" s="12">
        <f t="shared" si="171"/>
        <v>0</v>
      </c>
      <c r="HL202" s="12">
        <f t="shared" si="172"/>
        <v>0</v>
      </c>
      <c r="HM202" s="12">
        <f t="shared" si="173"/>
        <v>0</v>
      </c>
      <c r="HN202" s="12">
        <f t="shared" si="174"/>
        <v>0</v>
      </c>
      <c r="HO202" s="12">
        <f t="shared" si="175"/>
        <v>0</v>
      </c>
      <c r="HP202" s="12">
        <f t="shared" si="176"/>
        <v>0</v>
      </c>
      <c r="HQ202" s="12">
        <f t="shared" si="177"/>
        <v>0</v>
      </c>
      <c r="HR202" s="12">
        <f t="shared" si="178"/>
        <v>0</v>
      </c>
      <c r="HS202" s="12">
        <f t="shared" si="179"/>
        <v>0</v>
      </c>
      <c r="HT202" s="12">
        <f t="shared" si="180"/>
        <v>0</v>
      </c>
      <c r="HU202" s="12">
        <f t="shared" si="181"/>
        <v>0</v>
      </c>
      <c r="HV202" s="12">
        <f t="shared" si="182"/>
        <v>0</v>
      </c>
      <c r="HW202" s="12">
        <f t="shared" si="183"/>
        <v>0</v>
      </c>
      <c r="HX202" s="12">
        <f t="shared" si="184"/>
        <v>0</v>
      </c>
      <c r="HY202" s="12">
        <f t="shared" si="185"/>
        <v>0</v>
      </c>
      <c r="HZ202" s="12">
        <f t="shared" si="186"/>
        <v>0</v>
      </c>
      <c r="IA202" s="12">
        <f t="shared" si="187"/>
        <v>0</v>
      </c>
      <c r="IB202" s="12">
        <f t="shared" si="188"/>
        <v>0</v>
      </c>
      <c r="IC202" s="12">
        <f t="shared" si="189"/>
        <v>0</v>
      </c>
      <c r="ID202" s="12">
        <f t="shared" si="190"/>
        <v>0</v>
      </c>
      <c r="IE202" s="12">
        <f t="shared" si="191"/>
        <v>0</v>
      </c>
      <c r="IF202" s="12">
        <f t="shared" si="192"/>
        <v>0</v>
      </c>
      <c r="IG202" s="12">
        <f t="shared" si="193"/>
        <v>0</v>
      </c>
      <c r="IH202" s="12">
        <f t="shared" si="194"/>
        <v>0</v>
      </c>
      <c r="II202" s="12">
        <f t="shared" si="195"/>
        <v>0</v>
      </c>
      <c r="IJ202" s="12">
        <f t="shared" si="196"/>
        <v>0</v>
      </c>
      <c r="IK202" s="12">
        <f t="shared" si="197"/>
        <v>0</v>
      </c>
      <c r="IL202" s="12">
        <f t="shared" si="198"/>
        <v>0</v>
      </c>
      <c r="IM202" s="12">
        <f t="shared" si="199"/>
        <v>0</v>
      </c>
      <c r="IN202" s="12">
        <f t="shared" si="200"/>
        <v>0</v>
      </c>
      <c r="IO202" s="12">
        <f t="shared" si="201"/>
        <v>0</v>
      </c>
      <c r="IP202" s="12">
        <f t="shared" si="202"/>
        <v>0</v>
      </c>
      <c r="IQ202" s="12">
        <f t="shared" si="203"/>
        <v>0</v>
      </c>
      <c r="IR202" s="12">
        <f t="shared" si="204"/>
        <v>0</v>
      </c>
      <c r="IS202" s="12">
        <f t="shared" si="205"/>
        <v>0</v>
      </c>
      <c r="IT202" s="12">
        <f t="shared" si="206"/>
        <v>0</v>
      </c>
      <c r="IU202" s="12">
        <f t="shared" si="207"/>
        <v>0</v>
      </c>
      <c r="IV202" s="12">
        <f t="shared" si="208"/>
        <v>0</v>
      </c>
      <c r="IW202" s="12">
        <f t="shared" si="209"/>
        <v>0</v>
      </c>
      <c r="IX202" s="12">
        <f t="shared" si="210"/>
        <v>0</v>
      </c>
      <c r="IY202" s="12">
        <f t="shared" si="211"/>
        <v>0</v>
      </c>
      <c r="IZ202" s="12">
        <f t="shared" si="212"/>
        <v>0</v>
      </c>
      <c r="JA202" s="13">
        <f t="shared" si="213"/>
        <v>0</v>
      </c>
      <c r="JB202" s="13">
        <f t="shared" si="214"/>
        <v>0</v>
      </c>
      <c r="JC202" s="13">
        <f t="shared" si="215"/>
        <v>0</v>
      </c>
      <c r="JD202" s="13">
        <f t="shared" si="216"/>
        <v>0</v>
      </c>
      <c r="JE202" s="13">
        <f t="shared" si="217"/>
        <v>0</v>
      </c>
      <c r="JF202" s="13">
        <f t="shared" si="218"/>
        <v>0</v>
      </c>
      <c r="JG202" s="13">
        <f t="shared" si="219"/>
        <v>0</v>
      </c>
      <c r="JH202" s="13">
        <f t="shared" si="220"/>
        <v>0</v>
      </c>
      <c r="JI202" s="13">
        <f t="shared" si="221"/>
        <v>0</v>
      </c>
      <c r="JJ202" s="13">
        <f t="shared" si="222"/>
        <v>0</v>
      </c>
      <c r="JK202" s="13">
        <f t="shared" si="223"/>
        <v>0</v>
      </c>
      <c r="JL202" s="13">
        <f t="shared" si="224"/>
        <v>0</v>
      </c>
      <c r="JM202" s="13">
        <f t="shared" si="225"/>
        <v>0</v>
      </c>
      <c r="JN202" s="13">
        <f t="shared" si="226"/>
        <v>0</v>
      </c>
      <c r="JO202" s="13">
        <f t="shared" si="227"/>
        <v>0</v>
      </c>
      <c r="JP202" s="13">
        <f t="shared" si="228"/>
        <v>0</v>
      </c>
      <c r="JQ202" s="13">
        <f t="shared" si="229"/>
        <v>0</v>
      </c>
      <c r="JR202" s="13">
        <f t="shared" si="230"/>
        <v>0</v>
      </c>
      <c r="JS202" s="13">
        <f t="shared" si="231"/>
        <v>0</v>
      </c>
      <c r="JT202" s="13">
        <f t="shared" si="232"/>
        <v>0</v>
      </c>
      <c r="JU202" s="13">
        <f t="shared" si="233"/>
        <v>0</v>
      </c>
      <c r="JV202" s="12">
        <f t="shared" si="234"/>
        <v>0</v>
      </c>
      <c r="JW202" s="12">
        <f t="shared" si="235"/>
        <v>0</v>
      </c>
      <c r="JX202" s="12">
        <f t="shared" si="236"/>
        <v>0</v>
      </c>
      <c r="JY202" s="12">
        <f t="shared" si="237"/>
        <v>0</v>
      </c>
      <c r="JZ202" s="12">
        <f t="shared" si="238"/>
        <v>0</v>
      </c>
      <c r="KA202" s="12">
        <f t="shared" si="239"/>
        <v>0</v>
      </c>
      <c r="KB202" s="12">
        <f t="shared" si="240"/>
        <v>0</v>
      </c>
      <c r="KC202" s="12">
        <f t="shared" si="241"/>
        <v>0</v>
      </c>
      <c r="KD202" s="12">
        <f t="shared" si="242"/>
        <v>0</v>
      </c>
      <c r="KE202" s="12">
        <f t="shared" si="243"/>
        <v>0</v>
      </c>
      <c r="KF202" s="12">
        <f t="shared" si="244"/>
        <v>0</v>
      </c>
      <c r="KG202" s="12">
        <f t="shared" si="245"/>
        <v>0</v>
      </c>
      <c r="KH202" s="12">
        <f t="shared" si="246"/>
        <v>0</v>
      </c>
      <c r="KI202" s="12">
        <f t="shared" si="247"/>
        <v>0</v>
      </c>
      <c r="KJ202" s="12">
        <f t="shared" si="248"/>
        <v>0</v>
      </c>
      <c r="KK202" s="12">
        <f t="shared" si="249"/>
        <v>0</v>
      </c>
      <c r="KL202" s="12">
        <f t="shared" si="250"/>
        <v>0</v>
      </c>
      <c r="KM202" s="12">
        <f t="shared" si="251"/>
        <v>0</v>
      </c>
      <c r="KN202" s="12">
        <f t="shared" si="252"/>
        <v>0</v>
      </c>
      <c r="KO202" s="12">
        <f t="shared" si="253"/>
        <v>0</v>
      </c>
      <c r="KP202" s="12">
        <f t="shared" si="254"/>
        <v>0</v>
      </c>
      <c r="KQ202" s="12">
        <f t="shared" si="255"/>
        <v>0</v>
      </c>
      <c r="KR202" s="12">
        <f t="shared" si="256"/>
        <v>0</v>
      </c>
      <c r="KS202" s="12">
        <f t="shared" si="257"/>
        <v>0</v>
      </c>
      <c r="KT202" s="12">
        <f t="shared" si="258"/>
        <v>0</v>
      </c>
      <c r="KU202" s="12">
        <f t="shared" si="259"/>
        <v>0</v>
      </c>
      <c r="KV202" s="12">
        <f t="shared" si="260"/>
        <v>0</v>
      </c>
      <c r="KW202" s="12">
        <f t="shared" si="261"/>
        <v>0</v>
      </c>
      <c r="KX202" s="12">
        <f t="shared" si="262"/>
        <v>0</v>
      </c>
      <c r="KY202" s="12">
        <f t="shared" si="263"/>
        <v>0</v>
      </c>
      <c r="KZ202" s="12">
        <f t="shared" si="264"/>
        <v>0</v>
      </c>
      <c r="LA202" s="12">
        <f t="shared" si="265"/>
        <v>0</v>
      </c>
      <c r="LB202" s="12">
        <f t="shared" si="266"/>
        <v>0</v>
      </c>
      <c r="LC202" s="12">
        <f t="shared" si="267"/>
        <v>0</v>
      </c>
      <c r="LD202" s="12">
        <f t="shared" si="268"/>
        <v>0</v>
      </c>
      <c r="LE202" s="12">
        <f t="shared" si="269"/>
        <v>0</v>
      </c>
      <c r="LF202" s="12">
        <f t="shared" si="270"/>
        <v>0</v>
      </c>
      <c r="LG202" s="12">
        <f t="shared" si="271"/>
        <v>0</v>
      </c>
      <c r="LH202" s="12">
        <f t="shared" si="272"/>
        <v>0</v>
      </c>
      <c r="LI202" s="12">
        <f t="shared" si="273"/>
        <v>0</v>
      </c>
      <c r="LJ202" s="12">
        <f t="shared" si="274"/>
        <v>0</v>
      </c>
      <c r="LK202" s="12">
        <f t="shared" si="275"/>
        <v>0</v>
      </c>
      <c r="LL202" s="12">
        <f t="shared" si="276"/>
        <v>0</v>
      </c>
      <c r="LM202" s="12">
        <f t="shared" si="277"/>
        <v>0</v>
      </c>
      <c r="LN202" s="12">
        <f t="shared" si="278"/>
        <v>0</v>
      </c>
      <c r="LO202" s="12">
        <f t="shared" si="279"/>
        <v>0</v>
      </c>
      <c r="LP202" s="12">
        <f t="shared" si="280"/>
        <v>0</v>
      </c>
      <c r="LQ202" s="12">
        <f t="shared" si="281"/>
        <v>0</v>
      </c>
      <c r="LR202" s="12">
        <f t="shared" si="282"/>
        <v>0</v>
      </c>
      <c r="LS202" s="12">
        <f t="shared" si="283"/>
        <v>0</v>
      </c>
      <c r="LT202" s="13">
        <f t="shared" si="284"/>
        <v>0</v>
      </c>
      <c r="LU202" s="13">
        <f t="shared" si="285"/>
        <v>0</v>
      </c>
      <c r="LV202" s="13">
        <f t="shared" si="286"/>
        <v>0</v>
      </c>
      <c r="LW202" s="13">
        <f t="shared" si="287"/>
        <v>0</v>
      </c>
      <c r="LX202" s="13">
        <f t="shared" si="288"/>
        <v>0</v>
      </c>
      <c r="LY202" s="13">
        <f t="shared" si="289"/>
        <v>0</v>
      </c>
      <c r="LZ202" s="13">
        <f t="shared" si="290"/>
        <v>0</v>
      </c>
      <c r="MA202" s="13">
        <f t="shared" si="291"/>
        <v>0</v>
      </c>
      <c r="MB202" s="13">
        <f t="shared" si="292"/>
        <v>0</v>
      </c>
      <c r="MC202" s="13">
        <f t="shared" si="293"/>
        <v>0</v>
      </c>
      <c r="MD202" s="13">
        <f t="shared" si="294"/>
        <v>0</v>
      </c>
      <c r="ME202" s="13">
        <f t="shared" si="295"/>
        <v>0</v>
      </c>
      <c r="MF202" s="13">
        <f t="shared" si="296"/>
        <v>0</v>
      </c>
      <c r="MG202" s="13">
        <f t="shared" si="297"/>
        <v>0</v>
      </c>
      <c r="MH202" s="13">
        <f t="shared" si="298"/>
        <v>0</v>
      </c>
      <c r="MI202" s="13">
        <f t="shared" si="299"/>
        <v>0</v>
      </c>
      <c r="MJ202" s="13">
        <f t="shared" si="300"/>
        <v>0</v>
      </c>
      <c r="MK202" s="13">
        <f t="shared" si="301"/>
        <v>0</v>
      </c>
      <c r="ML202" s="14">
        <f t="shared" si="302"/>
        <v>0</v>
      </c>
      <c r="MM202" s="14">
        <f t="shared" si="303"/>
        <v>0</v>
      </c>
      <c r="MN202" s="14">
        <f t="shared" si="304"/>
        <v>0</v>
      </c>
      <c r="MO202" s="14">
        <f t="shared" si="305"/>
        <v>0</v>
      </c>
      <c r="MP202" s="14">
        <f t="shared" si="306"/>
        <v>0</v>
      </c>
      <c r="MQ202" s="14">
        <f t="shared" si="307"/>
        <v>0</v>
      </c>
      <c r="MR202" s="14">
        <f t="shared" si="308"/>
        <v>0</v>
      </c>
      <c r="MS202" s="14">
        <f t="shared" si="309"/>
        <v>0</v>
      </c>
      <c r="MT202" s="14">
        <f t="shared" si="310"/>
        <v>0</v>
      </c>
      <c r="MU202" s="14">
        <f t="shared" si="311"/>
        <v>0</v>
      </c>
      <c r="MV202" s="14">
        <f t="shared" si="312"/>
        <v>0</v>
      </c>
      <c r="MW202" s="14">
        <f t="shared" si="313"/>
        <v>0</v>
      </c>
      <c r="MX202" s="14">
        <f t="shared" si="314"/>
        <v>0</v>
      </c>
      <c r="MY202" s="14">
        <f t="shared" si="315"/>
        <v>1</v>
      </c>
      <c r="MZ202" s="14">
        <f t="shared" si="316"/>
        <v>0</v>
      </c>
      <c r="NA202" s="14">
        <f t="shared" si="317"/>
        <v>0</v>
      </c>
      <c r="NB202" s="14">
        <f t="shared" si="318"/>
        <v>0</v>
      </c>
    </row>
    <row r="203" ht="15.75" customHeight="1">
      <c r="A203" s="2">
        <v>168.0</v>
      </c>
      <c r="B203" s="2" t="s">
        <v>3743</v>
      </c>
      <c r="C203" s="2" t="s">
        <v>3744</v>
      </c>
      <c r="D203" s="2" t="s">
        <v>3745</v>
      </c>
      <c r="E203" s="2">
        <v>2020.0</v>
      </c>
      <c r="F203" s="2" t="s">
        <v>3746</v>
      </c>
      <c r="G203" s="2" t="s">
        <v>1109</v>
      </c>
      <c r="H203" s="2" t="s">
        <v>452</v>
      </c>
      <c r="J203" s="2" t="s">
        <v>3747</v>
      </c>
      <c r="K203" s="2" t="s">
        <v>3748</v>
      </c>
      <c r="M203" s="2">
        <v>1.0</v>
      </c>
      <c r="N203" s="2" t="s">
        <v>3749</v>
      </c>
      <c r="O203" s="2" t="s">
        <v>3750</v>
      </c>
      <c r="P203" s="2" t="s">
        <v>3751</v>
      </c>
      <c r="Q203" s="2" t="s">
        <v>3752</v>
      </c>
      <c r="R203" s="2" t="s">
        <v>3753</v>
      </c>
      <c r="S203" s="2" t="s">
        <v>3754</v>
      </c>
      <c r="Y203" s="2" t="s">
        <v>3755</v>
      </c>
      <c r="AB203" s="2" t="s">
        <v>3756</v>
      </c>
      <c r="AG203" s="2" t="s">
        <v>3757</v>
      </c>
      <c r="AK203" s="2" t="s">
        <v>3758</v>
      </c>
      <c r="AL203" s="2" t="s">
        <v>384</v>
      </c>
      <c r="AN203" s="2" t="s">
        <v>386</v>
      </c>
      <c r="AO203" s="2" t="s">
        <v>3759</v>
      </c>
      <c r="AP203" s="2" t="s">
        <v>386</v>
      </c>
      <c r="AQ203" s="2">
        <v>634.0</v>
      </c>
      <c r="AR203" s="2" t="s">
        <v>3760</v>
      </c>
      <c r="AS203" s="2" t="b">
        <v>1</v>
      </c>
      <c r="AT203" s="3">
        <v>0.0</v>
      </c>
      <c r="AU203" s="4"/>
      <c r="AV203" s="4"/>
      <c r="AW203" s="5">
        <f t="shared" si="432"/>
        <v>0</v>
      </c>
      <c r="AX203" s="5">
        <f t="shared" si="4"/>
        <v>0</v>
      </c>
      <c r="AY203" s="5">
        <f t="shared" si="5"/>
        <v>0</v>
      </c>
      <c r="AZ203" s="5">
        <f t="shared" si="6"/>
        <v>0</v>
      </c>
      <c r="BA203" s="5">
        <f t="shared" si="7"/>
        <v>0</v>
      </c>
      <c r="BB203" s="5">
        <f t="shared" si="8"/>
        <v>0</v>
      </c>
      <c r="BC203" s="5">
        <f t="shared" si="9"/>
        <v>0</v>
      </c>
      <c r="BD203" s="5">
        <f t="shared" si="10"/>
        <v>0</v>
      </c>
      <c r="BE203" s="5">
        <f t="shared" si="11"/>
        <v>0</v>
      </c>
      <c r="BF203" s="5">
        <f t="shared" si="12"/>
        <v>0</v>
      </c>
      <c r="BG203" s="5">
        <f t="shared" si="13"/>
        <v>0</v>
      </c>
      <c r="BH203" s="5">
        <f t="shared" si="14"/>
        <v>0</v>
      </c>
      <c r="BI203" s="5">
        <f t="shared" si="15"/>
        <v>0</v>
      </c>
      <c r="BJ203" s="5">
        <f t="shared" si="16"/>
        <v>0</v>
      </c>
      <c r="BK203" s="5">
        <f t="shared" si="17"/>
        <v>0</v>
      </c>
      <c r="BL203" s="5">
        <f t="shared" si="18"/>
        <v>0</v>
      </c>
      <c r="BM203" s="5">
        <f t="shared" si="19"/>
        <v>0</v>
      </c>
      <c r="BN203" s="5">
        <f t="shared" si="20"/>
        <v>0</v>
      </c>
      <c r="BO203" s="5">
        <f t="shared" si="21"/>
        <v>0</v>
      </c>
      <c r="BP203" s="5">
        <f t="shared" si="22"/>
        <v>0</v>
      </c>
      <c r="BQ203" s="5">
        <f t="shared" si="23"/>
        <v>0</v>
      </c>
      <c r="BR203" s="5">
        <f t="shared" si="24"/>
        <v>0</v>
      </c>
      <c r="BS203" s="5">
        <f t="shared" si="25"/>
        <v>0</v>
      </c>
      <c r="BT203" s="5">
        <f t="shared" si="26"/>
        <v>0</v>
      </c>
      <c r="BU203" s="5">
        <f t="shared" si="27"/>
        <v>0</v>
      </c>
      <c r="BV203" s="5">
        <f t="shared" ref="BV203:BW203" si="763">IF(OR(ISNUMBER(SEARCH("grit",$D203)),ISNUMBER(SEARCH("grit",$T203)),ISNUMBER(SEARCH("grit",$R203)),ISNUMBER(SEARCH("grit",$S203)),
ISNUMBER(SEARCH("determination",$D203)),ISNUMBER(SEARCH("determination",$T203)),ISNUMBER(SEARCH("determination",$R203)),ISNUMBER(SEARCH("determination",$S203)),
ISNUMBER(SEARCH("tenacity",$D203)),ISNUMBER(SEARCH("tenacity",$T203)),ISNUMBER(SEARCH("tenacity",$R203)),ISNUMBER(SEARCH("tenacity",$S203)),
ISNUMBER(SEARCH("endurance",$D203)),ISNUMBER(SEARCH("endurance",$T203)),ISNUMBER(SEARCH("endurance",$R203)),ISNUMBER(SEARCH("endurance",$S203)),
ISNUMBER(SEARCH("fortitude",$D203)),ISNUMBER(SEARCH("fortitude",$T203)),ISNUMBER(SEARCH("fortitude",$R203)),ISNUMBER(SEARCH("fortitude",$S203)),
ISNUMBER(SEARCH("resolve",$D203)),ISNUMBER(SEARCH("resolve",$T203)),ISNUMBER(SEARCH("resolve",$R203)),ISNUMBER(SEARCH("resolve",$S203)),
ISNUMBER(SEARCH("stamina",$D203)),ISNUMBER(SEARCH("stamina",$T203)),ISNUMBER(SEARCH("stamina",$R203)),ISNUMBER(SEARCH("stamina",$S203)),
ISNUMBER(SEARCH("guts",$D203)),ISNUMBER(SEARCH("guts",$T203)),ISNUMBER(SEARCH("guts",$R203)),ISNUMBER(SEARCH("guts",$S203)),
ISNUMBER(SEARCH("spunk",$D203)),ISNUMBER(SEARCH("spunk",$T203)),ISNUMBER(SEARCH("spunk",$R203)),ISNUMBER(SEARCH("spunk",$S203))), 1, 0)</f>
        <v>0</v>
      </c>
      <c r="BW203" s="5">
        <f t="shared" si="763"/>
        <v>0</v>
      </c>
      <c r="BX203" s="5">
        <f t="shared" si="29"/>
        <v>0</v>
      </c>
      <c r="BY203" s="5">
        <f t="shared" si="30"/>
        <v>0</v>
      </c>
      <c r="BZ203" s="5">
        <f t="shared" si="31"/>
        <v>0</v>
      </c>
      <c r="CA203" s="5">
        <f t="shared" si="32"/>
        <v>0</v>
      </c>
      <c r="CB203" s="5">
        <f t="shared" si="33"/>
        <v>0</v>
      </c>
      <c r="CC203" s="5">
        <f t="shared" si="34"/>
        <v>0</v>
      </c>
      <c r="CD203" s="5">
        <f t="shared" si="35"/>
        <v>0</v>
      </c>
      <c r="CE203" s="5">
        <f t="shared" si="36"/>
        <v>0</v>
      </c>
      <c r="CF203" s="5">
        <f t="shared" si="37"/>
        <v>0</v>
      </c>
      <c r="CG203" s="5">
        <f t="shared" si="38"/>
        <v>1</v>
      </c>
      <c r="CH203" s="5">
        <f t="shared" si="39"/>
        <v>0</v>
      </c>
      <c r="CI203" s="5">
        <f t="shared" si="40"/>
        <v>0</v>
      </c>
      <c r="CJ203" s="5">
        <f t="shared" si="41"/>
        <v>0</v>
      </c>
      <c r="CK203" s="5">
        <f t="shared" si="42"/>
        <v>0</v>
      </c>
      <c r="CL203" s="5">
        <f t="shared" si="43"/>
        <v>0</v>
      </c>
      <c r="CM203" s="5">
        <f t="shared" si="44"/>
        <v>0</v>
      </c>
      <c r="CN203" s="5">
        <f t="shared" si="45"/>
        <v>0</v>
      </c>
      <c r="CO203" s="5">
        <f t="shared" si="46"/>
        <v>0</v>
      </c>
      <c r="CP203" s="6">
        <f t="shared" si="47"/>
        <v>0</v>
      </c>
      <c r="CQ203" s="6">
        <f t="shared" si="48"/>
        <v>0</v>
      </c>
      <c r="CR203" s="6">
        <f t="shared" si="49"/>
        <v>0</v>
      </c>
      <c r="CS203" s="6">
        <f t="shared" si="50"/>
        <v>0</v>
      </c>
      <c r="CT203" s="6">
        <f t="shared" si="584"/>
        <v>1</v>
      </c>
      <c r="CU203" s="6">
        <f t="shared" si="52"/>
        <v>0</v>
      </c>
      <c r="CV203" s="6">
        <f t="shared" si="53"/>
        <v>0</v>
      </c>
      <c r="CW203" s="6">
        <f t="shared" si="54"/>
        <v>0</v>
      </c>
      <c r="CX203" s="6">
        <f t="shared" si="55"/>
        <v>0</v>
      </c>
      <c r="CY203" s="6">
        <f t="shared" si="56"/>
        <v>0</v>
      </c>
      <c r="CZ203" s="6">
        <f t="shared" si="57"/>
        <v>0</v>
      </c>
      <c r="DA203" s="6">
        <f t="shared" si="58"/>
        <v>0</v>
      </c>
      <c r="DB203" s="6">
        <f t="shared" si="59"/>
        <v>0</v>
      </c>
      <c r="DC203" s="6">
        <f t="shared" si="60"/>
        <v>0</v>
      </c>
      <c r="DD203" s="6">
        <f t="shared" si="61"/>
        <v>0</v>
      </c>
      <c r="DE203" s="6">
        <f t="shared" si="62"/>
        <v>0</v>
      </c>
      <c r="DF203" s="6">
        <f t="shared" si="63"/>
        <v>0</v>
      </c>
      <c r="DG203" s="6">
        <f t="shared" si="64"/>
        <v>1</v>
      </c>
      <c r="DH203" s="6">
        <f t="shared" si="697"/>
        <v>0</v>
      </c>
      <c r="DI203" s="6">
        <f t="shared" si="66"/>
        <v>0</v>
      </c>
      <c r="DJ203" s="6">
        <f t="shared" si="653"/>
        <v>0</v>
      </c>
      <c r="DK203" s="7">
        <f t="shared" si="68"/>
        <v>0</v>
      </c>
      <c r="DL203" s="7">
        <f t="shared" si="498"/>
        <v>0</v>
      </c>
      <c r="DM203" s="7">
        <f t="shared" si="70"/>
        <v>0</v>
      </c>
      <c r="DN203" s="7">
        <f t="shared" si="71"/>
        <v>0</v>
      </c>
      <c r="DO203" s="7">
        <f t="shared" si="72"/>
        <v>1</v>
      </c>
      <c r="DP203" s="8">
        <f t="shared" si="73"/>
        <v>0</v>
      </c>
      <c r="DQ203" s="8">
        <f t="shared" si="74"/>
        <v>1</v>
      </c>
      <c r="DR203" s="7">
        <f t="shared" si="75"/>
        <v>0</v>
      </c>
      <c r="DS203" s="7">
        <f t="shared" si="76"/>
        <v>0</v>
      </c>
      <c r="DT203" s="7">
        <f t="shared" si="77"/>
        <v>0</v>
      </c>
      <c r="DU203" s="9">
        <f t="shared" si="78"/>
        <v>0</v>
      </c>
      <c r="DV203" s="9">
        <f t="shared" si="79"/>
        <v>0</v>
      </c>
      <c r="DW203" s="9">
        <f t="shared" si="80"/>
        <v>0</v>
      </c>
      <c r="DX203" s="9">
        <f t="shared" si="81"/>
        <v>0</v>
      </c>
      <c r="DY203" s="9">
        <f t="shared" si="82"/>
        <v>0</v>
      </c>
      <c r="DZ203" s="9">
        <f t="shared" si="83"/>
        <v>0</v>
      </c>
      <c r="EA203" s="9">
        <f t="shared" si="84"/>
        <v>0</v>
      </c>
      <c r="EB203" s="9">
        <f t="shared" si="85"/>
        <v>0</v>
      </c>
      <c r="EC203" s="9">
        <f t="shared" si="86"/>
        <v>0</v>
      </c>
      <c r="ED203" s="9">
        <f t="shared" si="87"/>
        <v>0</v>
      </c>
      <c r="EE203" s="9">
        <f t="shared" si="88"/>
        <v>0</v>
      </c>
      <c r="EF203" s="9">
        <f t="shared" si="89"/>
        <v>0</v>
      </c>
      <c r="EG203" s="9">
        <f t="shared" si="90"/>
        <v>0</v>
      </c>
      <c r="EH203" s="9">
        <f t="shared" si="91"/>
        <v>0</v>
      </c>
      <c r="EI203" s="9">
        <f t="shared" si="92"/>
        <v>0</v>
      </c>
      <c r="EJ203" s="10">
        <f t="shared" si="93"/>
        <v>0</v>
      </c>
      <c r="EK203" s="10">
        <f t="shared" si="94"/>
        <v>0</v>
      </c>
      <c r="EL203" s="10">
        <f t="shared" ref="EL203:EM203" si="764">IF(OR(ISNUMBER(SEARCH("ai software toolkit", $D203)), ISNUMBER(SEARCH("ai software toolkit", $T203)), ISNUMBER(SEARCH("ai software toolkit", $R203)), ISNUMBER(SEARCH("ai software toolkit", $S203))), 1, 0)</f>
        <v>0</v>
      </c>
      <c r="EM203" s="10">
        <f t="shared" si="764"/>
        <v>0</v>
      </c>
      <c r="EN203" s="10">
        <f t="shared" si="96"/>
        <v>0</v>
      </c>
      <c r="EO203" s="10">
        <f t="shared" si="97"/>
        <v>0</v>
      </c>
      <c r="EP203" s="10">
        <f t="shared" si="98"/>
        <v>0</v>
      </c>
      <c r="EQ203" s="10">
        <f t="shared" si="99"/>
        <v>0</v>
      </c>
      <c r="ER203" s="10">
        <f t="shared" si="100"/>
        <v>0</v>
      </c>
      <c r="ES203" s="10">
        <f t="shared" si="101"/>
        <v>0</v>
      </c>
      <c r="ET203" s="10">
        <f t="shared" si="102"/>
        <v>0</v>
      </c>
      <c r="EU203" s="10">
        <f t="shared" si="103"/>
        <v>0</v>
      </c>
      <c r="EV203" s="10">
        <f t="shared" si="104"/>
        <v>0</v>
      </c>
      <c r="EW203" s="10">
        <f t="shared" si="105"/>
        <v>0</v>
      </c>
      <c r="EX203" s="10">
        <f t="shared" si="106"/>
        <v>0</v>
      </c>
      <c r="EY203" s="10">
        <f t="shared" si="107"/>
        <v>0</v>
      </c>
      <c r="EZ203" s="10">
        <f t="shared" si="108"/>
        <v>0</v>
      </c>
      <c r="FA203" s="10">
        <f t="shared" si="109"/>
        <v>0</v>
      </c>
      <c r="FB203" s="10">
        <f t="shared" si="110"/>
        <v>0</v>
      </c>
      <c r="FC203" s="10">
        <f t="shared" si="111"/>
        <v>0</v>
      </c>
      <c r="FD203" s="10">
        <f t="shared" si="112"/>
        <v>0</v>
      </c>
      <c r="FE203" s="10">
        <f t="shared" si="113"/>
        <v>0</v>
      </c>
      <c r="FF203" s="10">
        <f t="shared" si="114"/>
        <v>0</v>
      </c>
      <c r="FG203" s="10">
        <f t="shared" si="115"/>
        <v>0</v>
      </c>
      <c r="FH203" s="10">
        <f t="shared" si="116"/>
        <v>0</v>
      </c>
      <c r="FI203" s="10">
        <f t="shared" si="117"/>
        <v>0</v>
      </c>
      <c r="FJ203" s="10">
        <f t="shared" si="118"/>
        <v>0</v>
      </c>
      <c r="FK203" s="10">
        <f t="shared" si="119"/>
        <v>0</v>
      </c>
      <c r="FL203" s="10">
        <f t="shared" si="120"/>
        <v>0</v>
      </c>
      <c r="FM203" s="10">
        <f t="shared" si="121"/>
        <v>0</v>
      </c>
      <c r="FN203" s="10">
        <f t="shared" si="122"/>
        <v>0</v>
      </c>
      <c r="FO203" s="10">
        <f t="shared" si="123"/>
        <v>0</v>
      </c>
      <c r="FP203" s="10">
        <f t="shared" si="124"/>
        <v>0</v>
      </c>
      <c r="FQ203" s="10">
        <f t="shared" si="125"/>
        <v>0</v>
      </c>
      <c r="FR203" s="11">
        <f t="shared" ref="FR203:FR216" si="767">IF(
OR(
ISNUMBER(SEARCH("chatbot",$D203)),ISNUMBER(SEARCH("chatbot",$T203)),ISNUMBER(SEARCH("chatbot",#REF!)),ISNUMBER(SEARCH("chatbot",$S203)),
ISNUMBER(SEARCH("virtual assistance",$D203)),ISNUMBER(SEARCH("virtual assistance",$T203)),ISNUMBER(SEARCH("virtual assistance",$R203)),ISNUMBER(SEARCH("virtual assistance",$S203))), 1, 0)</f>
        <v>0</v>
      </c>
      <c r="FS203" s="11">
        <f t="shared" si="127"/>
        <v>0</v>
      </c>
      <c r="FT203" s="11">
        <f t="shared" si="128"/>
        <v>0</v>
      </c>
      <c r="FU203" s="11">
        <f t="shared" si="129"/>
        <v>0</v>
      </c>
      <c r="FV203" s="11">
        <f t="shared" si="130"/>
        <v>0</v>
      </c>
      <c r="FW203" s="11">
        <f t="shared" si="131"/>
        <v>0</v>
      </c>
      <c r="FX203" s="11">
        <f t="shared" si="132"/>
        <v>0</v>
      </c>
      <c r="FY203" s="11">
        <f t="shared" si="133"/>
        <v>0</v>
      </c>
      <c r="FZ203" s="11">
        <f t="shared" si="134"/>
        <v>0</v>
      </c>
      <c r="GA203" s="11">
        <f t="shared" si="135"/>
        <v>0</v>
      </c>
      <c r="GB203" s="11">
        <f t="shared" si="136"/>
        <v>0</v>
      </c>
      <c r="GC203" s="11">
        <f t="shared" si="137"/>
        <v>0</v>
      </c>
      <c r="GD203" s="11">
        <f t="shared" si="138"/>
        <v>0</v>
      </c>
      <c r="GE203" s="11">
        <f t="shared" si="139"/>
        <v>0</v>
      </c>
      <c r="GF203" s="11">
        <f t="shared" si="140"/>
        <v>0</v>
      </c>
      <c r="GG203" s="11">
        <f t="shared" si="141"/>
        <v>0</v>
      </c>
      <c r="GH203" s="11">
        <f t="shared" si="142"/>
        <v>0</v>
      </c>
      <c r="GI203" s="11">
        <f t="shared" si="143"/>
        <v>0</v>
      </c>
      <c r="GJ203" s="11">
        <f t="shared" si="144"/>
        <v>0</v>
      </c>
      <c r="GK203" s="11">
        <f t="shared" si="145"/>
        <v>0</v>
      </c>
      <c r="GL203" s="11">
        <f t="shared" si="146"/>
        <v>0</v>
      </c>
      <c r="GM203" s="11">
        <f t="shared" si="147"/>
        <v>0</v>
      </c>
      <c r="GN203" s="11">
        <f t="shared" si="148"/>
        <v>0</v>
      </c>
      <c r="GO203" s="11">
        <f t="shared" si="149"/>
        <v>0</v>
      </c>
      <c r="GP203" s="11">
        <f t="shared" si="150"/>
        <v>0</v>
      </c>
      <c r="GQ203" s="11">
        <f t="shared" si="151"/>
        <v>0</v>
      </c>
      <c r="GR203" s="11">
        <f t="shared" si="152"/>
        <v>0</v>
      </c>
      <c r="GS203" s="11">
        <f t="shared" si="153"/>
        <v>0</v>
      </c>
      <c r="GT203" s="11">
        <f t="shared" si="154"/>
        <v>0</v>
      </c>
      <c r="GU203" s="12">
        <f t="shared" si="155"/>
        <v>0</v>
      </c>
      <c r="GV203" s="12">
        <f t="shared" si="156"/>
        <v>0</v>
      </c>
      <c r="GW203" s="12">
        <f t="shared" si="157"/>
        <v>0</v>
      </c>
      <c r="GX203" s="12">
        <f t="shared" si="158"/>
        <v>0</v>
      </c>
      <c r="GY203" s="12">
        <f t="shared" si="159"/>
        <v>0</v>
      </c>
      <c r="GZ203" s="12">
        <f t="shared" si="160"/>
        <v>0</v>
      </c>
      <c r="HA203" s="12">
        <f t="shared" si="161"/>
        <v>0</v>
      </c>
      <c r="HB203" s="12">
        <f t="shared" si="162"/>
        <v>0</v>
      </c>
      <c r="HC203" s="12">
        <f t="shared" si="163"/>
        <v>0</v>
      </c>
      <c r="HD203" s="12">
        <f t="shared" si="164"/>
        <v>0</v>
      </c>
      <c r="HE203" s="12">
        <f t="shared" si="165"/>
        <v>0</v>
      </c>
      <c r="HF203" s="12">
        <f t="shared" si="166"/>
        <v>0</v>
      </c>
      <c r="HG203" s="12">
        <f t="shared" si="167"/>
        <v>0</v>
      </c>
      <c r="HH203" s="12">
        <f t="shared" si="168"/>
        <v>0</v>
      </c>
      <c r="HI203" s="12">
        <f t="shared" si="169"/>
        <v>0</v>
      </c>
      <c r="HJ203" s="12">
        <f t="shared" si="170"/>
        <v>0</v>
      </c>
      <c r="HK203" s="12">
        <f t="shared" si="171"/>
        <v>0</v>
      </c>
      <c r="HL203" s="12">
        <f t="shared" si="172"/>
        <v>0</v>
      </c>
      <c r="HM203" s="12">
        <f t="shared" si="173"/>
        <v>0</v>
      </c>
      <c r="HN203" s="12">
        <f t="shared" si="174"/>
        <v>0</v>
      </c>
      <c r="HO203" s="12">
        <f t="shared" si="175"/>
        <v>0</v>
      </c>
      <c r="HP203" s="12">
        <f t="shared" si="176"/>
        <v>0</v>
      </c>
      <c r="HQ203" s="12">
        <f t="shared" si="177"/>
        <v>0</v>
      </c>
      <c r="HR203" s="12">
        <f t="shared" si="178"/>
        <v>0</v>
      </c>
      <c r="HS203" s="12">
        <f t="shared" si="179"/>
        <v>0</v>
      </c>
      <c r="HT203" s="12">
        <f t="shared" si="180"/>
        <v>0</v>
      </c>
      <c r="HU203" s="12">
        <f t="shared" si="181"/>
        <v>0</v>
      </c>
      <c r="HV203" s="12">
        <f t="shared" si="182"/>
        <v>0</v>
      </c>
      <c r="HW203" s="12">
        <f t="shared" si="183"/>
        <v>0</v>
      </c>
      <c r="HX203" s="12">
        <f t="shared" si="184"/>
        <v>0</v>
      </c>
      <c r="HY203" s="12">
        <f t="shared" si="185"/>
        <v>0</v>
      </c>
      <c r="HZ203" s="12">
        <f t="shared" si="186"/>
        <v>0</v>
      </c>
      <c r="IA203" s="12">
        <f t="shared" si="187"/>
        <v>0</v>
      </c>
      <c r="IB203" s="12">
        <f t="shared" si="188"/>
        <v>0</v>
      </c>
      <c r="IC203" s="12">
        <f t="shared" si="189"/>
        <v>0</v>
      </c>
      <c r="ID203" s="12">
        <f t="shared" si="190"/>
        <v>0</v>
      </c>
      <c r="IE203" s="12">
        <f t="shared" si="191"/>
        <v>0</v>
      </c>
      <c r="IF203" s="12">
        <f t="shared" si="192"/>
        <v>0</v>
      </c>
      <c r="IG203" s="12">
        <f t="shared" si="193"/>
        <v>0</v>
      </c>
      <c r="IH203" s="12">
        <f t="shared" si="194"/>
        <v>0</v>
      </c>
      <c r="II203" s="12">
        <f t="shared" si="195"/>
        <v>0</v>
      </c>
      <c r="IJ203" s="12">
        <f t="shared" si="196"/>
        <v>0</v>
      </c>
      <c r="IK203" s="12">
        <f t="shared" si="197"/>
        <v>0</v>
      </c>
      <c r="IL203" s="12">
        <f t="shared" si="198"/>
        <v>0</v>
      </c>
      <c r="IM203" s="12">
        <f t="shared" si="199"/>
        <v>0</v>
      </c>
      <c r="IN203" s="12">
        <f t="shared" si="200"/>
        <v>0</v>
      </c>
      <c r="IO203" s="12">
        <f t="shared" si="201"/>
        <v>0</v>
      </c>
      <c r="IP203" s="12">
        <f t="shared" si="202"/>
        <v>0</v>
      </c>
      <c r="IQ203" s="12">
        <f t="shared" si="203"/>
        <v>0</v>
      </c>
      <c r="IR203" s="12">
        <f t="shared" si="204"/>
        <v>0</v>
      </c>
      <c r="IS203" s="12">
        <f t="shared" si="205"/>
        <v>0</v>
      </c>
      <c r="IT203" s="12">
        <f t="shared" si="206"/>
        <v>0</v>
      </c>
      <c r="IU203" s="12">
        <f t="shared" si="207"/>
        <v>0</v>
      </c>
      <c r="IV203" s="12">
        <f t="shared" si="208"/>
        <v>0</v>
      </c>
      <c r="IW203" s="12">
        <f t="shared" si="209"/>
        <v>0</v>
      </c>
      <c r="IX203" s="12">
        <f t="shared" si="210"/>
        <v>0</v>
      </c>
      <c r="IY203" s="12">
        <f t="shared" si="211"/>
        <v>0</v>
      </c>
      <c r="IZ203" s="12">
        <f t="shared" si="212"/>
        <v>1</v>
      </c>
      <c r="JA203" s="13">
        <f t="shared" si="213"/>
        <v>0</v>
      </c>
      <c r="JB203" s="13">
        <f t="shared" si="214"/>
        <v>0</v>
      </c>
      <c r="JC203" s="13">
        <f t="shared" si="215"/>
        <v>0</v>
      </c>
      <c r="JD203" s="13">
        <f t="shared" si="216"/>
        <v>0</v>
      </c>
      <c r="JE203" s="13">
        <f t="shared" si="217"/>
        <v>0</v>
      </c>
      <c r="JF203" s="13">
        <f t="shared" si="218"/>
        <v>0</v>
      </c>
      <c r="JG203" s="13">
        <f t="shared" si="219"/>
        <v>0</v>
      </c>
      <c r="JH203" s="13">
        <f t="shared" si="220"/>
        <v>0</v>
      </c>
      <c r="JI203" s="13">
        <f t="shared" si="221"/>
        <v>0</v>
      </c>
      <c r="JJ203" s="13">
        <f t="shared" si="222"/>
        <v>0</v>
      </c>
      <c r="JK203" s="13">
        <f t="shared" si="223"/>
        <v>0</v>
      </c>
      <c r="JL203" s="13">
        <f t="shared" si="224"/>
        <v>0</v>
      </c>
      <c r="JM203" s="13">
        <f t="shared" si="225"/>
        <v>0</v>
      </c>
      <c r="JN203" s="13">
        <f t="shared" si="226"/>
        <v>0</v>
      </c>
      <c r="JO203" s="13">
        <f t="shared" si="227"/>
        <v>0</v>
      </c>
      <c r="JP203" s="13">
        <f t="shared" si="228"/>
        <v>0</v>
      </c>
      <c r="JQ203" s="13">
        <f t="shared" si="229"/>
        <v>0</v>
      </c>
      <c r="JR203" s="13">
        <f t="shared" si="230"/>
        <v>0</v>
      </c>
      <c r="JS203" s="13">
        <f t="shared" si="231"/>
        <v>0</v>
      </c>
      <c r="JT203" s="13">
        <f t="shared" si="232"/>
        <v>0</v>
      </c>
      <c r="JU203" s="13">
        <f t="shared" si="233"/>
        <v>0</v>
      </c>
      <c r="JV203" s="12">
        <f t="shared" si="234"/>
        <v>0</v>
      </c>
      <c r="JW203" s="12">
        <f t="shared" si="235"/>
        <v>0</v>
      </c>
      <c r="JX203" s="12">
        <f t="shared" si="236"/>
        <v>0</v>
      </c>
      <c r="JY203" s="12">
        <f t="shared" si="237"/>
        <v>0</v>
      </c>
      <c r="JZ203" s="12">
        <f t="shared" si="238"/>
        <v>0</v>
      </c>
      <c r="KA203" s="12">
        <f t="shared" si="239"/>
        <v>0</v>
      </c>
      <c r="KB203" s="12">
        <f t="shared" si="240"/>
        <v>0</v>
      </c>
      <c r="KC203" s="12">
        <f t="shared" si="241"/>
        <v>0</v>
      </c>
      <c r="KD203" s="12">
        <f t="shared" si="242"/>
        <v>0</v>
      </c>
      <c r="KE203" s="12">
        <f t="shared" si="243"/>
        <v>0</v>
      </c>
      <c r="KF203" s="12">
        <f t="shared" si="244"/>
        <v>0</v>
      </c>
      <c r="KG203" s="12">
        <f t="shared" si="245"/>
        <v>0</v>
      </c>
      <c r="KH203" s="12">
        <f t="shared" si="246"/>
        <v>0</v>
      </c>
      <c r="KI203" s="12">
        <f t="shared" si="247"/>
        <v>0</v>
      </c>
      <c r="KJ203" s="12">
        <f t="shared" si="248"/>
        <v>0</v>
      </c>
      <c r="KK203" s="12">
        <f t="shared" si="249"/>
        <v>0</v>
      </c>
      <c r="KL203" s="12">
        <f t="shared" si="250"/>
        <v>0</v>
      </c>
      <c r="KM203" s="12">
        <f t="shared" si="251"/>
        <v>0</v>
      </c>
      <c r="KN203" s="12">
        <f t="shared" si="252"/>
        <v>0</v>
      </c>
      <c r="KO203" s="12">
        <f t="shared" si="253"/>
        <v>0</v>
      </c>
      <c r="KP203" s="12">
        <f t="shared" si="254"/>
        <v>0</v>
      </c>
      <c r="KQ203" s="12">
        <f t="shared" si="255"/>
        <v>0</v>
      </c>
      <c r="KR203" s="12">
        <f t="shared" si="256"/>
        <v>0</v>
      </c>
      <c r="KS203" s="12">
        <f t="shared" si="257"/>
        <v>0</v>
      </c>
      <c r="KT203" s="12">
        <f t="shared" si="258"/>
        <v>0</v>
      </c>
      <c r="KU203" s="12">
        <f t="shared" si="259"/>
        <v>0</v>
      </c>
      <c r="KV203" s="12">
        <f t="shared" si="260"/>
        <v>0</v>
      </c>
      <c r="KW203" s="12">
        <f t="shared" si="261"/>
        <v>0</v>
      </c>
      <c r="KX203" s="12">
        <f t="shared" si="262"/>
        <v>0</v>
      </c>
      <c r="KY203" s="12">
        <f t="shared" si="263"/>
        <v>0</v>
      </c>
      <c r="KZ203" s="12">
        <f t="shared" si="264"/>
        <v>0</v>
      </c>
      <c r="LA203" s="12">
        <f t="shared" si="265"/>
        <v>0</v>
      </c>
      <c r="LB203" s="12">
        <f t="shared" si="266"/>
        <v>0</v>
      </c>
      <c r="LC203" s="12">
        <f t="shared" si="267"/>
        <v>0</v>
      </c>
      <c r="LD203" s="12">
        <f t="shared" si="268"/>
        <v>0</v>
      </c>
      <c r="LE203" s="12">
        <f t="shared" si="269"/>
        <v>0</v>
      </c>
      <c r="LF203" s="12">
        <f t="shared" si="270"/>
        <v>0</v>
      </c>
      <c r="LG203" s="12">
        <f t="shared" si="271"/>
        <v>0</v>
      </c>
      <c r="LH203" s="12">
        <f t="shared" si="272"/>
        <v>0</v>
      </c>
      <c r="LI203" s="12">
        <f t="shared" si="273"/>
        <v>0</v>
      </c>
      <c r="LJ203" s="12">
        <f t="shared" si="274"/>
        <v>0</v>
      </c>
      <c r="LK203" s="12">
        <f t="shared" si="275"/>
        <v>0</v>
      </c>
      <c r="LL203" s="12">
        <f t="shared" si="276"/>
        <v>0</v>
      </c>
      <c r="LM203" s="12">
        <f t="shared" si="277"/>
        <v>0</v>
      </c>
      <c r="LN203" s="12">
        <f t="shared" si="278"/>
        <v>0</v>
      </c>
      <c r="LO203" s="12">
        <f t="shared" si="279"/>
        <v>0</v>
      </c>
      <c r="LP203" s="12">
        <f t="shared" si="280"/>
        <v>0</v>
      </c>
      <c r="LQ203" s="12">
        <f t="shared" si="281"/>
        <v>0</v>
      </c>
      <c r="LR203" s="12">
        <f t="shared" si="282"/>
        <v>0</v>
      </c>
      <c r="LS203" s="12">
        <f t="shared" si="283"/>
        <v>0</v>
      </c>
      <c r="LT203" s="13">
        <f t="shared" si="284"/>
        <v>0</v>
      </c>
      <c r="LU203" s="13">
        <f t="shared" si="285"/>
        <v>0</v>
      </c>
      <c r="LV203" s="13">
        <f t="shared" si="286"/>
        <v>0</v>
      </c>
      <c r="LW203" s="13">
        <f t="shared" si="287"/>
        <v>0</v>
      </c>
      <c r="LX203" s="13">
        <f t="shared" si="288"/>
        <v>0</v>
      </c>
      <c r="LY203" s="13">
        <f t="shared" si="289"/>
        <v>0</v>
      </c>
      <c r="LZ203" s="13">
        <f t="shared" si="290"/>
        <v>0</v>
      </c>
      <c r="MA203" s="13">
        <f t="shared" si="291"/>
        <v>0</v>
      </c>
      <c r="MB203" s="13">
        <f t="shared" si="292"/>
        <v>0</v>
      </c>
      <c r="MC203" s="13">
        <f t="shared" si="293"/>
        <v>0</v>
      </c>
      <c r="MD203" s="13">
        <f t="shared" si="294"/>
        <v>0</v>
      </c>
      <c r="ME203" s="13">
        <f t="shared" si="295"/>
        <v>0</v>
      </c>
      <c r="MF203" s="13">
        <f t="shared" si="296"/>
        <v>0</v>
      </c>
      <c r="MG203" s="13">
        <f t="shared" si="297"/>
        <v>0</v>
      </c>
      <c r="MH203" s="13">
        <f t="shared" si="298"/>
        <v>0</v>
      </c>
      <c r="MI203" s="13">
        <f t="shared" si="299"/>
        <v>0</v>
      </c>
      <c r="MJ203" s="13">
        <f t="shared" si="300"/>
        <v>0</v>
      </c>
      <c r="MK203" s="13">
        <f t="shared" si="301"/>
        <v>0</v>
      </c>
      <c r="ML203" s="14">
        <f t="shared" si="302"/>
        <v>0</v>
      </c>
      <c r="MM203" s="14">
        <f t="shared" si="303"/>
        <v>0</v>
      </c>
      <c r="MN203" s="14">
        <f t="shared" si="304"/>
        <v>0</v>
      </c>
      <c r="MO203" s="14">
        <f t="shared" si="305"/>
        <v>0</v>
      </c>
      <c r="MP203" s="14">
        <f t="shared" si="306"/>
        <v>0</v>
      </c>
      <c r="MQ203" s="14">
        <f t="shared" si="307"/>
        <v>0</v>
      </c>
      <c r="MR203" s="14">
        <f t="shared" si="308"/>
        <v>0</v>
      </c>
      <c r="MS203" s="14">
        <f t="shared" si="309"/>
        <v>0</v>
      </c>
      <c r="MT203" s="14">
        <f t="shared" si="310"/>
        <v>0</v>
      </c>
      <c r="MU203" s="14">
        <f t="shared" si="311"/>
        <v>0</v>
      </c>
      <c r="MV203" s="14">
        <f t="shared" si="312"/>
        <v>0</v>
      </c>
      <c r="MW203" s="14">
        <f t="shared" si="313"/>
        <v>0</v>
      </c>
      <c r="MX203" s="14">
        <f t="shared" si="314"/>
        <v>0</v>
      </c>
      <c r="MY203" s="14">
        <f t="shared" si="315"/>
        <v>0</v>
      </c>
      <c r="MZ203" s="14">
        <f t="shared" si="316"/>
        <v>0</v>
      </c>
      <c r="NA203" s="14">
        <f t="shared" si="317"/>
        <v>0</v>
      </c>
      <c r="NB203" s="14">
        <f t="shared" si="318"/>
        <v>0</v>
      </c>
    </row>
    <row r="204" ht="15.75" customHeight="1">
      <c r="A204" s="2">
        <v>584.0</v>
      </c>
      <c r="B204" s="2" t="s">
        <v>3761</v>
      </c>
      <c r="C204" s="2" t="s">
        <v>3762</v>
      </c>
      <c r="D204" s="2" t="s">
        <v>3763</v>
      </c>
      <c r="E204" s="2">
        <v>2022.0</v>
      </c>
      <c r="F204" s="2" t="s">
        <v>3764</v>
      </c>
      <c r="G204" s="2">
        <v>59.0</v>
      </c>
      <c r="H204" s="2" t="s">
        <v>471</v>
      </c>
      <c r="I204" s="2" t="s">
        <v>3765</v>
      </c>
      <c r="M204" s="2">
        <v>1.0</v>
      </c>
      <c r="N204" s="2" t="s">
        <v>3766</v>
      </c>
      <c r="O204" s="2" t="s">
        <v>3767</v>
      </c>
      <c r="P204" s="2" t="s">
        <v>3768</v>
      </c>
      <c r="Q204" s="2" t="s">
        <v>3769</v>
      </c>
      <c r="R204" s="2" t="s">
        <v>3770</v>
      </c>
      <c r="S204" s="2" t="s">
        <v>3771</v>
      </c>
      <c r="T204" s="2" t="s">
        <v>3772</v>
      </c>
      <c r="Y204" s="2" t="s">
        <v>3773</v>
      </c>
      <c r="AB204" s="2" t="s">
        <v>646</v>
      </c>
      <c r="AG204" s="2" t="s">
        <v>3774</v>
      </c>
      <c r="AI204" s="2" t="s">
        <v>3775</v>
      </c>
      <c r="AK204" s="2" t="s">
        <v>3776</v>
      </c>
      <c r="AL204" s="2" t="s">
        <v>384</v>
      </c>
      <c r="AN204" s="2" t="s">
        <v>386</v>
      </c>
      <c r="AO204" s="2" t="s">
        <v>3777</v>
      </c>
      <c r="AP204" s="2" t="s">
        <v>386</v>
      </c>
      <c r="AQ204" s="2">
        <v>2268.0</v>
      </c>
      <c r="AR204" s="2" t="s">
        <v>3763</v>
      </c>
      <c r="AS204" s="2" t="b">
        <v>1</v>
      </c>
      <c r="AT204" s="3">
        <v>0.0</v>
      </c>
      <c r="AU204" s="4"/>
      <c r="AV204" s="4"/>
      <c r="AW204" s="5">
        <f t="shared" si="432"/>
        <v>0</v>
      </c>
      <c r="AX204" s="5">
        <f t="shared" si="4"/>
        <v>0</v>
      </c>
      <c r="AY204" s="5">
        <f t="shared" si="5"/>
        <v>0</v>
      </c>
      <c r="AZ204" s="5">
        <f t="shared" si="6"/>
        <v>0</v>
      </c>
      <c r="BA204" s="5">
        <f t="shared" si="7"/>
        <v>0</v>
      </c>
      <c r="BB204" s="5">
        <f t="shared" si="8"/>
        <v>0</v>
      </c>
      <c r="BC204" s="5">
        <f t="shared" si="9"/>
        <v>0</v>
      </c>
      <c r="BD204" s="5">
        <f t="shared" si="10"/>
        <v>0</v>
      </c>
      <c r="BE204" s="5">
        <f t="shared" si="11"/>
        <v>0</v>
      </c>
      <c r="BF204" s="5">
        <f t="shared" si="12"/>
        <v>0</v>
      </c>
      <c r="BG204" s="5">
        <f t="shared" si="13"/>
        <v>0</v>
      </c>
      <c r="BH204" s="5">
        <f t="shared" si="14"/>
        <v>0</v>
      </c>
      <c r="BI204" s="5">
        <f t="shared" si="15"/>
        <v>0</v>
      </c>
      <c r="BJ204" s="5">
        <f t="shared" si="16"/>
        <v>0</v>
      </c>
      <c r="BK204" s="5">
        <f t="shared" si="17"/>
        <v>0</v>
      </c>
      <c r="BL204" s="5">
        <f t="shared" si="18"/>
        <v>0</v>
      </c>
      <c r="BM204" s="5">
        <f t="shared" si="19"/>
        <v>0</v>
      </c>
      <c r="BN204" s="5">
        <f t="shared" si="20"/>
        <v>0</v>
      </c>
      <c r="BO204" s="5">
        <f t="shared" si="21"/>
        <v>0</v>
      </c>
      <c r="BP204" s="5">
        <f t="shared" si="22"/>
        <v>0</v>
      </c>
      <c r="BQ204" s="5">
        <f t="shared" si="23"/>
        <v>0</v>
      </c>
      <c r="BR204" s="5">
        <f t="shared" si="24"/>
        <v>0</v>
      </c>
      <c r="BS204" s="5">
        <f t="shared" si="25"/>
        <v>0</v>
      </c>
      <c r="BT204" s="5">
        <f t="shared" si="26"/>
        <v>0</v>
      </c>
      <c r="BU204" s="5">
        <f t="shared" si="27"/>
        <v>0</v>
      </c>
      <c r="BV204" s="5">
        <f t="shared" ref="BV204:BW204" si="765">IF(OR(ISNUMBER(SEARCH("grit",$D204)),ISNUMBER(SEARCH("grit",$T204)),ISNUMBER(SEARCH("grit",$R204)),ISNUMBER(SEARCH("grit",$S204)),
ISNUMBER(SEARCH("determination",$D204)),ISNUMBER(SEARCH("determination",$T204)),ISNUMBER(SEARCH("determination",$R204)),ISNUMBER(SEARCH("determination",$S204)),
ISNUMBER(SEARCH("tenacity",$D204)),ISNUMBER(SEARCH("tenacity",$T204)),ISNUMBER(SEARCH("tenacity",$R204)),ISNUMBER(SEARCH("tenacity",$S204)),
ISNUMBER(SEARCH("endurance",$D204)),ISNUMBER(SEARCH("endurance",$T204)),ISNUMBER(SEARCH("endurance",$R204)),ISNUMBER(SEARCH("endurance",$S204)),
ISNUMBER(SEARCH("fortitude",$D204)),ISNUMBER(SEARCH("fortitude",$T204)),ISNUMBER(SEARCH("fortitude",$R204)),ISNUMBER(SEARCH("fortitude",$S204)),
ISNUMBER(SEARCH("resolve",$D204)),ISNUMBER(SEARCH("resolve",$T204)),ISNUMBER(SEARCH("resolve",$R204)),ISNUMBER(SEARCH("resolve",$S204)),
ISNUMBER(SEARCH("stamina",$D204)),ISNUMBER(SEARCH("stamina",$T204)),ISNUMBER(SEARCH("stamina",$R204)),ISNUMBER(SEARCH("stamina",$S204)),
ISNUMBER(SEARCH("guts",$D204)),ISNUMBER(SEARCH("guts",$T204)),ISNUMBER(SEARCH("guts",$R204)),ISNUMBER(SEARCH("guts",$S204)),
ISNUMBER(SEARCH("spunk",$D204)),ISNUMBER(SEARCH("spunk",$T204)),ISNUMBER(SEARCH("spunk",$R204)),ISNUMBER(SEARCH("spunk",$S204))), 1, 0)</f>
        <v>0</v>
      </c>
      <c r="BW204" s="5">
        <f t="shared" si="765"/>
        <v>0</v>
      </c>
      <c r="BX204" s="5">
        <f t="shared" si="29"/>
        <v>0</v>
      </c>
      <c r="BY204" s="5">
        <f t="shared" si="30"/>
        <v>0</v>
      </c>
      <c r="BZ204" s="5">
        <f t="shared" si="31"/>
        <v>0</v>
      </c>
      <c r="CA204" s="5">
        <f t="shared" si="32"/>
        <v>0</v>
      </c>
      <c r="CB204" s="5">
        <f t="shared" si="33"/>
        <v>0</v>
      </c>
      <c r="CC204" s="5">
        <f t="shared" si="34"/>
        <v>0</v>
      </c>
      <c r="CD204" s="5">
        <f t="shared" si="35"/>
        <v>0</v>
      </c>
      <c r="CE204" s="5">
        <f t="shared" si="36"/>
        <v>0</v>
      </c>
      <c r="CF204" s="5">
        <f t="shared" si="37"/>
        <v>0</v>
      </c>
      <c r="CG204" s="5">
        <f t="shared" si="38"/>
        <v>0</v>
      </c>
      <c r="CH204" s="5">
        <f t="shared" si="39"/>
        <v>0</v>
      </c>
      <c r="CI204" s="5">
        <f t="shared" si="40"/>
        <v>0</v>
      </c>
      <c r="CJ204" s="5">
        <f t="shared" si="41"/>
        <v>0</v>
      </c>
      <c r="CK204" s="5">
        <f t="shared" si="42"/>
        <v>0</v>
      </c>
      <c r="CL204" s="5">
        <f t="shared" si="43"/>
        <v>0</v>
      </c>
      <c r="CM204" s="5">
        <f t="shared" si="44"/>
        <v>0</v>
      </c>
      <c r="CN204" s="5">
        <f t="shared" si="45"/>
        <v>0</v>
      </c>
      <c r="CO204" s="5">
        <f t="shared" si="46"/>
        <v>0</v>
      </c>
      <c r="CP204" s="6">
        <f t="shared" si="47"/>
        <v>0</v>
      </c>
      <c r="CQ204" s="6">
        <f t="shared" si="48"/>
        <v>0</v>
      </c>
      <c r="CR204" s="6">
        <f t="shared" si="49"/>
        <v>0</v>
      </c>
      <c r="CS204" s="6">
        <f t="shared" si="50"/>
        <v>0</v>
      </c>
      <c r="CT204" s="6">
        <f t="shared" si="584"/>
        <v>0</v>
      </c>
      <c r="CU204" s="6">
        <f t="shared" si="52"/>
        <v>0</v>
      </c>
      <c r="CV204" s="6">
        <f t="shared" si="53"/>
        <v>0</v>
      </c>
      <c r="CW204" s="6">
        <f t="shared" si="54"/>
        <v>0</v>
      </c>
      <c r="CX204" s="6">
        <f t="shared" si="55"/>
        <v>0</v>
      </c>
      <c r="CY204" s="6">
        <f t="shared" si="56"/>
        <v>0</v>
      </c>
      <c r="CZ204" s="6">
        <f t="shared" si="57"/>
        <v>0</v>
      </c>
      <c r="DA204" s="6">
        <f t="shared" si="58"/>
        <v>0</v>
      </c>
      <c r="DB204" s="6">
        <f t="shared" si="59"/>
        <v>0</v>
      </c>
      <c r="DC204" s="6">
        <f t="shared" si="60"/>
        <v>0</v>
      </c>
      <c r="DD204" s="6">
        <f t="shared" si="61"/>
        <v>0</v>
      </c>
      <c r="DE204" s="6">
        <f t="shared" si="62"/>
        <v>0</v>
      </c>
      <c r="DF204" s="6">
        <f t="shared" si="63"/>
        <v>0</v>
      </c>
      <c r="DG204" s="6">
        <f t="shared" si="64"/>
        <v>0</v>
      </c>
      <c r="DH204" s="6">
        <f t="shared" si="697"/>
        <v>0</v>
      </c>
      <c r="DI204" s="6">
        <f t="shared" si="66"/>
        <v>0</v>
      </c>
      <c r="DJ204" s="6">
        <f t="shared" si="653"/>
        <v>0</v>
      </c>
      <c r="DK204" s="7">
        <f t="shared" si="68"/>
        <v>0</v>
      </c>
      <c r="DL204" s="7">
        <f t="shared" si="498"/>
        <v>0</v>
      </c>
      <c r="DM204" s="7">
        <f t="shared" si="70"/>
        <v>0</v>
      </c>
      <c r="DN204" s="7">
        <f t="shared" si="71"/>
        <v>0</v>
      </c>
      <c r="DO204" s="7">
        <f t="shared" si="72"/>
        <v>1</v>
      </c>
      <c r="DP204" s="8">
        <f t="shared" si="73"/>
        <v>0</v>
      </c>
      <c r="DQ204" s="8">
        <f t="shared" si="74"/>
        <v>1</v>
      </c>
      <c r="DR204" s="7">
        <f t="shared" si="75"/>
        <v>0</v>
      </c>
      <c r="DS204" s="7">
        <f t="shared" si="76"/>
        <v>0</v>
      </c>
      <c r="DT204" s="7">
        <f t="shared" si="77"/>
        <v>0</v>
      </c>
      <c r="DU204" s="9">
        <f t="shared" si="78"/>
        <v>0</v>
      </c>
      <c r="DV204" s="9">
        <f t="shared" si="79"/>
        <v>0</v>
      </c>
      <c r="DW204" s="9">
        <f t="shared" si="80"/>
        <v>0</v>
      </c>
      <c r="DX204" s="9">
        <f t="shared" si="81"/>
        <v>0</v>
      </c>
      <c r="DY204" s="9">
        <f t="shared" si="82"/>
        <v>0</v>
      </c>
      <c r="DZ204" s="9">
        <f t="shared" si="83"/>
        <v>0</v>
      </c>
      <c r="EA204" s="9">
        <f t="shared" si="84"/>
        <v>0</v>
      </c>
      <c r="EB204" s="9">
        <f t="shared" si="85"/>
        <v>0</v>
      </c>
      <c r="EC204" s="9">
        <f t="shared" si="86"/>
        <v>0</v>
      </c>
      <c r="ED204" s="9">
        <f t="shared" si="87"/>
        <v>0</v>
      </c>
      <c r="EE204" s="9">
        <f t="shared" si="88"/>
        <v>0</v>
      </c>
      <c r="EF204" s="9">
        <f t="shared" si="89"/>
        <v>0</v>
      </c>
      <c r="EG204" s="9">
        <f t="shared" si="90"/>
        <v>0</v>
      </c>
      <c r="EH204" s="9">
        <f t="shared" si="91"/>
        <v>0</v>
      </c>
      <c r="EI204" s="9">
        <f t="shared" si="92"/>
        <v>0</v>
      </c>
      <c r="EJ204" s="10">
        <f t="shared" si="93"/>
        <v>0</v>
      </c>
      <c r="EK204" s="10">
        <f t="shared" si="94"/>
        <v>0</v>
      </c>
      <c r="EL204" s="10">
        <f t="shared" ref="EL204:EM204" si="766">IF(OR(ISNUMBER(SEARCH("ai software toolkit", $D204)), ISNUMBER(SEARCH("ai software toolkit", $T204)), ISNUMBER(SEARCH("ai software toolkit", $R204)), ISNUMBER(SEARCH("ai software toolkit", $S204))), 1, 0)</f>
        <v>0</v>
      </c>
      <c r="EM204" s="10">
        <f t="shared" si="766"/>
        <v>0</v>
      </c>
      <c r="EN204" s="10">
        <f t="shared" si="96"/>
        <v>0</v>
      </c>
      <c r="EO204" s="10">
        <f t="shared" si="97"/>
        <v>0</v>
      </c>
      <c r="EP204" s="10">
        <f t="shared" si="98"/>
        <v>0</v>
      </c>
      <c r="EQ204" s="10">
        <f t="shared" si="99"/>
        <v>0</v>
      </c>
      <c r="ER204" s="10">
        <f t="shared" si="100"/>
        <v>0</v>
      </c>
      <c r="ES204" s="10">
        <f t="shared" si="101"/>
        <v>0</v>
      </c>
      <c r="ET204" s="10">
        <f t="shared" si="102"/>
        <v>0</v>
      </c>
      <c r="EU204" s="10">
        <f t="shared" si="103"/>
        <v>0</v>
      </c>
      <c r="EV204" s="10">
        <f t="shared" si="104"/>
        <v>0</v>
      </c>
      <c r="EW204" s="10">
        <f t="shared" si="105"/>
        <v>0</v>
      </c>
      <c r="EX204" s="10">
        <f t="shared" si="106"/>
        <v>0</v>
      </c>
      <c r="EY204" s="10">
        <f t="shared" si="107"/>
        <v>0</v>
      </c>
      <c r="EZ204" s="10">
        <f t="shared" si="108"/>
        <v>0</v>
      </c>
      <c r="FA204" s="10">
        <f t="shared" si="109"/>
        <v>0</v>
      </c>
      <c r="FB204" s="10">
        <f t="shared" si="110"/>
        <v>0</v>
      </c>
      <c r="FC204" s="10">
        <f t="shared" si="111"/>
        <v>0</v>
      </c>
      <c r="FD204" s="10">
        <f t="shared" si="112"/>
        <v>0</v>
      </c>
      <c r="FE204" s="10">
        <f t="shared" si="113"/>
        <v>0</v>
      </c>
      <c r="FF204" s="10">
        <f t="shared" si="114"/>
        <v>0</v>
      </c>
      <c r="FG204" s="10">
        <f t="shared" si="115"/>
        <v>0</v>
      </c>
      <c r="FH204" s="10">
        <f t="shared" si="116"/>
        <v>0</v>
      </c>
      <c r="FI204" s="10">
        <f t="shared" si="117"/>
        <v>0</v>
      </c>
      <c r="FJ204" s="10">
        <f t="shared" si="118"/>
        <v>0</v>
      </c>
      <c r="FK204" s="10">
        <f t="shared" si="119"/>
        <v>0</v>
      </c>
      <c r="FL204" s="10">
        <f t="shared" si="120"/>
        <v>0</v>
      </c>
      <c r="FM204" s="10">
        <f t="shared" si="121"/>
        <v>0</v>
      </c>
      <c r="FN204" s="10">
        <f t="shared" si="122"/>
        <v>0</v>
      </c>
      <c r="FO204" s="10">
        <f t="shared" si="123"/>
        <v>0</v>
      </c>
      <c r="FP204" s="10">
        <f t="shared" si="124"/>
        <v>0</v>
      </c>
      <c r="FQ204" s="10">
        <f t="shared" si="125"/>
        <v>1</v>
      </c>
      <c r="FR204" s="11">
        <f t="shared" si="767"/>
        <v>0</v>
      </c>
      <c r="FS204" s="11">
        <f t="shared" si="127"/>
        <v>0</v>
      </c>
      <c r="FT204" s="11">
        <f t="shared" si="128"/>
        <v>0</v>
      </c>
      <c r="FU204" s="11">
        <f t="shared" si="129"/>
        <v>0</v>
      </c>
      <c r="FV204" s="11">
        <f t="shared" si="130"/>
        <v>0</v>
      </c>
      <c r="FW204" s="11">
        <f t="shared" si="131"/>
        <v>0</v>
      </c>
      <c r="FX204" s="11">
        <f t="shared" si="132"/>
        <v>0</v>
      </c>
      <c r="FY204" s="11">
        <f t="shared" si="133"/>
        <v>0</v>
      </c>
      <c r="FZ204" s="11">
        <f t="shared" si="134"/>
        <v>0</v>
      </c>
      <c r="GA204" s="11">
        <f t="shared" si="135"/>
        <v>0</v>
      </c>
      <c r="GB204" s="11">
        <f t="shared" si="136"/>
        <v>0</v>
      </c>
      <c r="GC204" s="11">
        <f t="shared" si="137"/>
        <v>0</v>
      </c>
      <c r="GD204" s="11">
        <f t="shared" si="138"/>
        <v>0</v>
      </c>
      <c r="GE204" s="11">
        <f t="shared" si="139"/>
        <v>0</v>
      </c>
      <c r="GF204" s="11">
        <f t="shared" si="140"/>
        <v>0</v>
      </c>
      <c r="GG204" s="11">
        <f t="shared" si="141"/>
        <v>0</v>
      </c>
      <c r="GH204" s="11">
        <f t="shared" si="142"/>
        <v>0</v>
      </c>
      <c r="GI204" s="11">
        <f t="shared" si="143"/>
        <v>0</v>
      </c>
      <c r="GJ204" s="11">
        <f t="shared" si="144"/>
        <v>0</v>
      </c>
      <c r="GK204" s="11">
        <f t="shared" si="145"/>
        <v>0</v>
      </c>
      <c r="GL204" s="11">
        <f t="shared" si="146"/>
        <v>0</v>
      </c>
      <c r="GM204" s="11">
        <f t="shared" si="147"/>
        <v>0</v>
      </c>
      <c r="GN204" s="11">
        <f t="shared" si="148"/>
        <v>0</v>
      </c>
      <c r="GO204" s="11">
        <f t="shared" si="149"/>
        <v>0</v>
      </c>
      <c r="GP204" s="11">
        <f t="shared" si="150"/>
        <v>0</v>
      </c>
      <c r="GQ204" s="11">
        <f t="shared" si="151"/>
        <v>0</v>
      </c>
      <c r="GR204" s="11">
        <f t="shared" si="152"/>
        <v>1</v>
      </c>
      <c r="GS204" s="11">
        <f t="shared" si="153"/>
        <v>0</v>
      </c>
      <c r="GT204" s="11">
        <f t="shared" si="154"/>
        <v>0</v>
      </c>
      <c r="GU204" s="12">
        <f t="shared" si="155"/>
        <v>0</v>
      </c>
      <c r="GV204" s="12">
        <f t="shared" si="156"/>
        <v>0</v>
      </c>
      <c r="GW204" s="12">
        <f t="shared" si="157"/>
        <v>0</v>
      </c>
      <c r="GX204" s="12">
        <f t="shared" si="158"/>
        <v>0</v>
      </c>
      <c r="GY204" s="12">
        <f t="shared" si="159"/>
        <v>0</v>
      </c>
      <c r="GZ204" s="12">
        <f t="shared" si="160"/>
        <v>0</v>
      </c>
      <c r="HA204" s="12">
        <f t="shared" si="161"/>
        <v>0</v>
      </c>
      <c r="HB204" s="12">
        <f t="shared" si="162"/>
        <v>0</v>
      </c>
      <c r="HC204" s="12">
        <f t="shared" si="163"/>
        <v>0</v>
      </c>
      <c r="HD204" s="12">
        <f t="shared" si="164"/>
        <v>0</v>
      </c>
      <c r="HE204" s="12">
        <f t="shared" si="165"/>
        <v>0</v>
      </c>
      <c r="HF204" s="12">
        <f t="shared" si="166"/>
        <v>0</v>
      </c>
      <c r="HG204" s="12">
        <f t="shared" si="167"/>
        <v>0</v>
      </c>
      <c r="HH204" s="12">
        <f t="shared" si="168"/>
        <v>0</v>
      </c>
      <c r="HI204" s="12">
        <f t="shared" si="169"/>
        <v>0</v>
      </c>
      <c r="HJ204" s="12">
        <f t="shared" si="170"/>
        <v>0</v>
      </c>
      <c r="HK204" s="12">
        <f t="shared" si="171"/>
        <v>0</v>
      </c>
      <c r="HL204" s="12">
        <f t="shared" si="172"/>
        <v>0</v>
      </c>
      <c r="HM204" s="12">
        <f t="shared" si="173"/>
        <v>0</v>
      </c>
      <c r="HN204" s="12">
        <f t="shared" si="174"/>
        <v>0</v>
      </c>
      <c r="HO204" s="12">
        <f t="shared" si="175"/>
        <v>0</v>
      </c>
      <c r="HP204" s="12">
        <f t="shared" si="176"/>
        <v>0</v>
      </c>
      <c r="HQ204" s="12">
        <f t="shared" si="177"/>
        <v>0</v>
      </c>
      <c r="HR204" s="12">
        <f t="shared" si="178"/>
        <v>0</v>
      </c>
      <c r="HS204" s="12">
        <f t="shared" si="179"/>
        <v>0</v>
      </c>
      <c r="HT204" s="12">
        <f t="shared" si="180"/>
        <v>0</v>
      </c>
      <c r="HU204" s="12">
        <f t="shared" si="181"/>
        <v>0</v>
      </c>
      <c r="HV204" s="12">
        <f t="shared" si="182"/>
        <v>0</v>
      </c>
      <c r="HW204" s="12">
        <f t="shared" si="183"/>
        <v>0</v>
      </c>
      <c r="HX204" s="12">
        <f t="shared" si="184"/>
        <v>0</v>
      </c>
      <c r="HY204" s="12">
        <f t="shared" si="185"/>
        <v>0</v>
      </c>
      <c r="HZ204" s="12">
        <f t="shared" si="186"/>
        <v>0</v>
      </c>
      <c r="IA204" s="12">
        <f t="shared" si="187"/>
        <v>0</v>
      </c>
      <c r="IB204" s="12">
        <f t="shared" si="188"/>
        <v>0</v>
      </c>
      <c r="IC204" s="12">
        <f t="shared" si="189"/>
        <v>0</v>
      </c>
      <c r="ID204" s="12">
        <f t="shared" si="190"/>
        <v>0</v>
      </c>
      <c r="IE204" s="12">
        <f t="shared" si="191"/>
        <v>0</v>
      </c>
      <c r="IF204" s="12">
        <f t="shared" si="192"/>
        <v>0</v>
      </c>
      <c r="IG204" s="12">
        <f t="shared" si="193"/>
        <v>0</v>
      </c>
      <c r="IH204" s="12">
        <f t="shared" si="194"/>
        <v>0</v>
      </c>
      <c r="II204" s="12">
        <f t="shared" si="195"/>
        <v>0</v>
      </c>
      <c r="IJ204" s="12">
        <f t="shared" si="196"/>
        <v>0</v>
      </c>
      <c r="IK204" s="12">
        <f t="shared" si="197"/>
        <v>0</v>
      </c>
      <c r="IL204" s="12">
        <f t="shared" si="198"/>
        <v>0</v>
      </c>
      <c r="IM204" s="12">
        <f t="shared" si="199"/>
        <v>0</v>
      </c>
      <c r="IN204" s="12">
        <f t="shared" si="200"/>
        <v>0</v>
      </c>
      <c r="IO204" s="12">
        <f t="shared" si="201"/>
        <v>0</v>
      </c>
      <c r="IP204" s="12">
        <f t="shared" si="202"/>
        <v>0</v>
      </c>
      <c r="IQ204" s="12">
        <f t="shared" si="203"/>
        <v>0</v>
      </c>
      <c r="IR204" s="12">
        <f t="shared" si="204"/>
        <v>0</v>
      </c>
      <c r="IS204" s="12">
        <f t="shared" si="205"/>
        <v>0</v>
      </c>
      <c r="IT204" s="12">
        <f t="shared" si="206"/>
        <v>0</v>
      </c>
      <c r="IU204" s="12">
        <f t="shared" si="207"/>
        <v>0</v>
      </c>
      <c r="IV204" s="12">
        <f t="shared" si="208"/>
        <v>0</v>
      </c>
      <c r="IW204" s="12">
        <f t="shared" si="209"/>
        <v>0</v>
      </c>
      <c r="IX204" s="12">
        <f t="shared" si="210"/>
        <v>0</v>
      </c>
      <c r="IY204" s="12">
        <f t="shared" si="211"/>
        <v>0</v>
      </c>
      <c r="IZ204" s="12">
        <f t="shared" si="212"/>
        <v>0</v>
      </c>
      <c r="JA204" s="13">
        <f t="shared" si="213"/>
        <v>0</v>
      </c>
      <c r="JB204" s="13">
        <f t="shared" si="214"/>
        <v>0</v>
      </c>
      <c r="JC204" s="13">
        <f t="shared" si="215"/>
        <v>0</v>
      </c>
      <c r="JD204" s="13">
        <f t="shared" si="216"/>
        <v>0</v>
      </c>
      <c r="JE204" s="13">
        <f t="shared" si="217"/>
        <v>0</v>
      </c>
      <c r="JF204" s="13">
        <f t="shared" si="218"/>
        <v>0</v>
      </c>
      <c r="JG204" s="13">
        <f t="shared" si="219"/>
        <v>0</v>
      </c>
      <c r="JH204" s="13">
        <f t="shared" si="220"/>
        <v>0</v>
      </c>
      <c r="JI204" s="13">
        <f t="shared" si="221"/>
        <v>0</v>
      </c>
      <c r="JJ204" s="13">
        <f t="shared" si="222"/>
        <v>0</v>
      </c>
      <c r="JK204" s="13">
        <f t="shared" si="223"/>
        <v>0</v>
      </c>
      <c r="JL204" s="13">
        <f t="shared" si="224"/>
        <v>0</v>
      </c>
      <c r="JM204" s="13">
        <f t="shared" si="225"/>
        <v>0</v>
      </c>
      <c r="JN204" s="13">
        <f t="shared" si="226"/>
        <v>0</v>
      </c>
      <c r="JO204" s="13">
        <f t="shared" si="227"/>
        <v>0</v>
      </c>
      <c r="JP204" s="13">
        <f t="shared" si="228"/>
        <v>0</v>
      </c>
      <c r="JQ204" s="13">
        <f t="shared" si="229"/>
        <v>0</v>
      </c>
      <c r="JR204" s="13">
        <f t="shared" si="230"/>
        <v>0</v>
      </c>
      <c r="JS204" s="13">
        <f t="shared" si="231"/>
        <v>0</v>
      </c>
      <c r="JT204" s="13">
        <f t="shared" si="232"/>
        <v>0</v>
      </c>
      <c r="JU204" s="13">
        <f t="shared" si="233"/>
        <v>0</v>
      </c>
      <c r="JV204" s="12">
        <f t="shared" si="234"/>
        <v>0</v>
      </c>
      <c r="JW204" s="12">
        <f t="shared" si="235"/>
        <v>0</v>
      </c>
      <c r="JX204" s="12">
        <f t="shared" si="236"/>
        <v>0</v>
      </c>
      <c r="JY204" s="12">
        <f t="shared" si="237"/>
        <v>0</v>
      </c>
      <c r="JZ204" s="12">
        <f t="shared" si="238"/>
        <v>0</v>
      </c>
      <c r="KA204" s="12">
        <f t="shared" si="239"/>
        <v>0</v>
      </c>
      <c r="KB204" s="12">
        <f t="shared" si="240"/>
        <v>0</v>
      </c>
      <c r="KC204" s="12">
        <f t="shared" si="241"/>
        <v>0</v>
      </c>
      <c r="KD204" s="12">
        <f t="shared" si="242"/>
        <v>0</v>
      </c>
      <c r="KE204" s="12">
        <f t="shared" si="243"/>
        <v>0</v>
      </c>
      <c r="KF204" s="12">
        <f t="shared" si="244"/>
        <v>0</v>
      </c>
      <c r="KG204" s="12">
        <f t="shared" si="245"/>
        <v>0</v>
      </c>
      <c r="KH204" s="12">
        <f t="shared" si="246"/>
        <v>0</v>
      </c>
      <c r="KI204" s="12">
        <f t="shared" si="247"/>
        <v>0</v>
      </c>
      <c r="KJ204" s="12">
        <f t="shared" si="248"/>
        <v>0</v>
      </c>
      <c r="KK204" s="12">
        <f t="shared" si="249"/>
        <v>0</v>
      </c>
      <c r="KL204" s="12">
        <f t="shared" si="250"/>
        <v>0</v>
      </c>
      <c r="KM204" s="12">
        <f t="shared" si="251"/>
        <v>0</v>
      </c>
      <c r="KN204" s="12">
        <f t="shared" si="252"/>
        <v>0</v>
      </c>
      <c r="KO204" s="12">
        <f t="shared" si="253"/>
        <v>0</v>
      </c>
      <c r="KP204" s="12">
        <f t="shared" si="254"/>
        <v>0</v>
      </c>
      <c r="KQ204" s="12">
        <f t="shared" si="255"/>
        <v>0</v>
      </c>
      <c r="KR204" s="12">
        <f t="shared" si="256"/>
        <v>0</v>
      </c>
      <c r="KS204" s="12">
        <f t="shared" si="257"/>
        <v>0</v>
      </c>
      <c r="KT204" s="12">
        <f t="shared" si="258"/>
        <v>0</v>
      </c>
      <c r="KU204" s="12">
        <f t="shared" si="259"/>
        <v>0</v>
      </c>
      <c r="KV204" s="12">
        <f t="shared" si="260"/>
        <v>0</v>
      </c>
      <c r="KW204" s="12">
        <f t="shared" si="261"/>
        <v>0</v>
      </c>
      <c r="KX204" s="12">
        <f t="shared" si="262"/>
        <v>0</v>
      </c>
      <c r="KY204" s="12">
        <f t="shared" si="263"/>
        <v>0</v>
      </c>
      <c r="KZ204" s="12">
        <f t="shared" si="264"/>
        <v>0</v>
      </c>
      <c r="LA204" s="12">
        <f t="shared" si="265"/>
        <v>0</v>
      </c>
      <c r="LB204" s="12">
        <f t="shared" si="266"/>
        <v>0</v>
      </c>
      <c r="LC204" s="12">
        <f t="shared" si="267"/>
        <v>0</v>
      </c>
      <c r="LD204" s="12">
        <f t="shared" si="268"/>
        <v>0</v>
      </c>
      <c r="LE204" s="12">
        <f t="shared" si="269"/>
        <v>0</v>
      </c>
      <c r="LF204" s="12">
        <f t="shared" si="270"/>
        <v>0</v>
      </c>
      <c r="LG204" s="12">
        <f t="shared" si="271"/>
        <v>0</v>
      </c>
      <c r="LH204" s="12">
        <f t="shared" si="272"/>
        <v>0</v>
      </c>
      <c r="LI204" s="12">
        <f t="shared" si="273"/>
        <v>0</v>
      </c>
      <c r="LJ204" s="12">
        <f t="shared" si="274"/>
        <v>0</v>
      </c>
      <c r="LK204" s="12">
        <f t="shared" si="275"/>
        <v>0</v>
      </c>
      <c r="LL204" s="12">
        <f t="shared" si="276"/>
        <v>0</v>
      </c>
      <c r="LM204" s="12">
        <f t="shared" si="277"/>
        <v>0</v>
      </c>
      <c r="LN204" s="12">
        <f t="shared" si="278"/>
        <v>0</v>
      </c>
      <c r="LO204" s="12">
        <f t="shared" si="279"/>
        <v>0</v>
      </c>
      <c r="LP204" s="12">
        <f t="shared" si="280"/>
        <v>0</v>
      </c>
      <c r="LQ204" s="12">
        <f t="shared" si="281"/>
        <v>0</v>
      </c>
      <c r="LR204" s="12">
        <f t="shared" si="282"/>
        <v>0</v>
      </c>
      <c r="LS204" s="12">
        <f t="shared" si="283"/>
        <v>0</v>
      </c>
      <c r="LT204" s="13">
        <f t="shared" si="284"/>
        <v>0</v>
      </c>
      <c r="LU204" s="13">
        <f t="shared" si="285"/>
        <v>0</v>
      </c>
      <c r="LV204" s="13">
        <f t="shared" si="286"/>
        <v>0</v>
      </c>
      <c r="LW204" s="13">
        <f t="shared" si="287"/>
        <v>0</v>
      </c>
      <c r="LX204" s="13">
        <f t="shared" si="288"/>
        <v>0</v>
      </c>
      <c r="LY204" s="13">
        <f t="shared" si="289"/>
        <v>0</v>
      </c>
      <c r="LZ204" s="13">
        <f t="shared" si="290"/>
        <v>0</v>
      </c>
      <c r="MA204" s="13">
        <f t="shared" si="291"/>
        <v>0</v>
      </c>
      <c r="MB204" s="13">
        <f t="shared" si="292"/>
        <v>0</v>
      </c>
      <c r="MC204" s="13">
        <f t="shared" si="293"/>
        <v>0</v>
      </c>
      <c r="MD204" s="13">
        <f t="shared" si="294"/>
        <v>0</v>
      </c>
      <c r="ME204" s="13">
        <f t="shared" si="295"/>
        <v>0</v>
      </c>
      <c r="MF204" s="13">
        <f t="shared" si="296"/>
        <v>0</v>
      </c>
      <c r="MG204" s="13">
        <f t="shared" si="297"/>
        <v>0</v>
      </c>
      <c r="MH204" s="13">
        <f t="shared" si="298"/>
        <v>0</v>
      </c>
      <c r="MI204" s="13">
        <f t="shared" si="299"/>
        <v>0</v>
      </c>
      <c r="MJ204" s="13">
        <f t="shared" si="300"/>
        <v>0</v>
      </c>
      <c r="MK204" s="13">
        <f t="shared" si="301"/>
        <v>0</v>
      </c>
      <c r="ML204" s="14">
        <f t="shared" si="302"/>
        <v>0</v>
      </c>
      <c r="MM204" s="14">
        <f t="shared" si="303"/>
        <v>0</v>
      </c>
      <c r="MN204" s="14">
        <f t="shared" si="304"/>
        <v>0</v>
      </c>
      <c r="MO204" s="14">
        <f t="shared" si="305"/>
        <v>0</v>
      </c>
      <c r="MP204" s="14">
        <f t="shared" si="306"/>
        <v>0</v>
      </c>
      <c r="MQ204" s="14">
        <f t="shared" si="307"/>
        <v>0</v>
      </c>
      <c r="MR204" s="14">
        <f t="shared" si="308"/>
        <v>0</v>
      </c>
      <c r="MS204" s="14">
        <f t="shared" si="309"/>
        <v>0</v>
      </c>
      <c r="MT204" s="14">
        <f t="shared" si="310"/>
        <v>0</v>
      </c>
      <c r="MU204" s="14">
        <f t="shared" si="311"/>
        <v>0</v>
      </c>
      <c r="MV204" s="14">
        <f t="shared" si="312"/>
        <v>0</v>
      </c>
      <c r="MW204" s="14">
        <f t="shared" si="313"/>
        <v>0</v>
      </c>
      <c r="MX204" s="14">
        <f t="shared" si="314"/>
        <v>0</v>
      </c>
      <c r="MY204" s="14">
        <f t="shared" si="315"/>
        <v>0</v>
      </c>
      <c r="MZ204" s="14">
        <f t="shared" si="316"/>
        <v>0</v>
      </c>
      <c r="NA204" s="14">
        <f t="shared" si="317"/>
        <v>0</v>
      </c>
      <c r="NB204" s="14">
        <f t="shared" si="318"/>
        <v>0</v>
      </c>
    </row>
    <row r="205" ht="15.75" customHeight="1">
      <c r="A205" s="2">
        <v>540.0</v>
      </c>
      <c r="B205" s="2" t="s">
        <v>3778</v>
      </c>
      <c r="C205" s="2" t="s">
        <v>3779</v>
      </c>
      <c r="D205" s="2" t="s">
        <v>3780</v>
      </c>
      <c r="E205" s="2">
        <v>2023.0</v>
      </c>
      <c r="F205" s="2" t="s">
        <v>2834</v>
      </c>
      <c r="M205" s="2">
        <v>1.0</v>
      </c>
      <c r="N205" s="2" t="s">
        <v>3781</v>
      </c>
      <c r="O205" s="2" t="s">
        <v>3782</v>
      </c>
      <c r="P205" s="2" t="s">
        <v>3783</v>
      </c>
      <c r="Q205" s="2" t="s">
        <v>3784</v>
      </c>
      <c r="R205" s="2" t="s">
        <v>3785</v>
      </c>
      <c r="S205" s="2" t="s">
        <v>3786</v>
      </c>
      <c r="T205" s="2" t="s">
        <v>3787</v>
      </c>
      <c r="Y205" s="2" t="s">
        <v>3788</v>
      </c>
      <c r="AB205" s="2" t="s">
        <v>2311</v>
      </c>
      <c r="AG205" s="2" t="s">
        <v>2845</v>
      </c>
      <c r="AK205" s="2" t="s">
        <v>2846</v>
      </c>
      <c r="AL205" s="2" t="s">
        <v>2966</v>
      </c>
      <c r="AM205" s="2" t="s">
        <v>723</v>
      </c>
      <c r="AN205" s="2" t="s">
        <v>386</v>
      </c>
      <c r="AO205" s="2" t="s">
        <v>3789</v>
      </c>
      <c r="AP205" s="2" t="s">
        <v>386</v>
      </c>
      <c r="AQ205" s="2">
        <v>2099.0</v>
      </c>
      <c r="AR205" s="2" t="s">
        <v>3790</v>
      </c>
      <c r="AS205" s="2" t="b">
        <v>1</v>
      </c>
      <c r="AT205" s="3">
        <v>0.0</v>
      </c>
      <c r="AU205" s="4"/>
      <c r="AV205" s="4"/>
      <c r="AW205" s="5">
        <f t="shared" si="432"/>
        <v>0</v>
      </c>
      <c r="AX205" s="5">
        <f t="shared" si="4"/>
        <v>0</v>
      </c>
      <c r="AY205" s="5">
        <f t="shared" si="5"/>
        <v>0</v>
      </c>
      <c r="AZ205" s="5">
        <f t="shared" si="6"/>
        <v>0</v>
      </c>
      <c r="BA205" s="5">
        <f t="shared" si="7"/>
        <v>0</v>
      </c>
      <c r="BB205" s="5">
        <f t="shared" si="8"/>
        <v>0</v>
      </c>
      <c r="BC205" s="5">
        <f t="shared" si="9"/>
        <v>0</v>
      </c>
      <c r="BD205" s="5">
        <f t="shared" si="10"/>
        <v>0</v>
      </c>
      <c r="BE205" s="5">
        <f t="shared" si="11"/>
        <v>0</v>
      </c>
      <c r="BF205" s="5">
        <f t="shared" si="12"/>
        <v>0</v>
      </c>
      <c r="BG205" s="5">
        <f t="shared" si="13"/>
        <v>0</v>
      </c>
      <c r="BH205" s="5">
        <f t="shared" si="14"/>
        <v>0</v>
      </c>
      <c r="BI205" s="5">
        <f t="shared" si="15"/>
        <v>0</v>
      </c>
      <c r="BJ205" s="5">
        <f t="shared" si="16"/>
        <v>0</v>
      </c>
      <c r="BK205" s="5">
        <f t="shared" si="17"/>
        <v>0</v>
      </c>
      <c r="BL205" s="5">
        <f t="shared" si="18"/>
        <v>0</v>
      </c>
      <c r="BM205" s="5">
        <f t="shared" si="19"/>
        <v>0</v>
      </c>
      <c r="BN205" s="5">
        <f t="shared" si="20"/>
        <v>0</v>
      </c>
      <c r="BO205" s="5">
        <f t="shared" si="21"/>
        <v>0</v>
      </c>
      <c r="BP205" s="5">
        <f t="shared" si="22"/>
        <v>0</v>
      </c>
      <c r="BQ205" s="5">
        <f t="shared" si="23"/>
        <v>0</v>
      </c>
      <c r="BR205" s="5">
        <f t="shared" si="24"/>
        <v>0</v>
      </c>
      <c r="BS205" s="5">
        <f t="shared" si="25"/>
        <v>0</v>
      </c>
      <c r="BT205" s="5">
        <f t="shared" si="26"/>
        <v>0</v>
      </c>
      <c r="BU205" s="5">
        <f t="shared" si="27"/>
        <v>0</v>
      </c>
      <c r="BV205" s="5">
        <f t="shared" ref="BV205:BW205" si="768">IF(OR(ISNUMBER(SEARCH("grit",$D205)),ISNUMBER(SEARCH("grit",$T205)),ISNUMBER(SEARCH("grit",$R205)),ISNUMBER(SEARCH("grit",$S205)),
ISNUMBER(SEARCH("determination",$D205)),ISNUMBER(SEARCH("determination",$T205)),ISNUMBER(SEARCH("determination",$R205)),ISNUMBER(SEARCH("determination",$S205)),
ISNUMBER(SEARCH("tenacity",$D205)),ISNUMBER(SEARCH("tenacity",$T205)),ISNUMBER(SEARCH("tenacity",$R205)),ISNUMBER(SEARCH("tenacity",$S205)),
ISNUMBER(SEARCH("endurance",$D205)),ISNUMBER(SEARCH("endurance",$T205)),ISNUMBER(SEARCH("endurance",$R205)),ISNUMBER(SEARCH("endurance",$S205)),
ISNUMBER(SEARCH("fortitude",$D205)),ISNUMBER(SEARCH("fortitude",$T205)),ISNUMBER(SEARCH("fortitude",$R205)),ISNUMBER(SEARCH("fortitude",$S205)),
ISNUMBER(SEARCH("resolve",$D205)),ISNUMBER(SEARCH("resolve",$T205)),ISNUMBER(SEARCH("resolve",$R205)),ISNUMBER(SEARCH("resolve",$S205)),
ISNUMBER(SEARCH("stamina",$D205)),ISNUMBER(SEARCH("stamina",$T205)),ISNUMBER(SEARCH("stamina",$R205)),ISNUMBER(SEARCH("stamina",$S205)),
ISNUMBER(SEARCH("guts",$D205)),ISNUMBER(SEARCH("guts",$T205)),ISNUMBER(SEARCH("guts",$R205)),ISNUMBER(SEARCH("guts",$S205)),
ISNUMBER(SEARCH("spunk",$D205)),ISNUMBER(SEARCH("spunk",$T205)),ISNUMBER(SEARCH("spunk",$R205)),ISNUMBER(SEARCH("spunk",$S205))), 1, 0)</f>
        <v>0</v>
      </c>
      <c r="BW205" s="5">
        <f t="shared" si="768"/>
        <v>0</v>
      </c>
      <c r="BX205" s="5">
        <f t="shared" si="29"/>
        <v>0</v>
      </c>
      <c r="BY205" s="5">
        <f t="shared" si="30"/>
        <v>0</v>
      </c>
      <c r="BZ205" s="5">
        <f t="shared" si="31"/>
        <v>0</v>
      </c>
      <c r="CA205" s="5">
        <f t="shared" si="32"/>
        <v>0</v>
      </c>
      <c r="CB205" s="5">
        <f t="shared" si="33"/>
        <v>0</v>
      </c>
      <c r="CC205" s="5">
        <f t="shared" si="34"/>
        <v>0</v>
      </c>
      <c r="CD205" s="5">
        <f t="shared" si="35"/>
        <v>0</v>
      </c>
      <c r="CE205" s="5">
        <f t="shared" si="36"/>
        <v>0</v>
      </c>
      <c r="CF205" s="5">
        <f t="shared" si="37"/>
        <v>0</v>
      </c>
      <c r="CG205" s="5">
        <f t="shared" si="38"/>
        <v>0</v>
      </c>
      <c r="CH205" s="5">
        <f t="shared" si="39"/>
        <v>0</v>
      </c>
      <c r="CI205" s="5">
        <f t="shared" si="40"/>
        <v>0</v>
      </c>
      <c r="CJ205" s="5">
        <f t="shared" si="41"/>
        <v>0</v>
      </c>
      <c r="CK205" s="5">
        <f t="shared" si="42"/>
        <v>0</v>
      </c>
      <c r="CL205" s="5">
        <f t="shared" si="43"/>
        <v>0</v>
      </c>
      <c r="CM205" s="5">
        <f t="shared" si="44"/>
        <v>0</v>
      </c>
      <c r="CN205" s="5">
        <f t="shared" si="45"/>
        <v>0</v>
      </c>
      <c r="CO205" s="5">
        <f t="shared" si="46"/>
        <v>0</v>
      </c>
      <c r="CP205" s="6">
        <f t="shared" si="47"/>
        <v>0</v>
      </c>
      <c r="CQ205" s="6">
        <f t="shared" si="48"/>
        <v>0</v>
      </c>
      <c r="CR205" s="6">
        <f t="shared" si="49"/>
        <v>0</v>
      </c>
      <c r="CS205" s="6">
        <f t="shared" si="50"/>
        <v>0</v>
      </c>
      <c r="CT205" s="6">
        <f t="shared" si="584"/>
        <v>0</v>
      </c>
      <c r="CU205" s="6">
        <f t="shared" si="52"/>
        <v>0</v>
      </c>
      <c r="CV205" s="6">
        <f t="shared" si="53"/>
        <v>0</v>
      </c>
      <c r="CW205" s="6">
        <f t="shared" si="54"/>
        <v>0</v>
      </c>
      <c r="CX205" s="6">
        <f t="shared" si="55"/>
        <v>0</v>
      </c>
      <c r="CY205" s="6">
        <f t="shared" si="56"/>
        <v>0</v>
      </c>
      <c r="CZ205" s="6">
        <f t="shared" si="57"/>
        <v>0</v>
      </c>
      <c r="DA205" s="6">
        <f t="shared" si="58"/>
        <v>0</v>
      </c>
      <c r="DB205" s="6">
        <f t="shared" si="59"/>
        <v>0</v>
      </c>
      <c r="DC205" s="6">
        <f t="shared" si="60"/>
        <v>0</v>
      </c>
      <c r="DD205" s="6">
        <f t="shared" si="61"/>
        <v>0</v>
      </c>
      <c r="DE205" s="6">
        <f t="shared" si="62"/>
        <v>0</v>
      </c>
      <c r="DF205" s="6">
        <f t="shared" si="63"/>
        <v>0</v>
      </c>
      <c r="DG205" s="6">
        <f t="shared" si="64"/>
        <v>0</v>
      </c>
      <c r="DH205" s="6">
        <f t="shared" si="697"/>
        <v>0</v>
      </c>
      <c r="DI205" s="6">
        <f t="shared" si="66"/>
        <v>0</v>
      </c>
      <c r="DJ205" s="6">
        <f t="shared" si="653"/>
        <v>0</v>
      </c>
      <c r="DK205" s="7">
        <f t="shared" si="68"/>
        <v>0</v>
      </c>
      <c r="DL205" s="7">
        <f t="shared" si="498"/>
        <v>0</v>
      </c>
      <c r="DM205" s="7">
        <f t="shared" si="70"/>
        <v>0</v>
      </c>
      <c r="DN205" s="7">
        <f t="shared" si="71"/>
        <v>0</v>
      </c>
      <c r="DO205" s="7">
        <f t="shared" si="72"/>
        <v>0</v>
      </c>
      <c r="DP205" s="8">
        <f t="shared" si="73"/>
        <v>0</v>
      </c>
      <c r="DQ205" s="8">
        <f t="shared" si="74"/>
        <v>1</v>
      </c>
      <c r="DR205" s="7">
        <f t="shared" si="75"/>
        <v>0</v>
      </c>
      <c r="DS205" s="7">
        <f t="shared" si="76"/>
        <v>0</v>
      </c>
      <c r="DT205" s="7">
        <f t="shared" si="77"/>
        <v>0</v>
      </c>
      <c r="DU205" s="9">
        <f t="shared" si="78"/>
        <v>0</v>
      </c>
      <c r="DV205" s="9">
        <f t="shared" si="79"/>
        <v>0</v>
      </c>
      <c r="DW205" s="9">
        <f t="shared" si="80"/>
        <v>0</v>
      </c>
      <c r="DX205" s="9">
        <f t="shared" si="81"/>
        <v>0</v>
      </c>
      <c r="DY205" s="9">
        <f t="shared" si="82"/>
        <v>0</v>
      </c>
      <c r="DZ205" s="9">
        <f t="shared" si="83"/>
        <v>0</v>
      </c>
      <c r="EA205" s="9">
        <f t="shared" si="84"/>
        <v>0</v>
      </c>
      <c r="EB205" s="9">
        <f t="shared" si="85"/>
        <v>0</v>
      </c>
      <c r="EC205" s="9">
        <f t="shared" si="86"/>
        <v>0</v>
      </c>
      <c r="ED205" s="9">
        <f t="shared" si="87"/>
        <v>0</v>
      </c>
      <c r="EE205" s="9">
        <f t="shared" si="88"/>
        <v>0</v>
      </c>
      <c r="EF205" s="9">
        <f t="shared" si="89"/>
        <v>0</v>
      </c>
      <c r="EG205" s="9">
        <f t="shared" si="90"/>
        <v>0</v>
      </c>
      <c r="EH205" s="9">
        <f t="shared" si="91"/>
        <v>0</v>
      </c>
      <c r="EI205" s="9">
        <f t="shared" si="92"/>
        <v>0</v>
      </c>
      <c r="EJ205" s="10">
        <f t="shared" si="93"/>
        <v>0</v>
      </c>
      <c r="EK205" s="10">
        <f t="shared" si="94"/>
        <v>0</v>
      </c>
      <c r="EL205" s="10">
        <f t="shared" ref="EL205:EM205" si="769">IF(OR(ISNUMBER(SEARCH("ai software toolkit", $D205)), ISNUMBER(SEARCH("ai software toolkit", $T205)), ISNUMBER(SEARCH("ai software toolkit", $R205)), ISNUMBER(SEARCH("ai software toolkit", $S205))), 1, 0)</f>
        <v>0</v>
      </c>
      <c r="EM205" s="10">
        <f t="shared" si="769"/>
        <v>0</v>
      </c>
      <c r="EN205" s="10">
        <f t="shared" si="96"/>
        <v>0</v>
      </c>
      <c r="EO205" s="10">
        <f t="shared" si="97"/>
        <v>0</v>
      </c>
      <c r="EP205" s="10">
        <f t="shared" si="98"/>
        <v>0</v>
      </c>
      <c r="EQ205" s="10">
        <f t="shared" si="99"/>
        <v>0</v>
      </c>
      <c r="ER205" s="10">
        <f t="shared" si="100"/>
        <v>0</v>
      </c>
      <c r="ES205" s="10">
        <f t="shared" si="101"/>
        <v>0</v>
      </c>
      <c r="ET205" s="10">
        <f t="shared" si="102"/>
        <v>0</v>
      </c>
      <c r="EU205" s="10">
        <f t="shared" si="103"/>
        <v>0</v>
      </c>
      <c r="EV205" s="10">
        <f t="shared" si="104"/>
        <v>0</v>
      </c>
      <c r="EW205" s="10">
        <f t="shared" si="105"/>
        <v>0</v>
      </c>
      <c r="EX205" s="10">
        <f t="shared" si="106"/>
        <v>0</v>
      </c>
      <c r="EY205" s="10">
        <f t="shared" si="107"/>
        <v>0</v>
      </c>
      <c r="EZ205" s="10">
        <f t="shared" si="108"/>
        <v>0</v>
      </c>
      <c r="FA205" s="10">
        <f t="shared" si="109"/>
        <v>0</v>
      </c>
      <c r="FB205" s="10">
        <f t="shared" si="110"/>
        <v>0</v>
      </c>
      <c r="FC205" s="10">
        <f t="shared" si="111"/>
        <v>0</v>
      </c>
      <c r="FD205" s="10">
        <f t="shared" si="112"/>
        <v>0</v>
      </c>
      <c r="FE205" s="10">
        <f t="shared" si="113"/>
        <v>0</v>
      </c>
      <c r="FF205" s="10">
        <f t="shared" si="114"/>
        <v>0</v>
      </c>
      <c r="FG205" s="10">
        <f t="shared" si="115"/>
        <v>0</v>
      </c>
      <c r="FH205" s="10">
        <f t="shared" si="116"/>
        <v>0</v>
      </c>
      <c r="FI205" s="10">
        <f t="shared" si="117"/>
        <v>0</v>
      </c>
      <c r="FJ205" s="10">
        <f t="shared" si="118"/>
        <v>0</v>
      </c>
      <c r="FK205" s="10">
        <f t="shared" si="119"/>
        <v>0</v>
      </c>
      <c r="FL205" s="10">
        <f t="shared" si="120"/>
        <v>0</v>
      </c>
      <c r="FM205" s="10">
        <f t="shared" si="121"/>
        <v>0</v>
      </c>
      <c r="FN205" s="10">
        <f t="shared" si="122"/>
        <v>0</v>
      </c>
      <c r="FO205" s="10">
        <f t="shared" si="123"/>
        <v>0</v>
      </c>
      <c r="FP205" s="10">
        <f t="shared" si="124"/>
        <v>0</v>
      </c>
      <c r="FQ205" s="10">
        <f t="shared" si="125"/>
        <v>0</v>
      </c>
      <c r="FR205" s="11">
        <f t="shared" si="767"/>
        <v>0</v>
      </c>
      <c r="FS205" s="11">
        <f t="shared" si="127"/>
        <v>0</v>
      </c>
      <c r="FT205" s="11">
        <f t="shared" si="128"/>
        <v>0</v>
      </c>
      <c r="FU205" s="11">
        <f t="shared" si="129"/>
        <v>0</v>
      </c>
      <c r="FV205" s="11">
        <f t="shared" si="130"/>
        <v>0</v>
      </c>
      <c r="FW205" s="11">
        <f t="shared" si="131"/>
        <v>0</v>
      </c>
      <c r="FX205" s="11">
        <f t="shared" si="132"/>
        <v>0</v>
      </c>
      <c r="FY205" s="11">
        <f t="shared" si="133"/>
        <v>0</v>
      </c>
      <c r="FZ205" s="11">
        <f t="shared" si="134"/>
        <v>0</v>
      </c>
      <c r="GA205" s="11">
        <f t="shared" si="135"/>
        <v>0</v>
      </c>
      <c r="GB205" s="11">
        <f t="shared" si="136"/>
        <v>0</v>
      </c>
      <c r="GC205" s="11">
        <f t="shared" si="137"/>
        <v>0</v>
      </c>
      <c r="GD205" s="11">
        <f t="shared" si="138"/>
        <v>0</v>
      </c>
      <c r="GE205" s="11">
        <f t="shared" si="139"/>
        <v>0</v>
      </c>
      <c r="GF205" s="11">
        <f t="shared" si="140"/>
        <v>0</v>
      </c>
      <c r="GG205" s="11">
        <f t="shared" si="141"/>
        <v>0</v>
      </c>
      <c r="GH205" s="11">
        <f t="shared" si="142"/>
        <v>0</v>
      </c>
      <c r="GI205" s="11">
        <f t="shared" si="143"/>
        <v>0</v>
      </c>
      <c r="GJ205" s="11">
        <f t="shared" si="144"/>
        <v>0</v>
      </c>
      <c r="GK205" s="11">
        <f t="shared" si="145"/>
        <v>0</v>
      </c>
      <c r="GL205" s="11">
        <f t="shared" si="146"/>
        <v>0</v>
      </c>
      <c r="GM205" s="11">
        <f t="shared" si="147"/>
        <v>0</v>
      </c>
      <c r="GN205" s="11">
        <f t="shared" si="148"/>
        <v>0</v>
      </c>
      <c r="GO205" s="11">
        <f t="shared" si="149"/>
        <v>0</v>
      </c>
      <c r="GP205" s="11">
        <f t="shared" si="150"/>
        <v>0</v>
      </c>
      <c r="GQ205" s="11">
        <f t="shared" si="151"/>
        <v>0</v>
      </c>
      <c r="GR205" s="11">
        <f t="shared" si="152"/>
        <v>0</v>
      </c>
      <c r="GS205" s="11">
        <f t="shared" si="153"/>
        <v>0</v>
      </c>
      <c r="GT205" s="11">
        <f t="shared" si="154"/>
        <v>0</v>
      </c>
      <c r="GU205" s="12">
        <f t="shared" si="155"/>
        <v>0</v>
      </c>
      <c r="GV205" s="12">
        <f t="shared" si="156"/>
        <v>0</v>
      </c>
      <c r="GW205" s="12">
        <f t="shared" si="157"/>
        <v>0</v>
      </c>
      <c r="GX205" s="12">
        <f t="shared" si="158"/>
        <v>0</v>
      </c>
      <c r="GY205" s="12">
        <f t="shared" si="159"/>
        <v>0</v>
      </c>
      <c r="GZ205" s="12">
        <f t="shared" si="160"/>
        <v>0</v>
      </c>
      <c r="HA205" s="12">
        <f t="shared" si="161"/>
        <v>0</v>
      </c>
      <c r="HB205" s="12">
        <f t="shared" si="162"/>
        <v>0</v>
      </c>
      <c r="HC205" s="12">
        <f t="shared" si="163"/>
        <v>0</v>
      </c>
      <c r="HD205" s="12">
        <f t="shared" si="164"/>
        <v>0</v>
      </c>
      <c r="HE205" s="12">
        <f t="shared" si="165"/>
        <v>0</v>
      </c>
      <c r="HF205" s="12">
        <f t="shared" si="166"/>
        <v>0</v>
      </c>
      <c r="HG205" s="12">
        <f t="shared" si="167"/>
        <v>0</v>
      </c>
      <c r="HH205" s="12">
        <f t="shared" si="168"/>
        <v>0</v>
      </c>
      <c r="HI205" s="12">
        <f t="shared" si="169"/>
        <v>0</v>
      </c>
      <c r="HJ205" s="12">
        <f t="shared" si="170"/>
        <v>0</v>
      </c>
      <c r="HK205" s="12">
        <f t="shared" si="171"/>
        <v>0</v>
      </c>
      <c r="HL205" s="12">
        <f t="shared" si="172"/>
        <v>0</v>
      </c>
      <c r="HM205" s="12">
        <f t="shared" si="173"/>
        <v>0</v>
      </c>
      <c r="HN205" s="12">
        <f t="shared" si="174"/>
        <v>0</v>
      </c>
      <c r="HO205" s="12">
        <f t="shared" si="175"/>
        <v>0</v>
      </c>
      <c r="HP205" s="12">
        <f t="shared" si="176"/>
        <v>0</v>
      </c>
      <c r="HQ205" s="12">
        <f t="shared" si="177"/>
        <v>0</v>
      </c>
      <c r="HR205" s="12">
        <f t="shared" si="178"/>
        <v>0</v>
      </c>
      <c r="HS205" s="12">
        <f t="shared" si="179"/>
        <v>0</v>
      </c>
      <c r="HT205" s="12">
        <f t="shared" si="180"/>
        <v>0</v>
      </c>
      <c r="HU205" s="12">
        <f t="shared" si="181"/>
        <v>0</v>
      </c>
      <c r="HV205" s="12">
        <f t="shared" si="182"/>
        <v>0</v>
      </c>
      <c r="HW205" s="12">
        <f t="shared" si="183"/>
        <v>0</v>
      </c>
      <c r="HX205" s="12">
        <f t="shared" si="184"/>
        <v>0</v>
      </c>
      <c r="HY205" s="12">
        <f t="shared" si="185"/>
        <v>0</v>
      </c>
      <c r="HZ205" s="12">
        <f t="shared" si="186"/>
        <v>0</v>
      </c>
      <c r="IA205" s="12">
        <f t="shared" si="187"/>
        <v>0</v>
      </c>
      <c r="IB205" s="12">
        <f t="shared" si="188"/>
        <v>0</v>
      </c>
      <c r="IC205" s="12">
        <f t="shared" si="189"/>
        <v>0</v>
      </c>
      <c r="ID205" s="12">
        <f t="shared" si="190"/>
        <v>0</v>
      </c>
      <c r="IE205" s="12">
        <f t="shared" si="191"/>
        <v>0</v>
      </c>
      <c r="IF205" s="12">
        <f t="shared" si="192"/>
        <v>0</v>
      </c>
      <c r="IG205" s="12">
        <f t="shared" si="193"/>
        <v>0</v>
      </c>
      <c r="IH205" s="12">
        <f t="shared" si="194"/>
        <v>0</v>
      </c>
      <c r="II205" s="12">
        <f t="shared" si="195"/>
        <v>0</v>
      </c>
      <c r="IJ205" s="12">
        <f t="shared" si="196"/>
        <v>0</v>
      </c>
      <c r="IK205" s="12">
        <f t="shared" si="197"/>
        <v>0</v>
      </c>
      <c r="IL205" s="12">
        <f t="shared" si="198"/>
        <v>0</v>
      </c>
      <c r="IM205" s="12">
        <f t="shared" si="199"/>
        <v>0</v>
      </c>
      <c r="IN205" s="12">
        <f t="shared" si="200"/>
        <v>0</v>
      </c>
      <c r="IO205" s="12">
        <f t="shared" si="201"/>
        <v>0</v>
      </c>
      <c r="IP205" s="12">
        <f t="shared" si="202"/>
        <v>0</v>
      </c>
      <c r="IQ205" s="12">
        <f t="shared" si="203"/>
        <v>0</v>
      </c>
      <c r="IR205" s="12">
        <f t="shared" si="204"/>
        <v>0</v>
      </c>
      <c r="IS205" s="12">
        <f t="shared" si="205"/>
        <v>0</v>
      </c>
      <c r="IT205" s="12">
        <f t="shared" si="206"/>
        <v>0</v>
      </c>
      <c r="IU205" s="12">
        <f t="shared" si="207"/>
        <v>0</v>
      </c>
      <c r="IV205" s="12">
        <f t="shared" si="208"/>
        <v>0</v>
      </c>
      <c r="IW205" s="12">
        <f t="shared" si="209"/>
        <v>0</v>
      </c>
      <c r="IX205" s="12">
        <f t="shared" si="210"/>
        <v>0</v>
      </c>
      <c r="IY205" s="12">
        <f t="shared" si="211"/>
        <v>0</v>
      </c>
      <c r="IZ205" s="12">
        <f t="shared" si="212"/>
        <v>1</v>
      </c>
      <c r="JA205" s="13">
        <f t="shared" si="213"/>
        <v>0</v>
      </c>
      <c r="JB205" s="13">
        <f t="shared" si="214"/>
        <v>0</v>
      </c>
      <c r="JC205" s="13">
        <f t="shared" si="215"/>
        <v>0</v>
      </c>
      <c r="JD205" s="13">
        <f t="shared" si="216"/>
        <v>0</v>
      </c>
      <c r="JE205" s="13">
        <f t="shared" si="217"/>
        <v>0</v>
      </c>
      <c r="JF205" s="13">
        <f t="shared" si="218"/>
        <v>0</v>
      </c>
      <c r="JG205" s="13">
        <f t="shared" si="219"/>
        <v>0</v>
      </c>
      <c r="JH205" s="13">
        <f t="shared" si="220"/>
        <v>0</v>
      </c>
      <c r="JI205" s="13">
        <f t="shared" si="221"/>
        <v>0</v>
      </c>
      <c r="JJ205" s="13">
        <f t="shared" si="222"/>
        <v>0</v>
      </c>
      <c r="JK205" s="13">
        <f t="shared" si="223"/>
        <v>0</v>
      </c>
      <c r="JL205" s="13">
        <f t="shared" si="224"/>
        <v>0</v>
      </c>
      <c r="JM205" s="13">
        <f t="shared" si="225"/>
        <v>0</v>
      </c>
      <c r="JN205" s="13">
        <f t="shared" si="226"/>
        <v>0</v>
      </c>
      <c r="JO205" s="13">
        <f t="shared" si="227"/>
        <v>0</v>
      </c>
      <c r="JP205" s="13">
        <f t="shared" si="228"/>
        <v>0</v>
      </c>
      <c r="JQ205" s="13">
        <f t="shared" si="229"/>
        <v>0</v>
      </c>
      <c r="JR205" s="13">
        <f t="shared" si="230"/>
        <v>0</v>
      </c>
      <c r="JS205" s="13">
        <f t="shared" si="231"/>
        <v>0</v>
      </c>
      <c r="JT205" s="13">
        <f t="shared" si="232"/>
        <v>0</v>
      </c>
      <c r="JU205" s="13">
        <f t="shared" si="233"/>
        <v>0</v>
      </c>
      <c r="JV205" s="12">
        <f t="shared" si="234"/>
        <v>0</v>
      </c>
      <c r="JW205" s="12">
        <f t="shared" si="235"/>
        <v>0</v>
      </c>
      <c r="JX205" s="12">
        <f t="shared" si="236"/>
        <v>0</v>
      </c>
      <c r="JY205" s="12">
        <f t="shared" si="237"/>
        <v>0</v>
      </c>
      <c r="JZ205" s="12">
        <f t="shared" si="238"/>
        <v>0</v>
      </c>
      <c r="KA205" s="12">
        <f t="shared" si="239"/>
        <v>0</v>
      </c>
      <c r="KB205" s="12">
        <f t="shared" si="240"/>
        <v>0</v>
      </c>
      <c r="KC205" s="12">
        <f t="shared" si="241"/>
        <v>0</v>
      </c>
      <c r="KD205" s="12">
        <f t="shared" si="242"/>
        <v>0</v>
      </c>
      <c r="KE205" s="12">
        <f t="shared" si="243"/>
        <v>0</v>
      </c>
      <c r="KF205" s="12">
        <f t="shared" si="244"/>
        <v>0</v>
      </c>
      <c r="KG205" s="12">
        <f t="shared" si="245"/>
        <v>0</v>
      </c>
      <c r="KH205" s="12">
        <f t="shared" si="246"/>
        <v>0</v>
      </c>
      <c r="KI205" s="12">
        <f t="shared" si="247"/>
        <v>0</v>
      </c>
      <c r="KJ205" s="12">
        <f t="shared" si="248"/>
        <v>0</v>
      </c>
      <c r="KK205" s="12">
        <f t="shared" si="249"/>
        <v>0</v>
      </c>
      <c r="KL205" s="12">
        <f t="shared" si="250"/>
        <v>0</v>
      </c>
      <c r="KM205" s="12">
        <f t="shared" si="251"/>
        <v>0</v>
      </c>
      <c r="KN205" s="12">
        <f t="shared" si="252"/>
        <v>0</v>
      </c>
      <c r="KO205" s="12">
        <f t="shared" si="253"/>
        <v>0</v>
      </c>
      <c r="KP205" s="12">
        <f t="shared" si="254"/>
        <v>0</v>
      </c>
      <c r="KQ205" s="12">
        <f t="shared" si="255"/>
        <v>0</v>
      </c>
      <c r="KR205" s="12">
        <f t="shared" si="256"/>
        <v>0</v>
      </c>
      <c r="KS205" s="12">
        <f t="shared" si="257"/>
        <v>0</v>
      </c>
      <c r="KT205" s="12">
        <f t="shared" si="258"/>
        <v>0</v>
      </c>
      <c r="KU205" s="12">
        <f t="shared" si="259"/>
        <v>0</v>
      </c>
      <c r="KV205" s="12">
        <f t="shared" si="260"/>
        <v>0</v>
      </c>
      <c r="KW205" s="12">
        <f t="shared" si="261"/>
        <v>0</v>
      </c>
      <c r="KX205" s="12">
        <f t="shared" si="262"/>
        <v>0</v>
      </c>
      <c r="KY205" s="12">
        <f t="shared" si="263"/>
        <v>0</v>
      </c>
      <c r="KZ205" s="12">
        <f t="shared" si="264"/>
        <v>0</v>
      </c>
      <c r="LA205" s="12">
        <f t="shared" si="265"/>
        <v>0</v>
      </c>
      <c r="LB205" s="12">
        <f t="shared" si="266"/>
        <v>0</v>
      </c>
      <c r="LC205" s="12">
        <f t="shared" si="267"/>
        <v>0</v>
      </c>
      <c r="LD205" s="12">
        <f t="shared" si="268"/>
        <v>0</v>
      </c>
      <c r="LE205" s="12">
        <f t="shared" si="269"/>
        <v>0</v>
      </c>
      <c r="LF205" s="12">
        <f t="shared" si="270"/>
        <v>0</v>
      </c>
      <c r="LG205" s="12">
        <f t="shared" si="271"/>
        <v>0</v>
      </c>
      <c r="LH205" s="12">
        <f t="shared" si="272"/>
        <v>0</v>
      </c>
      <c r="LI205" s="12">
        <f t="shared" si="273"/>
        <v>0</v>
      </c>
      <c r="LJ205" s="12">
        <f t="shared" si="274"/>
        <v>0</v>
      </c>
      <c r="LK205" s="12">
        <f t="shared" si="275"/>
        <v>0</v>
      </c>
      <c r="LL205" s="12">
        <f t="shared" si="276"/>
        <v>0</v>
      </c>
      <c r="LM205" s="12">
        <f t="shared" si="277"/>
        <v>0</v>
      </c>
      <c r="LN205" s="12">
        <f t="shared" si="278"/>
        <v>0</v>
      </c>
      <c r="LO205" s="12">
        <f t="shared" si="279"/>
        <v>0</v>
      </c>
      <c r="LP205" s="12">
        <f t="shared" si="280"/>
        <v>0</v>
      </c>
      <c r="LQ205" s="12">
        <f t="shared" si="281"/>
        <v>0</v>
      </c>
      <c r="LR205" s="12">
        <f t="shared" si="282"/>
        <v>0</v>
      </c>
      <c r="LS205" s="12">
        <f t="shared" si="283"/>
        <v>0</v>
      </c>
      <c r="LT205" s="13">
        <f t="shared" si="284"/>
        <v>0</v>
      </c>
      <c r="LU205" s="13">
        <f t="shared" si="285"/>
        <v>0</v>
      </c>
      <c r="LV205" s="13">
        <f t="shared" si="286"/>
        <v>0</v>
      </c>
      <c r="LW205" s="13">
        <f t="shared" si="287"/>
        <v>0</v>
      </c>
      <c r="LX205" s="13">
        <f t="shared" si="288"/>
        <v>0</v>
      </c>
      <c r="LY205" s="13">
        <f t="shared" si="289"/>
        <v>0</v>
      </c>
      <c r="LZ205" s="13">
        <f t="shared" si="290"/>
        <v>0</v>
      </c>
      <c r="MA205" s="13">
        <f t="shared" si="291"/>
        <v>0</v>
      </c>
      <c r="MB205" s="13">
        <f t="shared" si="292"/>
        <v>0</v>
      </c>
      <c r="MC205" s="13">
        <f t="shared" si="293"/>
        <v>0</v>
      </c>
      <c r="MD205" s="13">
        <f t="shared" si="294"/>
        <v>0</v>
      </c>
      <c r="ME205" s="13">
        <f t="shared" si="295"/>
        <v>0</v>
      </c>
      <c r="MF205" s="13">
        <f t="shared" si="296"/>
        <v>0</v>
      </c>
      <c r="MG205" s="13">
        <f t="shared" si="297"/>
        <v>0</v>
      </c>
      <c r="MH205" s="13">
        <f t="shared" si="298"/>
        <v>0</v>
      </c>
      <c r="MI205" s="13">
        <f t="shared" si="299"/>
        <v>0</v>
      </c>
      <c r="MJ205" s="13">
        <f t="shared" si="300"/>
        <v>0</v>
      </c>
      <c r="MK205" s="13">
        <f t="shared" si="301"/>
        <v>0</v>
      </c>
      <c r="ML205" s="14">
        <f t="shared" si="302"/>
        <v>0</v>
      </c>
      <c r="MM205" s="14">
        <f t="shared" si="303"/>
        <v>0</v>
      </c>
      <c r="MN205" s="14">
        <f t="shared" si="304"/>
        <v>0</v>
      </c>
      <c r="MO205" s="14">
        <f t="shared" si="305"/>
        <v>0</v>
      </c>
      <c r="MP205" s="14">
        <f t="shared" si="306"/>
        <v>0</v>
      </c>
      <c r="MQ205" s="14">
        <f t="shared" si="307"/>
        <v>0</v>
      </c>
      <c r="MR205" s="14">
        <f t="shared" si="308"/>
        <v>0</v>
      </c>
      <c r="MS205" s="14">
        <f t="shared" si="309"/>
        <v>0</v>
      </c>
      <c r="MT205" s="14">
        <f t="shared" si="310"/>
        <v>0</v>
      </c>
      <c r="MU205" s="14">
        <f t="shared" si="311"/>
        <v>0</v>
      </c>
      <c r="MV205" s="14">
        <f t="shared" si="312"/>
        <v>0</v>
      </c>
      <c r="MW205" s="14">
        <f t="shared" si="313"/>
        <v>0</v>
      </c>
      <c r="MX205" s="14">
        <f t="shared" si="314"/>
        <v>0</v>
      </c>
      <c r="MY205" s="14">
        <f t="shared" si="315"/>
        <v>0</v>
      </c>
      <c r="MZ205" s="14">
        <f t="shared" si="316"/>
        <v>0</v>
      </c>
      <c r="NA205" s="14">
        <f t="shared" si="317"/>
        <v>0</v>
      </c>
      <c r="NB205" s="14">
        <f t="shared" si="318"/>
        <v>0</v>
      </c>
    </row>
    <row r="206" ht="15.75" customHeight="1">
      <c r="A206" s="2">
        <v>535.0</v>
      </c>
      <c r="B206" s="2" t="s">
        <v>3791</v>
      </c>
      <c r="C206" s="2" t="s">
        <v>3792</v>
      </c>
      <c r="D206" s="2" t="s">
        <v>3793</v>
      </c>
      <c r="E206" s="2">
        <v>2023.0</v>
      </c>
      <c r="F206" s="2" t="s">
        <v>689</v>
      </c>
      <c r="G206" s="2">
        <v>23.0</v>
      </c>
      <c r="H206" s="2" t="s">
        <v>432</v>
      </c>
      <c r="I206" s="2" t="s">
        <v>3794</v>
      </c>
      <c r="M206" s="2">
        <v>1.0</v>
      </c>
      <c r="N206" s="2" t="s">
        <v>3795</v>
      </c>
      <c r="O206" s="2" t="s">
        <v>3796</v>
      </c>
      <c r="P206" s="2" t="s">
        <v>3797</v>
      </c>
      <c r="Q206" s="2" t="s">
        <v>3798</v>
      </c>
      <c r="R206" s="2" t="s">
        <v>3799</v>
      </c>
      <c r="S206" s="2" t="s">
        <v>3800</v>
      </c>
      <c r="T206" s="2" t="s">
        <v>3801</v>
      </c>
      <c r="Y206" s="2" t="s">
        <v>3802</v>
      </c>
      <c r="AB206" s="2" t="s">
        <v>1303</v>
      </c>
      <c r="AG206" s="2" t="s">
        <v>688</v>
      </c>
      <c r="AJ206" s="2">
        <v>3.6679839E7</v>
      </c>
      <c r="AK206" s="2" t="s">
        <v>689</v>
      </c>
      <c r="AL206" s="2" t="s">
        <v>384</v>
      </c>
      <c r="AM206" s="2" t="s">
        <v>484</v>
      </c>
      <c r="AN206" s="2" t="s">
        <v>386</v>
      </c>
      <c r="AO206" s="2" t="s">
        <v>3803</v>
      </c>
      <c r="AP206" s="2" t="s">
        <v>386</v>
      </c>
      <c r="AQ206" s="2">
        <v>2078.0</v>
      </c>
      <c r="AR206" s="2" t="s">
        <v>3804</v>
      </c>
      <c r="AS206" s="2" t="b">
        <v>1</v>
      </c>
      <c r="AT206" s="3">
        <v>0.0</v>
      </c>
      <c r="AU206" s="4"/>
      <c r="AV206" s="4"/>
      <c r="AW206" s="5">
        <f t="shared" si="432"/>
        <v>0</v>
      </c>
      <c r="AX206" s="5">
        <f t="shared" si="4"/>
        <v>0</v>
      </c>
      <c r="AY206" s="5">
        <f t="shared" si="5"/>
        <v>0</v>
      </c>
      <c r="AZ206" s="5">
        <f t="shared" si="6"/>
        <v>0</v>
      </c>
      <c r="BA206" s="5">
        <f t="shared" si="7"/>
        <v>0</v>
      </c>
      <c r="BB206" s="5">
        <f t="shared" si="8"/>
        <v>0</v>
      </c>
      <c r="BC206" s="5">
        <f t="shared" si="9"/>
        <v>0</v>
      </c>
      <c r="BD206" s="5">
        <f t="shared" si="10"/>
        <v>0</v>
      </c>
      <c r="BE206" s="5">
        <f t="shared" si="11"/>
        <v>0</v>
      </c>
      <c r="BF206" s="5">
        <f t="shared" si="12"/>
        <v>0</v>
      </c>
      <c r="BG206" s="5">
        <f t="shared" si="13"/>
        <v>0</v>
      </c>
      <c r="BH206" s="5">
        <f t="shared" si="14"/>
        <v>0</v>
      </c>
      <c r="BI206" s="5">
        <f t="shared" si="15"/>
        <v>0</v>
      </c>
      <c r="BJ206" s="5">
        <f t="shared" si="16"/>
        <v>0</v>
      </c>
      <c r="BK206" s="5">
        <f t="shared" si="17"/>
        <v>0</v>
      </c>
      <c r="BL206" s="5">
        <f t="shared" si="18"/>
        <v>0</v>
      </c>
      <c r="BM206" s="5">
        <f t="shared" si="19"/>
        <v>0</v>
      </c>
      <c r="BN206" s="5">
        <f t="shared" si="20"/>
        <v>0</v>
      </c>
      <c r="BO206" s="5">
        <f t="shared" si="21"/>
        <v>0</v>
      </c>
      <c r="BP206" s="5">
        <f t="shared" si="22"/>
        <v>0</v>
      </c>
      <c r="BQ206" s="5">
        <f t="shared" si="23"/>
        <v>0</v>
      </c>
      <c r="BR206" s="5">
        <f t="shared" si="24"/>
        <v>0</v>
      </c>
      <c r="BS206" s="5">
        <f t="shared" si="25"/>
        <v>0</v>
      </c>
      <c r="BT206" s="5">
        <f t="shared" si="26"/>
        <v>0</v>
      </c>
      <c r="BU206" s="5">
        <f t="shared" si="27"/>
        <v>0</v>
      </c>
      <c r="BV206" s="5">
        <f t="shared" ref="BV206:BW206" si="770">IF(OR(ISNUMBER(SEARCH("grit",$D206)),ISNUMBER(SEARCH("grit",$T206)),ISNUMBER(SEARCH("grit",$R206)),ISNUMBER(SEARCH("grit",$S206)),
ISNUMBER(SEARCH("determination",$D206)),ISNUMBER(SEARCH("determination",$T206)),ISNUMBER(SEARCH("determination",$R206)),ISNUMBER(SEARCH("determination",$S206)),
ISNUMBER(SEARCH("tenacity",$D206)),ISNUMBER(SEARCH("tenacity",$T206)),ISNUMBER(SEARCH("tenacity",$R206)),ISNUMBER(SEARCH("tenacity",$S206)),
ISNUMBER(SEARCH("endurance",$D206)),ISNUMBER(SEARCH("endurance",$T206)),ISNUMBER(SEARCH("endurance",$R206)),ISNUMBER(SEARCH("endurance",$S206)),
ISNUMBER(SEARCH("fortitude",$D206)),ISNUMBER(SEARCH("fortitude",$T206)),ISNUMBER(SEARCH("fortitude",$R206)),ISNUMBER(SEARCH("fortitude",$S206)),
ISNUMBER(SEARCH("resolve",$D206)),ISNUMBER(SEARCH("resolve",$T206)),ISNUMBER(SEARCH("resolve",$R206)),ISNUMBER(SEARCH("resolve",$S206)),
ISNUMBER(SEARCH("stamina",$D206)),ISNUMBER(SEARCH("stamina",$T206)),ISNUMBER(SEARCH("stamina",$R206)),ISNUMBER(SEARCH("stamina",$S206)),
ISNUMBER(SEARCH("guts",$D206)),ISNUMBER(SEARCH("guts",$T206)),ISNUMBER(SEARCH("guts",$R206)),ISNUMBER(SEARCH("guts",$S206)),
ISNUMBER(SEARCH("spunk",$D206)),ISNUMBER(SEARCH("spunk",$T206)),ISNUMBER(SEARCH("spunk",$R206)),ISNUMBER(SEARCH("spunk",$S206))), 1, 0)</f>
        <v>0</v>
      </c>
      <c r="BW206" s="5">
        <f t="shared" si="770"/>
        <v>0</v>
      </c>
      <c r="BX206" s="5">
        <f t="shared" si="29"/>
        <v>0</v>
      </c>
      <c r="BY206" s="5">
        <f t="shared" si="30"/>
        <v>0</v>
      </c>
      <c r="BZ206" s="5">
        <f t="shared" si="31"/>
        <v>0</v>
      </c>
      <c r="CA206" s="5">
        <f t="shared" si="32"/>
        <v>0</v>
      </c>
      <c r="CB206" s="5">
        <f t="shared" si="33"/>
        <v>0</v>
      </c>
      <c r="CC206" s="5">
        <f t="shared" si="34"/>
        <v>0</v>
      </c>
      <c r="CD206" s="5">
        <f t="shared" si="35"/>
        <v>0</v>
      </c>
      <c r="CE206" s="5">
        <f t="shared" si="36"/>
        <v>0</v>
      </c>
      <c r="CF206" s="5">
        <f t="shared" si="37"/>
        <v>0</v>
      </c>
      <c r="CG206" s="5">
        <f t="shared" si="38"/>
        <v>0</v>
      </c>
      <c r="CH206" s="5">
        <f t="shared" si="39"/>
        <v>0</v>
      </c>
      <c r="CI206" s="5">
        <f t="shared" si="40"/>
        <v>0</v>
      </c>
      <c r="CJ206" s="5">
        <f t="shared" si="41"/>
        <v>0</v>
      </c>
      <c r="CK206" s="5">
        <f t="shared" si="42"/>
        <v>0</v>
      </c>
      <c r="CL206" s="5">
        <f t="shared" si="43"/>
        <v>0</v>
      </c>
      <c r="CM206" s="5">
        <f t="shared" si="44"/>
        <v>0</v>
      </c>
      <c r="CN206" s="5">
        <f t="shared" si="45"/>
        <v>0</v>
      </c>
      <c r="CO206" s="5">
        <f t="shared" si="46"/>
        <v>0</v>
      </c>
      <c r="CP206" s="6">
        <f t="shared" si="47"/>
        <v>0</v>
      </c>
      <c r="CQ206" s="6">
        <f t="shared" si="48"/>
        <v>0</v>
      </c>
      <c r="CR206" s="6">
        <f t="shared" si="49"/>
        <v>0</v>
      </c>
      <c r="CS206" s="6">
        <f t="shared" si="50"/>
        <v>0</v>
      </c>
      <c r="CT206" s="6">
        <f t="shared" si="584"/>
        <v>0</v>
      </c>
      <c r="CU206" s="6">
        <f t="shared" si="52"/>
        <v>0</v>
      </c>
      <c r="CV206" s="6">
        <f t="shared" si="53"/>
        <v>0</v>
      </c>
      <c r="CW206" s="6">
        <f t="shared" si="54"/>
        <v>0</v>
      </c>
      <c r="CX206" s="6">
        <f t="shared" si="55"/>
        <v>0</v>
      </c>
      <c r="CY206" s="6">
        <f t="shared" si="56"/>
        <v>0</v>
      </c>
      <c r="CZ206" s="6">
        <f t="shared" si="57"/>
        <v>0</v>
      </c>
      <c r="DA206" s="6">
        <f t="shared" si="58"/>
        <v>0</v>
      </c>
      <c r="DB206" s="6">
        <f t="shared" si="59"/>
        <v>0</v>
      </c>
      <c r="DC206" s="6">
        <f t="shared" si="60"/>
        <v>0</v>
      </c>
      <c r="DD206" s="6">
        <f t="shared" si="61"/>
        <v>0</v>
      </c>
      <c r="DE206" s="6">
        <f t="shared" si="62"/>
        <v>0</v>
      </c>
      <c r="DF206" s="6">
        <f t="shared" si="63"/>
        <v>0</v>
      </c>
      <c r="DG206" s="6">
        <f t="shared" si="64"/>
        <v>0</v>
      </c>
      <c r="DH206" s="6">
        <f t="shared" si="697"/>
        <v>0</v>
      </c>
      <c r="DI206" s="6">
        <f t="shared" si="66"/>
        <v>0</v>
      </c>
      <c r="DJ206" s="6">
        <f t="shared" si="653"/>
        <v>0</v>
      </c>
      <c r="DK206" s="7">
        <f t="shared" si="68"/>
        <v>0</v>
      </c>
      <c r="DL206" s="7">
        <f t="shared" si="498"/>
        <v>0</v>
      </c>
      <c r="DM206" s="7">
        <f t="shared" si="70"/>
        <v>0</v>
      </c>
      <c r="DN206" s="7">
        <f t="shared" si="71"/>
        <v>0</v>
      </c>
      <c r="DO206" s="7">
        <f t="shared" si="72"/>
        <v>0</v>
      </c>
      <c r="DP206" s="8">
        <f t="shared" si="73"/>
        <v>0</v>
      </c>
      <c r="DQ206" s="8">
        <f t="shared" si="74"/>
        <v>1</v>
      </c>
      <c r="DR206" s="7">
        <f t="shared" si="75"/>
        <v>0</v>
      </c>
      <c r="DS206" s="7">
        <f t="shared" si="76"/>
        <v>0</v>
      </c>
      <c r="DT206" s="7">
        <f t="shared" si="77"/>
        <v>0</v>
      </c>
      <c r="DU206" s="9">
        <f t="shared" si="78"/>
        <v>0</v>
      </c>
      <c r="DV206" s="9">
        <f t="shared" si="79"/>
        <v>0</v>
      </c>
      <c r="DW206" s="9">
        <f t="shared" si="80"/>
        <v>0</v>
      </c>
      <c r="DX206" s="9">
        <f t="shared" si="81"/>
        <v>0</v>
      </c>
      <c r="DY206" s="9">
        <f t="shared" si="82"/>
        <v>0</v>
      </c>
      <c r="DZ206" s="9">
        <f t="shared" si="83"/>
        <v>0</v>
      </c>
      <c r="EA206" s="9">
        <f t="shared" si="84"/>
        <v>0</v>
      </c>
      <c r="EB206" s="9">
        <f t="shared" si="85"/>
        <v>0</v>
      </c>
      <c r="EC206" s="9">
        <f t="shared" si="86"/>
        <v>0</v>
      </c>
      <c r="ED206" s="9">
        <f t="shared" si="87"/>
        <v>0</v>
      </c>
      <c r="EE206" s="9">
        <f t="shared" si="88"/>
        <v>0</v>
      </c>
      <c r="EF206" s="9">
        <f t="shared" si="89"/>
        <v>0</v>
      </c>
      <c r="EG206" s="9">
        <f t="shared" si="90"/>
        <v>0</v>
      </c>
      <c r="EH206" s="9">
        <f t="shared" si="91"/>
        <v>0</v>
      </c>
      <c r="EI206" s="9">
        <f t="shared" si="92"/>
        <v>0</v>
      </c>
      <c r="EJ206" s="10">
        <f t="shared" si="93"/>
        <v>0</v>
      </c>
      <c r="EK206" s="10">
        <f t="shared" si="94"/>
        <v>0</v>
      </c>
      <c r="EL206" s="10">
        <f t="shared" ref="EL206:EM206" si="771">IF(OR(ISNUMBER(SEARCH("ai software toolkit", $D206)), ISNUMBER(SEARCH("ai software toolkit", $T206)), ISNUMBER(SEARCH("ai software toolkit", $R206)), ISNUMBER(SEARCH("ai software toolkit", $S206))), 1, 0)</f>
        <v>0</v>
      </c>
      <c r="EM206" s="10">
        <f t="shared" si="771"/>
        <v>0</v>
      </c>
      <c r="EN206" s="10">
        <f t="shared" si="96"/>
        <v>0</v>
      </c>
      <c r="EO206" s="10">
        <f t="shared" si="97"/>
        <v>0</v>
      </c>
      <c r="EP206" s="10">
        <f t="shared" si="98"/>
        <v>0</v>
      </c>
      <c r="EQ206" s="10">
        <f t="shared" si="99"/>
        <v>0</v>
      </c>
      <c r="ER206" s="10">
        <f t="shared" si="100"/>
        <v>0</v>
      </c>
      <c r="ES206" s="10">
        <f t="shared" si="101"/>
        <v>0</v>
      </c>
      <c r="ET206" s="10">
        <f t="shared" si="102"/>
        <v>0</v>
      </c>
      <c r="EU206" s="10">
        <f t="shared" si="103"/>
        <v>0</v>
      </c>
      <c r="EV206" s="10">
        <f t="shared" si="104"/>
        <v>0</v>
      </c>
      <c r="EW206" s="10">
        <f t="shared" si="105"/>
        <v>0</v>
      </c>
      <c r="EX206" s="10">
        <f t="shared" si="106"/>
        <v>0</v>
      </c>
      <c r="EY206" s="10">
        <f t="shared" si="107"/>
        <v>0</v>
      </c>
      <c r="EZ206" s="10">
        <f t="shared" si="108"/>
        <v>0</v>
      </c>
      <c r="FA206" s="10">
        <f t="shared" si="109"/>
        <v>0</v>
      </c>
      <c r="FB206" s="10">
        <f t="shared" si="110"/>
        <v>0</v>
      </c>
      <c r="FC206" s="10">
        <f t="shared" si="111"/>
        <v>0</v>
      </c>
      <c r="FD206" s="10">
        <f t="shared" si="112"/>
        <v>0</v>
      </c>
      <c r="FE206" s="10">
        <f t="shared" si="113"/>
        <v>0</v>
      </c>
      <c r="FF206" s="10">
        <f t="shared" si="114"/>
        <v>0</v>
      </c>
      <c r="FG206" s="10">
        <f t="shared" si="115"/>
        <v>0</v>
      </c>
      <c r="FH206" s="10">
        <f t="shared" si="116"/>
        <v>0</v>
      </c>
      <c r="FI206" s="10">
        <f t="shared" si="117"/>
        <v>0</v>
      </c>
      <c r="FJ206" s="10">
        <f t="shared" si="118"/>
        <v>0</v>
      </c>
      <c r="FK206" s="10">
        <f t="shared" si="119"/>
        <v>0</v>
      </c>
      <c r="FL206" s="10">
        <f t="shared" si="120"/>
        <v>0</v>
      </c>
      <c r="FM206" s="10">
        <f t="shared" si="121"/>
        <v>0</v>
      </c>
      <c r="FN206" s="10">
        <f t="shared" si="122"/>
        <v>0</v>
      </c>
      <c r="FO206" s="10">
        <f t="shared" si="123"/>
        <v>0</v>
      </c>
      <c r="FP206" s="10">
        <f t="shared" si="124"/>
        <v>0</v>
      </c>
      <c r="FQ206" s="10">
        <f t="shared" si="125"/>
        <v>1</v>
      </c>
      <c r="FR206" s="11">
        <f t="shared" si="767"/>
        <v>0</v>
      </c>
      <c r="FS206" s="11">
        <f t="shared" si="127"/>
        <v>0</v>
      </c>
      <c r="FT206" s="11">
        <f t="shared" si="128"/>
        <v>0</v>
      </c>
      <c r="FU206" s="11">
        <f t="shared" si="129"/>
        <v>0</v>
      </c>
      <c r="FV206" s="11">
        <f t="shared" si="130"/>
        <v>0</v>
      </c>
      <c r="FW206" s="11">
        <f t="shared" si="131"/>
        <v>0</v>
      </c>
      <c r="FX206" s="11">
        <f t="shared" si="132"/>
        <v>0</v>
      </c>
      <c r="FY206" s="11">
        <f t="shared" si="133"/>
        <v>0</v>
      </c>
      <c r="FZ206" s="11">
        <f t="shared" si="134"/>
        <v>0</v>
      </c>
      <c r="GA206" s="11">
        <f t="shared" si="135"/>
        <v>0</v>
      </c>
      <c r="GB206" s="11">
        <f t="shared" si="136"/>
        <v>0</v>
      </c>
      <c r="GC206" s="11">
        <f t="shared" si="137"/>
        <v>0</v>
      </c>
      <c r="GD206" s="11">
        <f t="shared" si="138"/>
        <v>0</v>
      </c>
      <c r="GE206" s="11">
        <f t="shared" si="139"/>
        <v>0</v>
      </c>
      <c r="GF206" s="11">
        <f t="shared" si="140"/>
        <v>0</v>
      </c>
      <c r="GG206" s="11">
        <f t="shared" si="141"/>
        <v>0</v>
      </c>
      <c r="GH206" s="11">
        <f t="shared" si="142"/>
        <v>0</v>
      </c>
      <c r="GI206" s="11">
        <f t="shared" si="143"/>
        <v>0</v>
      </c>
      <c r="GJ206" s="11">
        <f t="shared" si="144"/>
        <v>0</v>
      </c>
      <c r="GK206" s="11">
        <f t="shared" si="145"/>
        <v>0</v>
      </c>
      <c r="GL206" s="11">
        <f t="shared" si="146"/>
        <v>0</v>
      </c>
      <c r="GM206" s="11">
        <f t="shared" si="147"/>
        <v>0</v>
      </c>
      <c r="GN206" s="11">
        <f t="shared" si="148"/>
        <v>0</v>
      </c>
      <c r="GO206" s="11">
        <f t="shared" si="149"/>
        <v>0</v>
      </c>
      <c r="GP206" s="11">
        <f t="shared" si="150"/>
        <v>0</v>
      </c>
      <c r="GQ206" s="11">
        <f t="shared" si="151"/>
        <v>0</v>
      </c>
      <c r="GR206" s="11">
        <f t="shared" si="152"/>
        <v>1</v>
      </c>
      <c r="GS206" s="11">
        <f t="shared" si="153"/>
        <v>0</v>
      </c>
      <c r="GT206" s="11">
        <f t="shared" si="154"/>
        <v>0</v>
      </c>
      <c r="GU206" s="12">
        <f t="shared" si="155"/>
        <v>0</v>
      </c>
      <c r="GV206" s="12">
        <f t="shared" si="156"/>
        <v>0</v>
      </c>
      <c r="GW206" s="12">
        <f t="shared" si="157"/>
        <v>0</v>
      </c>
      <c r="GX206" s="12">
        <f t="shared" si="158"/>
        <v>0</v>
      </c>
      <c r="GY206" s="12">
        <f t="shared" si="159"/>
        <v>0</v>
      </c>
      <c r="GZ206" s="12">
        <f t="shared" si="160"/>
        <v>0</v>
      </c>
      <c r="HA206" s="12">
        <f t="shared" si="161"/>
        <v>0</v>
      </c>
      <c r="HB206" s="12">
        <f t="shared" si="162"/>
        <v>0</v>
      </c>
      <c r="HC206" s="12">
        <f t="shared" si="163"/>
        <v>0</v>
      </c>
      <c r="HD206" s="12">
        <f t="shared" si="164"/>
        <v>0</v>
      </c>
      <c r="HE206" s="12">
        <f t="shared" si="165"/>
        <v>0</v>
      </c>
      <c r="HF206" s="12">
        <f t="shared" si="166"/>
        <v>0</v>
      </c>
      <c r="HG206" s="12">
        <f t="shared" si="167"/>
        <v>0</v>
      </c>
      <c r="HH206" s="12">
        <f t="shared" si="168"/>
        <v>0</v>
      </c>
      <c r="HI206" s="12">
        <f t="shared" si="169"/>
        <v>0</v>
      </c>
      <c r="HJ206" s="12">
        <f t="shared" si="170"/>
        <v>0</v>
      </c>
      <c r="HK206" s="12">
        <f t="shared" si="171"/>
        <v>0</v>
      </c>
      <c r="HL206" s="12">
        <f t="shared" si="172"/>
        <v>0</v>
      </c>
      <c r="HM206" s="12">
        <f t="shared" si="173"/>
        <v>0</v>
      </c>
      <c r="HN206" s="12">
        <f t="shared" si="174"/>
        <v>0</v>
      </c>
      <c r="HO206" s="12">
        <f t="shared" si="175"/>
        <v>0</v>
      </c>
      <c r="HP206" s="12">
        <f t="shared" si="176"/>
        <v>0</v>
      </c>
      <c r="HQ206" s="12">
        <f t="shared" si="177"/>
        <v>0</v>
      </c>
      <c r="HR206" s="12">
        <f t="shared" si="178"/>
        <v>0</v>
      </c>
      <c r="HS206" s="12">
        <f t="shared" si="179"/>
        <v>0</v>
      </c>
      <c r="HT206" s="12">
        <f t="shared" si="180"/>
        <v>0</v>
      </c>
      <c r="HU206" s="12">
        <f t="shared" si="181"/>
        <v>0</v>
      </c>
      <c r="HV206" s="12">
        <f t="shared" si="182"/>
        <v>0</v>
      </c>
      <c r="HW206" s="12">
        <f t="shared" si="183"/>
        <v>0</v>
      </c>
      <c r="HX206" s="12">
        <f t="shared" si="184"/>
        <v>0</v>
      </c>
      <c r="HY206" s="12">
        <f t="shared" si="185"/>
        <v>0</v>
      </c>
      <c r="HZ206" s="12">
        <f t="shared" si="186"/>
        <v>0</v>
      </c>
      <c r="IA206" s="12">
        <f t="shared" si="187"/>
        <v>0</v>
      </c>
      <c r="IB206" s="12">
        <f t="shared" si="188"/>
        <v>0</v>
      </c>
      <c r="IC206" s="12">
        <f t="shared" si="189"/>
        <v>0</v>
      </c>
      <c r="ID206" s="12">
        <f t="shared" si="190"/>
        <v>0</v>
      </c>
      <c r="IE206" s="12">
        <f t="shared" si="191"/>
        <v>0</v>
      </c>
      <c r="IF206" s="12">
        <f t="shared" si="192"/>
        <v>0</v>
      </c>
      <c r="IG206" s="12">
        <f t="shared" si="193"/>
        <v>0</v>
      </c>
      <c r="IH206" s="12">
        <f t="shared" si="194"/>
        <v>0</v>
      </c>
      <c r="II206" s="12">
        <f t="shared" si="195"/>
        <v>0</v>
      </c>
      <c r="IJ206" s="12">
        <f t="shared" si="196"/>
        <v>0</v>
      </c>
      <c r="IK206" s="12">
        <f t="shared" si="197"/>
        <v>0</v>
      </c>
      <c r="IL206" s="12">
        <f t="shared" si="198"/>
        <v>0</v>
      </c>
      <c r="IM206" s="12">
        <f t="shared" si="199"/>
        <v>0</v>
      </c>
      <c r="IN206" s="12">
        <f t="shared" si="200"/>
        <v>0</v>
      </c>
      <c r="IO206" s="12">
        <f t="shared" si="201"/>
        <v>0</v>
      </c>
      <c r="IP206" s="12">
        <f t="shared" si="202"/>
        <v>0</v>
      </c>
      <c r="IQ206" s="12">
        <f t="shared" si="203"/>
        <v>0</v>
      </c>
      <c r="IR206" s="12">
        <f t="shared" si="204"/>
        <v>0</v>
      </c>
      <c r="IS206" s="12">
        <f t="shared" si="205"/>
        <v>0</v>
      </c>
      <c r="IT206" s="12">
        <f t="shared" si="206"/>
        <v>0</v>
      </c>
      <c r="IU206" s="12">
        <f t="shared" si="207"/>
        <v>0</v>
      </c>
      <c r="IV206" s="12">
        <f t="shared" si="208"/>
        <v>0</v>
      </c>
      <c r="IW206" s="12">
        <f t="shared" si="209"/>
        <v>0</v>
      </c>
      <c r="IX206" s="12">
        <f t="shared" si="210"/>
        <v>0</v>
      </c>
      <c r="IY206" s="12">
        <f t="shared" si="211"/>
        <v>0</v>
      </c>
      <c r="IZ206" s="12">
        <f t="shared" si="212"/>
        <v>1</v>
      </c>
      <c r="JA206" s="13">
        <f t="shared" si="213"/>
        <v>0</v>
      </c>
      <c r="JB206" s="13">
        <f t="shared" si="214"/>
        <v>0</v>
      </c>
      <c r="JC206" s="13">
        <f t="shared" si="215"/>
        <v>0</v>
      </c>
      <c r="JD206" s="13">
        <f t="shared" si="216"/>
        <v>0</v>
      </c>
      <c r="JE206" s="13">
        <f t="shared" si="217"/>
        <v>0</v>
      </c>
      <c r="JF206" s="13">
        <f t="shared" si="218"/>
        <v>0</v>
      </c>
      <c r="JG206" s="13">
        <f t="shared" si="219"/>
        <v>0</v>
      </c>
      <c r="JH206" s="13">
        <f t="shared" si="220"/>
        <v>0</v>
      </c>
      <c r="JI206" s="13">
        <f t="shared" si="221"/>
        <v>0</v>
      </c>
      <c r="JJ206" s="13">
        <f t="shared" si="222"/>
        <v>0</v>
      </c>
      <c r="JK206" s="13">
        <f t="shared" si="223"/>
        <v>0</v>
      </c>
      <c r="JL206" s="13">
        <f t="shared" si="224"/>
        <v>0</v>
      </c>
      <c r="JM206" s="13">
        <f t="shared" si="225"/>
        <v>0</v>
      </c>
      <c r="JN206" s="13">
        <f t="shared" si="226"/>
        <v>0</v>
      </c>
      <c r="JO206" s="13">
        <f t="shared" si="227"/>
        <v>0</v>
      </c>
      <c r="JP206" s="13">
        <f t="shared" si="228"/>
        <v>0</v>
      </c>
      <c r="JQ206" s="13">
        <f t="shared" si="229"/>
        <v>0</v>
      </c>
      <c r="JR206" s="13">
        <f t="shared" si="230"/>
        <v>0</v>
      </c>
      <c r="JS206" s="13">
        <f t="shared" si="231"/>
        <v>0</v>
      </c>
      <c r="JT206" s="13">
        <f t="shared" si="232"/>
        <v>0</v>
      </c>
      <c r="JU206" s="13">
        <f t="shared" si="233"/>
        <v>0</v>
      </c>
      <c r="JV206" s="12">
        <f t="shared" si="234"/>
        <v>0</v>
      </c>
      <c r="JW206" s="12">
        <f t="shared" si="235"/>
        <v>0</v>
      </c>
      <c r="JX206" s="12">
        <f t="shared" si="236"/>
        <v>0</v>
      </c>
      <c r="JY206" s="12">
        <f t="shared" si="237"/>
        <v>0</v>
      </c>
      <c r="JZ206" s="12">
        <f t="shared" si="238"/>
        <v>0</v>
      </c>
      <c r="KA206" s="12">
        <f t="shared" si="239"/>
        <v>0</v>
      </c>
      <c r="KB206" s="12">
        <f t="shared" si="240"/>
        <v>0</v>
      </c>
      <c r="KC206" s="12">
        <f t="shared" si="241"/>
        <v>0</v>
      </c>
      <c r="KD206" s="12">
        <f t="shared" si="242"/>
        <v>0</v>
      </c>
      <c r="KE206" s="12">
        <f t="shared" si="243"/>
        <v>0</v>
      </c>
      <c r="KF206" s="12">
        <f t="shared" si="244"/>
        <v>0</v>
      </c>
      <c r="KG206" s="12">
        <f t="shared" si="245"/>
        <v>0</v>
      </c>
      <c r="KH206" s="12">
        <f t="shared" si="246"/>
        <v>0</v>
      </c>
      <c r="KI206" s="12">
        <f t="shared" si="247"/>
        <v>0</v>
      </c>
      <c r="KJ206" s="12">
        <f t="shared" si="248"/>
        <v>0</v>
      </c>
      <c r="KK206" s="12">
        <f t="shared" si="249"/>
        <v>0</v>
      </c>
      <c r="KL206" s="12">
        <f t="shared" si="250"/>
        <v>0</v>
      </c>
      <c r="KM206" s="12">
        <f t="shared" si="251"/>
        <v>0</v>
      </c>
      <c r="KN206" s="12">
        <f t="shared" si="252"/>
        <v>0</v>
      </c>
      <c r="KO206" s="12">
        <f t="shared" si="253"/>
        <v>0</v>
      </c>
      <c r="KP206" s="12">
        <f t="shared" si="254"/>
        <v>0</v>
      </c>
      <c r="KQ206" s="12">
        <f t="shared" si="255"/>
        <v>0</v>
      </c>
      <c r="KR206" s="12">
        <f t="shared" si="256"/>
        <v>0</v>
      </c>
      <c r="KS206" s="12">
        <f t="shared" si="257"/>
        <v>0</v>
      </c>
      <c r="KT206" s="12">
        <f t="shared" si="258"/>
        <v>0</v>
      </c>
      <c r="KU206" s="12">
        <f t="shared" si="259"/>
        <v>0</v>
      </c>
      <c r="KV206" s="12">
        <f t="shared" si="260"/>
        <v>0</v>
      </c>
      <c r="KW206" s="12">
        <f t="shared" si="261"/>
        <v>0</v>
      </c>
      <c r="KX206" s="12">
        <f t="shared" si="262"/>
        <v>0</v>
      </c>
      <c r="KY206" s="12">
        <f t="shared" si="263"/>
        <v>0</v>
      </c>
      <c r="KZ206" s="12">
        <f t="shared" si="264"/>
        <v>0</v>
      </c>
      <c r="LA206" s="12">
        <f t="shared" si="265"/>
        <v>0</v>
      </c>
      <c r="LB206" s="12">
        <f t="shared" si="266"/>
        <v>0</v>
      </c>
      <c r="LC206" s="12">
        <f t="shared" si="267"/>
        <v>0</v>
      </c>
      <c r="LD206" s="12">
        <f t="shared" si="268"/>
        <v>0</v>
      </c>
      <c r="LE206" s="12">
        <f t="shared" si="269"/>
        <v>0</v>
      </c>
      <c r="LF206" s="12">
        <f t="shared" si="270"/>
        <v>0</v>
      </c>
      <c r="LG206" s="12">
        <f t="shared" si="271"/>
        <v>0</v>
      </c>
      <c r="LH206" s="12">
        <f t="shared" si="272"/>
        <v>0</v>
      </c>
      <c r="LI206" s="12">
        <f t="shared" si="273"/>
        <v>0</v>
      </c>
      <c r="LJ206" s="12">
        <f t="shared" si="274"/>
        <v>0</v>
      </c>
      <c r="LK206" s="12">
        <f t="shared" si="275"/>
        <v>0</v>
      </c>
      <c r="LL206" s="12">
        <f t="shared" si="276"/>
        <v>0</v>
      </c>
      <c r="LM206" s="12">
        <f t="shared" si="277"/>
        <v>0</v>
      </c>
      <c r="LN206" s="12">
        <f t="shared" si="278"/>
        <v>0</v>
      </c>
      <c r="LO206" s="12">
        <f t="shared" si="279"/>
        <v>0</v>
      </c>
      <c r="LP206" s="12">
        <f t="shared" si="280"/>
        <v>0</v>
      </c>
      <c r="LQ206" s="12">
        <f t="shared" si="281"/>
        <v>0</v>
      </c>
      <c r="LR206" s="12">
        <f t="shared" si="282"/>
        <v>0</v>
      </c>
      <c r="LS206" s="12">
        <f t="shared" si="283"/>
        <v>0</v>
      </c>
      <c r="LT206" s="13">
        <f t="shared" si="284"/>
        <v>0</v>
      </c>
      <c r="LU206" s="13">
        <f t="shared" si="285"/>
        <v>0</v>
      </c>
      <c r="LV206" s="13">
        <f t="shared" si="286"/>
        <v>0</v>
      </c>
      <c r="LW206" s="13">
        <f t="shared" si="287"/>
        <v>0</v>
      </c>
      <c r="LX206" s="13">
        <f t="shared" si="288"/>
        <v>0</v>
      </c>
      <c r="LY206" s="13">
        <f t="shared" si="289"/>
        <v>0</v>
      </c>
      <c r="LZ206" s="13">
        <f t="shared" si="290"/>
        <v>0</v>
      </c>
      <c r="MA206" s="13">
        <f t="shared" si="291"/>
        <v>0</v>
      </c>
      <c r="MB206" s="13">
        <f t="shared" si="292"/>
        <v>0</v>
      </c>
      <c r="MC206" s="13">
        <f t="shared" si="293"/>
        <v>0</v>
      </c>
      <c r="MD206" s="13">
        <f t="shared" si="294"/>
        <v>0</v>
      </c>
      <c r="ME206" s="13">
        <f t="shared" si="295"/>
        <v>0</v>
      </c>
      <c r="MF206" s="13">
        <f t="shared" si="296"/>
        <v>0</v>
      </c>
      <c r="MG206" s="13">
        <f t="shared" si="297"/>
        <v>0</v>
      </c>
      <c r="MH206" s="13">
        <f t="shared" si="298"/>
        <v>0</v>
      </c>
      <c r="MI206" s="13">
        <f t="shared" si="299"/>
        <v>0</v>
      </c>
      <c r="MJ206" s="13">
        <f t="shared" si="300"/>
        <v>0</v>
      </c>
      <c r="MK206" s="13">
        <f t="shared" si="301"/>
        <v>0</v>
      </c>
      <c r="ML206" s="14">
        <f t="shared" si="302"/>
        <v>0</v>
      </c>
      <c r="MM206" s="14">
        <f t="shared" si="303"/>
        <v>0</v>
      </c>
      <c r="MN206" s="14">
        <f t="shared" si="304"/>
        <v>0</v>
      </c>
      <c r="MO206" s="14">
        <f t="shared" si="305"/>
        <v>0</v>
      </c>
      <c r="MP206" s="14">
        <f t="shared" si="306"/>
        <v>0</v>
      </c>
      <c r="MQ206" s="14">
        <f t="shared" si="307"/>
        <v>0</v>
      </c>
      <c r="MR206" s="14">
        <f t="shared" si="308"/>
        <v>0</v>
      </c>
      <c r="MS206" s="14">
        <f t="shared" si="309"/>
        <v>0</v>
      </c>
      <c r="MT206" s="14">
        <f t="shared" si="310"/>
        <v>0</v>
      </c>
      <c r="MU206" s="14">
        <f t="shared" si="311"/>
        <v>0</v>
      </c>
      <c r="MV206" s="14">
        <f t="shared" si="312"/>
        <v>0</v>
      </c>
      <c r="MW206" s="14">
        <f t="shared" si="313"/>
        <v>0</v>
      </c>
      <c r="MX206" s="14">
        <f t="shared" si="314"/>
        <v>0</v>
      </c>
      <c r="MY206" s="14">
        <f t="shared" si="315"/>
        <v>0</v>
      </c>
      <c r="MZ206" s="14">
        <f t="shared" si="316"/>
        <v>0</v>
      </c>
      <c r="NA206" s="14">
        <f t="shared" si="317"/>
        <v>0</v>
      </c>
      <c r="NB206" s="14">
        <f t="shared" si="318"/>
        <v>0</v>
      </c>
    </row>
    <row r="207" ht="15.75" customHeight="1">
      <c r="A207" s="2">
        <v>582.0</v>
      </c>
      <c r="B207" s="2" t="s">
        <v>3805</v>
      </c>
      <c r="C207" s="2" t="s">
        <v>3806</v>
      </c>
      <c r="D207" s="2" t="s">
        <v>3807</v>
      </c>
      <c r="E207" s="2">
        <v>2022.0</v>
      </c>
      <c r="F207" s="2" t="s">
        <v>1194</v>
      </c>
      <c r="G207" s="2">
        <v>17.0</v>
      </c>
      <c r="H207" s="2" t="s">
        <v>3808</v>
      </c>
      <c r="I207" s="2" t="s">
        <v>3809</v>
      </c>
      <c r="M207" s="2">
        <v>1.0</v>
      </c>
      <c r="N207" s="2" t="s">
        <v>3810</v>
      </c>
      <c r="O207" s="2" t="s">
        <v>3811</v>
      </c>
      <c r="P207" s="2" t="s">
        <v>3812</v>
      </c>
      <c r="Q207" s="2" t="s">
        <v>3813</v>
      </c>
      <c r="R207" s="2" t="s">
        <v>3814</v>
      </c>
      <c r="T207" s="2" t="s">
        <v>3815</v>
      </c>
      <c r="Y207" s="2" t="s">
        <v>3816</v>
      </c>
      <c r="AB207" s="2" t="s">
        <v>1203</v>
      </c>
      <c r="AG207" s="2" t="s">
        <v>1204</v>
      </c>
      <c r="AI207" s="2" t="s">
        <v>1205</v>
      </c>
      <c r="AJ207" s="2">
        <v>3.6399458E7</v>
      </c>
      <c r="AK207" s="2" t="s">
        <v>1194</v>
      </c>
      <c r="AL207" s="2" t="s">
        <v>384</v>
      </c>
      <c r="AM207" s="2" t="s">
        <v>484</v>
      </c>
      <c r="AN207" s="2" t="s">
        <v>386</v>
      </c>
      <c r="AO207" s="2" t="s">
        <v>3817</v>
      </c>
      <c r="AP207" s="2" t="s">
        <v>386</v>
      </c>
      <c r="AQ207" s="2">
        <v>2258.0</v>
      </c>
      <c r="AR207" s="2" t="s">
        <v>3818</v>
      </c>
      <c r="AS207" s="2" t="b">
        <v>0</v>
      </c>
      <c r="AT207" s="3">
        <v>0.0</v>
      </c>
      <c r="AU207" s="4"/>
      <c r="AV207" s="4"/>
      <c r="AW207" s="5">
        <f t="shared" si="432"/>
        <v>0</v>
      </c>
      <c r="AX207" s="5">
        <f t="shared" si="4"/>
        <v>0</v>
      </c>
      <c r="AY207" s="5">
        <f t="shared" si="5"/>
        <v>0</v>
      </c>
      <c r="AZ207" s="5">
        <f t="shared" si="6"/>
        <v>0</v>
      </c>
      <c r="BA207" s="5">
        <f t="shared" si="7"/>
        <v>0</v>
      </c>
      <c r="BB207" s="5">
        <f t="shared" si="8"/>
        <v>0</v>
      </c>
      <c r="BC207" s="5">
        <f t="shared" si="9"/>
        <v>0</v>
      </c>
      <c r="BD207" s="5">
        <f t="shared" si="10"/>
        <v>0</v>
      </c>
      <c r="BE207" s="5">
        <f t="shared" si="11"/>
        <v>0</v>
      </c>
      <c r="BF207" s="5">
        <f t="shared" si="12"/>
        <v>0</v>
      </c>
      <c r="BG207" s="5">
        <f t="shared" si="13"/>
        <v>0</v>
      </c>
      <c r="BH207" s="5">
        <f t="shared" si="14"/>
        <v>0</v>
      </c>
      <c r="BI207" s="5">
        <f t="shared" si="15"/>
        <v>0</v>
      </c>
      <c r="BJ207" s="5">
        <f t="shared" si="16"/>
        <v>0</v>
      </c>
      <c r="BK207" s="5">
        <f t="shared" si="17"/>
        <v>0</v>
      </c>
      <c r="BL207" s="5">
        <f t="shared" si="18"/>
        <v>0</v>
      </c>
      <c r="BM207" s="5">
        <f t="shared" si="19"/>
        <v>0</v>
      </c>
      <c r="BN207" s="5">
        <f t="shared" si="20"/>
        <v>0</v>
      </c>
      <c r="BO207" s="5">
        <f t="shared" si="21"/>
        <v>0</v>
      </c>
      <c r="BP207" s="5">
        <f t="shared" si="22"/>
        <v>0</v>
      </c>
      <c r="BQ207" s="5">
        <f t="shared" si="23"/>
        <v>0</v>
      </c>
      <c r="BR207" s="5">
        <f t="shared" si="24"/>
        <v>0</v>
      </c>
      <c r="BS207" s="5">
        <f t="shared" si="25"/>
        <v>0</v>
      </c>
      <c r="BT207" s="5">
        <f t="shared" si="26"/>
        <v>0</v>
      </c>
      <c r="BU207" s="5">
        <f t="shared" si="27"/>
        <v>0</v>
      </c>
      <c r="BV207" s="5">
        <f t="shared" ref="BV207:BW207" si="772">IF(OR(ISNUMBER(SEARCH("grit",$D207)),ISNUMBER(SEARCH("grit",$T207)),ISNUMBER(SEARCH("grit",$R207)),ISNUMBER(SEARCH("grit",$S207)),
ISNUMBER(SEARCH("determination",$D207)),ISNUMBER(SEARCH("determination",$T207)),ISNUMBER(SEARCH("determination",$R207)),ISNUMBER(SEARCH("determination",$S207)),
ISNUMBER(SEARCH("tenacity",$D207)),ISNUMBER(SEARCH("tenacity",$T207)),ISNUMBER(SEARCH("tenacity",$R207)),ISNUMBER(SEARCH("tenacity",$S207)),
ISNUMBER(SEARCH("endurance",$D207)),ISNUMBER(SEARCH("endurance",$T207)),ISNUMBER(SEARCH("endurance",$R207)),ISNUMBER(SEARCH("endurance",$S207)),
ISNUMBER(SEARCH("fortitude",$D207)),ISNUMBER(SEARCH("fortitude",$T207)),ISNUMBER(SEARCH("fortitude",$R207)),ISNUMBER(SEARCH("fortitude",$S207)),
ISNUMBER(SEARCH("resolve",$D207)),ISNUMBER(SEARCH("resolve",$T207)),ISNUMBER(SEARCH("resolve",$R207)),ISNUMBER(SEARCH("resolve",$S207)),
ISNUMBER(SEARCH("stamina",$D207)),ISNUMBER(SEARCH("stamina",$T207)),ISNUMBER(SEARCH("stamina",$R207)),ISNUMBER(SEARCH("stamina",$S207)),
ISNUMBER(SEARCH("guts",$D207)),ISNUMBER(SEARCH("guts",$T207)),ISNUMBER(SEARCH("guts",$R207)),ISNUMBER(SEARCH("guts",$S207)),
ISNUMBER(SEARCH("spunk",$D207)),ISNUMBER(SEARCH("spunk",$T207)),ISNUMBER(SEARCH("spunk",$R207)),ISNUMBER(SEARCH("spunk",$S207))), 1, 0)</f>
        <v>0</v>
      </c>
      <c r="BW207" s="5">
        <f t="shared" si="772"/>
        <v>0</v>
      </c>
      <c r="BX207" s="5">
        <f t="shared" si="29"/>
        <v>0</v>
      </c>
      <c r="BY207" s="5">
        <f t="shared" si="30"/>
        <v>0</v>
      </c>
      <c r="BZ207" s="5">
        <f t="shared" si="31"/>
        <v>0</v>
      </c>
      <c r="CA207" s="5">
        <f t="shared" si="32"/>
        <v>0</v>
      </c>
      <c r="CB207" s="5">
        <f t="shared" si="33"/>
        <v>0</v>
      </c>
      <c r="CC207" s="5">
        <f t="shared" si="34"/>
        <v>0</v>
      </c>
      <c r="CD207" s="5">
        <f t="shared" si="35"/>
        <v>0</v>
      </c>
      <c r="CE207" s="5">
        <f t="shared" si="36"/>
        <v>0</v>
      </c>
      <c r="CF207" s="5">
        <f t="shared" si="37"/>
        <v>0</v>
      </c>
      <c r="CG207" s="5">
        <f t="shared" si="38"/>
        <v>0</v>
      </c>
      <c r="CH207" s="5">
        <f t="shared" si="39"/>
        <v>0</v>
      </c>
      <c r="CI207" s="5">
        <f t="shared" si="40"/>
        <v>0</v>
      </c>
      <c r="CJ207" s="5">
        <f t="shared" si="41"/>
        <v>0</v>
      </c>
      <c r="CK207" s="5">
        <f t="shared" si="42"/>
        <v>0</v>
      </c>
      <c r="CL207" s="5">
        <f t="shared" si="43"/>
        <v>0</v>
      </c>
      <c r="CM207" s="5">
        <f t="shared" si="44"/>
        <v>0</v>
      </c>
      <c r="CN207" s="5">
        <f t="shared" si="45"/>
        <v>0</v>
      </c>
      <c r="CO207" s="5">
        <f t="shared" si="46"/>
        <v>0</v>
      </c>
      <c r="CP207" s="6">
        <f t="shared" si="47"/>
        <v>0</v>
      </c>
      <c r="CQ207" s="6">
        <f t="shared" si="48"/>
        <v>0</v>
      </c>
      <c r="CR207" s="6">
        <f t="shared" si="49"/>
        <v>0</v>
      </c>
      <c r="CS207" s="6">
        <f t="shared" si="50"/>
        <v>0</v>
      </c>
      <c r="CT207" s="6">
        <f t="shared" si="584"/>
        <v>0</v>
      </c>
      <c r="CU207" s="6">
        <f t="shared" si="52"/>
        <v>0</v>
      </c>
      <c r="CV207" s="6">
        <f t="shared" si="53"/>
        <v>1</v>
      </c>
      <c r="CW207" s="6">
        <f t="shared" si="54"/>
        <v>0</v>
      </c>
      <c r="CX207" s="6">
        <f t="shared" si="55"/>
        <v>0</v>
      </c>
      <c r="CY207" s="6">
        <f t="shared" si="56"/>
        <v>0</v>
      </c>
      <c r="CZ207" s="6">
        <f t="shared" si="57"/>
        <v>0</v>
      </c>
      <c r="DA207" s="6">
        <f t="shared" si="58"/>
        <v>0</v>
      </c>
      <c r="DB207" s="6">
        <f t="shared" si="59"/>
        <v>0</v>
      </c>
      <c r="DC207" s="6">
        <f t="shared" si="60"/>
        <v>0</v>
      </c>
      <c r="DD207" s="6">
        <f t="shared" si="61"/>
        <v>0</v>
      </c>
      <c r="DE207" s="6">
        <f t="shared" si="62"/>
        <v>0</v>
      </c>
      <c r="DF207" s="6">
        <f t="shared" si="63"/>
        <v>0</v>
      </c>
      <c r="DG207" s="6">
        <f t="shared" si="64"/>
        <v>0</v>
      </c>
      <c r="DH207" s="6">
        <f t="shared" si="697"/>
        <v>0</v>
      </c>
      <c r="DI207" s="6">
        <f t="shared" si="66"/>
        <v>0</v>
      </c>
      <c r="DJ207" s="6">
        <f t="shared" si="653"/>
        <v>0</v>
      </c>
      <c r="DK207" s="7">
        <f t="shared" si="68"/>
        <v>0</v>
      </c>
      <c r="DL207" s="7">
        <f t="shared" si="498"/>
        <v>0</v>
      </c>
      <c r="DM207" s="7">
        <f t="shared" si="70"/>
        <v>0</v>
      </c>
      <c r="DN207" s="7">
        <f t="shared" si="71"/>
        <v>0</v>
      </c>
      <c r="DO207" s="7">
        <f t="shared" si="72"/>
        <v>0</v>
      </c>
      <c r="DP207" s="8">
        <f t="shared" si="73"/>
        <v>0</v>
      </c>
      <c r="DQ207" s="8">
        <f t="shared" si="74"/>
        <v>1</v>
      </c>
      <c r="DR207" s="7">
        <f t="shared" si="75"/>
        <v>0</v>
      </c>
      <c r="DS207" s="7">
        <f t="shared" si="76"/>
        <v>0</v>
      </c>
      <c r="DT207" s="7">
        <f t="shared" si="77"/>
        <v>0</v>
      </c>
      <c r="DU207" s="9">
        <f t="shared" si="78"/>
        <v>0</v>
      </c>
      <c r="DV207" s="9">
        <f t="shared" si="79"/>
        <v>0</v>
      </c>
      <c r="DW207" s="9">
        <f t="shared" si="80"/>
        <v>0</v>
      </c>
      <c r="DX207" s="9">
        <f t="shared" si="81"/>
        <v>0</v>
      </c>
      <c r="DY207" s="9">
        <f t="shared" si="82"/>
        <v>0</v>
      </c>
      <c r="DZ207" s="9">
        <f t="shared" si="83"/>
        <v>0</v>
      </c>
      <c r="EA207" s="9">
        <f t="shared" si="84"/>
        <v>0</v>
      </c>
      <c r="EB207" s="9">
        <f t="shared" si="85"/>
        <v>0</v>
      </c>
      <c r="EC207" s="9">
        <f t="shared" si="86"/>
        <v>0</v>
      </c>
      <c r="ED207" s="9">
        <f t="shared" si="87"/>
        <v>0</v>
      </c>
      <c r="EE207" s="9">
        <f t="shared" si="88"/>
        <v>0</v>
      </c>
      <c r="EF207" s="9">
        <f t="shared" si="89"/>
        <v>0</v>
      </c>
      <c r="EG207" s="9">
        <f t="shared" si="90"/>
        <v>0</v>
      </c>
      <c r="EH207" s="9">
        <f t="shared" si="91"/>
        <v>0</v>
      </c>
      <c r="EI207" s="9">
        <f t="shared" si="92"/>
        <v>0</v>
      </c>
      <c r="EJ207" s="10">
        <f t="shared" si="93"/>
        <v>0</v>
      </c>
      <c r="EK207" s="10">
        <f t="shared" si="94"/>
        <v>0</v>
      </c>
      <c r="EL207" s="10">
        <f t="shared" ref="EL207:EM207" si="773">IF(OR(ISNUMBER(SEARCH("ai software toolkit", $D207)), ISNUMBER(SEARCH("ai software toolkit", $T207)), ISNUMBER(SEARCH("ai software toolkit", $R207)), ISNUMBER(SEARCH("ai software toolkit", $S207))), 1, 0)</f>
        <v>0</v>
      </c>
      <c r="EM207" s="10">
        <f t="shared" si="773"/>
        <v>0</v>
      </c>
      <c r="EN207" s="10">
        <f t="shared" si="96"/>
        <v>0</v>
      </c>
      <c r="EO207" s="10">
        <f t="shared" si="97"/>
        <v>0</v>
      </c>
      <c r="EP207" s="10">
        <f t="shared" si="98"/>
        <v>0</v>
      </c>
      <c r="EQ207" s="10">
        <f t="shared" si="99"/>
        <v>0</v>
      </c>
      <c r="ER207" s="10">
        <f t="shared" si="100"/>
        <v>0</v>
      </c>
      <c r="ES207" s="10">
        <f t="shared" si="101"/>
        <v>0</v>
      </c>
      <c r="ET207" s="10">
        <f t="shared" si="102"/>
        <v>0</v>
      </c>
      <c r="EU207" s="10">
        <f t="shared" si="103"/>
        <v>0</v>
      </c>
      <c r="EV207" s="10">
        <f t="shared" si="104"/>
        <v>1</v>
      </c>
      <c r="EW207" s="10">
        <f t="shared" si="105"/>
        <v>0</v>
      </c>
      <c r="EX207" s="10">
        <f t="shared" si="106"/>
        <v>0</v>
      </c>
      <c r="EY207" s="10">
        <f t="shared" si="107"/>
        <v>0</v>
      </c>
      <c r="EZ207" s="10">
        <f t="shared" si="108"/>
        <v>0</v>
      </c>
      <c r="FA207" s="10">
        <f t="shared" si="109"/>
        <v>0</v>
      </c>
      <c r="FB207" s="10">
        <f t="shared" si="110"/>
        <v>0</v>
      </c>
      <c r="FC207" s="10">
        <f t="shared" si="111"/>
        <v>0</v>
      </c>
      <c r="FD207" s="10">
        <f t="shared" si="112"/>
        <v>0</v>
      </c>
      <c r="FE207" s="10">
        <f t="shared" si="113"/>
        <v>0</v>
      </c>
      <c r="FF207" s="10">
        <f t="shared" si="114"/>
        <v>0</v>
      </c>
      <c r="FG207" s="10">
        <f t="shared" si="115"/>
        <v>0</v>
      </c>
      <c r="FH207" s="10">
        <f t="shared" si="116"/>
        <v>0</v>
      </c>
      <c r="FI207" s="10">
        <f t="shared" si="117"/>
        <v>0</v>
      </c>
      <c r="FJ207" s="10">
        <f t="shared" si="118"/>
        <v>0</v>
      </c>
      <c r="FK207" s="10">
        <f t="shared" si="119"/>
        <v>0</v>
      </c>
      <c r="FL207" s="10">
        <f t="shared" si="120"/>
        <v>0</v>
      </c>
      <c r="FM207" s="10">
        <f t="shared" si="121"/>
        <v>0</v>
      </c>
      <c r="FN207" s="10">
        <f t="shared" si="122"/>
        <v>0</v>
      </c>
      <c r="FO207" s="10">
        <f t="shared" si="123"/>
        <v>0</v>
      </c>
      <c r="FP207" s="10">
        <f t="shared" si="124"/>
        <v>0</v>
      </c>
      <c r="FQ207" s="10">
        <f t="shared" si="125"/>
        <v>0</v>
      </c>
      <c r="FR207" s="11">
        <f t="shared" si="767"/>
        <v>0</v>
      </c>
      <c r="FS207" s="11">
        <f t="shared" si="127"/>
        <v>0</v>
      </c>
      <c r="FT207" s="11">
        <f t="shared" si="128"/>
        <v>0</v>
      </c>
      <c r="FU207" s="11">
        <f t="shared" si="129"/>
        <v>0</v>
      </c>
      <c r="FV207" s="11">
        <f t="shared" si="130"/>
        <v>0</v>
      </c>
      <c r="FW207" s="11">
        <f t="shared" si="131"/>
        <v>0</v>
      </c>
      <c r="FX207" s="11">
        <f t="shared" si="132"/>
        <v>0</v>
      </c>
      <c r="FY207" s="11">
        <f t="shared" si="133"/>
        <v>0</v>
      </c>
      <c r="FZ207" s="11">
        <f t="shared" si="134"/>
        <v>0</v>
      </c>
      <c r="GA207" s="11">
        <f t="shared" si="135"/>
        <v>0</v>
      </c>
      <c r="GB207" s="11">
        <f t="shared" si="136"/>
        <v>0</v>
      </c>
      <c r="GC207" s="11">
        <f t="shared" si="137"/>
        <v>0</v>
      </c>
      <c r="GD207" s="11">
        <f t="shared" si="138"/>
        <v>0</v>
      </c>
      <c r="GE207" s="11">
        <f t="shared" si="139"/>
        <v>0</v>
      </c>
      <c r="GF207" s="11">
        <f t="shared" si="140"/>
        <v>0</v>
      </c>
      <c r="GG207" s="11">
        <f t="shared" si="141"/>
        <v>0</v>
      </c>
      <c r="GH207" s="11">
        <f t="shared" si="142"/>
        <v>0</v>
      </c>
      <c r="GI207" s="11">
        <f t="shared" si="143"/>
        <v>0</v>
      </c>
      <c r="GJ207" s="11">
        <f t="shared" si="144"/>
        <v>0</v>
      </c>
      <c r="GK207" s="11">
        <f t="shared" si="145"/>
        <v>0</v>
      </c>
      <c r="GL207" s="11">
        <f t="shared" si="146"/>
        <v>0</v>
      </c>
      <c r="GM207" s="11">
        <f t="shared" si="147"/>
        <v>0</v>
      </c>
      <c r="GN207" s="11">
        <f t="shared" si="148"/>
        <v>0</v>
      </c>
      <c r="GO207" s="11">
        <f t="shared" si="149"/>
        <v>0</v>
      </c>
      <c r="GP207" s="11">
        <f t="shared" si="150"/>
        <v>0</v>
      </c>
      <c r="GQ207" s="11">
        <f t="shared" si="151"/>
        <v>0</v>
      </c>
      <c r="GR207" s="11">
        <f t="shared" si="152"/>
        <v>0</v>
      </c>
      <c r="GS207" s="11">
        <f t="shared" si="153"/>
        <v>0</v>
      </c>
      <c r="GT207" s="11">
        <f t="shared" si="154"/>
        <v>0</v>
      </c>
      <c r="GU207" s="12">
        <f t="shared" si="155"/>
        <v>0</v>
      </c>
      <c r="GV207" s="12">
        <f t="shared" si="156"/>
        <v>0</v>
      </c>
      <c r="GW207" s="12">
        <f t="shared" si="157"/>
        <v>0</v>
      </c>
      <c r="GX207" s="12">
        <f t="shared" si="158"/>
        <v>0</v>
      </c>
      <c r="GY207" s="12">
        <f t="shared" si="159"/>
        <v>0</v>
      </c>
      <c r="GZ207" s="12">
        <f t="shared" si="160"/>
        <v>0</v>
      </c>
      <c r="HA207" s="12">
        <f t="shared" si="161"/>
        <v>0</v>
      </c>
      <c r="HB207" s="12">
        <f t="shared" si="162"/>
        <v>0</v>
      </c>
      <c r="HC207" s="12">
        <f t="shared" si="163"/>
        <v>0</v>
      </c>
      <c r="HD207" s="12">
        <f t="shared" si="164"/>
        <v>0</v>
      </c>
      <c r="HE207" s="12">
        <f t="shared" si="165"/>
        <v>0</v>
      </c>
      <c r="HF207" s="12">
        <f t="shared" si="166"/>
        <v>0</v>
      </c>
      <c r="HG207" s="12">
        <f t="shared" si="167"/>
        <v>0</v>
      </c>
      <c r="HH207" s="12">
        <f t="shared" si="168"/>
        <v>0</v>
      </c>
      <c r="HI207" s="12">
        <f t="shared" si="169"/>
        <v>0</v>
      </c>
      <c r="HJ207" s="12">
        <f t="shared" si="170"/>
        <v>0</v>
      </c>
      <c r="HK207" s="12">
        <f t="shared" si="171"/>
        <v>0</v>
      </c>
      <c r="HL207" s="12">
        <f t="shared" si="172"/>
        <v>0</v>
      </c>
      <c r="HM207" s="12">
        <f t="shared" si="173"/>
        <v>0</v>
      </c>
      <c r="HN207" s="12">
        <f t="shared" si="174"/>
        <v>0</v>
      </c>
      <c r="HO207" s="12">
        <f t="shared" si="175"/>
        <v>0</v>
      </c>
      <c r="HP207" s="12">
        <f t="shared" si="176"/>
        <v>0</v>
      </c>
      <c r="HQ207" s="12">
        <f t="shared" si="177"/>
        <v>0</v>
      </c>
      <c r="HR207" s="12">
        <f t="shared" si="178"/>
        <v>0</v>
      </c>
      <c r="HS207" s="12">
        <f t="shared" si="179"/>
        <v>0</v>
      </c>
      <c r="HT207" s="12">
        <f t="shared" si="180"/>
        <v>0</v>
      </c>
      <c r="HU207" s="12">
        <f t="shared" si="181"/>
        <v>0</v>
      </c>
      <c r="HV207" s="12">
        <f t="shared" si="182"/>
        <v>0</v>
      </c>
      <c r="HW207" s="12">
        <f t="shared" si="183"/>
        <v>0</v>
      </c>
      <c r="HX207" s="12">
        <f t="shared" si="184"/>
        <v>0</v>
      </c>
      <c r="HY207" s="12">
        <f t="shared" si="185"/>
        <v>0</v>
      </c>
      <c r="HZ207" s="12">
        <f t="shared" si="186"/>
        <v>0</v>
      </c>
      <c r="IA207" s="12">
        <f t="shared" si="187"/>
        <v>0</v>
      </c>
      <c r="IB207" s="12">
        <f t="shared" si="188"/>
        <v>0</v>
      </c>
      <c r="IC207" s="12">
        <f t="shared" si="189"/>
        <v>0</v>
      </c>
      <c r="ID207" s="12">
        <f t="shared" si="190"/>
        <v>0</v>
      </c>
      <c r="IE207" s="12">
        <f t="shared" si="191"/>
        <v>0</v>
      </c>
      <c r="IF207" s="12">
        <f t="shared" si="192"/>
        <v>0</v>
      </c>
      <c r="IG207" s="12">
        <f t="shared" si="193"/>
        <v>0</v>
      </c>
      <c r="IH207" s="12">
        <f t="shared" si="194"/>
        <v>0</v>
      </c>
      <c r="II207" s="12">
        <f t="shared" si="195"/>
        <v>0</v>
      </c>
      <c r="IJ207" s="12">
        <f t="shared" si="196"/>
        <v>0</v>
      </c>
      <c r="IK207" s="12">
        <f t="shared" si="197"/>
        <v>0</v>
      </c>
      <c r="IL207" s="12">
        <f t="shared" si="198"/>
        <v>0</v>
      </c>
      <c r="IM207" s="12">
        <f t="shared" si="199"/>
        <v>0</v>
      </c>
      <c r="IN207" s="12">
        <f t="shared" si="200"/>
        <v>0</v>
      </c>
      <c r="IO207" s="12">
        <f t="shared" si="201"/>
        <v>0</v>
      </c>
      <c r="IP207" s="12">
        <f t="shared" si="202"/>
        <v>0</v>
      </c>
      <c r="IQ207" s="12">
        <f t="shared" si="203"/>
        <v>0</v>
      </c>
      <c r="IR207" s="12">
        <f t="shared" si="204"/>
        <v>0</v>
      </c>
      <c r="IS207" s="12">
        <f t="shared" si="205"/>
        <v>0</v>
      </c>
      <c r="IT207" s="12">
        <f t="shared" si="206"/>
        <v>0</v>
      </c>
      <c r="IU207" s="12">
        <f t="shared" si="207"/>
        <v>0</v>
      </c>
      <c r="IV207" s="12">
        <f t="shared" si="208"/>
        <v>0</v>
      </c>
      <c r="IW207" s="12">
        <f t="shared" si="209"/>
        <v>0</v>
      </c>
      <c r="IX207" s="12">
        <f t="shared" si="210"/>
        <v>0</v>
      </c>
      <c r="IY207" s="12">
        <f t="shared" si="211"/>
        <v>0</v>
      </c>
      <c r="IZ207" s="12">
        <f t="shared" si="212"/>
        <v>0</v>
      </c>
      <c r="JA207" s="13">
        <f t="shared" si="213"/>
        <v>0</v>
      </c>
      <c r="JB207" s="13">
        <f t="shared" si="214"/>
        <v>0</v>
      </c>
      <c r="JC207" s="13">
        <f t="shared" si="215"/>
        <v>0</v>
      </c>
      <c r="JD207" s="13">
        <f t="shared" si="216"/>
        <v>0</v>
      </c>
      <c r="JE207" s="13">
        <f t="shared" si="217"/>
        <v>0</v>
      </c>
      <c r="JF207" s="13">
        <f t="shared" si="218"/>
        <v>0</v>
      </c>
      <c r="JG207" s="13">
        <f t="shared" si="219"/>
        <v>0</v>
      </c>
      <c r="JH207" s="13">
        <f t="shared" si="220"/>
        <v>0</v>
      </c>
      <c r="JI207" s="13">
        <f t="shared" si="221"/>
        <v>0</v>
      </c>
      <c r="JJ207" s="13">
        <f t="shared" si="222"/>
        <v>0</v>
      </c>
      <c r="JK207" s="13">
        <f t="shared" si="223"/>
        <v>0</v>
      </c>
      <c r="JL207" s="13">
        <f t="shared" si="224"/>
        <v>0</v>
      </c>
      <c r="JM207" s="13">
        <f t="shared" si="225"/>
        <v>0</v>
      </c>
      <c r="JN207" s="13">
        <f t="shared" si="226"/>
        <v>0</v>
      </c>
      <c r="JO207" s="13">
        <f t="shared" si="227"/>
        <v>0</v>
      </c>
      <c r="JP207" s="13">
        <f t="shared" si="228"/>
        <v>0</v>
      </c>
      <c r="JQ207" s="13">
        <f t="shared" si="229"/>
        <v>0</v>
      </c>
      <c r="JR207" s="13">
        <f t="shared" si="230"/>
        <v>0</v>
      </c>
      <c r="JS207" s="13">
        <f t="shared" si="231"/>
        <v>0</v>
      </c>
      <c r="JT207" s="13">
        <f t="shared" si="232"/>
        <v>0</v>
      </c>
      <c r="JU207" s="13">
        <f t="shared" si="233"/>
        <v>0</v>
      </c>
      <c r="JV207" s="12">
        <f t="shared" si="234"/>
        <v>0</v>
      </c>
      <c r="JW207" s="12">
        <f t="shared" si="235"/>
        <v>0</v>
      </c>
      <c r="JX207" s="12">
        <f t="shared" si="236"/>
        <v>0</v>
      </c>
      <c r="JY207" s="12">
        <f t="shared" si="237"/>
        <v>0</v>
      </c>
      <c r="JZ207" s="12">
        <f t="shared" si="238"/>
        <v>0</v>
      </c>
      <c r="KA207" s="12">
        <f t="shared" si="239"/>
        <v>0</v>
      </c>
      <c r="KB207" s="12">
        <f t="shared" si="240"/>
        <v>0</v>
      </c>
      <c r="KC207" s="12">
        <f t="shared" si="241"/>
        <v>0</v>
      </c>
      <c r="KD207" s="12">
        <f t="shared" si="242"/>
        <v>0</v>
      </c>
      <c r="KE207" s="12">
        <f t="shared" si="243"/>
        <v>0</v>
      </c>
      <c r="KF207" s="12">
        <f t="shared" si="244"/>
        <v>0</v>
      </c>
      <c r="KG207" s="12">
        <f t="shared" si="245"/>
        <v>0</v>
      </c>
      <c r="KH207" s="12">
        <f t="shared" si="246"/>
        <v>0</v>
      </c>
      <c r="KI207" s="12">
        <f t="shared" si="247"/>
        <v>0</v>
      </c>
      <c r="KJ207" s="12">
        <f t="shared" si="248"/>
        <v>0</v>
      </c>
      <c r="KK207" s="12">
        <f t="shared" si="249"/>
        <v>0</v>
      </c>
      <c r="KL207" s="12">
        <f t="shared" si="250"/>
        <v>0</v>
      </c>
      <c r="KM207" s="12">
        <f t="shared" si="251"/>
        <v>0</v>
      </c>
      <c r="KN207" s="12">
        <f t="shared" si="252"/>
        <v>0</v>
      </c>
      <c r="KO207" s="12">
        <f t="shared" si="253"/>
        <v>0</v>
      </c>
      <c r="KP207" s="12">
        <f t="shared" si="254"/>
        <v>0</v>
      </c>
      <c r="KQ207" s="12">
        <f t="shared" si="255"/>
        <v>0</v>
      </c>
      <c r="KR207" s="12">
        <f t="shared" si="256"/>
        <v>0</v>
      </c>
      <c r="KS207" s="12">
        <f t="shared" si="257"/>
        <v>0</v>
      </c>
      <c r="KT207" s="12">
        <f t="shared" si="258"/>
        <v>0</v>
      </c>
      <c r="KU207" s="12">
        <f t="shared" si="259"/>
        <v>0</v>
      </c>
      <c r="KV207" s="12">
        <f t="shared" si="260"/>
        <v>0</v>
      </c>
      <c r="KW207" s="12">
        <f t="shared" si="261"/>
        <v>0</v>
      </c>
      <c r="KX207" s="12">
        <f t="shared" si="262"/>
        <v>0</v>
      </c>
      <c r="KY207" s="12">
        <f t="shared" si="263"/>
        <v>0</v>
      </c>
      <c r="KZ207" s="12">
        <f t="shared" si="264"/>
        <v>0</v>
      </c>
      <c r="LA207" s="12">
        <f t="shared" si="265"/>
        <v>0</v>
      </c>
      <c r="LB207" s="12">
        <f t="shared" si="266"/>
        <v>0</v>
      </c>
      <c r="LC207" s="12">
        <f t="shared" si="267"/>
        <v>0</v>
      </c>
      <c r="LD207" s="12">
        <f t="shared" si="268"/>
        <v>0</v>
      </c>
      <c r="LE207" s="12">
        <f t="shared" si="269"/>
        <v>0</v>
      </c>
      <c r="LF207" s="12">
        <f t="shared" si="270"/>
        <v>0</v>
      </c>
      <c r="LG207" s="12">
        <f t="shared" si="271"/>
        <v>0</v>
      </c>
      <c r="LH207" s="12">
        <f t="shared" si="272"/>
        <v>0</v>
      </c>
      <c r="LI207" s="12">
        <f t="shared" si="273"/>
        <v>0</v>
      </c>
      <c r="LJ207" s="12">
        <f t="shared" si="274"/>
        <v>0</v>
      </c>
      <c r="LK207" s="12">
        <f t="shared" si="275"/>
        <v>0</v>
      </c>
      <c r="LL207" s="12">
        <f t="shared" si="276"/>
        <v>0</v>
      </c>
      <c r="LM207" s="12">
        <f t="shared" si="277"/>
        <v>0</v>
      </c>
      <c r="LN207" s="12">
        <f t="shared" si="278"/>
        <v>0</v>
      </c>
      <c r="LO207" s="12">
        <f t="shared" si="279"/>
        <v>0</v>
      </c>
      <c r="LP207" s="12">
        <f t="shared" si="280"/>
        <v>0</v>
      </c>
      <c r="LQ207" s="12">
        <f t="shared" si="281"/>
        <v>0</v>
      </c>
      <c r="LR207" s="12">
        <f t="shared" si="282"/>
        <v>0</v>
      </c>
      <c r="LS207" s="12">
        <f t="shared" si="283"/>
        <v>0</v>
      </c>
      <c r="LT207" s="13">
        <f t="shared" si="284"/>
        <v>0</v>
      </c>
      <c r="LU207" s="13">
        <f t="shared" si="285"/>
        <v>0</v>
      </c>
      <c r="LV207" s="13">
        <f t="shared" si="286"/>
        <v>0</v>
      </c>
      <c r="LW207" s="13">
        <f t="shared" si="287"/>
        <v>0</v>
      </c>
      <c r="LX207" s="13">
        <f t="shared" si="288"/>
        <v>0</v>
      </c>
      <c r="LY207" s="13">
        <f t="shared" si="289"/>
        <v>0</v>
      </c>
      <c r="LZ207" s="13">
        <f t="shared" si="290"/>
        <v>0</v>
      </c>
      <c r="MA207" s="13">
        <f t="shared" si="291"/>
        <v>0</v>
      </c>
      <c r="MB207" s="13">
        <f t="shared" si="292"/>
        <v>0</v>
      </c>
      <c r="MC207" s="13">
        <f t="shared" si="293"/>
        <v>0</v>
      </c>
      <c r="MD207" s="13">
        <f t="shared" si="294"/>
        <v>0</v>
      </c>
      <c r="ME207" s="13">
        <f t="shared" si="295"/>
        <v>0</v>
      </c>
      <c r="MF207" s="13">
        <f t="shared" si="296"/>
        <v>0</v>
      </c>
      <c r="MG207" s="13">
        <f t="shared" si="297"/>
        <v>0</v>
      </c>
      <c r="MH207" s="13">
        <f t="shared" si="298"/>
        <v>0</v>
      </c>
      <c r="MI207" s="13">
        <f t="shared" si="299"/>
        <v>0</v>
      </c>
      <c r="MJ207" s="13">
        <f t="shared" si="300"/>
        <v>0</v>
      </c>
      <c r="MK207" s="13">
        <f t="shared" si="301"/>
        <v>0</v>
      </c>
      <c r="ML207" s="14">
        <f t="shared" si="302"/>
        <v>0</v>
      </c>
      <c r="MM207" s="14">
        <f t="shared" si="303"/>
        <v>0</v>
      </c>
      <c r="MN207" s="14">
        <f t="shared" si="304"/>
        <v>0</v>
      </c>
      <c r="MO207" s="14">
        <f t="shared" si="305"/>
        <v>0</v>
      </c>
      <c r="MP207" s="14">
        <f t="shared" si="306"/>
        <v>0</v>
      </c>
      <c r="MQ207" s="14">
        <f t="shared" si="307"/>
        <v>0</v>
      </c>
      <c r="MR207" s="14">
        <f t="shared" si="308"/>
        <v>0</v>
      </c>
      <c r="MS207" s="14">
        <f t="shared" si="309"/>
        <v>0</v>
      </c>
      <c r="MT207" s="14">
        <f t="shared" si="310"/>
        <v>0</v>
      </c>
      <c r="MU207" s="14">
        <f t="shared" si="311"/>
        <v>0</v>
      </c>
      <c r="MV207" s="14">
        <f t="shared" si="312"/>
        <v>0</v>
      </c>
      <c r="MW207" s="14">
        <f t="shared" si="313"/>
        <v>0</v>
      </c>
      <c r="MX207" s="14">
        <f t="shared" si="314"/>
        <v>0</v>
      </c>
      <c r="MY207" s="14">
        <f t="shared" si="315"/>
        <v>0</v>
      </c>
      <c r="MZ207" s="14">
        <f t="shared" si="316"/>
        <v>0</v>
      </c>
      <c r="NA207" s="14">
        <f t="shared" si="317"/>
        <v>0</v>
      </c>
      <c r="NB207" s="14">
        <f t="shared" si="318"/>
        <v>0</v>
      </c>
    </row>
    <row r="208" ht="15.75" customHeight="1">
      <c r="A208" s="2">
        <v>607.0</v>
      </c>
      <c r="B208" s="2" t="s">
        <v>3819</v>
      </c>
      <c r="C208" s="2" t="s">
        <v>3820</v>
      </c>
      <c r="D208" s="2" t="s">
        <v>3821</v>
      </c>
      <c r="E208" s="2">
        <v>2022.0</v>
      </c>
      <c r="F208" s="2" t="s">
        <v>3822</v>
      </c>
      <c r="G208" s="2">
        <v>4.0</v>
      </c>
      <c r="H208" s="2" t="s">
        <v>510</v>
      </c>
      <c r="I208" s="2" t="s">
        <v>3823</v>
      </c>
      <c r="M208" s="2">
        <v>1.0</v>
      </c>
      <c r="N208" s="2" t="s">
        <v>3824</v>
      </c>
      <c r="O208" s="2" t="s">
        <v>3825</v>
      </c>
      <c r="P208" s="2" t="s">
        <v>3826</v>
      </c>
      <c r="Q208" s="2" t="s">
        <v>3827</v>
      </c>
      <c r="R208" s="2" t="s">
        <v>3828</v>
      </c>
      <c r="S208" s="2" t="s">
        <v>3829</v>
      </c>
      <c r="T208" s="2" t="s">
        <v>3830</v>
      </c>
      <c r="Y208" s="2" t="s">
        <v>3831</v>
      </c>
      <c r="AB208" s="2" t="s">
        <v>3832</v>
      </c>
      <c r="AG208" s="2" t="s">
        <v>3833</v>
      </c>
      <c r="AK208" s="2" t="s">
        <v>3834</v>
      </c>
      <c r="AL208" s="2" t="s">
        <v>384</v>
      </c>
      <c r="AM208" s="2" t="s">
        <v>650</v>
      </c>
      <c r="AN208" s="2" t="s">
        <v>386</v>
      </c>
      <c r="AO208" s="2" t="s">
        <v>3835</v>
      </c>
      <c r="AP208" s="2" t="s">
        <v>386</v>
      </c>
      <c r="AQ208" s="2">
        <v>2366.0</v>
      </c>
      <c r="AR208" s="2" t="s">
        <v>3836</v>
      </c>
      <c r="AS208" s="2" t="b">
        <v>0</v>
      </c>
      <c r="AT208" s="3">
        <v>0.0</v>
      </c>
      <c r="AU208" s="4"/>
      <c r="AV208" s="4"/>
      <c r="AW208" s="5">
        <f t="shared" si="432"/>
        <v>0</v>
      </c>
      <c r="AX208" s="5">
        <f t="shared" si="4"/>
        <v>0</v>
      </c>
      <c r="AY208" s="5">
        <f t="shared" si="5"/>
        <v>0</v>
      </c>
      <c r="AZ208" s="5">
        <f t="shared" si="6"/>
        <v>0</v>
      </c>
      <c r="BA208" s="5">
        <f t="shared" si="7"/>
        <v>0</v>
      </c>
      <c r="BB208" s="5">
        <f t="shared" si="8"/>
        <v>0</v>
      </c>
      <c r="BC208" s="5">
        <f t="shared" si="9"/>
        <v>0</v>
      </c>
      <c r="BD208" s="5">
        <f t="shared" si="10"/>
        <v>0</v>
      </c>
      <c r="BE208" s="5">
        <f t="shared" si="11"/>
        <v>0</v>
      </c>
      <c r="BF208" s="5">
        <f t="shared" si="12"/>
        <v>0</v>
      </c>
      <c r="BG208" s="5">
        <f t="shared" si="13"/>
        <v>0</v>
      </c>
      <c r="BH208" s="5">
        <f t="shared" si="14"/>
        <v>0</v>
      </c>
      <c r="BI208" s="5">
        <f t="shared" si="15"/>
        <v>0</v>
      </c>
      <c r="BJ208" s="5">
        <f t="shared" si="16"/>
        <v>0</v>
      </c>
      <c r="BK208" s="5">
        <f t="shared" si="17"/>
        <v>0</v>
      </c>
      <c r="BL208" s="5">
        <f t="shared" si="18"/>
        <v>0</v>
      </c>
      <c r="BM208" s="5">
        <f t="shared" si="19"/>
        <v>0</v>
      </c>
      <c r="BN208" s="5">
        <f t="shared" si="20"/>
        <v>0</v>
      </c>
      <c r="BO208" s="5">
        <f t="shared" si="21"/>
        <v>0</v>
      </c>
      <c r="BP208" s="5">
        <f t="shared" si="22"/>
        <v>0</v>
      </c>
      <c r="BQ208" s="5">
        <f t="shared" si="23"/>
        <v>0</v>
      </c>
      <c r="BR208" s="5">
        <f t="shared" si="24"/>
        <v>0</v>
      </c>
      <c r="BS208" s="5">
        <f t="shared" si="25"/>
        <v>1</v>
      </c>
      <c r="BT208" s="5">
        <f t="shared" si="26"/>
        <v>0</v>
      </c>
      <c r="BU208" s="5">
        <f t="shared" si="27"/>
        <v>0</v>
      </c>
      <c r="BV208" s="5">
        <f t="shared" ref="BV208:BW208" si="774">IF(OR(ISNUMBER(SEARCH("grit",$D208)),ISNUMBER(SEARCH("grit",$T208)),ISNUMBER(SEARCH("grit",$R208)),ISNUMBER(SEARCH("grit",$S208)),
ISNUMBER(SEARCH("determination",$D208)),ISNUMBER(SEARCH("determination",$T208)),ISNUMBER(SEARCH("determination",$R208)),ISNUMBER(SEARCH("determination",$S208)),
ISNUMBER(SEARCH("tenacity",$D208)),ISNUMBER(SEARCH("tenacity",$T208)),ISNUMBER(SEARCH("tenacity",$R208)),ISNUMBER(SEARCH("tenacity",$S208)),
ISNUMBER(SEARCH("endurance",$D208)),ISNUMBER(SEARCH("endurance",$T208)),ISNUMBER(SEARCH("endurance",$R208)),ISNUMBER(SEARCH("endurance",$S208)),
ISNUMBER(SEARCH("fortitude",$D208)),ISNUMBER(SEARCH("fortitude",$T208)),ISNUMBER(SEARCH("fortitude",$R208)),ISNUMBER(SEARCH("fortitude",$S208)),
ISNUMBER(SEARCH("resolve",$D208)),ISNUMBER(SEARCH("resolve",$T208)),ISNUMBER(SEARCH("resolve",$R208)),ISNUMBER(SEARCH("resolve",$S208)),
ISNUMBER(SEARCH("stamina",$D208)),ISNUMBER(SEARCH("stamina",$T208)),ISNUMBER(SEARCH("stamina",$R208)),ISNUMBER(SEARCH("stamina",$S208)),
ISNUMBER(SEARCH("guts",$D208)),ISNUMBER(SEARCH("guts",$T208)),ISNUMBER(SEARCH("guts",$R208)),ISNUMBER(SEARCH("guts",$S208)),
ISNUMBER(SEARCH("spunk",$D208)),ISNUMBER(SEARCH("spunk",$T208)),ISNUMBER(SEARCH("spunk",$R208)),ISNUMBER(SEARCH("spunk",$S208))), 1, 0)</f>
        <v>0</v>
      </c>
      <c r="BW208" s="5">
        <f t="shared" si="774"/>
        <v>0</v>
      </c>
      <c r="BX208" s="5">
        <f t="shared" si="29"/>
        <v>0</v>
      </c>
      <c r="BY208" s="5">
        <f t="shared" si="30"/>
        <v>0</v>
      </c>
      <c r="BZ208" s="5">
        <f t="shared" si="31"/>
        <v>0</v>
      </c>
      <c r="CA208" s="5">
        <f t="shared" si="32"/>
        <v>0</v>
      </c>
      <c r="CB208" s="5">
        <f t="shared" si="33"/>
        <v>0</v>
      </c>
      <c r="CC208" s="5">
        <f t="shared" si="34"/>
        <v>0</v>
      </c>
      <c r="CD208" s="5">
        <f t="shared" si="35"/>
        <v>0</v>
      </c>
      <c r="CE208" s="5">
        <f t="shared" si="36"/>
        <v>0</v>
      </c>
      <c r="CF208" s="5">
        <f t="shared" si="37"/>
        <v>0</v>
      </c>
      <c r="CG208" s="5">
        <f t="shared" si="38"/>
        <v>0</v>
      </c>
      <c r="CH208" s="5">
        <f t="shared" si="39"/>
        <v>0</v>
      </c>
      <c r="CI208" s="5">
        <f t="shared" si="40"/>
        <v>0</v>
      </c>
      <c r="CJ208" s="5">
        <f t="shared" si="41"/>
        <v>0</v>
      </c>
      <c r="CK208" s="5">
        <f t="shared" si="42"/>
        <v>0</v>
      </c>
      <c r="CL208" s="5">
        <f t="shared" si="43"/>
        <v>0</v>
      </c>
      <c r="CM208" s="5">
        <f t="shared" si="44"/>
        <v>0</v>
      </c>
      <c r="CN208" s="5">
        <f t="shared" si="45"/>
        <v>0</v>
      </c>
      <c r="CO208" s="5">
        <f t="shared" si="46"/>
        <v>0</v>
      </c>
      <c r="CP208" s="6">
        <f t="shared" si="47"/>
        <v>0</v>
      </c>
      <c r="CQ208" s="6">
        <f t="shared" si="48"/>
        <v>0</v>
      </c>
      <c r="CR208" s="6">
        <f t="shared" si="49"/>
        <v>0</v>
      </c>
      <c r="CS208" s="6">
        <f t="shared" si="50"/>
        <v>0</v>
      </c>
      <c r="CT208" s="6">
        <f t="shared" si="584"/>
        <v>0</v>
      </c>
      <c r="CU208" s="6">
        <f t="shared" si="52"/>
        <v>0</v>
      </c>
      <c r="CV208" s="6">
        <f t="shared" si="53"/>
        <v>0</v>
      </c>
      <c r="CW208" s="6">
        <f t="shared" si="54"/>
        <v>0</v>
      </c>
      <c r="CX208" s="6">
        <f t="shared" si="55"/>
        <v>0</v>
      </c>
      <c r="CY208" s="6">
        <f t="shared" si="56"/>
        <v>0</v>
      </c>
      <c r="CZ208" s="6">
        <f t="shared" si="57"/>
        <v>0</v>
      </c>
      <c r="DA208" s="6">
        <f t="shared" si="58"/>
        <v>0</v>
      </c>
      <c r="DB208" s="6">
        <f t="shared" si="59"/>
        <v>0</v>
      </c>
      <c r="DC208" s="6">
        <f t="shared" si="60"/>
        <v>0</v>
      </c>
      <c r="DD208" s="6">
        <f t="shared" si="61"/>
        <v>0</v>
      </c>
      <c r="DE208" s="6">
        <f t="shared" si="62"/>
        <v>0</v>
      </c>
      <c r="DF208" s="6">
        <f t="shared" si="63"/>
        <v>0</v>
      </c>
      <c r="DG208" s="6">
        <f t="shared" si="64"/>
        <v>0</v>
      </c>
      <c r="DH208" s="6">
        <f t="shared" si="697"/>
        <v>0</v>
      </c>
      <c r="DI208" s="6">
        <f t="shared" si="66"/>
        <v>0</v>
      </c>
      <c r="DJ208" s="6">
        <f t="shared" si="653"/>
        <v>0</v>
      </c>
      <c r="DK208" s="7">
        <f t="shared" si="68"/>
        <v>0</v>
      </c>
      <c r="DL208" s="7">
        <f t="shared" si="498"/>
        <v>0</v>
      </c>
      <c r="DM208" s="7">
        <f t="shared" si="70"/>
        <v>0</v>
      </c>
      <c r="DN208" s="7">
        <f t="shared" si="71"/>
        <v>0</v>
      </c>
      <c r="DO208" s="7">
        <f t="shared" si="72"/>
        <v>0</v>
      </c>
      <c r="DP208" s="8">
        <f t="shared" si="73"/>
        <v>0</v>
      </c>
      <c r="DQ208" s="8">
        <f t="shared" si="74"/>
        <v>0</v>
      </c>
      <c r="DR208" s="7">
        <f t="shared" si="75"/>
        <v>0</v>
      </c>
      <c r="DS208" s="7">
        <f t="shared" si="76"/>
        <v>0</v>
      </c>
      <c r="DT208" s="7">
        <f t="shared" si="77"/>
        <v>0</v>
      </c>
      <c r="DU208" s="9">
        <f t="shared" si="78"/>
        <v>0</v>
      </c>
      <c r="DV208" s="9">
        <f t="shared" si="79"/>
        <v>0</v>
      </c>
      <c r="DW208" s="9">
        <f t="shared" si="80"/>
        <v>0</v>
      </c>
      <c r="DX208" s="9">
        <f t="shared" si="81"/>
        <v>0</v>
      </c>
      <c r="DY208" s="9">
        <f t="shared" si="82"/>
        <v>0</v>
      </c>
      <c r="DZ208" s="9">
        <f t="shared" si="83"/>
        <v>0</v>
      </c>
      <c r="EA208" s="9">
        <f t="shared" si="84"/>
        <v>0</v>
      </c>
      <c r="EB208" s="9">
        <f t="shared" si="85"/>
        <v>0</v>
      </c>
      <c r="EC208" s="9">
        <f t="shared" si="86"/>
        <v>0</v>
      </c>
      <c r="ED208" s="9">
        <f t="shared" si="87"/>
        <v>0</v>
      </c>
      <c r="EE208" s="9">
        <f t="shared" si="88"/>
        <v>1</v>
      </c>
      <c r="EF208" s="9">
        <f t="shared" si="89"/>
        <v>0</v>
      </c>
      <c r="EG208" s="9">
        <f t="shared" si="90"/>
        <v>0</v>
      </c>
      <c r="EH208" s="9">
        <f t="shared" si="91"/>
        <v>0</v>
      </c>
      <c r="EI208" s="9">
        <f t="shared" si="92"/>
        <v>0</v>
      </c>
      <c r="EJ208" s="10">
        <f t="shared" si="93"/>
        <v>0</v>
      </c>
      <c r="EK208" s="10">
        <f t="shared" si="94"/>
        <v>0</v>
      </c>
      <c r="EL208" s="10">
        <f t="shared" ref="EL208:EM208" si="775">IF(OR(ISNUMBER(SEARCH("ai software toolkit", $D208)), ISNUMBER(SEARCH("ai software toolkit", $T208)), ISNUMBER(SEARCH("ai software toolkit", $R208)), ISNUMBER(SEARCH("ai software toolkit", $S208))), 1, 0)</f>
        <v>0</v>
      </c>
      <c r="EM208" s="10">
        <f t="shared" si="775"/>
        <v>0</v>
      </c>
      <c r="EN208" s="10">
        <f t="shared" si="96"/>
        <v>0</v>
      </c>
      <c r="EO208" s="10">
        <f t="shared" si="97"/>
        <v>0</v>
      </c>
      <c r="EP208" s="10">
        <f t="shared" si="98"/>
        <v>0</v>
      </c>
      <c r="EQ208" s="10">
        <f t="shared" si="99"/>
        <v>0</v>
      </c>
      <c r="ER208" s="10">
        <f t="shared" si="100"/>
        <v>0</v>
      </c>
      <c r="ES208" s="10">
        <f t="shared" si="101"/>
        <v>0</v>
      </c>
      <c r="ET208" s="10">
        <f t="shared" si="102"/>
        <v>0</v>
      </c>
      <c r="EU208" s="10">
        <f t="shared" si="103"/>
        <v>0</v>
      </c>
      <c r="EV208" s="10">
        <f t="shared" si="104"/>
        <v>0</v>
      </c>
      <c r="EW208" s="10">
        <f t="shared" si="105"/>
        <v>0</v>
      </c>
      <c r="EX208" s="10">
        <f t="shared" si="106"/>
        <v>0</v>
      </c>
      <c r="EY208" s="10">
        <f t="shared" si="107"/>
        <v>0</v>
      </c>
      <c r="EZ208" s="10">
        <f t="shared" si="108"/>
        <v>0</v>
      </c>
      <c r="FA208" s="10">
        <f t="shared" si="109"/>
        <v>0</v>
      </c>
      <c r="FB208" s="10">
        <f t="shared" si="110"/>
        <v>0</v>
      </c>
      <c r="FC208" s="10">
        <f t="shared" si="111"/>
        <v>0</v>
      </c>
      <c r="FD208" s="10">
        <f t="shared" si="112"/>
        <v>0</v>
      </c>
      <c r="FE208" s="10">
        <f t="shared" si="113"/>
        <v>0</v>
      </c>
      <c r="FF208" s="10">
        <f t="shared" si="114"/>
        <v>0</v>
      </c>
      <c r="FG208" s="10">
        <f t="shared" si="115"/>
        <v>0</v>
      </c>
      <c r="FH208" s="10">
        <f t="shared" si="116"/>
        <v>0</v>
      </c>
      <c r="FI208" s="10">
        <f t="shared" si="117"/>
        <v>0</v>
      </c>
      <c r="FJ208" s="10">
        <f t="shared" si="118"/>
        <v>0</v>
      </c>
      <c r="FK208" s="10">
        <f t="shared" si="119"/>
        <v>0</v>
      </c>
      <c r="FL208" s="10">
        <f t="shared" si="120"/>
        <v>0</v>
      </c>
      <c r="FM208" s="10">
        <f t="shared" si="121"/>
        <v>0</v>
      </c>
      <c r="FN208" s="10">
        <f t="shared" si="122"/>
        <v>0</v>
      </c>
      <c r="FO208" s="10">
        <f t="shared" si="123"/>
        <v>0</v>
      </c>
      <c r="FP208" s="10">
        <f t="shared" si="124"/>
        <v>0</v>
      </c>
      <c r="FQ208" s="10">
        <f t="shared" si="125"/>
        <v>0</v>
      </c>
      <c r="FR208" s="11">
        <f t="shared" si="767"/>
        <v>0</v>
      </c>
      <c r="FS208" s="11">
        <f t="shared" si="127"/>
        <v>0</v>
      </c>
      <c r="FT208" s="11">
        <f t="shared" si="128"/>
        <v>0</v>
      </c>
      <c r="FU208" s="11">
        <f t="shared" si="129"/>
        <v>0</v>
      </c>
      <c r="FV208" s="11">
        <f t="shared" si="130"/>
        <v>0</v>
      </c>
      <c r="FW208" s="11">
        <f t="shared" si="131"/>
        <v>0</v>
      </c>
      <c r="FX208" s="11">
        <f t="shared" si="132"/>
        <v>0</v>
      </c>
      <c r="FY208" s="11">
        <f t="shared" si="133"/>
        <v>0</v>
      </c>
      <c r="FZ208" s="11">
        <f t="shared" si="134"/>
        <v>0</v>
      </c>
      <c r="GA208" s="11">
        <f t="shared" si="135"/>
        <v>0</v>
      </c>
      <c r="GB208" s="11">
        <f t="shared" si="136"/>
        <v>0</v>
      </c>
      <c r="GC208" s="11">
        <f t="shared" si="137"/>
        <v>0</v>
      </c>
      <c r="GD208" s="11">
        <f t="shared" si="138"/>
        <v>0</v>
      </c>
      <c r="GE208" s="11">
        <f t="shared" si="139"/>
        <v>0</v>
      </c>
      <c r="GF208" s="11">
        <f t="shared" si="140"/>
        <v>0</v>
      </c>
      <c r="GG208" s="11">
        <f t="shared" si="141"/>
        <v>0</v>
      </c>
      <c r="GH208" s="11">
        <f t="shared" si="142"/>
        <v>0</v>
      </c>
      <c r="GI208" s="11">
        <f t="shared" si="143"/>
        <v>0</v>
      </c>
      <c r="GJ208" s="11">
        <f t="shared" si="144"/>
        <v>0</v>
      </c>
      <c r="GK208" s="11">
        <f t="shared" si="145"/>
        <v>0</v>
      </c>
      <c r="GL208" s="11">
        <f t="shared" si="146"/>
        <v>0</v>
      </c>
      <c r="GM208" s="11">
        <f t="shared" si="147"/>
        <v>0</v>
      </c>
      <c r="GN208" s="11">
        <f t="shared" si="148"/>
        <v>0</v>
      </c>
      <c r="GO208" s="11">
        <f t="shared" si="149"/>
        <v>0</v>
      </c>
      <c r="GP208" s="11">
        <f t="shared" si="150"/>
        <v>0</v>
      </c>
      <c r="GQ208" s="11">
        <f t="shared" si="151"/>
        <v>0</v>
      </c>
      <c r="GR208" s="11">
        <f t="shared" si="152"/>
        <v>0</v>
      </c>
      <c r="GS208" s="11">
        <f t="shared" si="153"/>
        <v>0</v>
      </c>
      <c r="GT208" s="11">
        <f t="shared" si="154"/>
        <v>1</v>
      </c>
      <c r="GU208" s="12">
        <f t="shared" si="155"/>
        <v>0</v>
      </c>
      <c r="GV208" s="12">
        <f t="shared" si="156"/>
        <v>0</v>
      </c>
      <c r="GW208" s="12">
        <f t="shared" si="157"/>
        <v>0</v>
      </c>
      <c r="GX208" s="12">
        <f t="shared" si="158"/>
        <v>0</v>
      </c>
      <c r="GY208" s="12">
        <f t="shared" si="159"/>
        <v>0</v>
      </c>
      <c r="GZ208" s="12">
        <f t="shared" si="160"/>
        <v>0</v>
      </c>
      <c r="HA208" s="12">
        <f t="shared" si="161"/>
        <v>0</v>
      </c>
      <c r="HB208" s="12">
        <f t="shared" si="162"/>
        <v>0</v>
      </c>
      <c r="HC208" s="12">
        <f t="shared" si="163"/>
        <v>0</v>
      </c>
      <c r="HD208" s="12">
        <f t="shared" si="164"/>
        <v>0</v>
      </c>
      <c r="HE208" s="12">
        <f t="shared" si="165"/>
        <v>0</v>
      </c>
      <c r="HF208" s="12">
        <f t="shared" si="166"/>
        <v>0</v>
      </c>
      <c r="HG208" s="12">
        <f t="shared" si="167"/>
        <v>0</v>
      </c>
      <c r="HH208" s="12">
        <f t="shared" si="168"/>
        <v>0</v>
      </c>
      <c r="HI208" s="12">
        <f t="shared" si="169"/>
        <v>0</v>
      </c>
      <c r="HJ208" s="12">
        <f t="shared" si="170"/>
        <v>0</v>
      </c>
      <c r="HK208" s="12">
        <f t="shared" si="171"/>
        <v>0</v>
      </c>
      <c r="HL208" s="12">
        <f t="shared" si="172"/>
        <v>0</v>
      </c>
      <c r="HM208" s="12">
        <f t="shared" si="173"/>
        <v>0</v>
      </c>
      <c r="HN208" s="12">
        <f t="shared" si="174"/>
        <v>0</v>
      </c>
      <c r="HO208" s="12">
        <f t="shared" si="175"/>
        <v>0</v>
      </c>
      <c r="HP208" s="12">
        <f t="shared" si="176"/>
        <v>0</v>
      </c>
      <c r="HQ208" s="12">
        <f t="shared" si="177"/>
        <v>0</v>
      </c>
      <c r="HR208" s="12">
        <f t="shared" si="178"/>
        <v>0</v>
      </c>
      <c r="HS208" s="12">
        <f t="shared" si="179"/>
        <v>0</v>
      </c>
      <c r="HT208" s="12">
        <f t="shared" si="180"/>
        <v>0</v>
      </c>
      <c r="HU208" s="12">
        <f t="shared" si="181"/>
        <v>0</v>
      </c>
      <c r="HV208" s="12">
        <f t="shared" si="182"/>
        <v>1</v>
      </c>
      <c r="HW208" s="12">
        <f t="shared" si="183"/>
        <v>0</v>
      </c>
      <c r="HX208" s="12">
        <f t="shared" si="184"/>
        <v>0</v>
      </c>
      <c r="HY208" s="12">
        <f t="shared" si="185"/>
        <v>0</v>
      </c>
      <c r="HZ208" s="12">
        <f t="shared" si="186"/>
        <v>0</v>
      </c>
      <c r="IA208" s="12">
        <f t="shared" si="187"/>
        <v>0</v>
      </c>
      <c r="IB208" s="12">
        <f t="shared" si="188"/>
        <v>0</v>
      </c>
      <c r="IC208" s="12">
        <f t="shared" si="189"/>
        <v>0</v>
      </c>
      <c r="ID208" s="12">
        <f t="shared" si="190"/>
        <v>0</v>
      </c>
      <c r="IE208" s="12">
        <f t="shared" si="191"/>
        <v>0</v>
      </c>
      <c r="IF208" s="12">
        <f t="shared" si="192"/>
        <v>0</v>
      </c>
      <c r="IG208" s="12">
        <f t="shared" si="193"/>
        <v>0</v>
      </c>
      <c r="IH208" s="12">
        <f t="shared" si="194"/>
        <v>0</v>
      </c>
      <c r="II208" s="12">
        <f t="shared" si="195"/>
        <v>0</v>
      </c>
      <c r="IJ208" s="12">
        <f t="shared" si="196"/>
        <v>0</v>
      </c>
      <c r="IK208" s="12">
        <f t="shared" si="197"/>
        <v>0</v>
      </c>
      <c r="IL208" s="12">
        <f t="shared" si="198"/>
        <v>0</v>
      </c>
      <c r="IM208" s="12">
        <f t="shared" si="199"/>
        <v>0</v>
      </c>
      <c r="IN208" s="12">
        <f t="shared" si="200"/>
        <v>0</v>
      </c>
      <c r="IO208" s="12">
        <f t="shared" si="201"/>
        <v>0</v>
      </c>
      <c r="IP208" s="12">
        <f t="shared" si="202"/>
        <v>0</v>
      </c>
      <c r="IQ208" s="12">
        <f t="shared" si="203"/>
        <v>0</v>
      </c>
      <c r="IR208" s="12">
        <f t="shared" si="204"/>
        <v>0</v>
      </c>
      <c r="IS208" s="12">
        <f t="shared" si="205"/>
        <v>0</v>
      </c>
      <c r="IT208" s="12">
        <f t="shared" si="206"/>
        <v>0</v>
      </c>
      <c r="IU208" s="12">
        <f t="shared" si="207"/>
        <v>0</v>
      </c>
      <c r="IV208" s="12">
        <f t="shared" si="208"/>
        <v>0</v>
      </c>
      <c r="IW208" s="12">
        <f t="shared" si="209"/>
        <v>0</v>
      </c>
      <c r="IX208" s="12">
        <f t="shared" si="210"/>
        <v>0</v>
      </c>
      <c r="IY208" s="12">
        <f t="shared" si="211"/>
        <v>0</v>
      </c>
      <c r="IZ208" s="12">
        <f t="shared" si="212"/>
        <v>0</v>
      </c>
      <c r="JA208" s="13">
        <f t="shared" si="213"/>
        <v>0</v>
      </c>
      <c r="JB208" s="13">
        <f t="shared" si="214"/>
        <v>0</v>
      </c>
      <c r="JC208" s="13">
        <f t="shared" si="215"/>
        <v>0</v>
      </c>
      <c r="JD208" s="13">
        <f t="shared" si="216"/>
        <v>0</v>
      </c>
      <c r="JE208" s="13">
        <f t="shared" si="217"/>
        <v>0</v>
      </c>
      <c r="JF208" s="13">
        <f t="shared" si="218"/>
        <v>0</v>
      </c>
      <c r="JG208" s="13">
        <f t="shared" si="219"/>
        <v>0</v>
      </c>
      <c r="JH208" s="13">
        <f t="shared" si="220"/>
        <v>0</v>
      </c>
      <c r="JI208" s="13">
        <f t="shared" si="221"/>
        <v>0</v>
      </c>
      <c r="JJ208" s="13">
        <f t="shared" si="222"/>
        <v>0</v>
      </c>
      <c r="JK208" s="13">
        <f t="shared" si="223"/>
        <v>0</v>
      </c>
      <c r="JL208" s="13">
        <f t="shared" si="224"/>
        <v>0</v>
      </c>
      <c r="JM208" s="13">
        <f t="shared" si="225"/>
        <v>0</v>
      </c>
      <c r="JN208" s="13">
        <f t="shared" si="226"/>
        <v>0</v>
      </c>
      <c r="JO208" s="13">
        <f t="shared" si="227"/>
        <v>1</v>
      </c>
      <c r="JP208" s="13">
        <f t="shared" si="228"/>
        <v>0</v>
      </c>
      <c r="JQ208" s="13">
        <f t="shared" si="229"/>
        <v>0</v>
      </c>
      <c r="JR208" s="13">
        <f t="shared" si="230"/>
        <v>0</v>
      </c>
      <c r="JS208" s="13">
        <f t="shared" si="231"/>
        <v>0</v>
      </c>
      <c r="JT208" s="13">
        <f t="shared" si="232"/>
        <v>0</v>
      </c>
      <c r="JU208" s="13">
        <f t="shared" si="233"/>
        <v>0</v>
      </c>
      <c r="JV208" s="12">
        <f t="shared" si="234"/>
        <v>0</v>
      </c>
      <c r="JW208" s="12">
        <f t="shared" si="235"/>
        <v>0</v>
      </c>
      <c r="JX208" s="12">
        <f t="shared" si="236"/>
        <v>0</v>
      </c>
      <c r="JY208" s="12">
        <f t="shared" si="237"/>
        <v>0</v>
      </c>
      <c r="JZ208" s="12">
        <f t="shared" si="238"/>
        <v>0</v>
      </c>
      <c r="KA208" s="12">
        <f t="shared" si="239"/>
        <v>0</v>
      </c>
      <c r="KB208" s="12">
        <f t="shared" si="240"/>
        <v>0</v>
      </c>
      <c r="KC208" s="12">
        <f t="shared" si="241"/>
        <v>0</v>
      </c>
      <c r="KD208" s="12">
        <f t="shared" si="242"/>
        <v>0</v>
      </c>
      <c r="KE208" s="12">
        <f t="shared" si="243"/>
        <v>0</v>
      </c>
      <c r="KF208" s="12">
        <f t="shared" si="244"/>
        <v>0</v>
      </c>
      <c r="KG208" s="12">
        <f t="shared" si="245"/>
        <v>0</v>
      </c>
      <c r="KH208" s="12">
        <f t="shared" si="246"/>
        <v>0</v>
      </c>
      <c r="KI208" s="12">
        <f t="shared" si="247"/>
        <v>0</v>
      </c>
      <c r="KJ208" s="12">
        <f t="shared" si="248"/>
        <v>0</v>
      </c>
      <c r="KK208" s="12">
        <f t="shared" si="249"/>
        <v>0</v>
      </c>
      <c r="KL208" s="12">
        <f t="shared" si="250"/>
        <v>0</v>
      </c>
      <c r="KM208" s="12">
        <f t="shared" si="251"/>
        <v>0</v>
      </c>
      <c r="KN208" s="12">
        <f t="shared" si="252"/>
        <v>0</v>
      </c>
      <c r="KO208" s="12">
        <f t="shared" si="253"/>
        <v>0</v>
      </c>
      <c r="KP208" s="12">
        <f t="shared" si="254"/>
        <v>0</v>
      </c>
      <c r="KQ208" s="12">
        <f t="shared" si="255"/>
        <v>0</v>
      </c>
      <c r="KR208" s="12">
        <f t="shared" si="256"/>
        <v>0</v>
      </c>
      <c r="KS208" s="12">
        <f t="shared" si="257"/>
        <v>0</v>
      </c>
      <c r="KT208" s="12">
        <f t="shared" si="258"/>
        <v>0</v>
      </c>
      <c r="KU208" s="12">
        <f t="shared" si="259"/>
        <v>0</v>
      </c>
      <c r="KV208" s="12">
        <f t="shared" si="260"/>
        <v>0</v>
      </c>
      <c r="KW208" s="12">
        <f t="shared" si="261"/>
        <v>0</v>
      </c>
      <c r="KX208" s="12">
        <f t="shared" si="262"/>
        <v>0</v>
      </c>
      <c r="KY208" s="12">
        <f t="shared" si="263"/>
        <v>0</v>
      </c>
      <c r="KZ208" s="12">
        <f t="shared" si="264"/>
        <v>0</v>
      </c>
      <c r="LA208" s="12">
        <f t="shared" si="265"/>
        <v>0</v>
      </c>
      <c r="LB208" s="12">
        <f t="shared" si="266"/>
        <v>0</v>
      </c>
      <c r="LC208" s="12">
        <f t="shared" si="267"/>
        <v>0</v>
      </c>
      <c r="LD208" s="12">
        <f t="shared" si="268"/>
        <v>0</v>
      </c>
      <c r="LE208" s="12">
        <f t="shared" si="269"/>
        <v>0</v>
      </c>
      <c r="LF208" s="12">
        <f t="shared" si="270"/>
        <v>0</v>
      </c>
      <c r="LG208" s="12">
        <f t="shared" si="271"/>
        <v>0</v>
      </c>
      <c r="LH208" s="12">
        <f t="shared" si="272"/>
        <v>0</v>
      </c>
      <c r="LI208" s="12">
        <f t="shared" si="273"/>
        <v>0</v>
      </c>
      <c r="LJ208" s="12">
        <f t="shared" si="274"/>
        <v>0</v>
      </c>
      <c r="LK208" s="12">
        <f t="shared" si="275"/>
        <v>0</v>
      </c>
      <c r="LL208" s="12">
        <f t="shared" si="276"/>
        <v>0</v>
      </c>
      <c r="LM208" s="12">
        <f t="shared" si="277"/>
        <v>0</v>
      </c>
      <c r="LN208" s="12">
        <f t="shared" si="278"/>
        <v>0</v>
      </c>
      <c r="LO208" s="12">
        <f t="shared" si="279"/>
        <v>0</v>
      </c>
      <c r="LP208" s="12">
        <f t="shared" si="280"/>
        <v>0</v>
      </c>
      <c r="LQ208" s="12">
        <f t="shared" si="281"/>
        <v>0</v>
      </c>
      <c r="LR208" s="12">
        <f t="shared" si="282"/>
        <v>0</v>
      </c>
      <c r="LS208" s="12">
        <f t="shared" si="283"/>
        <v>0</v>
      </c>
      <c r="LT208" s="13">
        <f t="shared" si="284"/>
        <v>0</v>
      </c>
      <c r="LU208" s="13">
        <f t="shared" si="285"/>
        <v>0</v>
      </c>
      <c r="LV208" s="13">
        <f t="shared" si="286"/>
        <v>0</v>
      </c>
      <c r="LW208" s="13">
        <f t="shared" si="287"/>
        <v>0</v>
      </c>
      <c r="LX208" s="13">
        <f t="shared" si="288"/>
        <v>0</v>
      </c>
      <c r="LY208" s="13">
        <f t="shared" si="289"/>
        <v>0</v>
      </c>
      <c r="LZ208" s="13">
        <f t="shared" si="290"/>
        <v>0</v>
      </c>
      <c r="MA208" s="13">
        <f t="shared" si="291"/>
        <v>0</v>
      </c>
      <c r="MB208" s="13">
        <f t="shared" si="292"/>
        <v>0</v>
      </c>
      <c r="MC208" s="13">
        <f t="shared" si="293"/>
        <v>0</v>
      </c>
      <c r="MD208" s="13">
        <f t="shared" si="294"/>
        <v>0</v>
      </c>
      <c r="ME208" s="13">
        <f t="shared" si="295"/>
        <v>0</v>
      </c>
      <c r="MF208" s="13">
        <f t="shared" si="296"/>
        <v>0</v>
      </c>
      <c r="MG208" s="13">
        <f t="shared" si="297"/>
        <v>0</v>
      </c>
      <c r="MH208" s="13">
        <f t="shared" si="298"/>
        <v>0</v>
      </c>
      <c r="MI208" s="13">
        <f t="shared" si="299"/>
        <v>0</v>
      </c>
      <c r="MJ208" s="13">
        <f t="shared" si="300"/>
        <v>0</v>
      </c>
      <c r="MK208" s="13">
        <f t="shared" si="301"/>
        <v>0</v>
      </c>
      <c r="ML208" s="14">
        <f t="shared" si="302"/>
        <v>0</v>
      </c>
      <c r="MM208" s="14">
        <f t="shared" si="303"/>
        <v>0</v>
      </c>
      <c r="MN208" s="14">
        <f t="shared" si="304"/>
        <v>0</v>
      </c>
      <c r="MO208" s="14">
        <f t="shared" si="305"/>
        <v>0</v>
      </c>
      <c r="MP208" s="14">
        <f t="shared" si="306"/>
        <v>0</v>
      </c>
      <c r="MQ208" s="14">
        <f t="shared" si="307"/>
        <v>0</v>
      </c>
      <c r="MR208" s="14">
        <f t="shared" si="308"/>
        <v>0</v>
      </c>
      <c r="MS208" s="14">
        <f t="shared" si="309"/>
        <v>0</v>
      </c>
      <c r="MT208" s="14">
        <f t="shared" si="310"/>
        <v>0</v>
      </c>
      <c r="MU208" s="14">
        <f t="shared" si="311"/>
        <v>0</v>
      </c>
      <c r="MV208" s="14">
        <f t="shared" si="312"/>
        <v>0</v>
      </c>
      <c r="MW208" s="14">
        <f t="shared" si="313"/>
        <v>0</v>
      </c>
      <c r="MX208" s="14">
        <f t="shared" si="314"/>
        <v>0</v>
      </c>
      <c r="MY208" s="14">
        <f t="shared" si="315"/>
        <v>0</v>
      </c>
      <c r="MZ208" s="14">
        <f t="shared" si="316"/>
        <v>0</v>
      </c>
      <c r="NA208" s="14">
        <f t="shared" si="317"/>
        <v>0</v>
      </c>
      <c r="NB208" s="14">
        <f t="shared" si="318"/>
        <v>0</v>
      </c>
    </row>
    <row r="209" ht="15.75" customHeight="1">
      <c r="A209" s="2">
        <v>516.0</v>
      </c>
      <c r="B209" s="2" t="s">
        <v>3837</v>
      </c>
      <c r="C209" s="2" t="s">
        <v>3838</v>
      </c>
      <c r="D209" s="2" t="s">
        <v>3839</v>
      </c>
      <c r="E209" s="2">
        <v>2022.0</v>
      </c>
      <c r="F209" s="2" t="s">
        <v>3840</v>
      </c>
      <c r="G209" s="2">
        <v>2022.0</v>
      </c>
      <c r="I209" s="2" t="s">
        <v>3841</v>
      </c>
      <c r="M209" s="2">
        <v>1.0</v>
      </c>
      <c r="N209" s="2" t="s">
        <v>3842</v>
      </c>
      <c r="O209" s="2" t="s">
        <v>3843</v>
      </c>
      <c r="P209" s="2" t="s">
        <v>3844</v>
      </c>
      <c r="Q209" s="2" t="s">
        <v>3845</v>
      </c>
      <c r="R209" s="2" t="s">
        <v>3846</v>
      </c>
      <c r="T209" s="2" t="s">
        <v>3847</v>
      </c>
      <c r="Y209" s="2" t="s">
        <v>3848</v>
      </c>
      <c r="AB209" s="2" t="s">
        <v>1237</v>
      </c>
      <c r="AG209" s="2" t="s">
        <v>3849</v>
      </c>
      <c r="AK209" s="2" t="s">
        <v>3850</v>
      </c>
      <c r="AL209" s="2" t="s">
        <v>384</v>
      </c>
      <c r="AM209" s="2" t="s">
        <v>1306</v>
      </c>
      <c r="AN209" s="2" t="s">
        <v>386</v>
      </c>
      <c r="AO209" s="2" t="s">
        <v>3851</v>
      </c>
      <c r="AP209" s="2" t="s">
        <v>386</v>
      </c>
      <c r="AQ209" s="2">
        <v>2854.0</v>
      </c>
      <c r="AR209" s="2" t="s">
        <v>3852</v>
      </c>
      <c r="AS209" s="2" t="b">
        <v>1</v>
      </c>
      <c r="AT209" s="3">
        <v>0.0</v>
      </c>
      <c r="AU209" s="4"/>
      <c r="AV209" s="4"/>
      <c r="AW209" s="5">
        <f t="shared" si="432"/>
        <v>0</v>
      </c>
      <c r="AX209" s="5">
        <f t="shared" si="4"/>
        <v>0</v>
      </c>
      <c r="AY209" s="5">
        <f t="shared" si="5"/>
        <v>0</v>
      </c>
      <c r="AZ209" s="5">
        <f t="shared" si="6"/>
        <v>0</v>
      </c>
      <c r="BA209" s="5">
        <f t="shared" si="7"/>
        <v>0</v>
      </c>
      <c r="BB209" s="5">
        <f t="shared" si="8"/>
        <v>1</v>
      </c>
      <c r="BC209" s="5">
        <f t="shared" si="9"/>
        <v>0</v>
      </c>
      <c r="BD209" s="5">
        <f t="shared" si="10"/>
        <v>0</v>
      </c>
      <c r="BE209" s="5">
        <f t="shared" si="11"/>
        <v>0</v>
      </c>
      <c r="BF209" s="5">
        <f t="shared" si="12"/>
        <v>0</v>
      </c>
      <c r="BG209" s="5">
        <f t="shared" si="13"/>
        <v>0</v>
      </c>
      <c r="BH209" s="5">
        <f t="shared" si="14"/>
        <v>0</v>
      </c>
      <c r="BI209" s="5">
        <f t="shared" si="15"/>
        <v>0</v>
      </c>
      <c r="BJ209" s="5">
        <f t="shared" si="16"/>
        <v>0</v>
      </c>
      <c r="BK209" s="5">
        <f t="shared" si="17"/>
        <v>0</v>
      </c>
      <c r="BL209" s="5">
        <f t="shared" si="18"/>
        <v>0</v>
      </c>
      <c r="BM209" s="5">
        <f t="shared" si="19"/>
        <v>0</v>
      </c>
      <c r="BN209" s="5">
        <f t="shared" si="20"/>
        <v>0</v>
      </c>
      <c r="BO209" s="5">
        <f t="shared" si="21"/>
        <v>0</v>
      </c>
      <c r="BP209" s="5">
        <f t="shared" si="22"/>
        <v>0</v>
      </c>
      <c r="BQ209" s="5">
        <f t="shared" si="23"/>
        <v>0</v>
      </c>
      <c r="BR209" s="5">
        <f t="shared" si="24"/>
        <v>0</v>
      </c>
      <c r="BS209" s="5">
        <f t="shared" si="25"/>
        <v>0</v>
      </c>
      <c r="BT209" s="5">
        <f t="shared" si="26"/>
        <v>0</v>
      </c>
      <c r="BU209" s="5">
        <f t="shared" si="27"/>
        <v>0</v>
      </c>
      <c r="BV209" s="5">
        <f t="shared" ref="BV209:BW209" si="776">IF(OR(ISNUMBER(SEARCH("grit",$D209)),ISNUMBER(SEARCH("grit",$T209)),ISNUMBER(SEARCH("grit",$R209)),ISNUMBER(SEARCH("grit",$S209)),
ISNUMBER(SEARCH("determination",$D209)),ISNUMBER(SEARCH("determination",$T209)),ISNUMBER(SEARCH("determination",$R209)),ISNUMBER(SEARCH("determination",$S209)),
ISNUMBER(SEARCH("tenacity",$D209)),ISNUMBER(SEARCH("tenacity",$T209)),ISNUMBER(SEARCH("tenacity",$R209)),ISNUMBER(SEARCH("tenacity",$S209)),
ISNUMBER(SEARCH("endurance",$D209)),ISNUMBER(SEARCH("endurance",$T209)),ISNUMBER(SEARCH("endurance",$R209)),ISNUMBER(SEARCH("endurance",$S209)),
ISNUMBER(SEARCH("fortitude",$D209)),ISNUMBER(SEARCH("fortitude",$T209)),ISNUMBER(SEARCH("fortitude",$R209)),ISNUMBER(SEARCH("fortitude",$S209)),
ISNUMBER(SEARCH("resolve",$D209)),ISNUMBER(SEARCH("resolve",$T209)),ISNUMBER(SEARCH("resolve",$R209)),ISNUMBER(SEARCH("resolve",$S209)),
ISNUMBER(SEARCH("stamina",$D209)),ISNUMBER(SEARCH("stamina",$T209)),ISNUMBER(SEARCH("stamina",$R209)),ISNUMBER(SEARCH("stamina",$S209)),
ISNUMBER(SEARCH("guts",$D209)),ISNUMBER(SEARCH("guts",$T209)),ISNUMBER(SEARCH("guts",$R209)),ISNUMBER(SEARCH("guts",$S209)),
ISNUMBER(SEARCH("spunk",$D209)),ISNUMBER(SEARCH("spunk",$T209)),ISNUMBER(SEARCH("spunk",$R209)),ISNUMBER(SEARCH("spunk",$S209))), 1, 0)</f>
        <v>0</v>
      </c>
      <c r="BW209" s="5">
        <f t="shared" si="776"/>
        <v>0</v>
      </c>
      <c r="BX209" s="5">
        <f t="shared" si="29"/>
        <v>0</v>
      </c>
      <c r="BY209" s="5">
        <f t="shared" si="30"/>
        <v>0</v>
      </c>
      <c r="BZ209" s="5">
        <f t="shared" si="31"/>
        <v>0</v>
      </c>
      <c r="CA209" s="5">
        <f t="shared" si="32"/>
        <v>0</v>
      </c>
      <c r="CB209" s="5">
        <f t="shared" si="33"/>
        <v>0</v>
      </c>
      <c r="CC209" s="5">
        <f t="shared" si="34"/>
        <v>0</v>
      </c>
      <c r="CD209" s="5">
        <f t="shared" si="35"/>
        <v>0</v>
      </c>
      <c r="CE209" s="5">
        <f t="shared" si="36"/>
        <v>0</v>
      </c>
      <c r="CF209" s="5">
        <f t="shared" si="37"/>
        <v>0</v>
      </c>
      <c r="CG209" s="5">
        <f t="shared" si="38"/>
        <v>0</v>
      </c>
      <c r="CH209" s="5">
        <f t="shared" si="39"/>
        <v>0</v>
      </c>
      <c r="CI209" s="5">
        <f t="shared" si="40"/>
        <v>0</v>
      </c>
      <c r="CJ209" s="5">
        <f t="shared" si="41"/>
        <v>0</v>
      </c>
      <c r="CK209" s="5">
        <f t="shared" si="42"/>
        <v>0</v>
      </c>
      <c r="CL209" s="5">
        <f t="shared" si="43"/>
        <v>0</v>
      </c>
      <c r="CM209" s="5">
        <f t="shared" si="44"/>
        <v>0</v>
      </c>
      <c r="CN209" s="5">
        <f t="shared" si="45"/>
        <v>0</v>
      </c>
      <c r="CO209" s="5">
        <f t="shared" si="46"/>
        <v>0</v>
      </c>
      <c r="CP209" s="6">
        <f t="shared" si="47"/>
        <v>0</v>
      </c>
      <c r="CQ209" s="6">
        <f t="shared" si="48"/>
        <v>0</v>
      </c>
      <c r="CR209" s="6">
        <f t="shared" si="49"/>
        <v>0</v>
      </c>
      <c r="CS209" s="6">
        <f t="shared" si="50"/>
        <v>0</v>
      </c>
      <c r="CT209" s="6">
        <f t="shared" si="584"/>
        <v>0</v>
      </c>
      <c r="CU209" s="6">
        <f t="shared" si="52"/>
        <v>0</v>
      </c>
      <c r="CV209" s="6">
        <f t="shared" si="53"/>
        <v>0</v>
      </c>
      <c r="CW209" s="6">
        <f t="shared" si="54"/>
        <v>0</v>
      </c>
      <c r="CX209" s="6">
        <f t="shared" si="55"/>
        <v>0</v>
      </c>
      <c r="CY209" s="6">
        <f t="shared" si="56"/>
        <v>0</v>
      </c>
      <c r="CZ209" s="6">
        <f t="shared" si="57"/>
        <v>0</v>
      </c>
      <c r="DA209" s="6">
        <f t="shared" si="58"/>
        <v>1</v>
      </c>
      <c r="DB209" s="6">
        <f t="shared" si="59"/>
        <v>0</v>
      </c>
      <c r="DC209" s="6">
        <f t="shared" si="60"/>
        <v>0</v>
      </c>
      <c r="DD209" s="6">
        <f t="shared" si="61"/>
        <v>0</v>
      </c>
      <c r="DE209" s="6">
        <f t="shared" si="62"/>
        <v>0</v>
      </c>
      <c r="DF209" s="6">
        <f t="shared" si="63"/>
        <v>0</v>
      </c>
      <c r="DG209" s="6">
        <f t="shared" si="64"/>
        <v>0</v>
      </c>
      <c r="DH209" s="6">
        <f t="shared" si="697"/>
        <v>0</v>
      </c>
      <c r="DI209" s="6">
        <f t="shared" si="66"/>
        <v>0</v>
      </c>
      <c r="DJ209" s="6">
        <f t="shared" si="653"/>
        <v>0</v>
      </c>
      <c r="DK209" s="7">
        <f t="shared" si="68"/>
        <v>0</v>
      </c>
      <c r="DL209" s="7">
        <f t="shared" si="498"/>
        <v>0</v>
      </c>
      <c r="DM209" s="7">
        <f t="shared" si="70"/>
        <v>0</v>
      </c>
      <c r="DN209" s="7">
        <f t="shared" si="71"/>
        <v>0</v>
      </c>
      <c r="DO209" s="7">
        <f t="shared" si="72"/>
        <v>0</v>
      </c>
      <c r="DP209" s="8">
        <f t="shared" si="73"/>
        <v>0</v>
      </c>
      <c r="DQ209" s="8">
        <f t="shared" si="74"/>
        <v>0</v>
      </c>
      <c r="DR209" s="7">
        <f t="shared" si="75"/>
        <v>0</v>
      </c>
      <c r="DS209" s="7">
        <f t="shared" si="76"/>
        <v>0</v>
      </c>
      <c r="DT209" s="7">
        <f t="shared" si="77"/>
        <v>0</v>
      </c>
      <c r="DU209" s="9">
        <f t="shared" si="78"/>
        <v>0</v>
      </c>
      <c r="DV209" s="9">
        <f t="shared" si="79"/>
        <v>0</v>
      </c>
      <c r="DW209" s="9">
        <f t="shared" si="80"/>
        <v>0</v>
      </c>
      <c r="DX209" s="9">
        <f t="shared" si="81"/>
        <v>0</v>
      </c>
      <c r="DY209" s="9">
        <f t="shared" si="82"/>
        <v>0</v>
      </c>
      <c r="DZ209" s="9">
        <f t="shared" si="83"/>
        <v>0</v>
      </c>
      <c r="EA209" s="9">
        <f t="shared" si="84"/>
        <v>0</v>
      </c>
      <c r="EB209" s="9">
        <f t="shared" si="85"/>
        <v>0</v>
      </c>
      <c r="EC209" s="9">
        <f t="shared" si="86"/>
        <v>0</v>
      </c>
      <c r="ED209" s="9">
        <f t="shared" si="87"/>
        <v>0</v>
      </c>
      <c r="EE209" s="9">
        <f t="shared" si="88"/>
        <v>0</v>
      </c>
      <c r="EF209" s="9">
        <f t="shared" si="89"/>
        <v>0</v>
      </c>
      <c r="EG209" s="9">
        <f t="shared" si="90"/>
        <v>0</v>
      </c>
      <c r="EH209" s="9">
        <f t="shared" si="91"/>
        <v>0</v>
      </c>
      <c r="EI209" s="9">
        <f t="shared" si="92"/>
        <v>0</v>
      </c>
      <c r="EJ209" s="10">
        <f t="shared" si="93"/>
        <v>0</v>
      </c>
      <c r="EK209" s="10">
        <f t="shared" si="94"/>
        <v>0</v>
      </c>
      <c r="EL209" s="10">
        <f t="shared" ref="EL209:EM209" si="777">IF(OR(ISNUMBER(SEARCH("ai software toolkit", $D209)), ISNUMBER(SEARCH("ai software toolkit", $T209)), ISNUMBER(SEARCH("ai software toolkit", $R209)), ISNUMBER(SEARCH("ai software toolkit", $S209))), 1, 0)</f>
        <v>0</v>
      </c>
      <c r="EM209" s="10">
        <f t="shared" si="777"/>
        <v>0</v>
      </c>
      <c r="EN209" s="10">
        <f t="shared" si="96"/>
        <v>0</v>
      </c>
      <c r="EO209" s="10">
        <f t="shared" si="97"/>
        <v>0</v>
      </c>
      <c r="EP209" s="10">
        <f t="shared" si="98"/>
        <v>0</v>
      </c>
      <c r="EQ209" s="10">
        <f t="shared" si="99"/>
        <v>0</v>
      </c>
      <c r="ER209" s="10">
        <f t="shared" si="100"/>
        <v>0</v>
      </c>
      <c r="ES209" s="10">
        <f t="shared" si="101"/>
        <v>0</v>
      </c>
      <c r="ET209" s="10">
        <f t="shared" si="102"/>
        <v>0</v>
      </c>
      <c r="EU209" s="10">
        <f t="shared" si="103"/>
        <v>0</v>
      </c>
      <c r="EV209" s="10">
        <f t="shared" si="104"/>
        <v>0</v>
      </c>
      <c r="EW209" s="10">
        <f t="shared" si="105"/>
        <v>0</v>
      </c>
      <c r="EX209" s="10">
        <f t="shared" si="106"/>
        <v>0</v>
      </c>
      <c r="EY209" s="10">
        <f t="shared" si="107"/>
        <v>0</v>
      </c>
      <c r="EZ209" s="10">
        <f t="shared" si="108"/>
        <v>0</v>
      </c>
      <c r="FA209" s="10">
        <f t="shared" si="109"/>
        <v>0</v>
      </c>
      <c r="FB209" s="10">
        <f t="shared" si="110"/>
        <v>0</v>
      </c>
      <c r="FC209" s="10">
        <f t="shared" si="111"/>
        <v>0</v>
      </c>
      <c r="FD209" s="10">
        <f t="shared" si="112"/>
        <v>0</v>
      </c>
      <c r="FE209" s="10">
        <f>IF(
OR(
ISNUMBER(SEARCH("internet of things",$D209)),ISNUMBER(SEARCH("internet of things",$T209)),ISNUMBER(SEARCH("internet of things",$R209)),ISNUMBER(SEARCH("internet of things",$S209)), ISNUMBER(SEARCH("wearable",$D210)),ISNUMBER(SEARCH("wearable",$T210)),ISNUMBER(SEARCH("wearable",$R210)),ISNUMBER(SEARCH("wearable",$S210)),
ISNUMBER(SEARCH("IOT",$D209)),ISNUMBER(SEARCH("IOT",$T209)),ISNUMBER(SEARCH("IOT",$R209)),ISNUMBER(SEARCH("IOT",$S209))), 1, 0)</f>
        <v>0</v>
      </c>
      <c r="FF209" s="10">
        <f t="shared" si="114"/>
        <v>0</v>
      </c>
      <c r="FG209" s="10">
        <f t="shared" si="115"/>
        <v>0</v>
      </c>
      <c r="FH209" s="10">
        <f t="shared" si="116"/>
        <v>0</v>
      </c>
      <c r="FI209" s="10">
        <f t="shared" si="117"/>
        <v>0</v>
      </c>
      <c r="FJ209" s="10">
        <f t="shared" si="118"/>
        <v>0</v>
      </c>
      <c r="FK209" s="10">
        <f t="shared" si="119"/>
        <v>0</v>
      </c>
      <c r="FL209" s="10">
        <f t="shared" si="120"/>
        <v>0</v>
      </c>
      <c r="FM209" s="10">
        <f t="shared" si="121"/>
        <v>0</v>
      </c>
      <c r="FN209" s="10">
        <f t="shared" si="122"/>
        <v>0</v>
      </c>
      <c r="FO209" s="10">
        <f t="shared" si="123"/>
        <v>0</v>
      </c>
      <c r="FP209" s="10">
        <f t="shared" si="124"/>
        <v>0</v>
      </c>
      <c r="FQ209" s="10">
        <f t="shared" si="125"/>
        <v>0</v>
      </c>
      <c r="FR209" s="11">
        <f t="shared" si="767"/>
        <v>0</v>
      </c>
      <c r="FS209" s="11">
        <f t="shared" si="127"/>
        <v>0</v>
      </c>
      <c r="FT209" s="11">
        <f t="shared" si="128"/>
        <v>0</v>
      </c>
      <c r="FU209" s="11">
        <f t="shared" si="129"/>
        <v>0</v>
      </c>
      <c r="FV209" s="11">
        <f t="shared" si="130"/>
        <v>0</v>
      </c>
      <c r="FW209" s="11">
        <f t="shared" si="131"/>
        <v>0</v>
      </c>
      <c r="FX209" s="11">
        <f t="shared" si="132"/>
        <v>0</v>
      </c>
      <c r="FY209" s="11">
        <f t="shared" si="133"/>
        <v>0</v>
      </c>
      <c r="FZ209" s="11">
        <f t="shared" si="134"/>
        <v>0</v>
      </c>
      <c r="GA209" s="11">
        <f t="shared" si="135"/>
        <v>0</v>
      </c>
      <c r="GB209" s="11">
        <f t="shared" si="136"/>
        <v>0</v>
      </c>
      <c r="GC209" s="11">
        <f t="shared" si="137"/>
        <v>0</v>
      </c>
      <c r="GD209" s="11">
        <f t="shared" si="138"/>
        <v>0</v>
      </c>
      <c r="GE209" s="11">
        <f t="shared" si="139"/>
        <v>0</v>
      </c>
      <c r="GF209" s="11">
        <f t="shared" si="140"/>
        <v>0</v>
      </c>
      <c r="GG209" s="11">
        <f t="shared" si="141"/>
        <v>0</v>
      </c>
      <c r="GH209" s="11">
        <f t="shared" si="142"/>
        <v>0</v>
      </c>
      <c r="GI209" s="11">
        <f t="shared" si="143"/>
        <v>0</v>
      </c>
      <c r="GJ209" s="11">
        <f t="shared" si="144"/>
        <v>0</v>
      </c>
      <c r="GK209" s="11">
        <f t="shared" si="145"/>
        <v>0</v>
      </c>
      <c r="GL209" s="11">
        <f t="shared" si="146"/>
        <v>0</v>
      </c>
      <c r="GM209" s="11">
        <f t="shared" si="147"/>
        <v>0</v>
      </c>
      <c r="GN209" s="11">
        <f t="shared" si="148"/>
        <v>0</v>
      </c>
      <c r="GO209" s="11">
        <f t="shared" si="149"/>
        <v>0</v>
      </c>
      <c r="GP209" s="11">
        <f t="shared" si="150"/>
        <v>0</v>
      </c>
      <c r="GQ209" s="11">
        <f t="shared" si="151"/>
        <v>0</v>
      </c>
      <c r="GR209" s="11">
        <f t="shared" si="152"/>
        <v>0</v>
      </c>
      <c r="GS209" s="11">
        <f t="shared" si="153"/>
        <v>0</v>
      </c>
      <c r="GT209" s="11">
        <f t="shared" si="154"/>
        <v>0</v>
      </c>
      <c r="GU209" s="12">
        <f t="shared" si="155"/>
        <v>0</v>
      </c>
      <c r="GV209" s="12">
        <f t="shared" si="156"/>
        <v>0</v>
      </c>
      <c r="GW209" s="12">
        <f t="shared" si="157"/>
        <v>0</v>
      </c>
      <c r="GX209" s="12">
        <f t="shared" si="158"/>
        <v>0</v>
      </c>
      <c r="GY209" s="12">
        <f t="shared" si="159"/>
        <v>0</v>
      </c>
      <c r="GZ209" s="12">
        <f t="shared" si="160"/>
        <v>0</v>
      </c>
      <c r="HA209" s="12">
        <f t="shared" si="161"/>
        <v>0</v>
      </c>
      <c r="HB209" s="12">
        <f t="shared" si="162"/>
        <v>0</v>
      </c>
      <c r="HC209" s="12">
        <f t="shared" si="163"/>
        <v>0</v>
      </c>
      <c r="HD209" s="12">
        <f t="shared" si="164"/>
        <v>0</v>
      </c>
      <c r="HE209" s="12">
        <f t="shared" si="165"/>
        <v>0</v>
      </c>
      <c r="HF209" s="12">
        <f t="shared" si="166"/>
        <v>0</v>
      </c>
      <c r="HG209" s="12">
        <f t="shared" si="167"/>
        <v>0</v>
      </c>
      <c r="HH209" s="12">
        <f t="shared" si="168"/>
        <v>0</v>
      </c>
      <c r="HI209" s="12">
        <f t="shared" si="169"/>
        <v>0</v>
      </c>
      <c r="HJ209" s="12">
        <f t="shared" si="170"/>
        <v>0</v>
      </c>
      <c r="HK209" s="12">
        <f t="shared" si="171"/>
        <v>0</v>
      </c>
      <c r="HL209" s="12">
        <f t="shared" si="172"/>
        <v>0</v>
      </c>
      <c r="HM209" s="12">
        <f t="shared" si="173"/>
        <v>0</v>
      </c>
      <c r="HN209" s="12">
        <f t="shared" si="174"/>
        <v>0</v>
      </c>
      <c r="HO209" s="12">
        <f t="shared" si="175"/>
        <v>0</v>
      </c>
      <c r="HP209" s="12">
        <f t="shared" si="176"/>
        <v>0</v>
      </c>
      <c r="HQ209" s="12">
        <f t="shared" si="177"/>
        <v>0</v>
      </c>
      <c r="HR209" s="12">
        <f t="shared" si="178"/>
        <v>0</v>
      </c>
      <c r="HS209" s="12">
        <f t="shared" si="179"/>
        <v>0</v>
      </c>
      <c r="HT209" s="12">
        <f t="shared" si="180"/>
        <v>0</v>
      </c>
      <c r="HU209" s="12">
        <f t="shared" si="181"/>
        <v>0</v>
      </c>
      <c r="HV209" s="12">
        <f t="shared" si="182"/>
        <v>0</v>
      </c>
      <c r="HW209" s="12">
        <f t="shared" si="183"/>
        <v>0</v>
      </c>
      <c r="HX209" s="12">
        <f t="shared" si="184"/>
        <v>0</v>
      </c>
      <c r="HY209" s="12">
        <f t="shared" si="185"/>
        <v>0</v>
      </c>
      <c r="HZ209" s="12">
        <f t="shared" si="186"/>
        <v>0</v>
      </c>
      <c r="IA209" s="12">
        <f t="shared" si="187"/>
        <v>0</v>
      </c>
      <c r="IB209" s="12">
        <f t="shared" si="188"/>
        <v>0</v>
      </c>
      <c r="IC209" s="12">
        <f t="shared" si="189"/>
        <v>0</v>
      </c>
      <c r="ID209" s="12">
        <f t="shared" si="190"/>
        <v>0</v>
      </c>
      <c r="IE209" s="12">
        <f t="shared" si="191"/>
        <v>0</v>
      </c>
      <c r="IF209" s="12">
        <f t="shared" si="192"/>
        <v>0</v>
      </c>
      <c r="IG209" s="12">
        <f t="shared" si="193"/>
        <v>0</v>
      </c>
      <c r="IH209" s="12">
        <f t="shared" si="194"/>
        <v>0</v>
      </c>
      <c r="II209" s="12">
        <f t="shared" si="195"/>
        <v>0</v>
      </c>
      <c r="IJ209" s="12">
        <f t="shared" si="196"/>
        <v>0</v>
      </c>
      <c r="IK209" s="12">
        <f t="shared" si="197"/>
        <v>0</v>
      </c>
      <c r="IL209" s="12">
        <f t="shared" si="198"/>
        <v>0</v>
      </c>
      <c r="IM209" s="12">
        <f t="shared" si="199"/>
        <v>0</v>
      </c>
      <c r="IN209" s="12">
        <f t="shared" si="200"/>
        <v>0</v>
      </c>
      <c r="IO209" s="12">
        <f t="shared" si="201"/>
        <v>0</v>
      </c>
      <c r="IP209" s="12">
        <f t="shared" si="202"/>
        <v>0</v>
      </c>
      <c r="IQ209" s="12">
        <f t="shared" si="203"/>
        <v>0</v>
      </c>
      <c r="IR209" s="12">
        <f t="shared" si="204"/>
        <v>0</v>
      </c>
      <c r="IS209" s="12">
        <f t="shared" si="205"/>
        <v>0</v>
      </c>
      <c r="IT209" s="12">
        <f t="shared" si="206"/>
        <v>0</v>
      </c>
      <c r="IU209" s="12">
        <f t="shared" si="207"/>
        <v>0</v>
      </c>
      <c r="IV209" s="12">
        <f t="shared" si="208"/>
        <v>0</v>
      </c>
      <c r="IW209" s="12">
        <f t="shared" si="209"/>
        <v>0</v>
      </c>
      <c r="IX209" s="12">
        <f t="shared" si="210"/>
        <v>0</v>
      </c>
      <c r="IY209" s="12">
        <f t="shared" si="211"/>
        <v>0</v>
      </c>
      <c r="IZ209" s="12">
        <f t="shared" si="212"/>
        <v>0</v>
      </c>
      <c r="JA209" s="13">
        <f t="shared" si="213"/>
        <v>0</v>
      </c>
      <c r="JB209" s="13">
        <f t="shared" si="214"/>
        <v>0</v>
      </c>
      <c r="JC209" s="13">
        <f t="shared" si="215"/>
        <v>0</v>
      </c>
      <c r="JD209" s="13">
        <f t="shared" si="216"/>
        <v>0</v>
      </c>
      <c r="JE209" s="13">
        <f t="shared" si="217"/>
        <v>0</v>
      </c>
      <c r="JF209" s="13">
        <f t="shared" si="218"/>
        <v>0</v>
      </c>
      <c r="JG209" s="13">
        <f t="shared" si="219"/>
        <v>0</v>
      </c>
      <c r="JH209" s="13">
        <f t="shared" si="220"/>
        <v>0</v>
      </c>
      <c r="JI209" s="13">
        <f t="shared" si="221"/>
        <v>0</v>
      </c>
      <c r="JJ209" s="13">
        <f t="shared" si="222"/>
        <v>0</v>
      </c>
      <c r="JK209" s="13">
        <f t="shared" si="223"/>
        <v>0</v>
      </c>
      <c r="JL209" s="13">
        <f t="shared" si="224"/>
        <v>0</v>
      </c>
      <c r="JM209" s="13">
        <f t="shared" si="225"/>
        <v>0</v>
      </c>
      <c r="JN209" s="13">
        <f t="shared" si="226"/>
        <v>0</v>
      </c>
      <c r="JO209" s="13">
        <f t="shared" si="227"/>
        <v>0</v>
      </c>
      <c r="JP209" s="13">
        <f t="shared" si="228"/>
        <v>0</v>
      </c>
      <c r="JQ209" s="13">
        <f t="shared" si="229"/>
        <v>0</v>
      </c>
      <c r="JR209" s="13">
        <f t="shared" si="230"/>
        <v>0</v>
      </c>
      <c r="JS209" s="13">
        <f t="shared" si="231"/>
        <v>0</v>
      </c>
      <c r="JT209" s="13">
        <f t="shared" si="232"/>
        <v>0</v>
      </c>
      <c r="JU209" s="13">
        <f t="shared" si="233"/>
        <v>0</v>
      </c>
      <c r="JV209" s="12">
        <f t="shared" si="234"/>
        <v>0</v>
      </c>
      <c r="JW209" s="12">
        <f t="shared" si="235"/>
        <v>0</v>
      </c>
      <c r="JX209" s="12">
        <f t="shared" si="236"/>
        <v>0</v>
      </c>
      <c r="JY209" s="12">
        <f t="shared" si="237"/>
        <v>0</v>
      </c>
      <c r="JZ209" s="12">
        <f t="shared" si="238"/>
        <v>0</v>
      </c>
      <c r="KA209" s="12">
        <f t="shared" si="239"/>
        <v>0</v>
      </c>
      <c r="KB209" s="12">
        <f t="shared" si="240"/>
        <v>0</v>
      </c>
      <c r="KC209" s="12">
        <f t="shared" si="241"/>
        <v>0</v>
      </c>
      <c r="KD209" s="12">
        <f t="shared" si="242"/>
        <v>0</v>
      </c>
      <c r="KE209" s="12">
        <f t="shared" si="243"/>
        <v>0</v>
      </c>
      <c r="KF209" s="12">
        <f t="shared" si="244"/>
        <v>0</v>
      </c>
      <c r="KG209" s="12">
        <f t="shared" si="245"/>
        <v>0</v>
      </c>
      <c r="KH209" s="12">
        <f t="shared" si="246"/>
        <v>0</v>
      </c>
      <c r="KI209" s="12">
        <f t="shared" si="247"/>
        <v>0</v>
      </c>
      <c r="KJ209" s="12">
        <f t="shared" si="248"/>
        <v>0</v>
      </c>
      <c r="KK209" s="12">
        <f t="shared" si="249"/>
        <v>0</v>
      </c>
      <c r="KL209" s="12">
        <f t="shared" si="250"/>
        <v>0</v>
      </c>
      <c r="KM209" s="12">
        <f t="shared" si="251"/>
        <v>0</v>
      </c>
      <c r="KN209" s="12">
        <f t="shared" si="252"/>
        <v>0</v>
      </c>
      <c r="KO209" s="12">
        <f t="shared" si="253"/>
        <v>0</v>
      </c>
      <c r="KP209" s="12">
        <f t="shared" si="254"/>
        <v>0</v>
      </c>
      <c r="KQ209" s="12">
        <f t="shared" si="255"/>
        <v>0</v>
      </c>
      <c r="KR209" s="12">
        <f t="shared" si="256"/>
        <v>0</v>
      </c>
      <c r="KS209" s="12">
        <f t="shared" si="257"/>
        <v>0</v>
      </c>
      <c r="KT209" s="12">
        <f t="shared" si="258"/>
        <v>0</v>
      </c>
      <c r="KU209" s="12">
        <f t="shared" si="259"/>
        <v>0</v>
      </c>
      <c r="KV209" s="12">
        <f t="shared" si="260"/>
        <v>0</v>
      </c>
      <c r="KW209" s="12">
        <f t="shared" si="261"/>
        <v>0</v>
      </c>
      <c r="KX209" s="12">
        <f t="shared" si="262"/>
        <v>0</v>
      </c>
      <c r="KY209" s="12">
        <f t="shared" si="263"/>
        <v>0</v>
      </c>
      <c r="KZ209" s="12">
        <f t="shared" si="264"/>
        <v>0</v>
      </c>
      <c r="LA209" s="12">
        <f t="shared" si="265"/>
        <v>0</v>
      </c>
      <c r="LB209" s="12">
        <f t="shared" si="266"/>
        <v>0</v>
      </c>
      <c r="LC209" s="12">
        <f t="shared" si="267"/>
        <v>0</v>
      </c>
      <c r="LD209" s="12">
        <f t="shared" si="268"/>
        <v>0</v>
      </c>
      <c r="LE209" s="12">
        <f t="shared" si="269"/>
        <v>0</v>
      </c>
      <c r="LF209" s="12">
        <f t="shared" si="270"/>
        <v>0</v>
      </c>
      <c r="LG209" s="12">
        <f t="shared" si="271"/>
        <v>0</v>
      </c>
      <c r="LH209" s="12">
        <f t="shared" si="272"/>
        <v>0</v>
      </c>
      <c r="LI209" s="12">
        <f t="shared" si="273"/>
        <v>0</v>
      </c>
      <c r="LJ209" s="12">
        <f t="shared" si="274"/>
        <v>0</v>
      </c>
      <c r="LK209" s="12">
        <f t="shared" si="275"/>
        <v>0</v>
      </c>
      <c r="LL209" s="12">
        <f t="shared" si="276"/>
        <v>0</v>
      </c>
      <c r="LM209" s="12">
        <f t="shared" si="277"/>
        <v>0</v>
      </c>
      <c r="LN209" s="12">
        <f t="shared" si="278"/>
        <v>0</v>
      </c>
      <c r="LO209" s="12">
        <f t="shared" si="279"/>
        <v>0</v>
      </c>
      <c r="LP209" s="12">
        <f t="shared" si="280"/>
        <v>0</v>
      </c>
      <c r="LQ209" s="12">
        <f t="shared" si="281"/>
        <v>0</v>
      </c>
      <c r="LR209" s="12">
        <f t="shared" si="282"/>
        <v>0</v>
      </c>
      <c r="LS209" s="12">
        <f t="shared" si="283"/>
        <v>0</v>
      </c>
      <c r="LT209" s="13">
        <f t="shared" si="284"/>
        <v>0</v>
      </c>
      <c r="LU209" s="13">
        <f t="shared" si="285"/>
        <v>0</v>
      </c>
      <c r="LV209" s="13">
        <f t="shared" si="286"/>
        <v>0</v>
      </c>
      <c r="LW209" s="13">
        <f t="shared" si="287"/>
        <v>0</v>
      </c>
      <c r="LX209" s="13">
        <f t="shared" si="288"/>
        <v>0</v>
      </c>
      <c r="LY209" s="13">
        <f t="shared" si="289"/>
        <v>0</v>
      </c>
      <c r="LZ209" s="13">
        <f t="shared" si="290"/>
        <v>0</v>
      </c>
      <c r="MA209" s="13">
        <f t="shared" si="291"/>
        <v>0</v>
      </c>
      <c r="MB209" s="13">
        <f t="shared" si="292"/>
        <v>0</v>
      </c>
      <c r="MC209" s="13">
        <f t="shared" si="293"/>
        <v>0</v>
      </c>
      <c r="MD209" s="13">
        <f t="shared" si="294"/>
        <v>0</v>
      </c>
      <c r="ME209" s="13">
        <f t="shared" si="295"/>
        <v>0</v>
      </c>
      <c r="MF209" s="13">
        <f t="shared" si="296"/>
        <v>0</v>
      </c>
      <c r="MG209" s="13">
        <f t="shared" si="297"/>
        <v>1</v>
      </c>
      <c r="MH209" s="13">
        <f t="shared" si="298"/>
        <v>0</v>
      </c>
      <c r="MI209" s="13">
        <f t="shared" si="299"/>
        <v>0</v>
      </c>
      <c r="MJ209" s="13">
        <f t="shared" si="300"/>
        <v>0</v>
      </c>
      <c r="MK209" s="13">
        <f t="shared" si="301"/>
        <v>0</v>
      </c>
      <c r="ML209" s="14">
        <f t="shared" si="302"/>
        <v>0</v>
      </c>
      <c r="MM209" s="14">
        <f t="shared" si="303"/>
        <v>0</v>
      </c>
      <c r="MN209" s="14">
        <f t="shared" si="304"/>
        <v>0</v>
      </c>
      <c r="MO209" s="14">
        <f t="shared" si="305"/>
        <v>0</v>
      </c>
      <c r="MP209" s="14">
        <f t="shared" si="306"/>
        <v>0</v>
      </c>
      <c r="MQ209" s="14">
        <f t="shared" si="307"/>
        <v>0</v>
      </c>
      <c r="MR209" s="14">
        <f t="shared" si="308"/>
        <v>0</v>
      </c>
      <c r="MS209" s="14">
        <f t="shared" si="309"/>
        <v>0</v>
      </c>
      <c r="MT209" s="14">
        <f t="shared" si="310"/>
        <v>0</v>
      </c>
      <c r="MU209" s="14">
        <f t="shared" si="311"/>
        <v>0</v>
      </c>
      <c r="MV209" s="14">
        <f t="shared" si="312"/>
        <v>0</v>
      </c>
      <c r="MW209" s="14">
        <f t="shared" si="313"/>
        <v>0</v>
      </c>
      <c r="MX209" s="14">
        <f t="shared" si="314"/>
        <v>0</v>
      </c>
      <c r="MY209" s="14">
        <f t="shared" si="315"/>
        <v>0</v>
      </c>
      <c r="MZ209" s="14">
        <f t="shared" si="316"/>
        <v>0</v>
      </c>
      <c r="NA209" s="14">
        <f t="shared" si="317"/>
        <v>0</v>
      </c>
      <c r="NB209" s="14">
        <f t="shared" si="318"/>
        <v>0</v>
      </c>
    </row>
    <row r="210" ht="15.75" customHeight="1">
      <c r="A210" s="2">
        <v>462.0</v>
      </c>
      <c r="B210" s="2" t="s">
        <v>3853</v>
      </c>
      <c r="C210" s="2" t="s">
        <v>3854</v>
      </c>
      <c r="D210" s="2" t="s">
        <v>3855</v>
      </c>
      <c r="E210" s="2">
        <v>2023.0</v>
      </c>
      <c r="F210" s="2" t="s">
        <v>3856</v>
      </c>
      <c r="G210" s="2">
        <v>21.0</v>
      </c>
      <c r="H210" s="2" t="s">
        <v>432</v>
      </c>
      <c r="I210" s="2" t="s">
        <v>3857</v>
      </c>
      <c r="N210" s="2" t="s">
        <v>3858</v>
      </c>
      <c r="O210" s="2" t="s">
        <v>3859</v>
      </c>
      <c r="P210" s="2" t="s">
        <v>3860</v>
      </c>
      <c r="Q210" s="2" t="s">
        <v>3861</v>
      </c>
      <c r="R210" s="2" t="s">
        <v>3862</v>
      </c>
      <c r="S210" s="2" t="s">
        <v>3863</v>
      </c>
      <c r="Y210" s="2" t="s">
        <v>3864</v>
      </c>
      <c r="AB210" s="2" t="s">
        <v>646</v>
      </c>
      <c r="AG210" s="2" t="s">
        <v>3865</v>
      </c>
      <c r="AK210" s="2" t="s">
        <v>3866</v>
      </c>
      <c r="AL210" s="2" t="s">
        <v>384</v>
      </c>
      <c r="AM210" s="2" t="s">
        <v>2613</v>
      </c>
      <c r="AN210" s="2" t="s">
        <v>386</v>
      </c>
      <c r="AO210" s="2" t="s">
        <v>3867</v>
      </c>
      <c r="AP210" s="2" t="s">
        <v>386</v>
      </c>
      <c r="AQ210" s="2">
        <v>1795.0</v>
      </c>
      <c r="AR210" s="2" t="s">
        <v>3868</v>
      </c>
      <c r="AS210" s="2" t="b">
        <v>0</v>
      </c>
      <c r="AT210" s="3">
        <v>0.0</v>
      </c>
      <c r="AU210" s="4">
        <v>1.0</v>
      </c>
      <c r="AV210" s="4"/>
      <c r="AW210" s="5">
        <f t="shared" si="432"/>
        <v>0</v>
      </c>
      <c r="AX210" s="5">
        <f t="shared" si="4"/>
        <v>0</v>
      </c>
      <c r="AY210" s="5">
        <f t="shared" si="5"/>
        <v>0</v>
      </c>
      <c r="AZ210" s="5">
        <f t="shared" si="6"/>
        <v>0</v>
      </c>
      <c r="BA210" s="5">
        <f t="shared" si="7"/>
        <v>0</v>
      </c>
      <c r="BB210" s="5">
        <f t="shared" si="8"/>
        <v>0</v>
      </c>
      <c r="BC210" s="5">
        <f t="shared" si="9"/>
        <v>0</v>
      </c>
      <c r="BD210" s="5">
        <f t="shared" si="10"/>
        <v>0</v>
      </c>
      <c r="BE210" s="5">
        <f t="shared" si="11"/>
        <v>0</v>
      </c>
      <c r="BF210" s="5">
        <f t="shared" si="12"/>
        <v>0</v>
      </c>
      <c r="BG210" s="5">
        <f t="shared" si="13"/>
        <v>0</v>
      </c>
      <c r="BH210" s="5">
        <f t="shared" si="14"/>
        <v>0</v>
      </c>
      <c r="BI210" s="5">
        <f t="shared" si="15"/>
        <v>0</v>
      </c>
      <c r="BJ210" s="5">
        <f t="shared" si="16"/>
        <v>0</v>
      </c>
      <c r="BK210" s="5">
        <f t="shared" si="17"/>
        <v>0</v>
      </c>
      <c r="BL210" s="5">
        <f t="shared" si="18"/>
        <v>0</v>
      </c>
      <c r="BM210" s="5">
        <f t="shared" si="19"/>
        <v>0</v>
      </c>
      <c r="BN210" s="5">
        <f t="shared" si="20"/>
        <v>0</v>
      </c>
      <c r="BO210" s="5">
        <f t="shared" si="21"/>
        <v>0</v>
      </c>
      <c r="BP210" s="5">
        <f t="shared" si="22"/>
        <v>0</v>
      </c>
      <c r="BQ210" s="5">
        <f t="shared" si="23"/>
        <v>0</v>
      </c>
      <c r="BR210" s="5">
        <f t="shared" si="24"/>
        <v>0</v>
      </c>
      <c r="BS210" s="5">
        <f t="shared" si="25"/>
        <v>0</v>
      </c>
      <c r="BT210" s="5">
        <f t="shared" si="26"/>
        <v>0</v>
      </c>
      <c r="BU210" s="5">
        <f t="shared" si="27"/>
        <v>0</v>
      </c>
      <c r="BV210" s="5">
        <f t="shared" ref="BV210:BW210" si="778">IF(OR(ISNUMBER(SEARCH("grit",$D210)),ISNUMBER(SEARCH("grit",$T210)),ISNUMBER(SEARCH("grit",$R210)),ISNUMBER(SEARCH("grit",$S210)),
ISNUMBER(SEARCH("determination",$D210)),ISNUMBER(SEARCH("determination",$T210)),ISNUMBER(SEARCH("determination",$R210)),ISNUMBER(SEARCH("determination",$S210)),
ISNUMBER(SEARCH("tenacity",$D210)),ISNUMBER(SEARCH("tenacity",$T210)),ISNUMBER(SEARCH("tenacity",$R210)),ISNUMBER(SEARCH("tenacity",$S210)),
ISNUMBER(SEARCH("endurance",$D210)),ISNUMBER(SEARCH("endurance",$T210)),ISNUMBER(SEARCH("endurance",$R210)),ISNUMBER(SEARCH("endurance",$S210)),
ISNUMBER(SEARCH("fortitude",$D210)),ISNUMBER(SEARCH("fortitude",$T210)),ISNUMBER(SEARCH("fortitude",$R210)),ISNUMBER(SEARCH("fortitude",$S210)),
ISNUMBER(SEARCH("resolve",$D210)),ISNUMBER(SEARCH("resolve",$T210)),ISNUMBER(SEARCH("resolve",$R210)),ISNUMBER(SEARCH("resolve",$S210)),
ISNUMBER(SEARCH("stamina",$D210)),ISNUMBER(SEARCH("stamina",$T210)),ISNUMBER(SEARCH("stamina",$R210)),ISNUMBER(SEARCH("stamina",$S210)),
ISNUMBER(SEARCH("guts",$D210)),ISNUMBER(SEARCH("guts",$T210)),ISNUMBER(SEARCH("guts",$R210)),ISNUMBER(SEARCH("guts",$S210)),
ISNUMBER(SEARCH("spunk",$D210)),ISNUMBER(SEARCH("spunk",$T210)),ISNUMBER(SEARCH("spunk",$R210)),ISNUMBER(SEARCH("spunk",$S210))), 1, 0)</f>
        <v>0</v>
      </c>
      <c r="BW210" s="5">
        <f t="shared" si="778"/>
        <v>0</v>
      </c>
      <c r="BX210" s="5">
        <f t="shared" si="29"/>
        <v>0</v>
      </c>
      <c r="BY210" s="5">
        <f t="shared" si="30"/>
        <v>0</v>
      </c>
      <c r="BZ210" s="5">
        <f t="shared" si="31"/>
        <v>0</v>
      </c>
      <c r="CA210" s="5">
        <f t="shared" si="32"/>
        <v>0</v>
      </c>
      <c r="CB210" s="5">
        <f t="shared" si="33"/>
        <v>0</v>
      </c>
      <c r="CC210" s="5">
        <f t="shared" si="34"/>
        <v>0</v>
      </c>
      <c r="CD210" s="5">
        <f t="shared" si="35"/>
        <v>0</v>
      </c>
      <c r="CE210" s="5">
        <f t="shared" si="36"/>
        <v>0</v>
      </c>
      <c r="CF210" s="5">
        <f t="shared" si="37"/>
        <v>0</v>
      </c>
      <c r="CG210" s="5">
        <f t="shared" si="38"/>
        <v>0</v>
      </c>
      <c r="CH210" s="5">
        <f t="shared" si="39"/>
        <v>0</v>
      </c>
      <c r="CI210" s="5">
        <f t="shared" si="40"/>
        <v>0</v>
      </c>
      <c r="CJ210" s="5">
        <f t="shared" si="41"/>
        <v>0</v>
      </c>
      <c r="CK210" s="5">
        <f t="shared" si="42"/>
        <v>0</v>
      </c>
      <c r="CL210" s="5">
        <f t="shared" si="43"/>
        <v>0</v>
      </c>
      <c r="CM210" s="5">
        <f t="shared" si="44"/>
        <v>0</v>
      </c>
      <c r="CN210" s="5">
        <f t="shared" si="45"/>
        <v>0</v>
      </c>
      <c r="CO210" s="5">
        <f t="shared" si="46"/>
        <v>0</v>
      </c>
      <c r="CP210" s="6">
        <f t="shared" si="47"/>
        <v>0</v>
      </c>
      <c r="CQ210" s="6">
        <f t="shared" si="48"/>
        <v>0</v>
      </c>
      <c r="CR210" s="6">
        <f t="shared" si="49"/>
        <v>0</v>
      </c>
      <c r="CS210" s="6">
        <f t="shared" si="50"/>
        <v>0</v>
      </c>
      <c r="CT210" s="6">
        <f t="shared" si="584"/>
        <v>0</v>
      </c>
      <c r="CU210" s="6">
        <f t="shared" si="52"/>
        <v>0</v>
      </c>
      <c r="CV210" s="6">
        <f t="shared" si="53"/>
        <v>0</v>
      </c>
      <c r="CW210" s="6">
        <f t="shared" si="54"/>
        <v>0</v>
      </c>
      <c r="CX210" s="6">
        <f t="shared" si="55"/>
        <v>0</v>
      </c>
      <c r="CY210" s="6">
        <f t="shared" si="56"/>
        <v>0</v>
      </c>
      <c r="CZ210" s="6">
        <f t="shared" si="57"/>
        <v>0</v>
      </c>
      <c r="DA210" s="6">
        <f t="shared" si="58"/>
        <v>0</v>
      </c>
      <c r="DB210" s="6">
        <f t="shared" si="59"/>
        <v>0</v>
      </c>
      <c r="DC210" s="6">
        <f t="shared" si="60"/>
        <v>0</v>
      </c>
      <c r="DD210" s="6">
        <f t="shared" si="61"/>
        <v>0</v>
      </c>
      <c r="DE210" s="6">
        <f t="shared" si="62"/>
        <v>0</v>
      </c>
      <c r="DF210" s="6">
        <f t="shared" si="63"/>
        <v>0</v>
      </c>
      <c r="DG210" s="6">
        <f t="shared" si="64"/>
        <v>0</v>
      </c>
      <c r="DH210" s="6">
        <f t="shared" si="697"/>
        <v>0</v>
      </c>
      <c r="DI210" s="6">
        <f t="shared" si="66"/>
        <v>0</v>
      </c>
      <c r="DJ210" s="6">
        <f t="shared" si="653"/>
        <v>0</v>
      </c>
      <c r="DK210" s="7">
        <f t="shared" si="68"/>
        <v>0</v>
      </c>
      <c r="DL210" s="7">
        <f t="shared" si="498"/>
        <v>0</v>
      </c>
      <c r="DM210" s="7">
        <f t="shared" si="70"/>
        <v>0</v>
      </c>
      <c r="DN210" s="7">
        <f t="shared" si="71"/>
        <v>0</v>
      </c>
      <c r="DO210" s="7">
        <f t="shared" si="72"/>
        <v>0</v>
      </c>
      <c r="DP210" s="8">
        <f t="shared" si="73"/>
        <v>0</v>
      </c>
      <c r="DQ210" s="8">
        <f t="shared" si="74"/>
        <v>0</v>
      </c>
      <c r="DR210" s="7">
        <f t="shared" si="75"/>
        <v>0</v>
      </c>
      <c r="DS210" s="7">
        <f t="shared" si="76"/>
        <v>0</v>
      </c>
      <c r="DT210" s="7">
        <f t="shared" si="77"/>
        <v>0</v>
      </c>
      <c r="DU210" s="9">
        <f t="shared" si="78"/>
        <v>0</v>
      </c>
      <c r="DV210" s="9">
        <f t="shared" si="79"/>
        <v>0</v>
      </c>
      <c r="DW210" s="9">
        <f t="shared" si="80"/>
        <v>0</v>
      </c>
      <c r="DX210" s="9">
        <f t="shared" si="81"/>
        <v>0</v>
      </c>
      <c r="DY210" s="9">
        <f t="shared" si="82"/>
        <v>0</v>
      </c>
      <c r="DZ210" s="9">
        <f t="shared" si="83"/>
        <v>0</v>
      </c>
      <c r="EA210" s="9">
        <f t="shared" si="84"/>
        <v>0</v>
      </c>
      <c r="EB210" s="9">
        <f t="shared" si="85"/>
        <v>0</v>
      </c>
      <c r="EC210" s="9">
        <f t="shared" si="86"/>
        <v>0</v>
      </c>
      <c r="ED210" s="9">
        <f t="shared" si="87"/>
        <v>0</v>
      </c>
      <c r="EE210" s="9">
        <f t="shared" si="88"/>
        <v>0</v>
      </c>
      <c r="EF210" s="9">
        <f t="shared" si="89"/>
        <v>0</v>
      </c>
      <c r="EG210" s="9">
        <f t="shared" si="90"/>
        <v>0</v>
      </c>
      <c r="EH210" s="9">
        <f t="shared" si="91"/>
        <v>0</v>
      </c>
      <c r="EI210" s="9">
        <f t="shared" si="92"/>
        <v>0</v>
      </c>
      <c r="EJ210" s="10">
        <f t="shared" si="93"/>
        <v>0</v>
      </c>
      <c r="EK210" s="10">
        <f t="shared" si="94"/>
        <v>0</v>
      </c>
      <c r="EL210" s="10">
        <f t="shared" ref="EL210:EM210" si="779">IF(OR(ISNUMBER(SEARCH("ai software toolkit", $D210)), ISNUMBER(SEARCH("ai software toolkit", $T210)), ISNUMBER(SEARCH("ai software toolkit", $R210)), ISNUMBER(SEARCH("ai software toolkit", $S210))), 1, 0)</f>
        <v>0</v>
      </c>
      <c r="EM210" s="10">
        <f t="shared" si="779"/>
        <v>0</v>
      </c>
      <c r="EN210" s="10">
        <f t="shared" si="96"/>
        <v>0</v>
      </c>
      <c r="EO210" s="10">
        <f t="shared" si="97"/>
        <v>0</v>
      </c>
      <c r="EP210" s="10">
        <f t="shared" si="98"/>
        <v>0</v>
      </c>
      <c r="EQ210" s="10">
        <f t="shared" si="99"/>
        <v>0</v>
      </c>
      <c r="ER210" s="10">
        <f t="shared" si="100"/>
        <v>0</v>
      </c>
      <c r="ES210" s="10">
        <f t="shared" si="101"/>
        <v>0</v>
      </c>
      <c r="ET210" s="10">
        <f t="shared" si="102"/>
        <v>0</v>
      </c>
      <c r="EU210" s="10">
        <f t="shared" si="103"/>
        <v>0</v>
      </c>
      <c r="EV210" s="10">
        <f t="shared" si="104"/>
        <v>0</v>
      </c>
      <c r="EW210" s="10">
        <f t="shared" si="105"/>
        <v>0</v>
      </c>
      <c r="EX210" s="10">
        <f t="shared" si="106"/>
        <v>0</v>
      </c>
      <c r="EY210" s="10">
        <f t="shared" si="107"/>
        <v>0</v>
      </c>
      <c r="EZ210" s="10">
        <f t="shared" si="108"/>
        <v>0</v>
      </c>
      <c r="FA210" s="10">
        <f t="shared" si="109"/>
        <v>0</v>
      </c>
      <c r="FB210" s="10">
        <f t="shared" si="110"/>
        <v>0</v>
      </c>
      <c r="FC210" s="10">
        <f t="shared" si="111"/>
        <v>0</v>
      </c>
      <c r="FD210" s="10">
        <f t="shared" si="112"/>
        <v>0</v>
      </c>
      <c r="FE210" s="10">
        <f t="shared" ref="FE210:FE254" si="782">IF(
OR(
ISNUMBER(SEARCH("internet of things",$D210)),ISNUMBER(SEARCH("internet of things",$T210)),ISNUMBER(SEARCH("internet of things",$R210)),ISNUMBER(SEARCH("internet of things",$S210)),
ISNUMBER(SEARCH("IOT",$D210)),ISNUMBER(SEARCH("IOT",$T210)),ISNUMBER(SEARCH("IOT",$R210)),ISNUMBER(SEARCH("IOT",$S210))), 1, 0)</f>
        <v>0</v>
      </c>
      <c r="FF210" s="10">
        <f t="shared" si="114"/>
        <v>0</v>
      </c>
      <c r="FG210" s="10">
        <f t="shared" si="115"/>
        <v>0</v>
      </c>
      <c r="FH210" s="10">
        <f t="shared" si="116"/>
        <v>0</v>
      </c>
      <c r="FI210" s="10">
        <f t="shared" si="117"/>
        <v>0</v>
      </c>
      <c r="FJ210" s="10">
        <f t="shared" si="118"/>
        <v>0</v>
      </c>
      <c r="FK210" s="10">
        <f t="shared" si="119"/>
        <v>0</v>
      </c>
      <c r="FL210" s="10">
        <f t="shared" si="120"/>
        <v>0</v>
      </c>
      <c r="FM210" s="10">
        <f t="shared" si="121"/>
        <v>0</v>
      </c>
      <c r="FN210" s="10">
        <f t="shared" si="122"/>
        <v>0</v>
      </c>
      <c r="FO210" s="10">
        <f t="shared" si="123"/>
        <v>0</v>
      </c>
      <c r="FP210" s="10">
        <f t="shared" si="124"/>
        <v>0</v>
      </c>
      <c r="FQ210" s="10">
        <f t="shared" si="125"/>
        <v>0</v>
      </c>
      <c r="FR210" s="11">
        <f t="shared" si="767"/>
        <v>0</v>
      </c>
      <c r="FS210" s="11">
        <f t="shared" si="127"/>
        <v>0</v>
      </c>
      <c r="FT210" s="11">
        <f t="shared" si="128"/>
        <v>0</v>
      </c>
      <c r="FU210" s="11">
        <f t="shared" si="129"/>
        <v>0</v>
      </c>
      <c r="FV210" s="11">
        <f t="shared" si="130"/>
        <v>0</v>
      </c>
      <c r="FW210" s="11">
        <f t="shared" si="131"/>
        <v>0</v>
      </c>
      <c r="FX210" s="11">
        <f t="shared" si="132"/>
        <v>0</v>
      </c>
      <c r="FY210" s="11">
        <f t="shared" si="133"/>
        <v>0</v>
      </c>
      <c r="FZ210" s="11">
        <f t="shared" si="134"/>
        <v>0</v>
      </c>
      <c r="GA210" s="11">
        <f t="shared" si="135"/>
        <v>0</v>
      </c>
      <c r="GB210" s="11">
        <f t="shared" si="136"/>
        <v>0</v>
      </c>
      <c r="GC210" s="11">
        <f t="shared" si="137"/>
        <v>0</v>
      </c>
      <c r="GD210" s="11">
        <f t="shared" si="138"/>
        <v>0</v>
      </c>
      <c r="GE210" s="11">
        <f t="shared" si="139"/>
        <v>0</v>
      </c>
      <c r="GF210" s="11">
        <f t="shared" si="140"/>
        <v>0</v>
      </c>
      <c r="GG210" s="11">
        <f t="shared" si="141"/>
        <v>0</v>
      </c>
      <c r="GH210" s="11">
        <f t="shared" si="142"/>
        <v>0</v>
      </c>
      <c r="GI210" s="11">
        <f t="shared" si="143"/>
        <v>0</v>
      </c>
      <c r="GJ210" s="11">
        <f t="shared" si="144"/>
        <v>0</v>
      </c>
      <c r="GK210" s="11">
        <f t="shared" si="145"/>
        <v>0</v>
      </c>
      <c r="GL210" s="11">
        <f t="shared" si="146"/>
        <v>0</v>
      </c>
      <c r="GM210" s="11">
        <f t="shared" si="147"/>
        <v>0</v>
      </c>
      <c r="GN210" s="11">
        <f t="shared" si="148"/>
        <v>0</v>
      </c>
      <c r="GO210" s="11">
        <f t="shared" si="149"/>
        <v>0</v>
      </c>
      <c r="GP210" s="11">
        <f t="shared" si="150"/>
        <v>0</v>
      </c>
      <c r="GQ210" s="11">
        <f t="shared" si="151"/>
        <v>0</v>
      </c>
      <c r="GR210" s="11">
        <f t="shared" si="152"/>
        <v>0</v>
      </c>
      <c r="GS210" s="11">
        <f t="shared" si="153"/>
        <v>0</v>
      </c>
      <c r="GT210" s="11">
        <f t="shared" si="154"/>
        <v>0</v>
      </c>
      <c r="GU210" s="12">
        <f t="shared" si="155"/>
        <v>0</v>
      </c>
      <c r="GV210" s="12">
        <f t="shared" si="156"/>
        <v>0</v>
      </c>
      <c r="GW210" s="12">
        <f t="shared" si="157"/>
        <v>0</v>
      </c>
      <c r="GX210" s="12">
        <f t="shared" si="158"/>
        <v>0</v>
      </c>
      <c r="GY210" s="12">
        <f t="shared" si="159"/>
        <v>0</v>
      </c>
      <c r="GZ210" s="12">
        <f t="shared" si="160"/>
        <v>0</v>
      </c>
      <c r="HA210" s="12">
        <f t="shared" si="161"/>
        <v>0</v>
      </c>
      <c r="HB210" s="12">
        <f t="shared" si="162"/>
        <v>0</v>
      </c>
      <c r="HC210" s="12">
        <f t="shared" si="163"/>
        <v>0</v>
      </c>
      <c r="HD210" s="12">
        <f t="shared" si="164"/>
        <v>0</v>
      </c>
      <c r="HE210" s="12">
        <f t="shared" si="165"/>
        <v>0</v>
      </c>
      <c r="HF210" s="12">
        <f t="shared" si="166"/>
        <v>0</v>
      </c>
      <c r="HG210" s="12">
        <f t="shared" si="167"/>
        <v>0</v>
      </c>
      <c r="HH210" s="12">
        <f t="shared" si="168"/>
        <v>0</v>
      </c>
      <c r="HI210" s="12">
        <f t="shared" si="169"/>
        <v>0</v>
      </c>
      <c r="HJ210" s="12">
        <f t="shared" si="170"/>
        <v>0</v>
      </c>
      <c r="HK210" s="12">
        <f t="shared" si="171"/>
        <v>0</v>
      </c>
      <c r="HL210" s="12">
        <f t="shared" si="172"/>
        <v>0</v>
      </c>
      <c r="HM210" s="12">
        <f t="shared" si="173"/>
        <v>0</v>
      </c>
      <c r="HN210" s="12">
        <f t="shared" si="174"/>
        <v>0</v>
      </c>
      <c r="HO210" s="12">
        <f t="shared" si="175"/>
        <v>0</v>
      </c>
      <c r="HP210" s="12">
        <f t="shared" si="176"/>
        <v>0</v>
      </c>
      <c r="HQ210" s="12">
        <f t="shared" si="177"/>
        <v>0</v>
      </c>
      <c r="HR210" s="12">
        <f t="shared" si="178"/>
        <v>0</v>
      </c>
      <c r="HS210" s="12">
        <f t="shared" si="179"/>
        <v>0</v>
      </c>
      <c r="HT210" s="12">
        <f t="shared" si="180"/>
        <v>0</v>
      </c>
      <c r="HU210" s="12">
        <f t="shared" si="181"/>
        <v>0</v>
      </c>
      <c r="HV210" s="12">
        <f t="shared" si="182"/>
        <v>0</v>
      </c>
      <c r="HW210" s="12">
        <f t="shared" si="183"/>
        <v>0</v>
      </c>
      <c r="HX210" s="12">
        <f t="shared" si="184"/>
        <v>0</v>
      </c>
      <c r="HY210" s="12">
        <f t="shared" si="185"/>
        <v>0</v>
      </c>
      <c r="HZ210" s="12">
        <f t="shared" si="186"/>
        <v>0</v>
      </c>
      <c r="IA210" s="12">
        <f t="shared" si="187"/>
        <v>0</v>
      </c>
      <c r="IB210" s="12">
        <f t="shared" si="188"/>
        <v>0</v>
      </c>
      <c r="IC210" s="12">
        <f t="shared" si="189"/>
        <v>0</v>
      </c>
      <c r="ID210" s="12">
        <f t="shared" si="190"/>
        <v>0</v>
      </c>
      <c r="IE210" s="12">
        <f t="shared" si="191"/>
        <v>0</v>
      </c>
      <c r="IF210" s="12">
        <f t="shared" si="192"/>
        <v>0</v>
      </c>
      <c r="IG210" s="12">
        <f t="shared" si="193"/>
        <v>0</v>
      </c>
      <c r="IH210" s="12">
        <f t="shared" si="194"/>
        <v>0</v>
      </c>
      <c r="II210" s="12">
        <f t="shared" si="195"/>
        <v>0</v>
      </c>
      <c r="IJ210" s="12">
        <f t="shared" si="196"/>
        <v>0</v>
      </c>
      <c r="IK210" s="12">
        <f t="shared" si="197"/>
        <v>0</v>
      </c>
      <c r="IL210" s="12">
        <f t="shared" si="198"/>
        <v>0</v>
      </c>
      <c r="IM210" s="12">
        <f t="shared" si="199"/>
        <v>0</v>
      </c>
      <c r="IN210" s="12">
        <f t="shared" si="200"/>
        <v>0</v>
      </c>
      <c r="IO210" s="12">
        <f t="shared" si="201"/>
        <v>0</v>
      </c>
      <c r="IP210" s="12">
        <f t="shared" si="202"/>
        <v>0</v>
      </c>
      <c r="IQ210" s="12">
        <f t="shared" si="203"/>
        <v>0</v>
      </c>
      <c r="IR210" s="12">
        <f t="shared" si="204"/>
        <v>0</v>
      </c>
      <c r="IS210" s="12">
        <f t="shared" si="205"/>
        <v>0</v>
      </c>
      <c r="IT210" s="12">
        <f t="shared" si="206"/>
        <v>0</v>
      </c>
      <c r="IU210" s="12">
        <f t="shared" si="207"/>
        <v>0</v>
      </c>
      <c r="IV210" s="12">
        <f t="shared" si="208"/>
        <v>0</v>
      </c>
      <c r="IW210" s="12">
        <f t="shared" si="209"/>
        <v>0</v>
      </c>
      <c r="IX210" s="12">
        <f t="shared" si="210"/>
        <v>0</v>
      </c>
      <c r="IY210" s="12">
        <f t="shared" si="211"/>
        <v>0</v>
      </c>
      <c r="IZ210" s="12">
        <f t="shared" si="212"/>
        <v>1</v>
      </c>
      <c r="JA210" s="13">
        <f t="shared" si="213"/>
        <v>0</v>
      </c>
      <c r="JB210" s="13">
        <f t="shared" si="214"/>
        <v>0</v>
      </c>
      <c r="JC210" s="13">
        <f t="shared" si="215"/>
        <v>0</v>
      </c>
      <c r="JD210" s="13">
        <f t="shared" si="216"/>
        <v>0</v>
      </c>
      <c r="JE210" s="13">
        <f t="shared" si="217"/>
        <v>0</v>
      </c>
      <c r="JF210" s="13">
        <f t="shared" si="218"/>
        <v>0</v>
      </c>
      <c r="JG210" s="13">
        <f t="shared" si="219"/>
        <v>0</v>
      </c>
      <c r="JH210" s="13">
        <f t="shared" si="220"/>
        <v>0</v>
      </c>
      <c r="JI210" s="13">
        <f t="shared" si="221"/>
        <v>0</v>
      </c>
      <c r="JJ210" s="13">
        <f t="shared" si="222"/>
        <v>0</v>
      </c>
      <c r="JK210" s="13">
        <f t="shared" si="223"/>
        <v>0</v>
      </c>
      <c r="JL210" s="13">
        <f t="shared" si="224"/>
        <v>0</v>
      </c>
      <c r="JM210" s="13">
        <f t="shared" si="225"/>
        <v>0</v>
      </c>
      <c r="JN210" s="13">
        <f t="shared" si="226"/>
        <v>0</v>
      </c>
      <c r="JO210" s="13">
        <f t="shared" si="227"/>
        <v>0</v>
      </c>
      <c r="JP210" s="13">
        <f t="shared" si="228"/>
        <v>0</v>
      </c>
      <c r="JQ210" s="13">
        <f t="shared" si="229"/>
        <v>0</v>
      </c>
      <c r="JR210" s="13">
        <f t="shared" si="230"/>
        <v>0</v>
      </c>
      <c r="JS210" s="13">
        <f t="shared" si="231"/>
        <v>0</v>
      </c>
      <c r="JT210" s="13">
        <f t="shared" si="232"/>
        <v>0</v>
      </c>
      <c r="JU210" s="13">
        <f t="shared" si="233"/>
        <v>0</v>
      </c>
      <c r="JV210" s="12">
        <f t="shared" si="234"/>
        <v>0</v>
      </c>
      <c r="JW210" s="12">
        <f t="shared" si="235"/>
        <v>0</v>
      </c>
      <c r="JX210" s="12">
        <f t="shared" si="236"/>
        <v>0</v>
      </c>
      <c r="JY210" s="12">
        <f t="shared" si="237"/>
        <v>0</v>
      </c>
      <c r="JZ210" s="12">
        <f t="shared" si="238"/>
        <v>0</v>
      </c>
      <c r="KA210" s="12">
        <f t="shared" si="239"/>
        <v>0</v>
      </c>
      <c r="KB210" s="12">
        <f t="shared" si="240"/>
        <v>0</v>
      </c>
      <c r="KC210" s="12">
        <f t="shared" si="241"/>
        <v>0</v>
      </c>
      <c r="KD210" s="12">
        <f t="shared" si="242"/>
        <v>0</v>
      </c>
      <c r="KE210" s="12">
        <f t="shared" si="243"/>
        <v>0</v>
      </c>
      <c r="KF210" s="12">
        <f t="shared" si="244"/>
        <v>0</v>
      </c>
      <c r="KG210" s="12">
        <f t="shared" si="245"/>
        <v>0</v>
      </c>
      <c r="KH210" s="12">
        <f t="shared" si="246"/>
        <v>0</v>
      </c>
      <c r="KI210" s="12">
        <f t="shared" si="247"/>
        <v>0</v>
      </c>
      <c r="KJ210" s="12">
        <f t="shared" si="248"/>
        <v>0</v>
      </c>
      <c r="KK210" s="12">
        <f t="shared" si="249"/>
        <v>0</v>
      </c>
      <c r="KL210" s="12">
        <f t="shared" si="250"/>
        <v>0</v>
      </c>
      <c r="KM210" s="12">
        <f t="shared" si="251"/>
        <v>0</v>
      </c>
      <c r="KN210" s="12">
        <f t="shared" si="252"/>
        <v>0</v>
      </c>
      <c r="KO210" s="12">
        <f t="shared" si="253"/>
        <v>0</v>
      </c>
      <c r="KP210" s="12">
        <f t="shared" si="254"/>
        <v>0</v>
      </c>
      <c r="KQ210" s="12">
        <f t="shared" si="255"/>
        <v>0</v>
      </c>
      <c r="KR210" s="12">
        <f t="shared" si="256"/>
        <v>0</v>
      </c>
      <c r="KS210" s="12">
        <f t="shared" si="257"/>
        <v>0</v>
      </c>
      <c r="KT210" s="12">
        <f t="shared" si="258"/>
        <v>0</v>
      </c>
      <c r="KU210" s="12">
        <f t="shared" si="259"/>
        <v>0</v>
      </c>
      <c r="KV210" s="12">
        <f t="shared" si="260"/>
        <v>0</v>
      </c>
      <c r="KW210" s="12">
        <f t="shared" si="261"/>
        <v>0</v>
      </c>
      <c r="KX210" s="12">
        <f t="shared" si="262"/>
        <v>0</v>
      </c>
      <c r="KY210" s="12">
        <f t="shared" si="263"/>
        <v>0</v>
      </c>
      <c r="KZ210" s="12">
        <f t="shared" si="264"/>
        <v>0</v>
      </c>
      <c r="LA210" s="12">
        <f t="shared" si="265"/>
        <v>0</v>
      </c>
      <c r="LB210" s="12">
        <f t="shared" si="266"/>
        <v>0</v>
      </c>
      <c r="LC210" s="12">
        <f t="shared" si="267"/>
        <v>0</v>
      </c>
      <c r="LD210" s="12">
        <f t="shared" si="268"/>
        <v>0</v>
      </c>
      <c r="LE210" s="12">
        <f t="shared" si="269"/>
        <v>0</v>
      </c>
      <c r="LF210" s="12">
        <f t="shared" si="270"/>
        <v>0</v>
      </c>
      <c r="LG210" s="12">
        <f t="shared" si="271"/>
        <v>0</v>
      </c>
      <c r="LH210" s="12">
        <f t="shared" si="272"/>
        <v>0</v>
      </c>
      <c r="LI210" s="12">
        <f t="shared" si="273"/>
        <v>0</v>
      </c>
      <c r="LJ210" s="12">
        <f t="shared" si="274"/>
        <v>0</v>
      </c>
      <c r="LK210" s="12">
        <f t="shared" si="275"/>
        <v>0</v>
      </c>
      <c r="LL210" s="12">
        <f t="shared" si="276"/>
        <v>0</v>
      </c>
      <c r="LM210" s="12">
        <f t="shared" si="277"/>
        <v>0</v>
      </c>
      <c r="LN210" s="12">
        <f t="shared" si="278"/>
        <v>0</v>
      </c>
      <c r="LO210" s="12">
        <f t="shared" si="279"/>
        <v>0</v>
      </c>
      <c r="LP210" s="12">
        <f t="shared" si="280"/>
        <v>0</v>
      </c>
      <c r="LQ210" s="12">
        <f t="shared" si="281"/>
        <v>0</v>
      </c>
      <c r="LR210" s="12">
        <f t="shared" si="282"/>
        <v>0</v>
      </c>
      <c r="LS210" s="12">
        <f t="shared" si="283"/>
        <v>0</v>
      </c>
      <c r="LT210" s="13">
        <f t="shared" si="284"/>
        <v>0</v>
      </c>
      <c r="LU210" s="13">
        <f t="shared" si="285"/>
        <v>0</v>
      </c>
      <c r="LV210" s="13">
        <f t="shared" si="286"/>
        <v>0</v>
      </c>
      <c r="LW210" s="13">
        <f t="shared" si="287"/>
        <v>0</v>
      </c>
      <c r="LX210" s="13">
        <f t="shared" si="288"/>
        <v>0</v>
      </c>
      <c r="LY210" s="13">
        <f t="shared" si="289"/>
        <v>0</v>
      </c>
      <c r="LZ210" s="13">
        <f t="shared" si="290"/>
        <v>0</v>
      </c>
      <c r="MA210" s="13">
        <f t="shared" si="291"/>
        <v>0</v>
      </c>
      <c r="MB210" s="13">
        <f t="shared" si="292"/>
        <v>0</v>
      </c>
      <c r="MC210" s="13">
        <f t="shared" si="293"/>
        <v>0</v>
      </c>
      <c r="MD210" s="13">
        <f t="shared" si="294"/>
        <v>0</v>
      </c>
      <c r="ME210" s="13">
        <f t="shared" si="295"/>
        <v>0</v>
      </c>
      <c r="MF210" s="13">
        <f t="shared" si="296"/>
        <v>0</v>
      </c>
      <c r="MG210" s="13">
        <f t="shared" si="297"/>
        <v>0</v>
      </c>
      <c r="MH210" s="13">
        <f t="shared" si="298"/>
        <v>0</v>
      </c>
      <c r="MI210" s="13">
        <f t="shared" si="299"/>
        <v>0</v>
      </c>
      <c r="MJ210" s="13">
        <f t="shared" si="300"/>
        <v>0</v>
      </c>
      <c r="MK210" s="13">
        <f t="shared" si="301"/>
        <v>0</v>
      </c>
      <c r="ML210" s="14">
        <f t="shared" si="302"/>
        <v>0</v>
      </c>
      <c r="MM210" s="14">
        <f t="shared" si="303"/>
        <v>0</v>
      </c>
      <c r="MN210" s="14">
        <f t="shared" si="304"/>
        <v>0</v>
      </c>
      <c r="MO210" s="14">
        <f t="shared" si="305"/>
        <v>1</v>
      </c>
      <c r="MP210" s="14">
        <f t="shared" si="306"/>
        <v>0</v>
      </c>
      <c r="MQ210" s="14">
        <f t="shared" si="307"/>
        <v>0</v>
      </c>
      <c r="MR210" s="14">
        <f t="shared" si="308"/>
        <v>0</v>
      </c>
      <c r="MS210" s="14">
        <f t="shared" si="309"/>
        <v>0</v>
      </c>
      <c r="MT210" s="14">
        <f t="shared" si="310"/>
        <v>0</v>
      </c>
      <c r="MU210" s="14">
        <f t="shared" si="311"/>
        <v>0</v>
      </c>
      <c r="MV210" s="14">
        <f t="shared" si="312"/>
        <v>0</v>
      </c>
      <c r="MW210" s="14">
        <f t="shared" si="313"/>
        <v>0</v>
      </c>
      <c r="MX210" s="14">
        <f t="shared" si="314"/>
        <v>0</v>
      </c>
      <c r="MY210" s="14">
        <f t="shared" si="315"/>
        <v>0</v>
      </c>
      <c r="MZ210" s="14">
        <f t="shared" si="316"/>
        <v>0</v>
      </c>
      <c r="NA210" s="14">
        <f t="shared" si="317"/>
        <v>0</v>
      </c>
      <c r="NB210" s="14">
        <f t="shared" si="318"/>
        <v>0</v>
      </c>
    </row>
    <row r="211" ht="15.75" customHeight="1">
      <c r="A211" s="2">
        <v>459.0</v>
      </c>
      <c r="B211" s="2" t="s">
        <v>3869</v>
      </c>
      <c r="C211" s="2" t="s">
        <v>3870</v>
      </c>
      <c r="D211" s="2" t="s">
        <v>3871</v>
      </c>
      <c r="E211" s="2">
        <v>2023.0</v>
      </c>
      <c r="F211" s="2" t="s">
        <v>3872</v>
      </c>
      <c r="G211" s="2">
        <v>224.0</v>
      </c>
      <c r="I211" s="2" t="s">
        <v>3873</v>
      </c>
      <c r="N211" s="2" t="s">
        <v>3874</v>
      </c>
      <c r="O211" s="2" t="s">
        <v>3875</v>
      </c>
      <c r="P211" s="2" t="s">
        <v>3876</v>
      </c>
      <c r="Q211" s="2" t="s">
        <v>3877</v>
      </c>
      <c r="R211" s="2" t="s">
        <v>3878</v>
      </c>
      <c r="S211" s="2" t="s">
        <v>3879</v>
      </c>
      <c r="T211" s="2" t="s">
        <v>3880</v>
      </c>
      <c r="Y211" s="2" t="s">
        <v>3881</v>
      </c>
      <c r="AB211" s="2" t="s">
        <v>646</v>
      </c>
      <c r="AG211" s="2" t="s">
        <v>3882</v>
      </c>
      <c r="AI211" s="2" t="s">
        <v>3883</v>
      </c>
      <c r="AK211" s="2" t="s">
        <v>3884</v>
      </c>
      <c r="AL211" s="2" t="s">
        <v>384</v>
      </c>
      <c r="AN211" s="2" t="s">
        <v>386</v>
      </c>
      <c r="AO211" s="2" t="s">
        <v>3885</v>
      </c>
      <c r="AP211" s="2" t="s">
        <v>386</v>
      </c>
      <c r="AQ211" s="2">
        <v>1790.0</v>
      </c>
      <c r="AR211" s="2" t="s">
        <v>3871</v>
      </c>
      <c r="AS211" s="2" t="b">
        <v>0</v>
      </c>
      <c r="AT211" s="3">
        <v>0.0</v>
      </c>
      <c r="AU211" s="4"/>
      <c r="AV211" s="4">
        <v>1.0</v>
      </c>
      <c r="AW211" s="5">
        <f t="shared" si="432"/>
        <v>0</v>
      </c>
      <c r="AX211" s="5">
        <f t="shared" si="4"/>
        <v>0</v>
      </c>
      <c r="AY211" s="5">
        <f t="shared" si="5"/>
        <v>0</v>
      </c>
      <c r="AZ211" s="5">
        <f t="shared" si="6"/>
        <v>0</v>
      </c>
      <c r="BA211" s="5">
        <f t="shared" si="7"/>
        <v>0</v>
      </c>
      <c r="BB211" s="5">
        <f t="shared" si="8"/>
        <v>0</v>
      </c>
      <c r="BC211" s="5">
        <f t="shared" si="9"/>
        <v>0</v>
      </c>
      <c r="BD211" s="5">
        <f t="shared" si="10"/>
        <v>0</v>
      </c>
      <c r="BE211" s="5">
        <f t="shared" si="11"/>
        <v>0</v>
      </c>
      <c r="BF211" s="5">
        <f t="shared" si="12"/>
        <v>0</v>
      </c>
      <c r="BG211" s="5">
        <f t="shared" si="13"/>
        <v>0</v>
      </c>
      <c r="BH211" s="5">
        <f t="shared" si="14"/>
        <v>0</v>
      </c>
      <c r="BI211" s="5">
        <f t="shared" si="15"/>
        <v>0</v>
      </c>
      <c r="BJ211" s="5">
        <f t="shared" si="16"/>
        <v>0</v>
      </c>
      <c r="BK211" s="5">
        <f t="shared" si="17"/>
        <v>0</v>
      </c>
      <c r="BL211" s="5">
        <f t="shared" si="18"/>
        <v>0</v>
      </c>
      <c r="BM211" s="5">
        <f t="shared" si="19"/>
        <v>0</v>
      </c>
      <c r="BN211" s="5">
        <f t="shared" si="20"/>
        <v>0</v>
      </c>
      <c r="BO211" s="5">
        <f t="shared" si="21"/>
        <v>0</v>
      </c>
      <c r="BP211" s="5">
        <f t="shared" si="22"/>
        <v>0</v>
      </c>
      <c r="BQ211" s="5">
        <f t="shared" si="23"/>
        <v>0</v>
      </c>
      <c r="BR211" s="5">
        <f t="shared" si="24"/>
        <v>0</v>
      </c>
      <c r="BS211" s="5">
        <f t="shared" si="25"/>
        <v>0</v>
      </c>
      <c r="BT211" s="5">
        <f t="shared" si="26"/>
        <v>0</v>
      </c>
      <c r="BU211" s="5">
        <f t="shared" si="27"/>
        <v>0</v>
      </c>
      <c r="BV211" s="5">
        <f t="shared" ref="BV211:BW211" si="780">IF(OR(ISNUMBER(SEARCH("grit",$D211)),ISNUMBER(SEARCH("grit",$T211)),ISNUMBER(SEARCH("grit",$R211)),ISNUMBER(SEARCH("grit",$S211)),
ISNUMBER(SEARCH("determination",$D211)),ISNUMBER(SEARCH("determination",$T211)),ISNUMBER(SEARCH("determination",$R211)),ISNUMBER(SEARCH("determination",$S211)),
ISNUMBER(SEARCH("tenacity",$D211)),ISNUMBER(SEARCH("tenacity",$T211)),ISNUMBER(SEARCH("tenacity",$R211)),ISNUMBER(SEARCH("tenacity",$S211)),
ISNUMBER(SEARCH("endurance",$D211)),ISNUMBER(SEARCH("endurance",$T211)),ISNUMBER(SEARCH("endurance",$R211)),ISNUMBER(SEARCH("endurance",$S211)),
ISNUMBER(SEARCH("fortitude",$D211)),ISNUMBER(SEARCH("fortitude",$T211)),ISNUMBER(SEARCH("fortitude",$R211)),ISNUMBER(SEARCH("fortitude",$S211)),
ISNUMBER(SEARCH("resolve",$D211)),ISNUMBER(SEARCH("resolve",$T211)),ISNUMBER(SEARCH("resolve",$R211)),ISNUMBER(SEARCH("resolve",$S211)),
ISNUMBER(SEARCH("stamina",$D211)),ISNUMBER(SEARCH("stamina",$T211)),ISNUMBER(SEARCH("stamina",$R211)),ISNUMBER(SEARCH("stamina",$S211)),
ISNUMBER(SEARCH("guts",$D211)),ISNUMBER(SEARCH("guts",$T211)),ISNUMBER(SEARCH("guts",$R211)),ISNUMBER(SEARCH("guts",$S211)),
ISNUMBER(SEARCH("spunk",$D211)),ISNUMBER(SEARCH("spunk",$T211)),ISNUMBER(SEARCH("spunk",$R211)),ISNUMBER(SEARCH("spunk",$S211))), 1, 0)</f>
        <v>0</v>
      </c>
      <c r="BW211" s="5">
        <f t="shared" si="780"/>
        <v>0</v>
      </c>
      <c r="BX211" s="5">
        <f t="shared" si="29"/>
        <v>0</v>
      </c>
      <c r="BY211" s="5">
        <f t="shared" si="30"/>
        <v>0</v>
      </c>
      <c r="BZ211" s="5">
        <f t="shared" si="31"/>
        <v>0</v>
      </c>
      <c r="CA211" s="5">
        <f t="shared" si="32"/>
        <v>0</v>
      </c>
      <c r="CB211" s="5">
        <f t="shared" si="33"/>
        <v>0</v>
      </c>
      <c r="CC211" s="5">
        <f t="shared" si="34"/>
        <v>1</v>
      </c>
      <c r="CD211" s="5">
        <f t="shared" si="35"/>
        <v>0</v>
      </c>
      <c r="CE211" s="5">
        <f t="shared" si="36"/>
        <v>0</v>
      </c>
      <c r="CF211" s="5">
        <f t="shared" si="37"/>
        <v>0</v>
      </c>
      <c r="CG211" s="5">
        <f t="shared" si="38"/>
        <v>0</v>
      </c>
      <c r="CH211" s="5">
        <f t="shared" si="39"/>
        <v>0</v>
      </c>
      <c r="CI211" s="5">
        <f t="shared" si="40"/>
        <v>0</v>
      </c>
      <c r="CJ211" s="5">
        <f t="shared" si="41"/>
        <v>0</v>
      </c>
      <c r="CK211" s="5">
        <f t="shared" si="42"/>
        <v>0</v>
      </c>
      <c r="CL211" s="5">
        <f t="shared" si="43"/>
        <v>0</v>
      </c>
      <c r="CM211" s="5">
        <f t="shared" si="44"/>
        <v>0</v>
      </c>
      <c r="CN211" s="5">
        <f t="shared" si="45"/>
        <v>0</v>
      </c>
      <c r="CO211" s="5">
        <f t="shared" si="46"/>
        <v>0</v>
      </c>
      <c r="CP211" s="6">
        <f t="shared" si="47"/>
        <v>0</v>
      </c>
      <c r="CQ211" s="6">
        <f t="shared" si="48"/>
        <v>0</v>
      </c>
      <c r="CR211" s="6">
        <f t="shared" si="49"/>
        <v>0</v>
      </c>
      <c r="CS211" s="6">
        <f t="shared" si="50"/>
        <v>0</v>
      </c>
      <c r="CT211" s="6">
        <f t="shared" si="584"/>
        <v>0</v>
      </c>
      <c r="CU211" s="6">
        <f t="shared" si="52"/>
        <v>0</v>
      </c>
      <c r="CV211" s="6">
        <f t="shared" si="53"/>
        <v>0</v>
      </c>
      <c r="CW211" s="6">
        <f t="shared" si="54"/>
        <v>0</v>
      </c>
      <c r="CX211" s="6">
        <f t="shared" si="55"/>
        <v>0</v>
      </c>
      <c r="CY211" s="6">
        <f t="shared" si="56"/>
        <v>0</v>
      </c>
      <c r="CZ211" s="6">
        <f t="shared" si="57"/>
        <v>0</v>
      </c>
      <c r="DA211" s="6">
        <f t="shared" si="58"/>
        <v>0</v>
      </c>
      <c r="DB211" s="6">
        <f t="shared" si="59"/>
        <v>0</v>
      </c>
      <c r="DC211" s="6">
        <f t="shared" si="60"/>
        <v>0</v>
      </c>
      <c r="DD211" s="6">
        <f t="shared" si="61"/>
        <v>0</v>
      </c>
      <c r="DE211" s="6">
        <f t="shared" si="62"/>
        <v>0</v>
      </c>
      <c r="DF211" s="6">
        <f t="shared" si="63"/>
        <v>0</v>
      </c>
      <c r="DG211" s="6">
        <f t="shared" si="64"/>
        <v>0</v>
      </c>
      <c r="DH211" s="6">
        <f t="shared" si="697"/>
        <v>0</v>
      </c>
      <c r="DI211" s="6">
        <f t="shared" si="66"/>
        <v>0</v>
      </c>
      <c r="DJ211" s="6">
        <f t="shared" si="653"/>
        <v>0</v>
      </c>
      <c r="DK211" s="7">
        <f t="shared" si="68"/>
        <v>0</v>
      </c>
      <c r="DL211" s="7">
        <f t="shared" si="498"/>
        <v>0</v>
      </c>
      <c r="DM211" s="7">
        <f t="shared" si="70"/>
        <v>0</v>
      </c>
      <c r="DN211" s="7">
        <f t="shared" si="71"/>
        <v>0</v>
      </c>
      <c r="DO211" s="7">
        <f t="shared" si="72"/>
        <v>1</v>
      </c>
      <c r="DP211" s="8">
        <f t="shared" si="73"/>
        <v>0</v>
      </c>
      <c r="DQ211" s="8">
        <f t="shared" si="74"/>
        <v>0</v>
      </c>
      <c r="DR211" s="7">
        <f t="shared" si="75"/>
        <v>0</v>
      </c>
      <c r="DS211" s="7">
        <f t="shared" si="76"/>
        <v>0</v>
      </c>
      <c r="DT211" s="7">
        <f t="shared" si="77"/>
        <v>0</v>
      </c>
      <c r="DU211" s="9">
        <f t="shared" si="78"/>
        <v>0</v>
      </c>
      <c r="DV211" s="9">
        <f t="shared" si="79"/>
        <v>0</v>
      </c>
      <c r="DW211" s="9">
        <f t="shared" si="80"/>
        <v>0</v>
      </c>
      <c r="DX211" s="9">
        <f t="shared" si="81"/>
        <v>0</v>
      </c>
      <c r="DY211" s="9">
        <f t="shared" si="82"/>
        <v>1</v>
      </c>
      <c r="DZ211" s="9">
        <f t="shared" si="83"/>
        <v>0</v>
      </c>
      <c r="EA211" s="9">
        <f t="shared" si="84"/>
        <v>0</v>
      </c>
      <c r="EB211" s="9">
        <f t="shared" si="85"/>
        <v>0</v>
      </c>
      <c r="EC211" s="9">
        <f t="shared" si="86"/>
        <v>0</v>
      </c>
      <c r="ED211" s="9">
        <f t="shared" si="87"/>
        <v>0</v>
      </c>
      <c r="EE211" s="9">
        <f t="shared" si="88"/>
        <v>0</v>
      </c>
      <c r="EF211" s="9">
        <f t="shared" si="89"/>
        <v>0</v>
      </c>
      <c r="EG211" s="9">
        <f t="shared" si="90"/>
        <v>0</v>
      </c>
      <c r="EH211" s="9">
        <f t="shared" si="91"/>
        <v>0</v>
      </c>
      <c r="EI211" s="9">
        <f t="shared" si="92"/>
        <v>0</v>
      </c>
      <c r="EJ211" s="10">
        <f t="shared" si="93"/>
        <v>0</v>
      </c>
      <c r="EK211" s="10">
        <f t="shared" si="94"/>
        <v>0</v>
      </c>
      <c r="EL211" s="10">
        <f t="shared" ref="EL211:EM211" si="781">IF(OR(ISNUMBER(SEARCH("ai software toolkit", $D211)), ISNUMBER(SEARCH("ai software toolkit", $T211)), ISNUMBER(SEARCH("ai software toolkit", $R211)), ISNUMBER(SEARCH("ai software toolkit", $S211))), 1, 0)</f>
        <v>0</v>
      </c>
      <c r="EM211" s="10">
        <f t="shared" si="781"/>
        <v>0</v>
      </c>
      <c r="EN211" s="10">
        <f t="shared" si="96"/>
        <v>0</v>
      </c>
      <c r="EO211" s="10">
        <f t="shared" si="97"/>
        <v>0</v>
      </c>
      <c r="EP211" s="10">
        <f t="shared" si="98"/>
        <v>0</v>
      </c>
      <c r="EQ211" s="10">
        <f t="shared" si="99"/>
        <v>0</v>
      </c>
      <c r="ER211" s="10">
        <f t="shared" si="100"/>
        <v>0</v>
      </c>
      <c r="ES211" s="10">
        <f t="shared" si="101"/>
        <v>0</v>
      </c>
      <c r="ET211" s="10">
        <f t="shared" si="102"/>
        <v>0</v>
      </c>
      <c r="EU211" s="10">
        <f t="shared" si="103"/>
        <v>0</v>
      </c>
      <c r="EV211" s="10">
        <f t="shared" si="104"/>
        <v>0</v>
      </c>
      <c r="EW211" s="10">
        <f t="shared" si="105"/>
        <v>0</v>
      </c>
      <c r="EX211" s="10">
        <f t="shared" si="106"/>
        <v>0</v>
      </c>
      <c r="EY211" s="10">
        <f t="shared" si="107"/>
        <v>0</v>
      </c>
      <c r="EZ211" s="10">
        <f t="shared" si="108"/>
        <v>0</v>
      </c>
      <c r="FA211" s="10">
        <f t="shared" si="109"/>
        <v>0</v>
      </c>
      <c r="FB211" s="10">
        <f t="shared" si="110"/>
        <v>0</v>
      </c>
      <c r="FC211" s="10">
        <f t="shared" si="111"/>
        <v>0</v>
      </c>
      <c r="FD211" s="10">
        <f t="shared" si="112"/>
        <v>0</v>
      </c>
      <c r="FE211" s="10">
        <f t="shared" si="782"/>
        <v>0</v>
      </c>
      <c r="FF211" s="10">
        <f t="shared" si="114"/>
        <v>0</v>
      </c>
      <c r="FG211" s="10">
        <f t="shared" si="115"/>
        <v>0</v>
      </c>
      <c r="FH211" s="10">
        <f t="shared" si="116"/>
        <v>0</v>
      </c>
      <c r="FI211" s="10">
        <f t="shared" si="117"/>
        <v>0</v>
      </c>
      <c r="FJ211" s="10">
        <f t="shared" si="118"/>
        <v>0</v>
      </c>
      <c r="FK211" s="10">
        <f t="shared" si="119"/>
        <v>0</v>
      </c>
      <c r="FL211" s="10">
        <f t="shared" si="120"/>
        <v>0</v>
      </c>
      <c r="FM211" s="10">
        <f t="shared" si="121"/>
        <v>0</v>
      </c>
      <c r="FN211" s="10">
        <f t="shared" si="122"/>
        <v>0</v>
      </c>
      <c r="FO211" s="10">
        <f t="shared" si="123"/>
        <v>0</v>
      </c>
      <c r="FP211" s="10">
        <f t="shared" si="124"/>
        <v>0</v>
      </c>
      <c r="FQ211" s="10">
        <f t="shared" si="125"/>
        <v>0</v>
      </c>
      <c r="FR211" s="11">
        <f t="shared" si="767"/>
        <v>0</v>
      </c>
      <c r="FS211" s="11">
        <f t="shared" si="127"/>
        <v>0</v>
      </c>
      <c r="FT211" s="11">
        <f t="shared" si="128"/>
        <v>0</v>
      </c>
      <c r="FU211" s="11">
        <f t="shared" si="129"/>
        <v>0</v>
      </c>
      <c r="FV211" s="11">
        <f t="shared" si="130"/>
        <v>0</v>
      </c>
      <c r="FW211" s="11">
        <f t="shared" si="131"/>
        <v>0</v>
      </c>
      <c r="FX211" s="11">
        <f t="shared" si="132"/>
        <v>0</v>
      </c>
      <c r="FY211" s="11">
        <f t="shared" si="133"/>
        <v>0</v>
      </c>
      <c r="FZ211" s="11">
        <f t="shared" si="134"/>
        <v>0</v>
      </c>
      <c r="GA211" s="11">
        <f t="shared" si="135"/>
        <v>0</v>
      </c>
      <c r="GB211" s="11">
        <f t="shared" si="136"/>
        <v>0</v>
      </c>
      <c r="GC211" s="11">
        <f t="shared" si="137"/>
        <v>0</v>
      </c>
      <c r="GD211" s="11">
        <f t="shared" si="138"/>
        <v>0</v>
      </c>
      <c r="GE211" s="11">
        <f t="shared" si="139"/>
        <v>0</v>
      </c>
      <c r="GF211" s="11">
        <f t="shared" si="140"/>
        <v>0</v>
      </c>
      <c r="GG211" s="11">
        <f t="shared" si="141"/>
        <v>0</v>
      </c>
      <c r="GH211" s="11">
        <f t="shared" si="142"/>
        <v>0</v>
      </c>
      <c r="GI211" s="11">
        <f t="shared" si="143"/>
        <v>0</v>
      </c>
      <c r="GJ211" s="11">
        <f t="shared" si="144"/>
        <v>0</v>
      </c>
      <c r="GK211" s="11">
        <f t="shared" si="145"/>
        <v>0</v>
      </c>
      <c r="GL211" s="11">
        <f t="shared" si="146"/>
        <v>0</v>
      </c>
      <c r="GM211" s="11">
        <f t="shared" si="147"/>
        <v>0</v>
      </c>
      <c r="GN211" s="11">
        <f t="shared" si="148"/>
        <v>0</v>
      </c>
      <c r="GO211" s="11">
        <f t="shared" si="149"/>
        <v>0</v>
      </c>
      <c r="GP211" s="11">
        <f t="shared" si="150"/>
        <v>0</v>
      </c>
      <c r="GQ211" s="11">
        <f t="shared" si="151"/>
        <v>0</v>
      </c>
      <c r="GR211" s="11">
        <f t="shared" si="152"/>
        <v>0</v>
      </c>
      <c r="GS211" s="11">
        <f t="shared" si="153"/>
        <v>0</v>
      </c>
      <c r="GT211" s="11">
        <f t="shared" si="154"/>
        <v>0</v>
      </c>
      <c r="GU211" s="12">
        <f t="shared" si="155"/>
        <v>0</v>
      </c>
      <c r="GV211" s="12">
        <f t="shared" si="156"/>
        <v>0</v>
      </c>
      <c r="GW211" s="12">
        <f t="shared" si="157"/>
        <v>0</v>
      </c>
      <c r="GX211" s="12">
        <f t="shared" si="158"/>
        <v>0</v>
      </c>
      <c r="GY211" s="12">
        <f t="shared" si="159"/>
        <v>0</v>
      </c>
      <c r="GZ211" s="12">
        <f t="shared" si="160"/>
        <v>0</v>
      </c>
      <c r="HA211" s="12">
        <f t="shared" si="161"/>
        <v>0</v>
      </c>
      <c r="HB211" s="12">
        <f t="shared" si="162"/>
        <v>0</v>
      </c>
      <c r="HC211" s="12">
        <f t="shared" si="163"/>
        <v>0</v>
      </c>
      <c r="HD211" s="12">
        <f t="shared" si="164"/>
        <v>0</v>
      </c>
      <c r="HE211" s="12">
        <f t="shared" si="165"/>
        <v>0</v>
      </c>
      <c r="HF211" s="12">
        <f t="shared" si="166"/>
        <v>0</v>
      </c>
      <c r="HG211" s="12">
        <f t="shared" si="167"/>
        <v>0</v>
      </c>
      <c r="HH211" s="12">
        <f t="shared" si="168"/>
        <v>0</v>
      </c>
      <c r="HI211" s="12">
        <f t="shared" si="169"/>
        <v>0</v>
      </c>
      <c r="HJ211" s="12">
        <f t="shared" si="170"/>
        <v>0</v>
      </c>
      <c r="HK211" s="12">
        <f t="shared" si="171"/>
        <v>0</v>
      </c>
      <c r="HL211" s="12">
        <f t="shared" si="172"/>
        <v>0</v>
      </c>
      <c r="HM211" s="12">
        <f t="shared" si="173"/>
        <v>0</v>
      </c>
      <c r="HN211" s="12">
        <f t="shared" si="174"/>
        <v>0</v>
      </c>
      <c r="HO211" s="12">
        <f t="shared" si="175"/>
        <v>0</v>
      </c>
      <c r="HP211" s="12">
        <f t="shared" si="176"/>
        <v>0</v>
      </c>
      <c r="HQ211" s="12">
        <f t="shared" si="177"/>
        <v>0</v>
      </c>
      <c r="HR211" s="12">
        <f t="shared" si="178"/>
        <v>0</v>
      </c>
      <c r="HS211" s="12">
        <f t="shared" si="179"/>
        <v>0</v>
      </c>
      <c r="HT211" s="12">
        <f t="shared" si="180"/>
        <v>0</v>
      </c>
      <c r="HU211" s="12">
        <f t="shared" si="181"/>
        <v>0</v>
      </c>
      <c r="HV211" s="12">
        <f t="shared" si="182"/>
        <v>0</v>
      </c>
      <c r="HW211" s="12">
        <f t="shared" si="183"/>
        <v>0</v>
      </c>
      <c r="HX211" s="12">
        <f t="shared" si="184"/>
        <v>0</v>
      </c>
      <c r="HY211" s="12">
        <f t="shared" si="185"/>
        <v>0</v>
      </c>
      <c r="HZ211" s="12">
        <f t="shared" si="186"/>
        <v>0</v>
      </c>
      <c r="IA211" s="12">
        <f t="shared" si="187"/>
        <v>0</v>
      </c>
      <c r="IB211" s="12">
        <f t="shared" si="188"/>
        <v>0</v>
      </c>
      <c r="IC211" s="12">
        <f t="shared" si="189"/>
        <v>0</v>
      </c>
      <c r="ID211" s="12">
        <f t="shared" si="190"/>
        <v>0</v>
      </c>
      <c r="IE211" s="12">
        <f t="shared" si="191"/>
        <v>0</v>
      </c>
      <c r="IF211" s="12">
        <f t="shared" si="192"/>
        <v>0</v>
      </c>
      <c r="IG211" s="12">
        <f t="shared" si="193"/>
        <v>0</v>
      </c>
      <c r="IH211" s="12">
        <f t="shared" si="194"/>
        <v>0</v>
      </c>
      <c r="II211" s="12">
        <f t="shared" si="195"/>
        <v>0</v>
      </c>
      <c r="IJ211" s="12">
        <f t="shared" si="196"/>
        <v>0</v>
      </c>
      <c r="IK211" s="12">
        <f t="shared" si="197"/>
        <v>0</v>
      </c>
      <c r="IL211" s="12">
        <f t="shared" si="198"/>
        <v>0</v>
      </c>
      <c r="IM211" s="12">
        <f t="shared" si="199"/>
        <v>0</v>
      </c>
      <c r="IN211" s="12">
        <f t="shared" si="200"/>
        <v>0</v>
      </c>
      <c r="IO211" s="12">
        <f t="shared" si="201"/>
        <v>0</v>
      </c>
      <c r="IP211" s="12">
        <f t="shared" si="202"/>
        <v>0</v>
      </c>
      <c r="IQ211" s="12">
        <f t="shared" si="203"/>
        <v>0</v>
      </c>
      <c r="IR211" s="12">
        <f t="shared" si="204"/>
        <v>0</v>
      </c>
      <c r="IS211" s="12">
        <f t="shared" si="205"/>
        <v>0</v>
      </c>
      <c r="IT211" s="12">
        <f t="shared" si="206"/>
        <v>0</v>
      </c>
      <c r="IU211" s="12">
        <f t="shared" si="207"/>
        <v>0</v>
      </c>
      <c r="IV211" s="12">
        <f t="shared" si="208"/>
        <v>0</v>
      </c>
      <c r="IW211" s="12">
        <f t="shared" si="209"/>
        <v>0</v>
      </c>
      <c r="IX211" s="12">
        <f t="shared" si="210"/>
        <v>0</v>
      </c>
      <c r="IY211" s="12">
        <f t="shared" si="211"/>
        <v>0</v>
      </c>
      <c r="IZ211" s="12">
        <f t="shared" si="212"/>
        <v>0</v>
      </c>
      <c r="JA211" s="13">
        <f t="shared" si="213"/>
        <v>0</v>
      </c>
      <c r="JB211" s="13">
        <f t="shared" si="214"/>
        <v>0</v>
      </c>
      <c r="JC211" s="13">
        <f t="shared" si="215"/>
        <v>0</v>
      </c>
      <c r="JD211" s="13">
        <f t="shared" si="216"/>
        <v>0</v>
      </c>
      <c r="JE211" s="13">
        <f t="shared" si="217"/>
        <v>0</v>
      </c>
      <c r="JF211" s="13">
        <f t="shared" si="218"/>
        <v>0</v>
      </c>
      <c r="JG211" s="13">
        <f t="shared" si="219"/>
        <v>0</v>
      </c>
      <c r="JH211" s="13">
        <f t="shared" si="220"/>
        <v>0</v>
      </c>
      <c r="JI211" s="13">
        <f t="shared" si="221"/>
        <v>0</v>
      </c>
      <c r="JJ211" s="13">
        <f t="shared" si="222"/>
        <v>0</v>
      </c>
      <c r="JK211" s="13">
        <f t="shared" si="223"/>
        <v>0</v>
      </c>
      <c r="JL211" s="13">
        <f t="shared" si="224"/>
        <v>0</v>
      </c>
      <c r="JM211" s="13">
        <f t="shared" si="225"/>
        <v>0</v>
      </c>
      <c r="JN211" s="13">
        <f t="shared" si="226"/>
        <v>0</v>
      </c>
      <c r="JO211" s="13">
        <f t="shared" si="227"/>
        <v>0</v>
      </c>
      <c r="JP211" s="13">
        <f t="shared" si="228"/>
        <v>0</v>
      </c>
      <c r="JQ211" s="13">
        <f t="shared" si="229"/>
        <v>0</v>
      </c>
      <c r="JR211" s="13">
        <f t="shared" si="230"/>
        <v>0</v>
      </c>
      <c r="JS211" s="13">
        <f t="shared" si="231"/>
        <v>0</v>
      </c>
      <c r="JT211" s="13">
        <f t="shared" si="232"/>
        <v>0</v>
      </c>
      <c r="JU211" s="13">
        <f t="shared" si="233"/>
        <v>0</v>
      </c>
      <c r="JV211" s="12">
        <f t="shared" si="234"/>
        <v>0</v>
      </c>
      <c r="JW211" s="12">
        <f t="shared" si="235"/>
        <v>0</v>
      </c>
      <c r="JX211" s="12">
        <f t="shared" si="236"/>
        <v>0</v>
      </c>
      <c r="JY211" s="12">
        <f t="shared" si="237"/>
        <v>0</v>
      </c>
      <c r="JZ211" s="12">
        <f t="shared" si="238"/>
        <v>0</v>
      </c>
      <c r="KA211" s="12">
        <f t="shared" si="239"/>
        <v>0</v>
      </c>
      <c r="KB211" s="12">
        <f t="shared" si="240"/>
        <v>0</v>
      </c>
      <c r="KC211" s="12">
        <f t="shared" si="241"/>
        <v>0</v>
      </c>
      <c r="KD211" s="12">
        <f t="shared" si="242"/>
        <v>0</v>
      </c>
      <c r="KE211" s="12">
        <f t="shared" si="243"/>
        <v>0</v>
      </c>
      <c r="KF211" s="12">
        <f t="shared" si="244"/>
        <v>0</v>
      </c>
      <c r="KG211" s="12">
        <f t="shared" si="245"/>
        <v>0</v>
      </c>
      <c r="KH211" s="12">
        <f t="shared" si="246"/>
        <v>0</v>
      </c>
      <c r="KI211" s="12">
        <f t="shared" si="247"/>
        <v>0</v>
      </c>
      <c r="KJ211" s="12">
        <f t="shared" si="248"/>
        <v>0</v>
      </c>
      <c r="KK211" s="12">
        <f t="shared" si="249"/>
        <v>0</v>
      </c>
      <c r="KL211" s="12">
        <f t="shared" si="250"/>
        <v>0</v>
      </c>
      <c r="KM211" s="12">
        <f t="shared" si="251"/>
        <v>0</v>
      </c>
      <c r="KN211" s="12">
        <f t="shared" si="252"/>
        <v>0</v>
      </c>
      <c r="KO211" s="12">
        <f t="shared" si="253"/>
        <v>0</v>
      </c>
      <c r="KP211" s="12">
        <f t="shared" si="254"/>
        <v>0</v>
      </c>
      <c r="KQ211" s="12">
        <f t="shared" si="255"/>
        <v>0</v>
      </c>
      <c r="KR211" s="12">
        <f t="shared" si="256"/>
        <v>0</v>
      </c>
      <c r="KS211" s="12">
        <f t="shared" si="257"/>
        <v>0</v>
      </c>
      <c r="KT211" s="12">
        <f t="shared" si="258"/>
        <v>0</v>
      </c>
      <c r="KU211" s="12">
        <f t="shared" si="259"/>
        <v>0</v>
      </c>
      <c r="KV211" s="12">
        <f t="shared" si="260"/>
        <v>0</v>
      </c>
      <c r="KW211" s="12">
        <f t="shared" si="261"/>
        <v>0</v>
      </c>
      <c r="KX211" s="12">
        <f t="shared" si="262"/>
        <v>0</v>
      </c>
      <c r="KY211" s="12">
        <f t="shared" si="263"/>
        <v>0</v>
      </c>
      <c r="KZ211" s="12">
        <f t="shared" si="264"/>
        <v>0</v>
      </c>
      <c r="LA211" s="12">
        <f t="shared" si="265"/>
        <v>0</v>
      </c>
      <c r="LB211" s="12">
        <f t="shared" si="266"/>
        <v>0</v>
      </c>
      <c r="LC211" s="12">
        <f t="shared" si="267"/>
        <v>0</v>
      </c>
      <c r="LD211" s="12">
        <f t="shared" si="268"/>
        <v>0</v>
      </c>
      <c r="LE211" s="12">
        <f t="shared" si="269"/>
        <v>0</v>
      </c>
      <c r="LF211" s="12">
        <f t="shared" si="270"/>
        <v>0</v>
      </c>
      <c r="LG211" s="12">
        <f t="shared" si="271"/>
        <v>0</v>
      </c>
      <c r="LH211" s="12">
        <f t="shared" si="272"/>
        <v>0</v>
      </c>
      <c r="LI211" s="12">
        <f t="shared" si="273"/>
        <v>0</v>
      </c>
      <c r="LJ211" s="12">
        <f t="shared" si="274"/>
        <v>0</v>
      </c>
      <c r="LK211" s="12">
        <f t="shared" si="275"/>
        <v>0</v>
      </c>
      <c r="LL211" s="12">
        <f t="shared" si="276"/>
        <v>0</v>
      </c>
      <c r="LM211" s="12">
        <f t="shared" si="277"/>
        <v>0</v>
      </c>
      <c r="LN211" s="12">
        <f t="shared" si="278"/>
        <v>0</v>
      </c>
      <c r="LO211" s="12">
        <f t="shared" si="279"/>
        <v>0</v>
      </c>
      <c r="LP211" s="12">
        <f t="shared" si="280"/>
        <v>0</v>
      </c>
      <c r="LQ211" s="12">
        <f t="shared" si="281"/>
        <v>0</v>
      </c>
      <c r="LR211" s="12">
        <f t="shared" si="282"/>
        <v>0</v>
      </c>
      <c r="LS211" s="12">
        <f t="shared" si="283"/>
        <v>0</v>
      </c>
      <c r="LT211" s="13">
        <f t="shared" si="284"/>
        <v>0</v>
      </c>
      <c r="LU211" s="13">
        <f t="shared" si="285"/>
        <v>0</v>
      </c>
      <c r="LV211" s="13">
        <f t="shared" si="286"/>
        <v>0</v>
      </c>
      <c r="LW211" s="13">
        <f t="shared" si="287"/>
        <v>0</v>
      </c>
      <c r="LX211" s="13">
        <f t="shared" si="288"/>
        <v>0</v>
      </c>
      <c r="LY211" s="13">
        <f t="shared" si="289"/>
        <v>0</v>
      </c>
      <c r="LZ211" s="13">
        <f t="shared" si="290"/>
        <v>0</v>
      </c>
      <c r="MA211" s="13">
        <f t="shared" si="291"/>
        <v>0</v>
      </c>
      <c r="MB211" s="13">
        <f t="shared" si="292"/>
        <v>0</v>
      </c>
      <c r="MC211" s="13">
        <f t="shared" si="293"/>
        <v>0</v>
      </c>
      <c r="MD211" s="13">
        <f t="shared" si="294"/>
        <v>0</v>
      </c>
      <c r="ME211" s="13">
        <f t="shared" si="295"/>
        <v>0</v>
      </c>
      <c r="MF211" s="13">
        <f t="shared" si="296"/>
        <v>0</v>
      </c>
      <c r="MG211" s="13">
        <f t="shared" si="297"/>
        <v>0</v>
      </c>
      <c r="MH211" s="13">
        <f t="shared" si="298"/>
        <v>0</v>
      </c>
      <c r="MI211" s="13">
        <f t="shared" si="299"/>
        <v>0</v>
      </c>
      <c r="MJ211" s="13">
        <f t="shared" si="300"/>
        <v>0</v>
      </c>
      <c r="MK211" s="13">
        <f t="shared" si="301"/>
        <v>0</v>
      </c>
      <c r="ML211" s="14">
        <f t="shared" si="302"/>
        <v>0</v>
      </c>
      <c r="MM211" s="14">
        <f t="shared" si="303"/>
        <v>0</v>
      </c>
      <c r="MN211" s="14">
        <f t="shared" si="304"/>
        <v>0</v>
      </c>
      <c r="MO211" s="14">
        <f t="shared" si="305"/>
        <v>0</v>
      </c>
      <c r="MP211" s="14">
        <f t="shared" si="306"/>
        <v>0</v>
      </c>
      <c r="MQ211" s="14">
        <f t="shared" si="307"/>
        <v>0</v>
      </c>
      <c r="MR211" s="14">
        <f t="shared" si="308"/>
        <v>0</v>
      </c>
      <c r="MS211" s="14">
        <f t="shared" si="309"/>
        <v>0</v>
      </c>
      <c r="MT211" s="14">
        <f t="shared" si="310"/>
        <v>0</v>
      </c>
      <c r="MU211" s="14">
        <f t="shared" si="311"/>
        <v>0</v>
      </c>
      <c r="MV211" s="14">
        <f t="shared" si="312"/>
        <v>0</v>
      </c>
      <c r="MW211" s="14">
        <f t="shared" si="313"/>
        <v>0</v>
      </c>
      <c r="MX211" s="14">
        <f t="shared" si="314"/>
        <v>0</v>
      </c>
      <c r="MY211" s="14">
        <f t="shared" si="315"/>
        <v>0</v>
      </c>
      <c r="MZ211" s="14">
        <f t="shared" si="316"/>
        <v>0</v>
      </c>
      <c r="NA211" s="14">
        <f t="shared" si="317"/>
        <v>0</v>
      </c>
      <c r="NB211" s="14">
        <f t="shared" si="318"/>
        <v>0</v>
      </c>
    </row>
    <row r="212" ht="15.75" customHeight="1">
      <c r="A212" s="2">
        <v>499.0</v>
      </c>
      <c r="B212" s="2" t="s">
        <v>3886</v>
      </c>
      <c r="C212" s="2" t="s">
        <v>3887</v>
      </c>
      <c r="D212" s="2" t="s">
        <v>3888</v>
      </c>
      <c r="E212" s="2">
        <v>2023.0</v>
      </c>
      <c r="F212" s="2" t="s">
        <v>3889</v>
      </c>
      <c r="G212" s="2">
        <v>18.0</v>
      </c>
      <c r="H212" s="2" t="s">
        <v>392</v>
      </c>
      <c r="N212" s="2" t="s">
        <v>3890</v>
      </c>
      <c r="O212" s="2" t="s">
        <v>3891</v>
      </c>
      <c r="P212" s="2" t="s">
        <v>3892</v>
      </c>
      <c r="Q212" s="2" t="s">
        <v>3893</v>
      </c>
      <c r="R212" s="2" t="s">
        <v>3894</v>
      </c>
      <c r="S212" s="2" t="s">
        <v>3895</v>
      </c>
      <c r="T212" s="2" t="s">
        <v>3896</v>
      </c>
      <c r="AB212" s="2" t="s">
        <v>1151</v>
      </c>
      <c r="AG212" s="2" t="s">
        <v>3897</v>
      </c>
      <c r="AJ212" s="2">
        <v>3.6695429E7</v>
      </c>
      <c r="AK212" s="2" t="s">
        <v>3898</v>
      </c>
      <c r="AL212" s="2" t="s">
        <v>384</v>
      </c>
      <c r="AM212" s="2" t="s">
        <v>484</v>
      </c>
      <c r="AN212" s="2" t="s">
        <v>386</v>
      </c>
      <c r="AO212" s="2" t="s">
        <v>3899</v>
      </c>
      <c r="AP212" s="2" t="s">
        <v>386</v>
      </c>
      <c r="AQ212" s="2">
        <v>1923.0</v>
      </c>
      <c r="AR212" s="2" t="s">
        <v>3888</v>
      </c>
      <c r="AS212" s="2" t="b">
        <v>1</v>
      </c>
      <c r="AT212" s="3">
        <v>0.0</v>
      </c>
      <c r="AU212" s="4"/>
      <c r="AV212" s="4"/>
      <c r="AW212" s="5">
        <f t="shared" si="432"/>
        <v>0</v>
      </c>
      <c r="AX212" s="5">
        <f t="shared" si="4"/>
        <v>0</v>
      </c>
      <c r="AY212" s="5">
        <f t="shared" si="5"/>
        <v>0</v>
      </c>
      <c r="AZ212" s="5">
        <f t="shared" si="6"/>
        <v>0</v>
      </c>
      <c r="BA212" s="5">
        <f t="shared" si="7"/>
        <v>0</v>
      </c>
      <c r="BB212" s="5">
        <f t="shared" si="8"/>
        <v>0</v>
      </c>
      <c r="BC212" s="5">
        <f t="shared" si="9"/>
        <v>0</v>
      </c>
      <c r="BD212" s="5">
        <f t="shared" si="10"/>
        <v>0</v>
      </c>
      <c r="BE212" s="5">
        <f t="shared" si="11"/>
        <v>0</v>
      </c>
      <c r="BF212" s="5">
        <f t="shared" si="12"/>
        <v>0</v>
      </c>
      <c r="BG212" s="5">
        <f t="shared" si="13"/>
        <v>0</v>
      </c>
      <c r="BH212" s="5">
        <f t="shared" si="14"/>
        <v>0</v>
      </c>
      <c r="BI212" s="5">
        <f t="shared" si="15"/>
        <v>0</v>
      </c>
      <c r="BJ212" s="5">
        <f t="shared" si="16"/>
        <v>0</v>
      </c>
      <c r="BK212" s="5">
        <f t="shared" si="17"/>
        <v>0</v>
      </c>
      <c r="BL212" s="5">
        <f t="shared" si="18"/>
        <v>0</v>
      </c>
      <c r="BM212" s="5">
        <f t="shared" si="19"/>
        <v>0</v>
      </c>
      <c r="BN212" s="5">
        <f t="shared" si="20"/>
        <v>0</v>
      </c>
      <c r="BO212" s="5">
        <f t="shared" si="21"/>
        <v>0</v>
      </c>
      <c r="BP212" s="5">
        <f t="shared" si="22"/>
        <v>0</v>
      </c>
      <c r="BQ212" s="5">
        <f t="shared" si="23"/>
        <v>0</v>
      </c>
      <c r="BR212" s="5">
        <f t="shared" si="24"/>
        <v>0</v>
      </c>
      <c r="BS212" s="5">
        <f t="shared" si="25"/>
        <v>0</v>
      </c>
      <c r="BT212" s="5">
        <f t="shared" si="26"/>
        <v>0</v>
      </c>
      <c r="BU212" s="5">
        <f t="shared" si="27"/>
        <v>0</v>
      </c>
      <c r="BV212" s="5">
        <f t="shared" ref="BV212:BW212" si="783">IF(OR(ISNUMBER(SEARCH("grit",$D212)),ISNUMBER(SEARCH("grit",$T212)),ISNUMBER(SEARCH("grit",$R212)),ISNUMBER(SEARCH("grit",$S212)),
ISNUMBER(SEARCH("determination",$D212)),ISNUMBER(SEARCH("determination",$T212)),ISNUMBER(SEARCH("determination",$R212)),ISNUMBER(SEARCH("determination",$S212)),
ISNUMBER(SEARCH("tenacity",$D212)),ISNUMBER(SEARCH("tenacity",$T212)),ISNUMBER(SEARCH("tenacity",$R212)),ISNUMBER(SEARCH("tenacity",$S212)),
ISNUMBER(SEARCH("endurance",$D212)),ISNUMBER(SEARCH("endurance",$T212)),ISNUMBER(SEARCH("endurance",$R212)),ISNUMBER(SEARCH("endurance",$S212)),
ISNUMBER(SEARCH("fortitude",$D212)),ISNUMBER(SEARCH("fortitude",$T212)),ISNUMBER(SEARCH("fortitude",$R212)),ISNUMBER(SEARCH("fortitude",$S212)),
ISNUMBER(SEARCH("resolve",$D212)),ISNUMBER(SEARCH("resolve",$T212)),ISNUMBER(SEARCH("resolve",$R212)),ISNUMBER(SEARCH("resolve",$S212)),
ISNUMBER(SEARCH("stamina",$D212)),ISNUMBER(SEARCH("stamina",$T212)),ISNUMBER(SEARCH("stamina",$R212)),ISNUMBER(SEARCH("stamina",$S212)),
ISNUMBER(SEARCH("guts",$D212)),ISNUMBER(SEARCH("guts",$T212)),ISNUMBER(SEARCH("guts",$R212)),ISNUMBER(SEARCH("guts",$S212)),
ISNUMBER(SEARCH("spunk",$D212)),ISNUMBER(SEARCH("spunk",$T212)),ISNUMBER(SEARCH("spunk",$R212)),ISNUMBER(SEARCH("spunk",$S212))), 1, 0)</f>
        <v>0</v>
      </c>
      <c r="BW212" s="5">
        <f t="shared" si="783"/>
        <v>0</v>
      </c>
      <c r="BX212" s="5">
        <f t="shared" si="29"/>
        <v>0</v>
      </c>
      <c r="BY212" s="5">
        <f t="shared" si="30"/>
        <v>0</v>
      </c>
      <c r="BZ212" s="5">
        <f t="shared" si="31"/>
        <v>0</v>
      </c>
      <c r="CA212" s="5">
        <f t="shared" si="32"/>
        <v>0</v>
      </c>
      <c r="CB212" s="5">
        <f t="shared" si="33"/>
        <v>0</v>
      </c>
      <c r="CC212" s="5">
        <f t="shared" si="34"/>
        <v>0</v>
      </c>
      <c r="CD212" s="5">
        <f t="shared" si="35"/>
        <v>0</v>
      </c>
      <c r="CE212" s="5">
        <f t="shared" si="36"/>
        <v>0</v>
      </c>
      <c r="CF212" s="5">
        <f t="shared" si="37"/>
        <v>0</v>
      </c>
      <c r="CG212" s="5">
        <f t="shared" si="38"/>
        <v>0</v>
      </c>
      <c r="CH212" s="5">
        <f t="shared" si="39"/>
        <v>0</v>
      </c>
      <c r="CI212" s="5">
        <f t="shared" si="40"/>
        <v>0</v>
      </c>
      <c r="CJ212" s="5">
        <f t="shared" si="41"/>
        <v>0</v>
      </c>
      <c r="CK212" s="5">
        <f t="shared" si="42"/>
        <v>0</v>
      </c>
      <c r="CL212" s="5">
        <f t="shared" si="43"/>
        <v>0</v>
      </c>
      <c r="CM212" s="5">
        <f t="shared" si="44"/>
        <v>0</v>
      </c>
      <c r="CN212" s="5">
        <f t="shared" si="45"/>
        <v>0</v>
      </c>
      <c r="CO212" s="5">
        <f t="shared" si="46"/>
        <v>0</v>
      </c>
      <c r="CP212" s="6">
        <f t="shared" si="47"/>
        <v>0</v>
      </c>
      <c r="CQ212" s="6">
        <f t="shared" si="48"/>
        <v>0</v>
      </c>
      <c r="CR212" s="6">
        <f t="shared" si="49"/>
        <v>0</v>
      </c>
      <c r="CS212" s="6">
        <f t="shared" si="50"/>
        <v>0</v>
      </c>
      <c r="CT212" s="6">
        <f t="shared" si="584"/>
        <v>0</v>
      </c>
      <c r="CU212" s="6">
        <f t="shared" si="52"/>
        <v>0</v>
      </c>
      <c r="CV212" s="6">
        <f t="shared" si="53"/>
        <v>0</v>
      </c>
      <c r="CW212" s="6">
        <f t="shared" si="54"/>
        <v>0</v>
      </c>
      <c r="CX212" s="6">
        <f t="shared" si="55"/>
        <v>0</v>
      </c>
      <c r="CY212" s="6">
        <f t="shared" si="56"/>
        <v>0</v>
      </c>
      <c r="CZ212" s="6">
        <f t="shared" si="57"/>
        <v>0</v>
      </c>
      <c r="DA212" s="6">
        <f t="shared" si="58"/>
        <v>0</v>
      </c>
      <c r="DB212" s="6">
        <f t="shared" si="59"/>
        <v>0</v>
      </c>
      <c r="DC212" s="6">
        <f t="shared" si="60"/>
        <v>0</v>
      </c>
      <c r="DD212" s="6">
        <f t="shared" si="61"/>
        <v>0</v>
      </c>
      <c r="DE212" s="6">
        <f t="shared" si="62"/>
        <v>0</v>
      </c>
      <c r="DF212" s="6">
        <f t="shared" si="63"/>
        <v>0</v>
      </c>
      <c r="DG212" s="6">
        <f t="shared" si="64"/>
        <v>0</v>
      </c>
      <c r="DH212" s="6">
        <f t="shared" si="697"/>
        <v>0</v>
      </c>
      <c r="DI212" s="6">
        <f t="shared" si="66"/>
        <v>0</v>
      </c>
      <c r="DJ212" s="6">
        <f t="shared" si="653"/>
        <v>0</v>
      </c>
      <c r="DK212" s="7">
        <f t="shared" si="68"/>
        <v>0</v>
      </c>
      <c r="DL212" s="7">
        <f t="shared" si="498"/>
        <v>0</v>
      </c>
      <c r="DM212" s="7">
        <f t="shared" si="70"/>
        <v>0</v>
      </c>
      <c r="DN212" s="7">
        <f t="shared" si="71"/>
        <v>0</v>
      </c>
      <c r="DO212" s="7">
        <f t="shared" si="72"/>
        <v>1</v>
      </c>
      <c r="DP212" s="8">
        <f t="shared" si="73"/>
        <v>0</v>
      </c>
      <c r="DQ212" s="8">
        <f t="shared" si="74"/>
        <v>0</v>
      </c>
      <c r="DR212" s="7">
        <f t="shared" si="75"/>
        <v>0</v>
      </c>
      <c r="DS212" s="7">
        <f t="shared" si="76"/>
        <v>0</v>
      </c>
      <c r="DT212" s="7">
        <f t="shared" si="77"/>
        <v>0</v>
      </c>
      <c r="DU212" s="9">
        <f t="shared" si="78"/>
        <v>0</v>
      </c>
      <c r="DV212" s="9">
        <f t="shared" si="79"/>
        <v>0</v>
      </c>
      <c r="DW212" s="9">
        <f t="shared" si="80"/>
        <v>0</v>
      </c>
      <c r="DX212" s="9">
        <f t="shared" si="81"/>
        <v>0</v>
      </c>
      <c r="DY212" s="9">
        <f t="shared" si="82"/>
        <v>0</v>
      </c>
      <c r="DZ212" s="9">
        <f t="shared" si="83"/>
        <v>0</v>
      </c>
      <c r="EA212" s="9">
        <f t="shared" si="84"/>
        <v>0</v>
      </c>
      <c r="EB212" s="9">
        <f t="shared" si="85"/>
        <v>0</v>
      </c>
      <c r="EC212" s="9">
        <f t="shared" si="86"/>
        <v>0</v>
      </c>
      <c r="ED212" s="9">
        <f t="shared" si="87"/>
        <v>0</v>
      </c>
      <c r="EE212" s="9">
        <f t="shared" si="88"/>
        <v>0</v>
      </c>
      <c r="EF212" s="9">
        <f t="shared" si="89"/>
        <v>0</v>
      </c>
      <c r="EG212" s="9">
        <f t="shared" si="90"/>
        <v>0</v>
      </c>
      <c r="EH212" s="9">
        <f t="shared" si="91"/>
        <v>0</v>
      </c>
      <c r="EI212" s="9">
        <f t="shared" si="92"/>
        <v>0</v>
      </c>
      <c r="EJ212" s="10">
        <f t="shared" si="93"/>
        <v>0</v>
      </c>
      <c r="EK212" s="10">
        <f t="shared" si="94"/>
        <v>0</v>
      </c>
      <c r="EL212" s="10">
        <f t="shared" ref="EL212:EM212" si="784">IF(OR(ISNUMBER(SEARCH("ai software toolkit", $D212)), ISNUMBER(SEARCH("ai software toolkit", $T212)), ISNUMBER(SEARCH("ai software toolkit", $R212)), ISNUMBER(SEARCH("ai software toolkit", $S212))), 1, 0)</f>
        <v>0</v>
      </c>
      <c r="EM212" s="10">
        <f t="shared" si="784"/>
        <v>0</v>
      </c>
      <c r="EN212" s="10">
        <f t="shared" si="96"/>
        <v>0</v>
      </c>
      <c r="EO212" s="10">
        <f t="shared" si="97"/>
        <v>0</v>
      </c>
      <c r="EP212" s="10">
        <f t="shared" si="98"/>
        <v>0</v>
      </c>
      <c r="EQ212" s="10">
        <f t="shared" si="99"/>
        <v>0</v>
      </c>
      <c r="ER212" s="10">
        <f t="shared" si="100"/>
        <v>0</v>
      </c>
      <c r="ES212" s="10">
        <f t="shared" si="101"/>
        <v>0</v>
      </c>
      <c r="ET212" s="10">
        <f t="shared" si="102"/>
        <v>0</v>
      </c>
      <c r="EU212" s="10">
        <f t="shared" si="103"/>
        <v>0</v>
      </c>
      <c r="EV212" s="10">
        <f t="shared" si="104"/>
        <v>0</v>
      </c>
      <c r="EW212" s="10">
        <f t="shared" si="105"/>
        <v>0</v>
      </c>
      <c r="EX212" s="10">
        <f t="shared" si="106"/>
        <v>0</v>
      </c>
      <c r="EY212" s="10">
        <f t="shared" si="107"/>
        <v>0</v>
      </c>
      <c r="EZ212" s="10">
        <f t="shared" si="108"/>
        <v>0</v>
      </c>
      <c r="FA212" s="10">
        <f t="shared" si="109"/>
        <v>0</v>
      </c>
      <c r="FB212" s="10">
        <f t="shared" si="110"/>
        <v>0</v>
      </c>
      <c r="FC212" s="10">
        <f t="shared" si="111"/>
        <v>0</v>
      </c>
      <c r="FD212" s="10">
        <f t="shared" si="112"/>
        <v>0</v>
      </c>
      <c r="FE212" s="10">
        <f t="shared" si="782"/>
        <v>0</v>
      </c>
      <c r="FF212" s="10">
        <f t="shared" si="114"/>
        <v>0</v>
      </c>
      <c r="FG212" s="10">
        <f t="shared" si="115"/>
        <v>0</v>
      </c>
      <c r="FH212" s="10">
        <f t="shared" si="116"/>
        <v>0</v>
      </c>
      <c r="FI212" s="10">
        <f t="shared" si="117"/>
        <v>0</v>
      </c>
      <c r="FJ212" s="10">
        <f t="shared" si="118"/>
        <v>0</v>
      </c>
      <c r="FK212" s="10">
        <f t="shared" si="119"/>
        <v>0</v>
      </c>
      <c r="FL212" s="10">
        <f t="shared" si="120"/>
        <v>0</v>
      </c>
      <c r="FM212" s="10">
        <f t="shared" si="121"/>
        <v>0</v>
      </c>
      <c r="FN212" s="10">
        <f t="shared" si="122"/>
        <v>0</v>
      </c>
      <c r="FO212" s="10">
        <f t="shared" si="123"/>
        <v>0</v>
      </c>
      <c r="FP212" s="10">
        <f t="shared" si="124"/>
        <v>0</v>
      </c>
      <c r="FQ212" s="10">
        <f t="shared" si="125"/>
        <v>0</v>
      </c>
      <c r="FR212" s="11">
        <f t="shared" si="767"/>
        <v>0</v>
      </c>
      <c r="FS212" s="11">
        <f t="shared" si="127"/>
        <v>0</v>
      </c>
      <c r="FT212" s="11">
        <f t="shared" si="128"/>
        <v>0</v>
      </c>
      <c r="FU212" s="11">
        <f t="shared" si="129"/>
        <v>0</v>
      </c>
      <c r="FV212" s="11">
        <f t="shared" si="130"/>
        <v>0</v>
      </c>
      <c r="FW212" s="11">
        <f t="shared" si="131"/>
        <v>0</v>
      </c>
      <c r="FX212" s="11">
        <f t="shared" si="132"/>
        <v>0</v>
      </c>
      <c r="FY212" s="11">
        <f t="shared" si="133"/>
        <v>0</v>
      </c>
      <c r="FZ212" s="11">
        <f t="shared" si="134"/>
        <v>0</v>
      </c>
      <c r="GA212" s="11">
        <f t="shared" si="135"/>
        <v>0</v>
      </c>
      <c r="GB212" s="11">
        <f t="shared" si="136"/>
        <v>0</v>
      </c>
      <c r="GC212" s="11">
        <f t="shared" si="137"/>
        <v>0</v>
      </c>
      <c r="GD212" s="11">
        <f t="shared" si="138"/>
        <v>0</v>
      </c>
      <c r="GE212" s="11">
        <f t="shared" si="139"/>
        <v>0</v>
      </c>
      <c r="GF212" s="11">
        <f t="shared" si="140"/>
        <v>0</v>
      </c>
      <c r="GG212" s="11">
        <f t="shared" si="141"/>
        <v>0</v>
      </c>
      <c r="GH212" s="11">
        <f t="shared" si="142"/>
        <v>0</v>
      </c>
      <c r="GI212" s="11">
        <f t="shared" si="143"/>
        <v>0</v>
      </c>
      <c r="GJ212" s="11">
        <f t="shared" si="144"/>
        <v>0</v>
      </c>
      <c r="GK212" s="11">
        <f t="shared" si="145"/>
        <v>0</v>
      </c>
      <c r="GL212" s="11">
        <f t="shared" si="146"/>
        <v>0</v>
      </c>
      <c r="GM212" s="11">
        <f t="shared" si="147"/>
        <v>0</v>
      </c>
      <c r="GN212" s="11">
        <f t="shared" si="148"/>
        <v>0</v>
      </c>
      <c r="GO212" s="11">
        <f t="shared" si="149"/>
        <v>0</v>
      </c>
      <c r="GP212" s="11">
        <f t="shared" si="150"/>
        <v>0</v>
      </c>
      <c r="GQ212" s="11">
        <f t="shared" si="151"/>
        <v>0</v>
      </c>
      <c r="GR212" s="11">
        <f t="shared" si="152"/>
        <v>0</v>
      </c>
      <c r="GS212" s="11">
        <f t="shared" si="153"/>
        <v>0</v>
      </c>
      <c r="GT212" s="11">
        <f t="shared" si="154"/>
        <v>0</v>
      </c>
      <c r="GU212" s="12">
        <f t="shared" si="155"/>
        <v>0</v>
      </c>
      <c r="GV212" s="12">
        <f t="shared" si="156"/>
        <v>0</v>
      </c>
      <c r="GW212" s="12">
        <f t="shared" si="157"/>
        <v>0</v>
      </c>
      <c r="GX212" s="12">
        <f t="shared" si="158"/>
        <v>0</v>
      </c>
      <c r="GY212" s="12">
        <f t="shared" si="159"/>
        <v>0</v>
      </c>
      <c r="GZ212" s="12">
        <f t="shared" si="160"/>
        <v>0</v>
      </c>
      <c r="HA212" s="12">
        <f t="shared" si="161"/>
        <v>0</v>
      </c>
      <c r="HB212" s="12">
        <f t="shared" si="162"/>
        <v>0</v>
      </c>
      <c r="HC212" s="12">
        <f t="shared" si="163"/>
        <v>0</v>
      </c>
      <c r="HD212" s="12">
        <f t="shared" si="164"/>
        <v>0</v>
      </c>
      <c r="HE212" s="12">
        <f t="shared" si="165"/>
        <v>0</v>
      </c>
      <c r="HF212" s="12">
        <f t="shared" si="166"/>
        <v>0</v>
      </c>
      <c r="HG212" s="12">
        <f t="shared" si="167"/>
        <v>0</v>
      </c>
      <c r="HH212" s="12">
        <f t="shared" si="168"/>
        <v>0</v>
      </c>
      <c r="HI212" s="12">
        <f t="shared" si="169"/>
        <v>0</v>
      </c>
      <c r="HJ212" s="12">
        <f t="shared" si="170"/>
        <v>0</v>
      </c>
      <c r="HK212" s="12">
        <f t="shared" si="171"/>
        <v>0</v>
      </c>
      <c r="HL212" s="12">
        <f t="shared" si="172"/>
        <v>0</v>
      </c>
      <c r="HM212" s="12">
        <f t="shared" si="173"/>
        <v>0</v>
      </c>
      <c r="HN212" s="12">
        <f t="shared" si="174"/>
        <v>0</v>
      </c>
      <c r="HO212" s="12">
        <f t="shared" si="175"/>
        <v>0</v>
      </c>
      <c r="HP212" s="12">
        <f t="shared" si="176"/>
        <v>0</v>
      </c>
      <c r="HQ212" s="12">
        <f t="shared" si="177"/>
        <v>0</v>
      </c>
      <c r="HR212" s="12">
        <f t="shared" si="178"/>
        <v>0</v>
      </c>
      <c r="HS212" s="12">
        <f t="shared" si="179"/>
        <v>0</v>
      </c>
      <c r="HT212" s="12">
        <f t="shared" si="180"/>
        <v>0</v>
      </c>
      <c r="HU212" s="12">
        <f t="shared" si="181"/>
        <v>0</v>
      </c>
      <c r="HV212" s="12">
        <f t="shared" si="182"/>
        <v>0</v>
      </c>
      <c r="HW212" s="12">
        <f t="shared" si="183"/>
        <v>0</v>
      </c>
      <c r="HX212" s="12">
        <f t="shared" si="184"/>
        <v>0</v>
      </c>
      <c r="HY212" s="12">
        <f t="shared" si="185"/>
        <v>0</v>
      </c>
      <c r="HZ212" s="12">
        <f t="shared" si="186"/>
        <v>0</v>
      </c>
      <c r="IA212" s="12">
        <f t="shared" si="187"/>
        <v>0</v>
      </c>
      <c r="IB212" s="12">
        <f t="shared" si="188"/>
        <v>0</v>
      </c>
      <c r="IC212" s="12">
        <f t="shared" si="189"/>
        <v>0</v>
      </c>
      <c r="ID212" s="12">
        <f t="shared" si="190"/>
        <v>0</v>
      </c>
      <c r="IE212" s="12">
        <f t="shared" si="191"/>
        <v>0</v>
      </c>
      <c r="IF212" s="12">
        <f t="shared" si="192"/>
        <v>0</v>
      </c>
      <c r="IG212" s="12">
        <f t="shared" si="193"/>
        <v>0</v>
      </c>
      <c r="IH212" s="12">
        <f t="shared" si="194"/>
        <v>0</v>
      </c>
      <c r="II212" s="12">
        <f t="shared" si="195"/>
        <v>0</v>
      </c>
      <c r="IJ212" s="12">
        <f t="shared" si="196"/>
        <v>0</v>
      </c>
      <c r="IK212" s="12">
        <f t="shared" si="197"/>
        <v>0</v>
      </c>
      <c r="IL212" s="12">
        <f t="shared" si="198"/>
        <v>0</v>
      </c>
      <c r="IM212" s="12">
        <f t="shared" si="199"/>
        <v>0</v>
      </c>
      <c r="IN212" s="12">
        <f t="shared" si="200"/>
        <v>0</v>
      </c>
      <c r="IO212" s="12">
        <f t="shared" si="201"/>
        <v>0</v>
      </c>
      <c r="IP212" s="12">
        <f t="shared" si="202"/>
        <v>0</v>
      </c>
      <c r="IQ212" s="12">
        <f t="shared" si="203"/>
        <v>0</v>
      </c>
      <c r="IR212" s="12">
        <f t="shared" si="204"/>
        <v>0</v>
      </c>
      <c r="IS212" s="12">
        <f t="shared" si="205"/>
        <v>0</v>
      </c>
      <c r="IT212" s="12">
        <f t="shared" si="206"/>
        <v>0</v>
      </c>
      <c r="IU212" s="12">
        <f t="shared" si="207"/>
        <v>0</v>
      </c>
      <c r="IV212" s="12">
        <f t="shared" si="208"/>
        <v>0</v>
      </c>
      <c r="IW212" s="12">
        <f t="shared" si="209"/>
        <v>0</v>
      </c>
      <c r="IX212" s="12">
        <f t="shared" si="210"/>
        <v>0</v>
      </c>
      <c r="IY212" s="12">
        <f t="shared" si="211"/>
        <v>0</v>
      </c>
      <c r="IZ212" s="12">
        <f t="shared" si="212"/>
        <v>0</v>
      </c>
      <c r="JA212" s="13">
        <f t="shared" si="213"/>
        <v>0</v>
      </c>
      <c r="JB212" s="13">
        <f t="shared" si="214"/>
        <v>0</v>
      </c>
      <c r="JC212" s="13">
        <f t="shared" si="215"/>
        <v>0</v>
      </c>
      <c r="JD212" s="13">
        <f t="shared" si="216"/>
        <v>0</v>
      </c>
      <c r="JE212" s="13">
        <f t="shared" si="217"/>
        <v>0</v>
      </c>
      <c r="JF212" s="13">
        <f t="shared" si="218"/>
        <v>0</v>
      </c>
      <c r="JG212" s="13">
        <f t="shared" si="219"/>
        <v>0</v>
      </c>
      <c r="JH212" s="13">
        <f t="shared" si="220"/>
        <v>0</v>
      </c>
      <c r="JI212" s="13">
        <f t="shared" si="221"/>
        <v>0</v>
      </c>
      <c r="JJ212" s="13">
        <f t="shared" si="222"/>
        <v>0</v>
      </c>
      <c r="JK212" s="13">
        <f t="shared" si="223"/>
        <v>0</v>
      </c>
      <c r="JL212" s="13">
        <f t="shared" si="224"/>
        <v>0</v>
      </c>
      <c r="JM212" s="13">
        <f t="shared" si="225"/>
        <v>0</v>
      </c>
      <c r="JN212" s="13">
        <f t="shared" si="226"/>
        <v>0</v>
      </c>
      <c r="JO212" s="13">
        <f t="shared" si="227"/>
        <v>0</v>
      </c>
      <c r="JP212" s="13">
        <f t="shared" si="228"/>
        <v>0</v>
      </c>
      <c r="JQ212" s="13">
        <f t="shared" si="229"/>
        <v>0</v>
      </c>
      <c r="JR212" s="13">
        <f t="shared" si="230"/>
        <v>0</v>
      </c>
      <c r="JS212" s="13">
        <f t="shared" si="231"/>
        <v>0</v>
      </c>
      <c r="JT212" s="13">
        <f t="shared" si="232"/>
        <v>0</v>
      </c>
      <c r="JU212" s="13">
        <f t="shared" si="233"/>
        <v>0</v>
      </c>
      <c r="JV212" s="12">
        <f t="shared" si="234"/>
        <v>0</v>
      </c>
      <c r="JW212" s="12">
        <f t="shared" si="235"/>
        <v>0</v>
      </c>
      <c r="JX212" s="12">
        <f t="shared" si="236"/>
        <v>0</v>
      </c>
      <c r="JY212" s="12">
        <f t="shared" si="237"/>
        <v>0</v>
      </c>
      <c r="JZ212" s="12">
        <f t="shared" si="238"/>
        <v>0</v>
      </c>
      <c r="KA212" s="12">
        <f t="shared" si="239"/>
        <v>0</v>
      </c>
      <c r="KB212" s="12">
        <f t="shared" si="240"/>
        <v>0</v>
      </c>
      <c r="KC212" s="12">
        <f t="shared" si="241"/>
        <v>0</v>
      </c>
      <c r="KD212" s="12">
        <f t="shared" si="242"/>
        <v>0</v>
      </c>
      <c r="KE212" s="12">
        <f t="shared" si="243"/>
        <v>0</v>
      </c>
      <c r="KF212" s="12">
        <f t="shared" si="244"/>
        <v>0</v>
      </c>
      <c r="KG212" s="12">
        <f t="shared" si="245"/>
        <v>0</v>
      </c>
      <c r="KH212" s="12">
        <f t="shared" si="246"/>
        <v>0</v>
      </c>
      <c r="KI212" s="12">
        <f t="shared" si="247"/>
        <v>0</v>
      </c>
      <c r="KJ212" s="12">
        <f t="shared" si="248"/>
        <v>0</v>
      </c>
      <c r="KK212" s="12">
        <f t="shared" si="249"/>
        <v>0</v>
      </c>
      <c r="KL212" s="12">
        <f t="shared" si="250"/>
        <v>0</v>
      </c>
      <c r="KM212" s="12">
        <f t="shared" si="251"/>
        <v>0</v>
      </c>
      <c r="KN212" s="12">
        <f t="shared" si="252"/>
        <v>0</v>
      </c>
      <c r="KO212" s="12">
        <f t="shared" si="253"/>
        <v>0</v>
      </c>
      <c r="KP212" s="12">
        <f t="shared" si="254"/>
        <v>0</v>
      </c>
      <c r="KQ212" s="12">
        <f t="shared" si="255"/>
        <v>0</v>
      </c>
      <c r="KR212" s="12">
        <f t="shared" si="256"/>
        <v>0</v>
      </c>
      <c r="KS212" s="12">
        <f t="shared" si="257"/>
        <v>0</v>
      </c>
      <c r="KT212" s="12">
        <f t="shared" si="258"/>
        <v>0</v>
      </c>
      <c r="KU212" s="12">
        <f t="shared" si="259"/>
        <v>0</v>
      </c>
      <c r="KV212" s="12">
        <f t="shared" si="260"/>
        <v>0</v>
      </c>
      <c r="KW212" s="12">
        <f t="shared" si="261"/>
        <v>0</v>
      </c>
      <c r="KX212" s="12">
        <f t="shared" si="262"/>
        <v>0</v>
      </c>
      <c r="KY212" s="12">
        <f t="shared" si="263"/>
        <v>0</v>
      </c>
      <c r="KZ212" s="12">
        <f t="shared" si="264"/>
        <v>0</v>
      </c>
      <c r="LA212" s="12">
        <f t="shared" si="265"/>
        <v>0</v>
      </c>
      <c r="LB212" s="12">
        <f t="shared" si="266"/>
        <v>0</v>
      </c>
      <c r="LC212" s="12">
        <f t="shared" si="267"/>
        <v>0</v>
      </c>
      <c r="LD212" s="12">
        <f t="shared" si="268"/>
        <v>0</v>
      </c>
      <c r="LE212" s="12">
        <f t="shared" si="269"/>
        <v>0</v>
      </c>
      <c r="LF212" s="12">
        <f t="shared" si="270"/>
        <v>0</v>
      </c>
      <c r="LG212" s="12">
        <f t="shared" si="271"/>
        <v>0</v>
      </c>
      <c r="LH212" s="12">
        <f t="shared" si="272"/>
        <v>0</v>
      </c>
      <c r="LI212" s="12">
        <f t="shared" si="273"/>
        <v>0</v>
      </c>
      <c r="LJ212" s="12">
        <f t="shared" si="274"/>
        <v>0</v>
      </c>
      <c r="LK212" s="12">
        <f t="shared" si="275"/>
        <v>0</v>
      </c>
      <c r="LL212" s="12">
        <f t="shared" si="276"/>
        <v>0</v>
      </c>
      <c r="LM212" s="12">
        <f t="shared" si="277"/>
        <v>0</v>
      </c>
      <c r="LN212" s="12">
        <f t="shared" si="278"/>
        <v>0</v>
      </c>
      <c r="LO212" s="12">
        <f t="shared" si="279"/>
        <v>0</v>
      </c>
      <c r="LP212" s="12">
        <f t="shared" si="280"/>
        <v>0</v>
      </c>
      <c r="LQ212" s="12">
        <f t="shared" si="281"/>
        <v>0</v>
      </c>
      <c r="LR212" s="12">
        <f t="shared" si="282"/>
        <v>0</v>
      </c>
      <c r="LS212" s="12">
        <f t="shared" si="283"/>
        <v>0</v>
      </c>
      <c r="LT212" s="13">
        <f t="shared" si="284"/>
        <v>0</v>
      </c>
      <c r="LU212" s="13">
        <f t="shared" si="285"/>
        <v>0</v>
      </c>
      <c r="LV212" s="13">
        <f t="shared" si="286"/>
        <v>0</v>
      </c>
      <c r="LW212" s="13">
        <f t="shared" si="287"/>
        <v>0</v>
      </c>
      <c r="LX212" s="13">
        <f t="shared" si="288"/>
        <v>0</v>
      </c>
      <c r="LY212" s="13">
        <f t="shared" si="289"/>
        <v>0</v>
      </c>
      <c r="LZ212" s="13">
        <f t="shared" si="290"/>
        <v>0</v>
      </c>
      <c r="MA212" s="13">
        <f t="shared" si="291"/>
        <v>0</v>
      </c>
      <c r="MB212" s="13">
        <f t="shared" si="292"/>
        <v>0</v>
      </c>
      <c r="MC212" s="13">
        <f t="shared" si="293"/>
        <v>0</v>
      </c>
      <c r="MD212" s="13">
        <f t="shared" si="294"/>
        <v>0</v>
      </c>
      <c r="ME212" s="13">
        <f t="shared" si="295"/>
        <v>0</v>
      </c>
      <c r="MF212" s="13">
        <f t="shared" si="296"/>
        <v>0</v>
      </c>
      <c r="MG212" s="13">
        <f t="shared" si="297"/>
        <v>0</v>
      </c>
      <c r="MH212" s="13">
        <f t="shared" si="298"/>
        <v>0</v>
      </c>
      <c r="MI212" s="13">
        <f t="shared" si="299"/>
        <v>0</v>
      </c>
      <c r="MJ212" s="13">
        <f t="shared" si="300"/>
        <v>0</v>
      </c>
      <c r="MK212" s="13">
        <f t="shared" si="301"/>
        <v>0</v>
      </c>
      <c r="ML212" s="14">
        <f t="shared" si="302"/>
        <v>0</v>
      </c>
      <c r="MM212" s="14">
        <f t="shared" si="303"/>
        <v>0</v>
      </c>
      <c r="MN212" s="14">
        <f t="shared" si="304"/>
        <v>0</v>
      </c>
      <c r="MO212" s="14">
        <f t="shared" si="305"/>
        <v>0</v>
      </c>
      <c r="MP212" s="14">
        <f t="shared" si="306"/>
        <v>0</v>
      </c>
      <c r="MQ212" s="14">
        <f t="shared" si="307"/>
        <v>0</v>
      </c>
      <c r="MR212" s="14">
        <f t="shared" si="308"/>
        <v>0</v>
      </c>
      <c r="MS212" s="14">
        <f t="shared" si="309"/>
        <v>0</v>
      </c>
      <c r="MT212" s="14">
        <f t="shared" si="310"/>
        <v>0</v>
      </c>
      <c r="MU212" s="14">
        <f t="shared" si="311"/>
        <v>0</v>
      </c>
      <c r="MV212" s="14">
        <f t="shared" si="312"/>
        <v>0</v>
      </c>
      <c r="MW212" s="14">
        <f t="shared" si="313"/>
        <v>0</v>
      </c>
      <c r="MX212" s="14">
        <f t="shared" si="314"/>
        <v>0</v>
      </c>
      <c r="MY212" s="14">
        <f t="shared" si="315"/>
        <v>0</v>
      </c>
      <c r="MZ212" s="14">
        <f t="shared" si="316"/>
        <v>0</v>
      </c>
      <c r="NA212" s="14">
        <f t="shared" si="317"/>
        <v>0</v>
      </c>
      <c r="NB212" s="14">
        <f t="shared" si="318"/>
        <v>0</v>
      </c>
    </row>
    <row r="213" ht="15.75" customHeight="1">
      <c r="A213" s="2">
        <v>512.0</v>
      </c>
      <c r="B213" s="2" t="s">
        <v>3900</v>
      </c>
      <c r="C213" s="2" t="s">
        <v>3901</v>
      </c>
      <c r="D213" s="2" t="s">
        <v>3902</v>
      </c>
      <c r="E213" s="2">
        <v>2023.0</v>
      </c>
      <c r="F213" s="2" t="s">
        <v>1125</v>
      </c>
      <c r="G213" s="2">
        <v>13.0</v>
      </c>
      <c r="I213" s="2" t="s">
        <v>3903</v>
      </c>
      <c r="N213" s="2" t="s">
        <v>3904</v>
      </c>
      <c r="O213" s="2" t="s">
        <v>3905</v>
      </c>
      <c r="P213" s="2" t="s">
        <v>3906</v>
      </c>
      <c r="Q213" s="2" t="s">
        <v>3907</v>
      </c>
      <c r="R213" s="2" t="s">
        <v>3908</v>
      </c>
      <c r="S213" s="2" t="s">
        <v>3909</v>
      </c>
      <c r="Y213" s="2" t="s">
        <v>3910</v>
      </c>
      <c r="AB213" s="2" t="s">
        <v>1039</v>
      </c>
      <c r="AG213" s="2" t="s">
        <v>1134</v>
      </c>
      <c r="AK213" s="2" t="s">
        <v>1135</v>
      </c>
      <c r="AL213" s="2" t="s">
        <v>384</v>
      </c>
      <c r="AM213" s="2" t="s">
        <v>484</v>
      </c>
      <c r="AN213" s="2" t="s">
        <v>386</v>
      </c>
      <c r="AO213" s="2" t="s">
        <v>3911</v>
      </c>
      <c r="AP213" s="2" t="s">
        <v>386</v>
      </c>
      <c r="AQ213" s="2">
        <v>1982.0</v>
      </c>
      <c r="AR213" s="2" t="s">
        <v>3912</v>
      </c>
      <c r="AS213" s="2" t="b">
        <v>1</v>
      </c>
      <c r="AT213" s="3">
        <v>0.0</v>
      </c>
      <c r="AU213" s="4"/>
      <c r="AV213" s="4"/>
      <c r="AW213" s="5">
        <f t="shared" si="432"/>
        <v>0</v>
      </c>
      <c r="AX213" s="5">
        <f t="shared" si="4"/>
        <v>0</v>
      </c>
      <c r="AY213" s="5">
        <f t="shared" si="5"/>
        <v>0</v>
      </c>
      <c r="AZ213" s="5">
        <f t="shared" si="6"/>
        <v>0</v>
      </c>
      <c r="BA213" s="5">
        <f t="shared" si="7"/>
        <v>0</v>
      </c>
      <c r="BB213" s="5">
        <f t="shared" si="8"/>
        <v>0</v>
      </c>
      <c r="BC213" s="5">
        <f t="shared" si="9"/>
        <v>0</v>
      </c>
      <c r="BD213" s="5">
        <f t="shared" si="10"/>
        <v>0</v>
      </c>
      <c r="BE213" s="5">
        <f t="shared" si="11"/>
        <v>0</v>
      </c>
      <c r="BF213" s="5">
        <f t="shared" si="12"/>
        <v>0</v>
      </c>
      <c r="BG213" s="5">
        <f t="shared" si="13"/>
        <v>0</v>
      </c>
      <c r="BH213" s="5">
        <f t="shared" si="14"/>
        <v>0</v>
      </c>
      <c r="BI213" s="5">
        <f t="shared" si="15"/>
        <v>0</v>
      </c>
      <c r="BJ213" s="5">
        <f t="shared" si="16"/>
        <v>0</v>
      </c>
      <c r="BK213" s="5">
        <f t="shared" si="17"/>
        <v>0</v>
      </c>
      <c r="BL213" s="5">
        <f t="shared" si="18"/>
        <v>0</v>
      </c>
      <c r="BM213" s="5">
        <f t="shared" si="19"/>
        <v>0</v>
      </c>
      <c r="BN213" s="5">
        <f t="shared" si="20"/>
        <v>0</v>
      </c>
      <c r="BO213" s="5">
        <f t="shared" si="21"/>
        <v>0</v>
      </c>
      <c r="BP213" s="5">
        <f t="shared" si="22"/>
        <v>0</v>
      </c>
      <c r="BQ213" s="5">
        <f t="shared" si="23"/>
        <v>0</v>
      </c>
      <c r="BR213" s="5">
        <f t="shared" si="24"/>
        <v>0</v>
      </c>
      <c r="BS213" s="5">
        <f t="shared" si="25"/>
        <v>0</v>
      </c>
      <c r="BT213" s="5">
        <f t="shared" si="26"/>
        <v>0</v>
      </c>
      <c r="BU213" s="5">
        <f t="shared" si="27"/>
        <v>0</v>
      </c>
      <c r="BV213" s="5">
        <f t="shared" ref="BV213:BW213" si="785">IF(OR(ISNUMBER(SEARCH("grit",$D213)),ISNUMBER(SEARCH("grit",$T213)),ISNUMBER(SEARCH("grit",$R213)),ISNUMBER(SEARCH("grit",$S213)),
ISNUMBER(SEARCH("determination",$D213)),ISNUMBER(SEARCH("determination",$T213)),ISNUMBER(SEARCH("determination",$R213)),ISNUMBER(SEARCH("determination",$S213)),
ISNUMBER(SEARCH("tenacity",$D213)),ISNUMBER(SEARCH("tenacity",$T213)),ISNUMBER(SEARCH("tenacity",$R213)),ISNUMBER(SEARCH("tenacity",$S213)),
ISNUMBER(SEARCH("endurance",$D213)),ISNUMBER(SEARCH("endurance",$T213)),ISNUMBER(SEARCH("endurance",$R213)),ISNUMBER(SEARCH("endurance",$S213)),
ISNUMBER(SEARCH("fortitude",$D213)),ISNUMBER(SEARCH("fortitude",$T213)),ISNUMBER(SEARCH("fortitude",$R213)),ISNUMBER(SEARCH("fortitude",$S213)),
ISNUMBER(SEARCH("resolve",$D213)),ISNUMBER(SEARCH("resolve",$T213)),ISNUMBER(SEARCH("resolve",$R213)),ISNUMBER(SEARCH("resolve",$S213)),
ISNUMBER(SEARCH("stamina",$D213)),ISNUMBER(SEARCH("stamina",$T213)),ISNUMBER(SEARCH("stamina",$R213)),ISNUMBER(SEARCH("stamina",$S213)),
ISNUMBER(SEARCH("guts",$D213)),ISNUMBER(SEARCH("guts",$T213)),ISNUMBER(SEARCH("guts",$R213)),ISNUMBER(SEARCH("guts",$S213)),
ISNUMBER(SEARCH("spunk",$D213)),ISNUMBER(SEARCH("spunk",$T213)),ISNUMBER(SEARCH("spunk",$R213)),ISNUMBER(SEARCH("spunk",$S213))), 1, 0)</f>
        <v>0</v>
      </c>
      <c r="BW213" s="5">
        <f t="shared" si="785"/>
        <v>0</v>
      </c>
      <c r="BX213" s="5">
        <f t="shared" si="29"/>
        <v>0</v>
      </c>
      <c r="BY213" s="5">
        <f t="shared" si="30"/>
        <v>0</v>
      </c>
      <c r="BZ213" s="5">
        <f t="shared" si="31"/>
        <v>0</v>
      </c>
      <c r="CA213" s="5">
        <f t="shared" si="32"/>
        <v>0</v>
      </c>
      <c r="CB213" s="5">
        <f t="shared" si="33"/>
        <v>0</v>
      </c>
      <c r="CC213" s="5">
        <f t="shared" si="34"/>
        <v>0</v>
      </c>
      <c r="CD213" s="5">
        <f t="shared" si="35"/>
        <v>0</v>
      </c>
      <c r="CE213" s="5">
        <f t="shared" si="36"/>
        <v>0</v>
      </c>
      <c r="CF213" s="5">
        <f t="shared" si="37"/>
        <v>0</v>
      </c>
      <c r="CG213" s="5">
        <f t="shared" si="38"/>
        <v>0</v>
      </c>
      <c r="CH213" s="5">
        <f t="shared" si="39"/>
        <v>0</v>
      </c>
      <c r="CI213" s="5">
        <f t="shared" si="40"/>
        <v>0</v>
      </c>
      <c r="CJ213" s="5">
        <f t="shared" si="41"/>
        <v>0</v>
      </c>
      <c r="CK213" s="5">
        <f t="shared" si="42"/>
        <v>0</v>
      </c>
      <c r="CL213" s="5">
        <f t="shared" si="43"/>
        <v>0</v>
      </c>
      <c r="CM213" s="5">
        <f t="shared" si="44"/>
        <v>0</v>
      </c>
      <c r="CN213" s="5">
        <f t="shared" si="45"/>
        <v>0</v>
      </c>
      <c r="CO213" s="5">
        <f t="shared" si="46"/>
        <v>0</v>
      </c>
      <c r="CP213" s="6">
        <f t="shared" si="47"/>
        <v>0</v>
      </c>
      <c r="CQ213" s="6">
        <f t="shared" si="48"/>
        <v>0</v>
      </c>
      <c r="CR213" s="6">
        <f t="shared" si="49"/>
        <v>0</v>
      </c>
      <c r="CS213" s="6">
        <f t="shared" si="50"/>
        <v>0</v>
      </c>
      <c r="CT213" s="6">
        <f t="shared" si="584"/>
        <v>0</v>
      </c>
      <c r="CU213" s="6">
        <f t="shared" si="52"/>
        <v>0</v>
      </c>
      <c r="CV213" s="6">
        <f t="shared" si="53"/>
        <v>0</v>
      </c>
      <c r="CW213" s="6">
        <f t="shared" si="54"/>
        <v>0</v>
      </c>
      <c r="CX213" s="6">
        <f t="shared" si="55"/>
        <v>0</v>
      </c>
      <c r="CY213" s="6">
        <f t="shared" si="56"/>
        <v>0</v>
      </c>
      <c r="CZ213" s="6">
        <f t="shared" si="57"/>
        <v>0</v>
      </c>
      <c r="DA213" s="6">
        <f t="shared" si="58"/>
        <v>0</v>
      </c>
      <c r="DB213" s="6">
        <f t="shared" si="59"/>
        <v>0</v>
      </c>
      <c r="DC213" s="6">
        <f t="shared" si="60"/>
        <v>0</v>
      </c>
      <c r="DD213" s="6">
        <f t="shared" si="61"/>
        <v>0</v>
      </c>
      <c r="DE213" s="6">
        <f t="shared" si="62"/>
        <v>0</v>
      </c>
      <c r="DF213" s="6">
        <f t="shared" si="63"/>
        <v>0</v>
      </c>
      <c r="DG213" s="6">
        <f t="shared" si="64"/>
        <v>0</v>
      </c>
      <c r="DH213" s="6">
        <f t="shared" si="697"/>
        <v>0</v>
      </c>
      <c r="DI213" s="6">
        <f t="shared" si="66"/>
        <v>0</v>
      </c>
      <c r="DJ213" s="6">
        <f t="shared" si="653"/>
        <v>0</v>
      </c>
      <c r="DK213" s="7">
        <f t="shared" si="68"/>
        <v>0</v>
      </c>
      <c r="DL213" s="7">
        <f t="shared" si="498"/>
        <v>0</v>
      </c>
      <c r="DM213" s="7">
        <f t="shared" si="70"/>
        <v>0</v>
      </c>
      <c r="DN213" s="7">
        <f t="shared" si="71"/>
        <v>0</v>
      </c>
      <c r="DO213" s="7">
        <f t="shared" si="72"/>
        <v>1</v>
      </c>
      <c r="DP213" s="8">
        <f t="shared" si="73"/>
        <v>0</v>
      </c>
      <c r="DQ213" s="8">
        <f t="shared" si="74"/>
        <v>0</v>
      </c>
      <c r="DR213" s="7">
        <f t="shared" si="75"/>
        <v>0</v>
      </c>
      <c r="DS213" s="7">
        <f t="shared" si="76"/>
        <v>0</v>
      </c>
      <c r="DT213" s="7">
        <f t="shared" si="77"/>
        <v>0</v>
      </c>
      <c r="DU213" s="9">
        <f t="shared" si="78"/>
        <v>0</v>
      </c>
      <c r="DV213" s="9">
        <f t="shared" si="79"/>
        <v>0</v>
      </c>
      <c r="DW213" s="9">
        <f t="shared" si="80"/>
        <v>0</v>
      </c>
      <c r="DX213" s="9">
        <f t="shared" si="81"/>
        <v>0</v>
      </c>
      <c r="DY213" s="9">
        <f t="shared" si="82"/>
        <v>0</v>
      </c>
      <c r="DZ213" s="9">
        <f t="shared" si="83"/>
        <v>0</v>
      </c>
      <c r="EA213" s="9">
        <f t="shared" si="84"/>
        <v>0</v>
      </c>
      <c r="EB213" s="9">
        <f t="shared" si="85"/>
        <v>0</v>
      </c>
      <c r="EC213" s="9">
        <f t="shared" si="86"/>
        <v>0</v>
      </c>
      <c r="ED213" s="9">
        <f t="shared" si="87"/>
        <v>0</v>
      </c>
      <c r="EE213" s="9">
        <f t="shared" si="88"/>
        <v>0</v>
      </c>
      <c r="EF213" s="9">
        <f t="shared" si="89"/>
        <v>0</v>
      </c>
      <c r="EG213" s="9">
        <f t="shared" si="90"/>
        <v>0</v>
      </c>
      <c r="EH213" s="9">
        <f t="shared" si="91"/>
        <v>0</v>
      </c>
      <c r="EI213" s="9">
        <f t="shared" si="92"/>
        <v>0</v>
      </c>
      <c r="EJ213" s="10">
        <f t="shared" si="93"/>
        <v>0</v>
      </c>
      <c r="EK213" s="10">
        <f t="shared" si="94"/>
        <v>0</v>
      </c>
      <c r="EL213" s="10">
        <f t="shared" ref="EL213:EM213" si="786">IF(OR(ISNUMBER(SEARCH("ai software toolkit", $D213)), ISNUMBER(SEARCH("ai software toolkit", $T213)), ISNUMBER(SEARCH("ai software toolkit", $R213)), ISNUMBER(SEARCH("ai software toolkit", $S213))), 1, 0)</f>
        <v>0</v>
      </c>
      <c r="EM213" s="10">
        <f t="shared" si="786"/>
        <v>0</v>
      </c>
      <c r="EN213" s="10">
        <f t="shared" si="96"/>
        <v>0</v>
      </c>
      <c r="EO213" s="10">
        <f t="shared" si="97"/>
        <v>0</v>
      </c>
      <c r="EP213" s="10">
        <f t="shared" si="98"/>
        <v>0</v>
      </c>
      <c r="EQ213" s="10">
        <f t="shared" si="99"/>
        <v>0</v>
      </c>
      <c r="ER213" s="10">
        <f t="shared" si="100"/>
        <v>0</v>
      </c>
      <c r="ES213" s="10">
        <f t="shared" si="101"/>
        <v>0</v>
      </c>
      <c r="ET213" s="10">
        <f t="shared" si="102"/>
        <v>0</v>
      </c>
      <c r="EU213" s="10">
        <f t="shared" si="103"/>
        <v>0</v>
      </c>
      <c r="EV213" s="10">
        <f t="shared" si="104"/>
        <v>0</v>
      </c>
      <c r="EW213" s="10">
        <f t="shared" si="105"/>
        <v>0</v>
      </c>
      <c r="EX213" s="10">
        <f t="shared" si="106"/>
        <v>0</v>
      </c>
      <c r="EY213" s="10">
        <f t="shared" si="107"/>
        <v>0</v>
      </c>
      <c r="EZ213" s="10">
        <f t="shared" si="108"/>
        <v>0</v>
      </c>
      <c r="FA213" s="10">
        <f t="shared" si="109"/>
        <v>0</v>
      </c>
      <c r="FB213" s="10">
        <f t="shared" si="110"/>
        <v>0</v>
      </c>
      <c r="FC213" s="10">
        <f t="shared" si="111"/>
        <v>0</v>
      </c>
      <c r="FD213" s="10">
        <f t="shared" si="112"/>
        <v>0</v>
      </c>
      <c r="FE213" s="10">
        <f t="shared" si="782"/>
        <v>0</v>
      </c>
      <c r="FF213" s="10">
        <f t="shared" si="114"/>
        <v>0</v>
      </c>
      <c r="FG213" s="10">
        <f t="shared" si="115"/>
        <v>0</v>
      </c>
      <c r="FH213" s="10">
        <f t="shared" si="116"/>
        <v>0</v>
      </c>
      <c r="FI213" s="10">
        <f t="shared" si="117"/>
        <v>0</v>
      </c>
      <c r="FJ213" s="10">
        <f t="shared" si="118"/>
        <v>0</v>
      </c>
      <c r="FK213" s="10">
        <f t="shared" si="119"/>
        <v>0</v>
      </c>
      <c r="FL213" s="10">
        <f t="shared" si="120"/>
        <v>0</v>
      </c>
      <c r="FM213" s="10">
        <f t="shared" si="121"/>
        <v>0</v>
      </c>
      <c r="FN213" s="10">
        <f t="shared" si="122"/>
        <v>0</v>
      </c>
      <c r="FO213" s="10">
        <f t="shared" si="123"/>
        <v>0</v>
      </c>
      <c r="FP213" s="10">
        <f t="shared" si="124"/>
        <v>0</v>
      </c>
      <c r="FQ213" s="10">
        <f t="shared" si="125"/>
        <v>0</v>
      </c>
      <c r="FR213" s="11">
        <f t="shared" si="767"/>
        <v>0</v>
      </c>
      <c r="FS213" s="11">
        <f t="shared" si="127"/>
        <v>0</v>
      </c>
      <c r="FT213" s="11">
        <f t="shared" si="128"/>
        <v>0</v>
      </c>
      <c r="FU213" s="11">
        <f t="shared" si="129"/>
        <v>0</v>
      </c>
      <c r="FV213" s="11">
        <f t="shared" si="130"/>
        <v>0</v>
      </c>
      <c r="FW213" s="11">
        <f t="shared" si="131"/>
        <v>0</v>
      </c>
      <c r="FX213" s="11">
        <f t="shared" si="132"/>
        <v>0</v>
      </c>
      <c r="FY213" s="11">
        <f t="shared" si="133"/>
        <v>0</v>
      </c>
      <c r="FZ213" s="11">
        <f t="shared" si="134"/>
        <v>0</v>
      </c>
      <c r="GA213" s="11">
        <f t="shared" si="135"/>
        <v>0</v>
      </c>
      <c r="GB213" s="11">
        <f t="shared" si="136"/>
        <v>0</v>
      </c>
      <c r="GC213" s="11">
        <f t="shared" si="137"/>
        <v>0</v>
      </c>
      <c r="GD213" s="11">
        <f t="shared" si="138"/>
        <v>0</v>
      </c>
      <c r="GE213" s="11">
        <f t="shared" si="139"/>
        <v>0</v>
      </c>
      <c r="GF213" s="11">
        <f t="shared" si="140"/>
        <v>0</v>
      </c>
      <c r="GG213" s="11">
        <f t="shared" si="141"/>
        <v>0</v>
      </c>
      <c r="GH213" s="11">
        <f t="shared" si="142"/>
        <v>0</v>
      </c>
      <c r="GI213" s="11">
        <f t="shared" si="143"/>
        <v>0</v>
      </c>
      <c r="GJ213" s="11">
        <f t="shared" si="144"/>
        <v>0</v>
      </c>
      <c r="GK213" s="11">
        <f t="shared" si="145"/>
        <v>0</v>
      </c>
      <c r="GL213" s="11">
        <f t="shared" si="146"/>
        <v>0</v>
      </c>
      <c r="GM213" s="11">
        <f t="shared" si="147"/>
        <v>0</v>
      </c>
      <c r="GN213" s="11">
        <f t="shared" si="148"/>
        <v>0</v>
      </c>
      <c r="GO213" s="11">
        <f t="shared" si="149"/>
        <v>0</v>
      </c>
      <c r="GP213" s="11">
        <f t="shared" si="150"/>
        <v>0</v>
      </c>
      <c r="GQ213" s="11">
        <f t="shared" si="151"/>
        <v>0</v>
      </c>
      <c r="GR213" s="11">
        <f t="shared" si="152"/>
        <v>0</v>
      </c>
      <c r="GS213" s="11">
        <f t="shared" si="153"/>
        <v>0</v>
      </c>
      <c r="GT213" s="11">
        <f t="shared" si="154"/>
        <v>0</v>
      </c>
      <c r="GU213" s="12">
        <f t="shared" si="155"/>
        <v>0</v>
      </c>
      <c r="GV213" s="12">
        <f t="shared" si="156"/>
        <v>0</v>
      </c>
      <c r="GW213" s="12">
        <f t="shared" si="157"/>
        <v>0</v>
      </c>
      <c r="GX213" s="12">
        <f t="shared" si="158"/>
        <v>0</v>
      </c>
      <c r="GY213" s="12">
        <f t="shared" si="159"/>
        <v>0</v>
      </c>
      <c r="GZ213" s="12">
        <f t="shared" si="160"/>
        <v>0</v>
      </c>
      <c r="HA213" s="12">
        <f t="shared" si="161"/>
        <v>0</v>
      </c>
      <c r="HB213" s="12">
        <f t="shared" si="162"/>
        <v>0</v>
      </c>
      <c r="HC213" s="12">
        <f t="shared" si="163"/>
        <v>0</v>
      </c>
      <c r="HD213" s="12">
        <f t="shared" si="164"/>
        <v>0</v>
      </c>
      <c r="HE213" s="12">
        <f t="shared" si="165"/>
        <v>0</v>
      </c>
      <c r="HF213" s="12">
        <f t="shared" si="166"/>
        <v>0</v>
      </c>
      <c r="HG213" s="12">
        <f t="shared" si="167"/>
        <v>0</v>
      </c>
      <c r="HH213" s="12">
        <f t="shared" si="168"/>
        <v>0</v>
      </c>
      <c r="HI213" s="12">
        <f t="shared" si="169"/>
        <v>0</v>
      </c>
      <c r="HJ213" s="12">
        <f t="shared" si="170"/>
        <v>0</v>
      </c>
      <c r="HK213" s="12">
        <f t="shared" si="171"/>
        <v>0</v>
      </c>
      <c r="HL213" s="12">
        <f t="shared" si="172"/>
        <v>0</v>
      </c>
      <c r="HM213" s="12">
        <f t="shared" si="173"/>
        <v>0</v>
      </c>
      <c r="HN213" s="12">
        <f t="shared" si="174"/>
        <v>0</v>
      </c>
      <c r="HO213" s="12">
        <f t="shared" si="175"/>
        <v>0</v>
      </c>
      <c r="HP213" s="12">
        <f t="shared" si="176"/>
        <v>0</v>
      </c>
      <c r="HQ213" s="12">
        <f t="shared" si="177"/>
        <v>0</v>
      </c>
      <c r="HR213" s="12">
        <f t="shared" si="178"/>
        <v>0</v>
      </c>
      <c r="HS213" s="12">
        <f t="shared" si="179"/>
        <v>0</v>
      </c>
      <c r="HT213" s="12">
        <f t="shared" si="180"/>
        <v>0</v>
      </c>
      <c r="HU213" s="12">
        <f t="shared" si="181"/>
        <v>0</v>
      </c>
      <c r="HV213" s="12">
        <f t="shared" si="182"/>
        <v>0</v>
      </c>
      <c r="HW213" s="12">
        <f t="shared" si="183"/>
        <v>0</v>
      </c>
      <c r="HX213" s="12">
        <f t="shared" si="184"/>
        <v>0</v>
      </c>
      <c r="HY213" s="12">
        <f t="shared" si="185"/>
        <v>0</v>
      </c>
      <c r="HZ213" s="12">
        <f t="shared" si="186"/>
        <v>0</v>
      </c>
      <c r="IA213" s="12">
        <f t="shared" si="187"/>
        <v>0</v>
      </c>
      <c r="IB213" s="12">
        <f t="shared" si="188"/>
        <v>0</v>
      </c>
      <c r="IC213" s="12">
        <f t="shared" si="189"/>
        <v>0</v>
      </c>
      <c r="ID213" s="12">
        <f t="shared" si="190"/>
        <v>0</v>
      </c>
      <c r="IE213" s="12">
        <f t="shared" si="191"/>
        <v>0</v>
      </c>
      <c r="IF213" s="12">
        <f t="shared" si="192"/>
        <v>0</v>
      </c>
      <c r="IG213" s="12">
        <f t="shared" si="193"/>
        <v>0</v>
      </c>
      <c r="IH213" s="12">
        <f t="shared" si="194"/>
        <v>0</v>
      </c>
      <c r="II213" s="12">
        <f t="shared" si="195"/>
        <v>0</v>
      </c>
      <c r="IJ213" s="12">
        <f t="shared" si="196"/>
        <v>0</v>
      </c>
      <c r="IK213" s="12">
        <f t="shared" si="197"/>
        <v>0</v>
      </c>
      <c r="IL213" s="12">
        <f t="shared" si="198"/>
        <v>0</v>
      </c>
      <c r="IM213" s="12">
        <f t="shared" si="199"/>
        <v>0</v>
      </c>
      <c r="IN213" s="12">
        <f t="shared" si="200"/>
        <v>0</v>
      </c>
      <c r="IO213" s="12">
        <f t="shared" si="201"/>
        <v>0</v>
      </c>
      <c r="IP213" s="12">
        <f t="shared" si="202"/>
        <v>0</v>
      </c>
      <c r="IQ213" s="12">
        <f t="shared" si="203"/>
        <v>0</v>
      </c>
      <c r="IR213" s="12">
        <f t="shared" si="204"/>
        <v>0</v>
      </c>
      <c r="IS213" s="12">
        <f t="shared" si="205"/>
        <v>0</v>
      </c>
      <c r="IT213" s="12">
        <f t="shared" si="206"/>
        <v>0</v>
      </c>
      <c r="IU213" s="12">
        <f t="shared" si="207"/>
        <v>0</v>
      </c>
      <c r="IV213" s="12">
        <f t="shared" si="208"/>
        <v>0</v>
      </c>
      <c r="IW213" s="12">
        <f t="shared" si="209"/>
        <v>0</v>
      </c>
      <c r="IX213" s="12">
        <f t="shared" si="210"/>
        <v>0</v>
      </c>
      <c r="IY213" s="12">
        <f t="shared" si="211"/>
        <v>0</v>
      </c>
      <c r="IZ213" s="12">
        <f t="shared" si="212"/>
        <v>1</v>
      </c>
      <c r="JA213" s="13">
        <f t="shared" si="213"/>
        <v>0</v>
      </c>
      <c r="JB213" s="13">
        <f t="shared" si="214"/>
        <v>0</v>
      </c>
      <c r="JC213" s="13">
        <f t="shared" si="215"/>
        <v>0</v>
      </c>
      <c r="JD213" s="13">
        <f t="shared" si="216"/>
        <v>0</v>
      </c>
      <c r="JE213" s="13">
        <f t="shared" si="217"/>
        <v>0</v>
      </c>
      <c r="JF213" s="13">
        <f t="shared" si="218"/>
        <v>0</v>
      </c>
      <c r="JG213" s="13">
        <f t="shared" si="219"/>
        <v>0</v>
      </c>
      <c r="JH213" s="13">
        <f t="shared" si="220"/>
        <v>0</v>
      </c>
      <c r="JI213" s="13">
        <f t="shared" si="221"/>
        <v>0</v>
      </c>
      <c r="JJ213" s="13">
        <f t="shared" si="222"/>
        <v>0</v>
      </c>
      <c r="JK213" s="13">
        <f t="shared" si="223"/>
        <v>0</v>
      </c>
      <c r="JL213" s="13">
        <f t="shared" si="224"/>
        <v>0</v>
      </c>
      <c r="JM213" s="13">
        <f t="shared" si="225"/>
        <v>0</v>
      </c>
      <c r="JN213" s="13">
        <f t="shared" si="226"/>
        <v>0</v>
      </c>
      <c r="JO213" s="13">
        <f t="shared" si="227"/>
        <v>0</v>
      </c>
      <c r="JP213" s="13">
        <f t="shared" si="228"/>
        <v>0</v>
      </c>
      <c r="JQ213" s="13">
        <f t="shared" si="229"/>
        <v>0</v>
      </c>
      <c r="JR213" s="13">
        <f t="shared" si="230"/>
        <v>0</v>
      </c>
      <c r="JS213" s="13">
        <f t="shared" si="231"/>
        <v>0</v>
      </c>
      <c r="JT213" s="13">
        <f t="shared" si="232"/>
        <v>0</v>
      </c>
      <c r="JU213" s="13">
        <f t="shared" si="233"/>
        <v>0</v>
      </c>
      <c r="JV213" s="12">
        <f t="shared" si="234"/>
        <v>0</v>
      </c>
      <c r="JW213" s="12">
        <f t="shared" si="235"/>
        <v>0</v>
      </c>
      <c r="JX213" s="12">
        <f t="shared" si="236"/>
        <v>0</v>
      </c>
      <c r="JY213" s="12">
        <f t="shared" si="237"/>
        <v>0</v>
      </c>
      <c r="JZ213" s="12">
        <f t="shared" si="238"/>
        <v>0</v>
      </c>
      <c r="KA213" s="12">
        <f t="shared" si="239"/>
        <v>0</v>
      </c>
      <c r="KB213" s="12">
        <f t="shared" si="240"/>
        <v>0</v>
      </c>
      <c r="KC213" s="12">
        <f t="shared" si="241"/>
        <v>0</v>
      </c>
      <c r="KD213" s="12">
        <f t="shared" si="242"/>
        <v>0</v>
      </c>
      <c r="KE213" s="12">
        <f t="shared" si="243"/>
        <v>0</v>
      </c>
      <c r="KF213" s="12">
        <f t="shared" si="244"/>
        <v>0</v>
      </c>
      <c r="KG213" s="12">
        <f t="shared" si="245"/>
        <v>0</v>
      </c>
      <c r="KH213" s="12">
        <f t="shared" si="246"/>
        <v>0</v>
      </c>
      <c r="KI213" s="12">
        <f t="shared" si="247"/>
        <v>0</v>
      </c>
      <c r="KJ213" s="12">
        <f t="shared" si="248"/>
        <v>0</v>
      </c>
      <c r="KK213" s="12">
        <f t="shared" si="249"/>
        <v>0</v>
      </c>
      <c r="KL213" s="12">
        <f t="shared" si="250"/>
        <v>0</v>
      </c>
      <c r="KM213" s="12">
        <f t="shared" si="251"/>
        <v>0</v>
      </c>
      <c r="KN213" s="12">
        <f t="shared" si="252"/>
        <v>0</v>
      </c>
      <c r="KO213" s="12">
        <f t="shared" si="253"/>
        <v>0</v>
      </c>
      <c r="KP213" s="12">
        <f t="shared" si="254"/>
        <v>0</v>
      </c>
      <c r="KQ213" s="12">
        <f t="shared" si="255"/>
        <v>0</v>
      </c>
      <c r="KR213" s="12">
        <f t="shared" si="256"/>
        <v>0</v>
      </c>
      <c r="KS213" s="12">
        <f t="shared" si="257"/>
        <v>0</v>
      </c>
      <c r="KT213" s="12">
        <f t="shared" si="258"/>
        <v>0</v>
      </c>
      <c r="KU213" s="12">
        <f t="shared" si="259"/>
        <v>0</v>
      </c>
      <c r="KV213" s="12">
        <f t="shared" si="260"/>
        <v>0</v>
      </c>
      <c r="KW213" s="12">
        <f t="shared" si="261"/>
        <v>0</v>
      </c>
      <c r="KX213" s="12">
        <f t="shared" si="262"/>
        <v>0</v>
      </c>
      <c r="KY213" s="12">
        <f t="shared" si="263"/>
        <v>0</v>
      </c>
      <c r="KZ213" s="12">
        <f t="shared" si="264"/>
        <v>0</v>
      </c>
      <c r="LA213" s="12">
        <f t="shared" si="265"/>
        <v>0</v>
      </c>
      <c r="LB213" s="12">
        <f t="shared" si="266"/>
        <v>0</v>
      </c>
      <c r="LC213" s="12">
        <f t="shared" si="267"/>
        <v>0</v>
      </c>
      <c r="LD213" s="12">
        <f t="shared" si="268"/>
        <v>0</v>
      </c>
      <c r="LE213" s="12">
        <f t="shared" si="269"/>
        <v>0</v>
      </c>
      <c r="LF213" s="12">
        <f t="shared" si="270"/>
        <v>0</v>
      </c>
      <c r="LG213" s="12">
        <f t="shared" si="271"/>
        <v>0</v>
      </c>
      <c r="LH213" s="12">
        <f t="shared" si="272"/>
        <v>0</v>
      </c>
      <c r="LI213" s="12">
        <f t="shared" si="273"/>
        <v>0</v>
      </c>
      <c r="LJ213" s="12">
        <f t="shared" si="274"/>
        <v>0</v>
      </c>
      <c r="LK213" s="12">
        <f t="shared" si="275"/>
        <v>0</v>
      </c>
      <c r="LL213" s="12">
        <f t="shared" si="276"/>
        <v>0</v>
      </c>
      <c r="LM213" s="12">
        <f t="shared" si="277"/>
        <v>0</v>
      </c>
      <c r="LN213" s="12">
        <f t="shared" si="278"/>
        <v>0</v>
      </c>
      <c r="LO213" s="12">
        <f t="shared" si="279"/>
        <v>0</v>
      </c>
      <c r="LP213" s="12">
        <f t="shared" si="280"/>
        <v>0</v>
      </c>
      <c r="LQ213" s="12">
        <f t="shared" si="281"/>
        <v>0</v>
      </c>
      <c r="LR213" s="12">
        <f t="shared" si="282"/>
        <v>0</v>
      </c>
      <c r="LS213" s="12">
        <f t="shared" si="283"/>
        <v>0</v>
      </c>
      <c r="LT213" s="13">
        <f t="shared" si="284"/>
        <v>0</v>
      </c>
      <c r="LU213" s="13">
        <f t="shared" si="285"/>
        <v>0</v>
      </c>
      <c r="LV213" s="13">
        <f t="shared" si="286"/>
        <v>0</v>
      </c>
      <c r="LW213" s="13">
        <f t="shared" si="287"/>
        <v>0</v>
      </c>
      <c r="LX213" s="13">
        <f t="shared" si="288"/>
        <v>0</v>
      </c>
      <c r="LY213" s="13">
        <f t="shared" si="289"/>
        <v>0</v>
      </c>
      <c r="LZ213" s="13">
        <f t="shared" si="290"/>
        <v>0</v>
      </c>
      <c r="MA213" s="13">
        <f t="shared" si="291"/>
        <v>0</v>
      </c>
      <c r="MB213" s="13">
        <f t="shared" si="292"/>
        <v>0</v>
      </c>
      <c r="MC213" s="13">
        <f t="shared" si="293"/>
        <v>0</v>
      </c>
      <c r="MD213" s="13">
        <f t="shared" si="294"/>
        <v>0</v>
      </c>
      <c r="ME213" s="13">
        <f t="shared" si="295"/>
        <v>0</v>
      </c>
      <c r="MF213" s="13">
        <f t="shared" si="296"/>
        <v>0</v>
      </c>
      <c r="MG213" s="13">
        <f t="shared" si="297"/>
        <v>0</v>
      </c>
      <c r="MH213" s="13">
        <f t="shared" si="298"/>
        <v>0</v>
      </c>
      <c r="MI213" s="13">
        <f t="shared" si="299"/>
        <v>0</v>
      </c>
      <c r="MJ213" s="13">
        <f t="shared" si="300"/>
        <v>0</v>
      </c>
      <c r="MK213" s="13">
        <f t="shared" si="301"/>
        <v>0</v>
      </c>
      <c r="ML213" s="14">
        <f t="shared" si="302"/>
        <v>0</v>
      </c>
      <c r="MM213" s="14">
        <f t="shared" si="303"/>
        <v>0</v>
      </c>
      <c r="MN213" s="14">
        <f t="shared" si="304"/>
        <v>0</v>
      </c>
      <c r="MO213" s="14">
        <f t="shared" si="305"/>
        <v>0</v>
      </c>
      <c r="MP213" s="14">
        <f t="shared" si="306"/>
        <v>0</v>
      </c>
      <c r="MQ213" s="14">
        <f t="shared" si="307"/>
        <v>0</v>
      </c>
      <c r="MR213" s="14">
        <f t="shared" si="308"/>
        <v>0</v>
      </c>
      <c r="MS213" s="14">
        <f t="shared" si="309"/>
        <v>0</v>
      </c>
      <c r="MT213" s="14">
        <f t="shared" si="310"/>
        <v>0</v>
      </c>
      <c r="MU213" s="14">
        <f t="shared" si="311"/>
        <v>0</v>
      </c>
      <c r="MV213" s="14">
        <f t="shared" si="312"/>
        <v>0</v>
      </c>
      <c r="MW213" s="14">
        <f t="shared" si="313"/>
        <v>0</v>
      </c>
      <c r="MX213" s="14">
        <f t="shared" si="314"/>
        <v>0</v>
      </c>
      <c r="MY213" s="14">
        <f t="shared" si="315"/>
        <v>0</v>
      </c>
      <c r="MZ213" s="14">
        <f t="shared" si="316"/>
        <v>0</v>
      </c>
      <c r="NA213" s="14">
        <f t="shared" si="317"/>
        <v>1</v>
      </c>
      <c r="NB213" s="14">
        <f t="shared" si="318"/>
        <v>0</v>
      </c>
    </row>
    <row r="214" ht="15.75" customHeight="1">
      <c r="A214" s="2">
        <v>531.0</v>
      </c>
      <c r="B214" s="2" t="s">
        <v>3913</v>
      </c>
      <c r="C214" s="2" t="s">
        <v>3914</v>
      </c>
      <c r="D214" s="2" t="s">
        <v>3915</v>
      </c>
      <c r="E214" s="2">
        <v>2023.0</v>
      </c>
      <c r="F214" s="2" t="s">
        <v>3916</v>
      </c>
      <c r="G214" s="2">
        <v>45.0</v>
      </c>
      <c r="H214" s="2" t="s">
        <v>510</v>
      </c>
      <c r="J214" s="2" t="s">
        <v>3917</v>
      </c>
      <c r="K214" s="2" t="s">
        <v>3918</v>
      </c>
      <c r="N214" s="2" t="s">
        <v>3919</v>
      </c>
      <c r="O214" s="2" t="s">
        <v>3920</v>
      </c>
      <c r="P214" s="2" t="s">
        <v>3921</v>
      </c>
      <c r="Q214" s="2" t="s">
        <v>3922</v>
      </c>
      <c r="R214" s="2" t="s">
        <v>3923</v>
      </c>
      <c r="S214" s="2" t="s">
        <v>3924</v>
      </c>
      <c r="T214" s="2" t="s">
        <v>3925</v>
      </c>
      <c r="Y214" s="2" t="s">
        <v>3926</v>
      </c>
      <c r="AB214" s="2" t="s">
        <v>3707</v>
      </c>
      <c r="AG214" s="2" t="s">
        <v>3927</v>
      </c>
      <c r="AI214" s="2" t="s">
        <v>3928</v>
      </c>
      <c r="AK214" s="2" t="s">
        <v>3929</v>
      </c>
      <c r="AL214" s="2" t="s">
        <v>384</v>
      </c>
      <c r="AM214" s="2" t="s">
        <v>2613</v>
      </c>
      <c r="AN214" s="2" t="s">
        <v>386</v>
      </c>
      <c r="AO214" s="2" t="s">
        <v>3930</v>
      </c>
      <c r="AP214" s="2" t="s">
        <v>386</v>
      </c>
      <c r="AQ214" s="2">
        <v>2061.0</v>
      </c>
      <c r="AR214" s="2" t="s">
        <v>3931</v>
      </c>
      <c r="AS214" s="2" t="b">
        <v>0</v>
      </c>
      <c r="AT214" s="3">
        <v>0.0</v>
      </c>
      <c r="AU214" s="4"/>
      <c r="AV214" s="4"/>
      <c r="AW214" s="5">
        <f t="shared" si="432"/>
        <v>0</v>
      </c>
      <c r="AX214" s="5">
        <f t="shared" si="4"/>
        <v>0</v>
      </c>
      <c r="AY214" s="5">
        <f t="shared" si="5"/>
        <v>0</v>
      </c>
      <c r="AZ214" s="5">
        <f t="shared" si="6"/>
        <v>0</v>
      </c>
      <c r="BA214" s="5">
        <f t="shared" si="7"/>
        <v>0</v>
      </c>
      <c r="BB214" s="5">
        <f t="shared" si="8"/>
        <v>0</v>
      </c>
      <c r="BC214" s="5">
        <f t="shared" si="9"/>
        <v>0</v>
      </c>
      <c r="BD214" s="5">
        <f t="shared" si="10"/>
        <v>0</v>
      </c>
      <c r="BE214" s="5">
        <f t="shared" si="11"/>
        <v>0</v>
      </c>
      <c r="BF214" s="5">
        <f t="shared" si="12"/>
        <v>0</v>
      </c>
      <c r="BG214" s="5">
        <f t="shared" si="13"/>
        <v>0</v>
      </c>
      <c r="BH214" s="5">
        <f t="shared" si="14"/>
        <v>0</v>
      </c>
      <c r="BI214" s="5">
        <f t="shared" si="15"/>
        <v>0</v>
      </c>
      <c r="BJ214" s="5">
        <f t="shared" si="16"/>
        <v>0</v>
      </c>
      <c r="BK214" s="5">
        <f t="shared" si="17"/>
        <v>0</v>
      </c>
      <c r="BL214" s="5">
        <f t="shared" si="18"/>
        <v>0</v>
      </c>
      <c r="BM214" s="5">
        <f t="shared" si="19"/>
        <v>0</v>
      </c>
      <c r="BN214" s="5">
        <f t="shared" si="20"/>
        <v>0</v>
      </c>
      <c r="BO214" s="5">
        <f t="shared" si="21"/>
        <v>0</v>
      </c>
      <c r="BP214" s="5">
        <f t="shared" si="22"/>
        <v>0</v>
      </c>
      <c r="BQ214" s="5">
        <f t="shared" si="23"/>
        <v>0</v>
      </c>
      <c r="BR214" s="5">
        <f t="shared" si="24"/>
        <v>0</v>
      </c>
      <c r="BS214" s="5">
        <f t="shared" si="25"/>
        <v>0</v>
      </c>
      <c r="BT214" s="5">
        <f t="shared" si="26"/>
        <v>0</v>
      </c>
      <c r="BU214" s="5">
        <f t="shared" si="27"/>
        <v>0</v>
      </c>
      <c r="BV214" s="5">
        <f t="shared" ref="BV214:BW214" si="787">IF(OR(ISNUMBER(SEARCH("grit",$D214)),ISNUMBER(SEARCH("grit",$T214)),ISNUMBER(SEARCH("grit",$R214)),ISNUMBER(SEARCH("grit",$S214)),
ISNUMBER(SEARCH("determination",$D214)),ISNUMBER(SEARCH("determination",$T214)),ISNUMBER(SEARCH("determination",$R214)),ISNUMBER(SEARCH("determination",$S214)),
ISNUMBER(SEARCH("tenacity",$D214)),ISNUMBER(SEARCH("tenacity",$T214)),ISNUMBER(SEARCH("tenacity",$R214)),ISNUMBER(SEARCH("tenacity",$S214)),
ISNUMBER(SEARCH("endurance",$D214)),ISNUMBER(SEARCH("endurance",$T214)),ISNUMBER(SEARCH("endurance",$R214)),ISNUMBER(SEARCH("endurance",$S214)),
ISNUMBER(SEARCH("fortitude",$D214)),ISNUMBER(SEARCH("fortitude",$T214)),ISNUMBER(SEARCH("fortitude",$R214)),ISNUMBER(SEARCH("fortitude",$S214)),
ISNUMBER(SEARCH("resolve",$D214)),ISNUMBER(SEARCH("resolve",$T214)),ISNUMBER(SEARCH("resolve",$R214)),ISNUMBER(SEARCH("resolve",$S214)),
ISNUMBER(SEARCH("stamina",$D214)),ISNUMBER(SEARCH("stamina",$T214)),ISNUMBER(SEARCH("stamina",$R214)),ISNUMBER(SEARCH("stamina",$S214)),
ISNUMBER(SEARCH("guts",$D214)),ISNUMBER(SEARCH("guts",$T214)),ISNUMBER(SEARCH("guts",$R214)),ISNUMBER(SEARCH("guts",$S214)),
ISNUMBER(SEARCH("spunk",$D214)),ISNUMBER(SEARCH("spunk",$T214)),ISNUMBER(SEARCH("spunk",$R214)),ISNUMBER(SEARCH("spunk",$S214))), 1, 0)</f>
        <v>0</v>
      </c>
      <c r="BW214" s="5">
        <f t="shared" si="787"/>
        <v>0</v>
      </c>
      <c r="BX214" s="5">
        <f t="shared" si="29"/>
        <v>0</v>
      </c>
      <c r="BY214" s="5">
        <f t="shared" si="30"/>
        <v>0</v>
      </c>
      <c r="BZ214" s="5">
        <f t="shared" si="31"/>
        <v>0</v>
      </c>
      <c r="CA214" s="5">
        <f t="shared" si="32"/>
        <v>0</v>
      </c>
      <c r="CB214" s="5">
        <f t="shared" si="33"/>
        <v>0</v>
      </c>
      <c r="CC214" s="5">
        <f t="shared" si="34"/>
        <v>0</v>
      </c>
      <c r="CD214" s="5">
        <f t="shared" si="35"/>
        <v>0</v>
      </c>
      <c r="CE214" s="5">
        <f t="shared" si="36"/>
        <v>0</v>
      </c>
      <c r="CF214" s="5">
        <f t="shared" si="37"/>
        <v>0</v>
      </c>
      <c r="CG214" s="5">
        <f t="shared" si="38"/>
        <v>0</v>
      </c>
      <c r="CH214" s="5">
        <f t="shared" si="39"/>
        <v>0</v>
      </c>
      <c r="CI214" s="5">
        <f t="shared" si="40"/>
        <v>0</v>
      </c>
      <c r="CJ214" s="5">
        <f t="shared" si="41"/>
        <v>0</v>
      </c>
      <c r="CK214" s="5">
        <f t="shared" si="42"/>
        <v>0</v>
      </c>
      <c r="CL214" s="5">
        <f t="shared" si="43"/>
        <v>0</v>
      </c>
      <c r="CM214" s="5">
        <f t="shared" si="44"/>
        <v>0</v>
      </c>
      <c r="CN214" s="5">
        <f t="shared" si="45"/>
        <v>0</v>
      </c>
      <c r="CO214" s="5">
        <f t="shared" si="46"/>
        <v>0</v>
      </c>
      <c r="CP214" s="6">
        <f t="shared" si="47"/>
        <v>0</v>
      </c>
      <c r="CQ214" s="6">
        <f t="shared" si="48"/>
        <v>0</v>
      </c>
      <c r="CR214" s="6">
        <f t="shared" si="49"/>
        <v>0</v>
      </c>
      <c r="CS214" s="6">
        <f t="shared" si="50"/>
        <v>0</v>
      </c>
      <c r="CT214" s="6">
        <f t="shared" si="584"/>
        <v>0</v>
      </c>
      <c r="CU214" s="6">
        <f t="shared" si="52"/>
        <v>0</v>
      </c>
      <c r="CV214" s="6">
        <f t="shared" si="53"/>
        <v>0</v>
      </c>
      <c r="CW214" s="6">
        <f t="shared" si="54"/>
        <v>0</v>
      </c>
      <c r="CX214" s="6">
        <f t="shared" si="55"/>
        <v>0</v>
      </c>
      <c r="CY214" s="6">
        <f t="shared" si="56"/>
        <v>0</v>
      </c>
      <c r="CZ214" s="6">
        <f t="shared" si="57"/>
        <v>0</v>
      </c>
      <c r="DA214" s="6">
        <f t="shared" si="58"/>
        <v>0</v>
      </c>
      <c r="DB214" s="6">
        <f t="shared" si="59"/>
        <v>0</v>
      </c>
      <c r="DC214" s="6">
        <f t="shared" si="60"/>
        <v>0</v>
      </c>
      <c r="DD214" s="6">
        <f t="shared" si="61"/>
        <v>0</v>
      </c>
      <c r="DE214" s="6">
        <f t="shared" si="62"/>
        <v>0</v>
      </c>
      <c r="DF214" s="6">
        <f t="shared" si="63"/>
        <v>0</v>
      </c>
      <c r="DG214" s="6">
        <f t="shared" si="64"/>
        <v>0</v>
      </c>
      <c r="DH214" s="6">
        <f t="shared" si="697"/>
        <v>0</v>
      </c>
      <c r="DI214" s="6">
        <f t="shared" si="66"/>
        <v>0</v>
      </c>
      <c r="DJ214" s="6">
        <f t="shared" si="653"/>
        <v>0</v>
      </c>
      <c r="DK214" s="7">
        <f t="shared" si="68"/>
        <v>0</v>
      </c>
      <c r="DL214" s="7">
        <f t="shared" si="498"/>
        <v>0</v>
      </c>
      <c r="DM214" s="7">
        <f t="shared" si="70"/>
        <v>0</v>
      </c>
      <c r="DN214" s="7">
        <f t="shared" si="71"/>
        <v>0</v>
      </c>
      <c r="DO214" s="7">
        <f t="shared" si="72"/>
        <v>0</v>
      </c>
      <c r="DP214" s="8">
        <f t="shared" si="73"/>
        <v>0</v>
      </c>
      <c r="DQ214" s="8">
        <f t="shared" si="74"/>
        <v>1</v>
      </c>
      <c r="DR214" s="7">
        <f t="shared" si="75"/>
        <v>0</v>
      </c>
      <c r="DS214" s="7">
        <f t="shared" si="76"/>
        <v>0</v>
      </c>
      <c r="DT214" s="7">
        <f t="shared" si="77"/>
        <v>0</v>
      </c>
      <c r="DU214" s="9">
        <f t="shared" si="78"/>
        <v>0</v>
      </c>
      <c r="DV214" s="9">
        <f t="shared" si="79"/>
        <v>0</v>
      </c>
      <c r="DW214" s="9">
        <f t="shared" si="80"/>
        <v>0</v>
      </c>
      <c r="DX214" s="9">
        <f t="shared" si="81"/>
        <v>0</v>
      </c>
      <c r="DY214" s="9">
        <f t="shared" si="82"/>
        <v>0</v>
      </c>
      <c r="DZ214" s="9">
        <f t="shared" si="83"/>
        <v>0</v>
      </c>
      <c r="EA214" s="9">
        <f t="shared" si="84"/>
        <v>0</v>
      </c>
      <c r="EB214" s="9">
        <f t="shared" si="85"/>
        <v>0</v>
      </c>
      <c r="EC214" s="9">
        <f t="shared" si="86"/>
        <v>0</v>
      </c>
      <c r="ED214" s="9">
        <f t="shared" si="87"/>
        <v>0</v>
      </c>
      <c r="EE214" s="9">
        <f t="shared" si="88"/>
        <v>0</v>
      </c>
      <c r="EF214" s="9">
        <f t="shared" si="89"/>
        <v>0</v>
      </c>
      <c r="EG214" s="9">
        <f t="shared" si="90"/>
        <v>0</v>
      </c>
      <c r="EH214" s="9">
        <f t="shared" si="91"/>
        <v>0</v>
      </c>
      <c r="EI214" s="9">
        <f t="shared" si="92"/>
        <v>0</v>
      </c>
      <c r="EJ214" s="10">
        <f t="shared" si="93"/>
        <v>0</v>
      </c>
      <c r="EK214" s="10">
        <f t="shared" si="94"/>
        <v>0</v>
      </c>
      <c r="EL214" s="10">
        <f t="shared" ref="EL214:EM214" si="788">IF(OR(ISNUMBER(SEARCH("ai software toolkit", $D214)), ISNUMBER(SEARCH("ai software toolkit", $T214)), ISNUMBER(SEARCH("ai software toolkit", $R214)), ISNUMBER(SEARCH("ai software toolkit", $S214))), 1, 0)</f>
        <v>0</v>
      </c>
      <c r="EM214" s="10">
        <f t="shared" si="788"/>
        <v>0</v>
      </c>
      <c r="EN214" s="10">
        <f t="shared" si="96"/>
        <v>0</v>
      </c>
      <c r="EO214" s="10">
        <f t="shared" si="97"/>
        <v>0</v>
      </c>
      <c r="EP214" s="10">
        <f t="shared" si="98"/>
        <v>0</v>
      </c>
      <c r="EQ214" s="10">
        <f t="shared" si="99"/>
        <v>0</v>
      </c>
      <c r="ER214" s="10">
        <f t="shared" si="100"/>
        <v>0</v>
      </c>
      <c r="ES214" s="10">
        <f t="shared" si="101"/>
        <v>0</v>
      </c>
      <c r="ET214" s="10">
        <f t="shared" si="102"/>
        <v>0</v>
      </c>
      <c r="EU214" s="10">
        <f t="shared" si="103"/>
        <v>0</v>
      </c>
      <c r="EV214" s="10">
        <f t="shared" si="104"/>
        <v>0</v>
      </c>
      <c r="EW214" s="10">
        <f t="shared" si="105"/>
        <v>0</v>
      </c>
      <c r="EX214" s="10">
        <f t="shared" si="106"/>
        <v>0</v>
      </c>
      <c r="EY214" s="10">
        <f t="shared" si="107"/>
        <v>0</v>
      </c>
      <c r="EZ214" s="10">
        <f t="shared" si="108"/>
        <v>0</v>
      </c>
      <c r="FA214" s="10">
        <f t="shared" si="109"/>
        <v>0</v>
      </c>
      <c r="FB214" s="10">
        <f t="shared" si="110"/>
        <v>0</v>
      </c>
      <c r="FC214" s="10">
        <f t="shared" si="111"/>
        <v>0</v>
      </c>
      <c r="FD214" s="10">
        <f t="shared" si="112"/>
        <v>0</v>
      </c>
      <c r="FE214" s="10">
        <f t="shared" si="782"/>
        <v>1</v>
      </c>
      <c r="FF214" s="10">
        <f t="shared" si="114"/>
        <v>0</v>
      </c>
      <c r="FG214" s="10">
        <f t="shared" si="115"/>
        <v>0</v>
      </c>
      <c r="FH214" s="10">
        <f t="shared" si="116"/>
        <v>0</v>
      </c>
      <c r="FI214" s="10">
        <f t="shared" si="117"/>
        <v>0</v>
      </c>
      <c r="FJ214" s="10">
        <f t="shared" si="118"/>
        <v>0</v>
      </c>
      <c r="FK214" s="10">
        <f t="shared" si="119"/>
        <v>0</v>
      </c>
      <c r="FL214" s="10">
        <f t="shared" si="120"/>
        <v>0</v>
      </c>
      <c r="FM214" s="10">
        <f t="shared" si="121"/>
        <v>0</v>
      </c>
      <c r="FN214" s="10">
        <f t="shared" si="122"/>
        <v>0</v>
      </c>
      <c r="FO214" s="10">
        <f t="shared" si="123"/>
        <v>0</v>
      </c>
      <c r="FP214" s="10">
        <f t="shared" si="124"/>
        <v>0</v>
      </c>
      <c r="FQ214" s="10">
        <f t="shared" si="125"/>
        <v>0</v>
      </c>
      <c r="FR214" s="11">
        <f t="shared" si="767"/>
        <v>0</v>
      </c>
      <c r="FS214" s="11">
        <f t="shared" si="127"/>
        <v>0</v>
      </c>
      <c r="FT214" s="11">
        <f t="shared" si="128"/>
        <v>0</v>
      </c>
      <c r="FU214" s="11">
        <f t="shared" si="129"/>
        <v>0</v>
      </c>
      <c r="FV214" s="11">
        <f t="shared" si="130"/>
        <v>0</v>
      </c>
      <c r="FW214" s="11">
        <f t="shared" si="131"/>
        <v>0</v>
      </c>
      <c r="FX214" s="11">
        <f t="shared" si="132"/>
        <v>0</v>
      </c>
      <c r="FY214" s="11">
        <f t="shared" si="133"/>
        <v>0</v>
      </c>
      <c r="FZ214" s="11">
        <f t="shared" si="134"/>
        <v>0</v>
      </c>
      <c r="GA214" s="11">
        <f t="shared" si="135"/>
        <v>0</v>
      </c>
      <c r="GB214" s="11">
        <f t="shared" si="136"/>
        <v>0</v>
      </c>
      <c r="GC214" s="11">
        <f t="shared" si="137"/>
        <v>0</v>
      </c>
      <c r="GD214" s="11">
        <f t="shared" si="138"/>
        <v>0</v>
      </c>
      <c r="GE214" s="11">
        <f t="shared" si="139"/>
        <v>0</v>
      </c>
      <c r="GF214" s="11">
        <f t="shared" si="140"/>
        <v>0</v>
      </c>
      <c r="GG214" s="11">
        <f t="shared" si="141"/>
        <v>0</v>
      </c>
      <c r="GH214" s="11">
        <f t="shared" si="142"/>
        <v>0</v>
      </c>
      <c r="GI214" s="11">
        <f t="shared" si="143"/>
        <v>0</v>
      </c>
      <c r="GJ214" s="11">
        <f t="shared" si="144"/>
        <v>0</v>
      </c>
      <c r="GK214" s="11">
        <f t="shared" si="145"/>
        <v>0</v>
      </c>
      <c r="GL214" s="11">
        <f t="shared" si="146"/>
        <v>0</v>
      </c>
      <c r="GM214" s="11">
        <f t="shared" si="147"/>
        <v>0</v>
      </c>
      <c r="GN214" s="11">
        <f t="shared" si="148"/>
        <v>0</v>
      </c>
      <c r="GO214" s="11">
        <f t="shared" si="149"/>
        <v>0</v>
      </c>
      <c r="GP214" s="11">
        <f t="shared" si="150"/>
        <v>0</v>
      </c>
      <c r="GQ214" s="11">
        <f t="shared" si="151"/>
        <v>0</v>
      </c>
      <c r="GR214" s="11">
        <f t="shared" si="152"/>
        <v>0</v>
      </c>
      <c r="GS214" s="11">
        <f t="shared" si="153"/>
        <v>0</v>
      </c>
      <c r="GT214" s="11">
        <f t="shared" si="154"/>
        <v>0</v>
      </c>
      <c r="GU214" s="12">
        <f t="shared" si="155"/>
        <v>0</v>
      </c>
      <c r="GV214" s="12">
        <f t="shared" si="156"/>
        <v>0</v>
      </c>
      <c r="GW214" s="12">
        <f t="shared" si="157"/>
        <v>0</v>
      </c>
      <c r="GX214" s="12">
        <f t="shared" si="158"/>
        <v>0</v>
      </c>
      <c r="GY214" s="12">
        <f t="shared" si="159"/>
        <v>0</v>
      </c>
      <c r="GZ214" s="12">
        <f t="shared" si="160"/>
        <v>0</v>
      </c>
      <c r="HA214" s="12">
        <f t="shared" si="161"/>
        <v>0</v>
      </c>
      <c r="HB214" s="12">
        <f t="shared" si="162"/>
        <v>0</v>
      </c>
      <c r="HC214" s="12">
        <f t="shared" si="163"/>
        <v>0</v>
      </c>
      <c r="HD214" s="12">
        <f t="shared" si="164"/>
        <v>0</v>
      </c>
      <c r="HE214" s="12">
        <f t="shared" si="165"/>
        <v>0</v>
      </c>
      <c r="HF214" s="12">
        <f t="shared" si="166"/>
        <v>0</v>
      </c>
      <c r="HG214" s="12">
        <f t="shared" si="167"/>
        <v>0</v>
      </c>
      <c r="HH214" s="12">
        <f t="shared" si="168"/>
        <v>0</v>
      </c>
      <c r="HI214" s="12">
        <f t="shared" si="169"/>
        <v>0</v>
      </c>
      <c r="HJ214" s="12">
        <f t="shared" si="170"/>
        <v>0</v>
      </c>
      <c r="HK214" s="12">
        <f t="shared" si="171"/>
        <v>0</v>
      </c>
      <c r="HL214" s="12">
        <f t="shared" si="172"/>
        <v>0</v>
      </c>
      <c r="HM214" s="12">
        <f t="shared" si="173"/>
        <v>0</v>
      </c>
      <c r="HN214" s="12">
        <f t="shared" si="174"/>
        <v>0</v>
      </c>
      <c r="HO214" s="12">
        <f t="shared" si="175"/>
        <v>0</v>
      </c>
      <c r="HP214" s="12">
        <f t="shared" si="176"/>
        <v>0</v>
      </c>
      <c r="HQ214" s="12">
        <f t="shared" si="177"/>
        <v>0</v>
      </c>
      <c r="HR214" s="12">
        <f t="shared" si="178"/>
        <v>0</v>
      </c>
      <c r="HS214" s="12">
        <f t="shared" si="179"/>
        <v>0</v>
      </c>
      <c r="HT214" s="12">
        <f t="shared" si="180"/>
        <v>0</v>
      </c>
      <c r="HU214" s="12">
        <f t="shared" si="181"/>
        <v>0</v>
      </c>
      <c r="HV214" s="12">
        <f t="shared" si="182"/>
        <v>0</v>
      </c>
      <c r="HW214" s="12">
        <f t="shared" si="183"/>
        <v>0</v>
      </c>
      <c r="HX214" s="12">
        <f t="shared" si="184"/>
        <v>0</v>
      </c>
      <c r="HY214" s="12">
        <f t="shared" si="185"/>
        <v>0</v>
      </c>
      <c r="HZ214" s="12">
        <f t="shared" si="186"/>
        <v>0</v>
      </c>
      <c r="IA214" s="12">
        <f t="shared" si="187"/>
        <v>0</v>
      </c>
      <c r="IB214" s="12">
        <f t="shared" si="188"/>
        <v>0</v>
      </c>
      <c r="IC214" s="12">
        <f t="shared" si="189"/>
        <v>0</v>
      </c>
      <c r="ID214" s="12">
        <f t="shared" si="190"/>
        <v>0</v>
      </c>
      <c r="IE214" s="12">
        <f t="shared" si="191"/>
        <v>0</v>
      </c>
      <c r="IF214" s="12">
        <f t="shared" si="192"/>
        <v>0</v>
      </c>
      <c r="IG214" s="12">
        <f t="shared" si="193"/>
        <v>0</v>
      </c>
      <c r="IH214" s="12">
        <f t="shared" si="194"/>
        <v>0</v>
      </c>
      <c r="II214" s="12">
        <f t="shared" si="195"/>
        <v>0</v>
      </c>
      <c r="IJ214" s="12">
        <f t="shared" si="196"/>
        <v>0</v>
      </c>
      <c r="IK214" s="12">
        <f t="shared" si="197"/>
        <v>0</v>
      </c>
      <c r="IL214" s="12">
        <f t="shared" si="198"/>
        <v>0</v>
      </c>
      <c r="IM214" s="12">
        <f t="shared" si="199"/>
        <v>0</v>
      </c>
      <c r="IN214" s="12">
        <f t="shared" si="200"/>
        <v>0</v>
      </c>
      <c r="IO214" s="12">
        <f t="shared" si="201"/>
        <v>0</v>
      </c>
      <c r="IP214" s="12">
        <f t="shared" si="202"/>
        <v>0</v>
      </c>
      <c r="IQ214" s="12">
        <f t="shared" si="203"/>
        <v>0</v>
      </c>
      <c r="IR214" s="12">
        <f t="shared" si="204"/>
        <v>0</v>
      </c>
      <c r="IS214" s="12">
        <f t="shared" si="205"/>
        <v>0</v>
      </c>
      <c r="IT214" s="12">
        <f t="shared" si="206"/>
        <v>0</v>
      </c>
      <c r="IU214" s="12">
        <f t="shared" si="207"/>
        <v>0</v>
      </c>
      <c r="IV214" s="12">
        <f t="shared" si="208"/>
        <v>0</v>
      </c>
      <c r="IW214" s="12">
        <f t="shared" si="209"/>
        <v>0</v>
      </c>
      <c r="IX214" s="12">
        <f t="shared" si="210"/>
        <v>0</v>
      </c>
      <c r="IY214" s="12">
        <f t="shared" si="211"/>
        <v>0</v>
      </c>
      <c r="IZ214" s="12">
        <f t="shared" si="212"/>
        <v>0</v>
      </c>
      <c r="JA214" s="13">
        <f t="shared" si="213"/>
        <v>0</v>
      </c>
      <c r="JB214" s="13">
        <f t="shared" si="214"/>
        <v>0</v>
      </c>
      <c r="JC214" s="13">
        <f t="shared" si="215"/>
        <v>0</v>
      </c>
      <c r="JD214" s="13">
        <f t="shared" si="216"/>
        <v>0</v>
      </c>
      <c r="JE214" s="13">
        <f t="shared" si="217"/>
        <v>0</v>
      </c>
      <c r="JF214" s="13">
        <f t="shared" si="218"/>
        <v>0</v>
      </c>
      <c r="JG214" s="13">
        <f t="shared" si="219"/>
        <v>0</v>
      </c>
      <c r="JH214" s="13">
        <f t="shared" si="220"/>
        <v>0</v>
      </c>
      <c r="JI214" s="13">
        <f t="shared" si="221"/>
        <v>0</v>
      </c>
      <c r="JJ214" s="13">
        <f t="shared" si="222"/>
        <v>0</v>
      </c>
      <c r="JK214" s="13">
        <f t="shared" si="223"/>
        <v>0</v>
      </c>
      <c r="JL214" s="13">
        <f t="shared" si="224"/>
        <v>0</v>
      </c>
      <c r="JM214" s="13">
        <f t="shared" si="225"/>
        <v>0</v>
      </c>
      <c r="JN214" s="13">
        <f t="shared" si="226"/>
        <v>0</v>
      </c>
      <c r="JO214" s="13">
        <f t="shared" si="227"/>
        <v>0</v>
      </c>
      <c r="JP214" s="13">
        <f t="shared" si="228"/>
        <v>0</v>
      </c>
      <c r="JQ214" s="13">
        <f t="shared" si="229"/>
        <v>0</v>
      </c>
      <c r="JR214" s="13">
        <f t="shared" si="230"/>
        <v>0</v>
      </c>
      <c r="JS214" s="13">
        <f t="shared" si="231"/>
        <v>0</v>
      </c>
      <c r="JT214" s="13">
        <f t="shared" si="232"/>
        <v>0</v>
      </c>
      <c r="JU214" s="13">
        <f t="shared" si="233"/>
        <v>0</v>
      </c>
      <c r="JV214" s="12">
        <f t="shared" si="234"/>
        <v>0</v>
      </c>
      <c r="JW214" s="12">
        <f t="shared" si="235"/>
        <v>0</v>
      </c>
      <c r="JX214" s="12">
        <f t="shared" si="236"/>
        <v>0</v>
      </c>
      <c r="JY214" s="12">
        <f t="shared" si="237"/>
        <v>0</v>
      </c>
      <c r="JZ214" s="12">
        <f t="shared" si="238"/>
        <v>0</v>
      </c>
      <c r="KA214" s="12">
        <f t="shared" si="239"/>
        <v>0</v>
      </c>
      <c r="KB214" s="12">
        <f t="shared" si="240"/>
        <v>0</v>
      </c>
      <c r="KC214" s="12">
        <f t="shared" si="241"/>
        <v>0</v>
      </c>
      <c r="KD214" s="12">
        <f t="shared" si="242"/>
        <v>0</v>
      </c>
      <c r="KE214" s="12">
        <f t="shared" si="243"/>
        <v>0</v>
      </c>
      <c r="KF214" s="12">
        <f t="shared" si="244"/>
        <v>0</v>
      </c>
      <c r="KG214" s="12">
        <f t="shared" si="245"/>
        <v>0</v>
      </c>
      <c r="KH214" s="12">
        <f t="shared" si="246"/>
        <v>0</v>
      </c>
      <c r="KI214" s="12">
        <f t="shared" si="247"/>
        <v>0</v>
      </c>
      <c r="KJ214" s="12">
        <f t="shared" si="248"/>
        <v>0</v>
      </c>
      <c r="KK214" s="12">
        <f t="shared" si="249"/>
        <v>0</v>
      </c>
      <c r="KL214" s="12">
        <f t="shared" si="250"/>
        <v>0</v>
      </c>
      <c r="KM214" s="12">
        <f t="shared" si="251"/>
        <v>0</v>
      </c>
      <c r="KN214" s="12">
        <f t="shared" si="252"/>
        <v>0</v>
      </c>
      <c r="KO214" s="12">
        <f t="shared" si="253"/>
        <v>0</v>
      </c>
      <c r="KP214" s="12">
        <f t="shared" si="254"/>
        <v>0</v>
      </c>
      <c r="KQ214" s="12">
        <f t="shared" si="255"/>
        <v>0</v>
      </c>
      <c r="KR214" s="12">
        <f t="shared" si="256"/>
        <v>0</v>
      </c>
      <c r="KS214" s="12">
        <f t="shared" si="257"/>
        <v>0</v>
      </c>
      <c r="KT214" s="12">
        <f t="shared" si="258"/>
        <v>0</v>
      </c>
      <c r="KU214" s="12">
        <f t="shared" si="259"/>
        <v>0</v>
      </c>
      <c r="KV214" s="12">
        <f t="shared" si="260"/>
        <v>0</v>
      </c>
      <c r="KW214" s="12">
        <f t="shared" si="261"/>
        <v>0</v>
      </c>
      <c r="KX214" s="12">
        <f t="shared" si="262"/>
        <v>0</v>
      </c>
      <c r="KY214" s="12">
        <f t="shared" si="263"/>
        <v>0</v>
      </c>
      <c r="KZ214" s="12">
        <f t="shared" si="264"/>
        <v>0</v>
      </c>
      <c r="LA214" s="12">
        <f t="shared" si="265"/>
        <v>0</v>
      </c>
      <c r="LB214" s="12">
        <f t="shared" si="266"/>
        <v>0</v>
      </c>
      <c r="LC214" s="12">
        <f t="shared" si="267"/>
        <v>0</v>
      </c>
      <c r="LD214" s="12">
        <f t="shared" si="268"/>
        <v>0</v>
      </c>
      <c r="LE214" s="12">
        <f t="shared" si="269"/>
        <v>0</v>
      </c>
      <c r="LF214" s="12">
        <f t="shared" si="270"/>
        <v>0</v>
      </c>
      <c r="LG214" s="12">
        <f t="shared" si="271"/>
        <v>0</v>
      </c>
      <c r="LH214" s="12">
        <f t="shared" si="272"/>
        <v>0</v>
      </c>
      <c r="LI214" s="12">
        <f t="shared" si="273"/>
        <v>0</v>
      </c>
      <c r="LJ214" s="12">
        <f t="shared" si="274"/>
        <v>0</v>
      </c>
      <c r="LK214" s="12">
        <f t="shared" si="275"/>
        <v>0</v>
      </c>
      <c r="LL214" s="12">
        <f t="shared" si="276"/>
        <v>0</v>
      </c>
      <c r="LM214" s="12">
        <f t="shared" si="277"/>
        <v>0</v>
      </c>
      <c r="LN214" s="12">
        <f t="shared" si="278"/>
        <v>0</v>
      </c>
      <c r="LO214" s="12">
        <f t="shared" si="279"/>
        <v>0</v>
      </c>
      <c r="LP214" s="12">
        <f t="shared" si="280"/>
        <v>0</v>
      </c>
      <c r="LQ214" s="12">
        <f t="shared" si="281"/>
        <v>0</v>
      </c>
      <c r="LR214" s="12">
        <f t="shared" si="282"/>
        <v>0</v>
      </c>
      <c r="LS214" s="12">
        <f t="shared" si="283"/>
        <v>0</v>
      </c>
      <c r="LT214" s="13">
        <f t="shared" si="284"/>
        <v>0</v>
      </c>
      <c r="LU214" s="13">
        <f t="shared" si="285"/>
        <v>0</v>
      </c>
      <c r="LV214" s="13">
        <f t="shared" si="286"/>
        <v>0</v>
      </c>
      <c r="LW214" s="13">
        <f t="shared" si="287"/>
        <v>0</v>
      </c>
      <c r="LX214" s="13">
        <f t="shared" si="288"/>
        <v>0</v>
      </c>
      <c r="LY214" s="13">
        <f t="shared" si="289"/>
        <v>0</v>
      </c>
      <c r="LZ214" s="13">
        <f t="shared" si="290"/>
        <v>0</v>
      </c>
      <c r="MA214" s="13">
        <f t="shared" si="291"/>
        <v>0</v>
      </c>
      <c r="MB214" s="13">
        <f t="shared" si="292"/>
        <v>0</v>
      </c>
      <c r="MC214" s="13">
        <f t="shared" si="293"/>
        <v>0</v>
      </c>
      <c r="MD214" s="13">
        <f t="shared" si="294"/>
        <v>0</v>
      </c>
      <c r="ME214" s="13">
        <f t="shared" si="295"/>
        <v>0</v>
      </c>
      <c r="MF214" s="13">
        <f t="shared" si="296"/>
        <v>0</v>
      </c>
      <c r="MG214" s="13">
        <f t="shared" si="297"/>
        <v>0</v>
      </c>
      <c r="MH214" s="13">
        <f t="shared" si="298"/>
        <v>0</v>
      </c>
      <c r="MI214" s="13">
        <f t="shared" si="299"/>
        <v>0</v>
      </c>
      <c r="MJ214" s="13">
        <f t="shared" si="300"/>
        <v>0</v>
      </c>
      <c r="MK214" s="13">
        <f t="shared" si="301"/>
        <v>0</v>
      </c>
      <c r="ML214" s="14">
        <f t="shared" si="302"/>
        <v>0</v>
      </c>
      <c r="MM214" s="14">
        <f t="shared" si="303"/>
        <v>0</v>
      </c>
      <c r="MN214" s="14">
        <f t="shared" si="304"/>
        <v>0</v>
      </c>
      <c r="MO214" s="14">
        <f t="shared" si="305"/>
        <v>0</v>
      </c>
      <c r="MP214" s="14">
        <f t="shared" si="306"/>
        <v>0</v>
      </c>
      <c r="MQ214" s="14">
        <f t="shared" si="307"/>
        <v>0</v>
      </c>
      <c r="MR214" s="14">
        <f t="shared" si="308"/>
        <v>0</v>
      </c>
      <c r="MS214" s="14">
        <f t="shared" si="309"/>
        <v>0</v>
      </c>
      <c r="MT214" s="14">
        <f t="shared" si="310"/>
        <v>0</v>
      </c>
      <c r="MU214" s="14">
        <f t="shared" si="311"/>
        <v>0</v>
      </c>
      <c r="MV214" s="14">
        <f t="shared" si="312"/>
        <v>0</v>
      </c>
      <c r="MW214" s="14">
        <f t="shared" si="313"/>
        <v>0</v>
      </c>
      <c r="MX214" s="14">
        <f t="shared" si="314"/>
        <v>0</v>
      </c>
      <c r="MY214" s="14">
        <f t="shared" si="315"/>
        <v>0</v>
      </c>
      <c r="MZ214" s="14">
        <f t="shared" si="316"/>
        <v>0</v>
      </c>
      <c r="NA214" s="14">
        <f t="shared" si="317"/>
        <v>0</v>
      </c>
      <c r="NB214" s="14">
        <f t="shared" si="318"/>
        <v>0</v>
      </c>
    </row>
    <row r="215" ht="15.75" customHeight="1">
      <c r="A215" s="16">
        <v>530.0</v>
      </c>
      <c r="B215" s="2" t="s">
        <v>3932</v>
      </c>
      <c r="C215" s="2" t="s">
        <v>3933</v>
      </c>
      <c r="D215" s="2" t="s">
        <v>3934</v>
      </c>
      <c r="E215" s="2">
        <v>2023.0</v>
      </c>
      <c r="F215" s="2" t="s">
        <v>3935</v>
      </c>
      <c r="N215" s="2" t="s">
        <v>3936</v>
      </c>
      <c r="O215" s="2" t="s">
        <v>3937</v>
      </c>
      <c r="P215" s="2" t="s">
        <v>3938</v>
      </c>
      <c r="Q215" s="2" t="s">
        <v>3939</v>
      </c>
      <c r="R215" s="2" t="s">
        <v>3940</v>
      </c>
      <c r="S215" s="2" t="s">
        <v>3941</v>
      </c>
      <c r="Y215" s="2" t="s">
        <v>3942</v>
      </c>
      <c r="AB215" s="2" t="s">
        <v>554</v>
      </c>
      <c r="AG215" s="2" t="s">
        <v>3943</v>
      </c>
      <c r="AK215" s="2" t="s">
        <v>3944</v>
      </c>
      <c r="AL215" s="2" t="s">
        <v>2966</v>
      </c>
      <c r="AN215" s="2" t="s">
        <v>386</v>
      </c>
      <c r="AO215" s="2" t="s">
        <v>3945</v>
      </c>
      <c r="AP215" s="2" t="s">
        <v>386</v>
      </c>
      <c r="AQ215" s="2">
        <v>2060.0</v>
      </c>
      <c r="AR215" s="2" t="s">
        <v>3934</v>
      </c>
      <c r="AS215" s="2" t="b">
        <v>0</v>
      </c>
      <c r="AT215" s="3">
        <v>0.0</v>
      </c>
      <c r="AU215" s="4"/>
      <c r="AV215" s="4"/>
      <c r="AW215" s="5">
        <f t="shared" si="432"/>
        <v>0</v>
      </c>
      <c r="AX215" s="5">
        <f t="shared" si="4"/>
        <v>0</v>
      </c>
      <c r="AY215" s="5">
        <f t="shared" si="5"/>
        <v>0</v>
      </c>
      <c r="AZ215" s="5">
        <f t="shared" si="6"/>
        <v>0</v>
      </c>
      <c r="BA215" s="5">
        <f t="shared" si="7"/>
        <v>0</v>
      </c>
      <c r="BB215" s="5">
        <f t="shared" si="8"/>
        <v>0</v>
      </c>
      <c r="BC215" s="5">
        <f t="shared" si="9"/>
        <v>0</v>
      </c>
      <c r="BD215" s="5">
        <f t="shared" si="10"/>
        <v>0</v>
      </c>
      <c r="BE215" s="5">
        <f t="shared" si="11"/>
        <v>0</v>
      </c>
      <c r="BF215" s="5">
        <f t="shared" si="12"/>
        <v>0</v>
      </c>
      <c r="BG215" s="5">
        <f t="shared" si="13"/>
        <v>0</v>
      </c>
      <c r="BH215" s="5">
        <f t="shared" si="14"/>
        <v>0</v>
      </c>
      <c r="BI215" s="5">
        <f t="shared" si="15"/>
        <v>0</v>
      </c>
      <c r="BJ215" s="5">
        <f t="shared" si="16"/>
        <v>0</v>
      </c>
      <c r="BK215" s="5">
        <f t="shared" si="17"/>
        <v>0</v>
      </c>
      <c r="BL215" s="5">
        <f t="shared" si="18"/>
        <v>0</v>
      </c>
      <c r="BM215" s="5">
        <f t="shared" si="19"/>
        <v>0</v>
      </c>
      <c r="BN215" s="5">
        <f t="shared" si="20"/>
        <v>0</v>
      </c>
      <c r="BO215" s="5">
        <f t="shared" si="21"/>
        <v>0</v>
      </c>
      <c r="BP215" s="5">
        <f t="shared" si="22"/>
        <v>0</v>
      </c>
      <c r="BQ215" s="5">
        <f t="shared" si="23"/>
        <v>0</v>
      </c>
      <c r="BR215" s="5">
        <f t="shared" si="24"/>
        <v>0</v>
      </c>
      <c r="BS215" s="5">
        <f t="shared" si="25"/>
        <v>0</v>
      </c>
      <c r="BT215" s="5">
        <f t="shared" si="26"/>
        <v>0</v>
      </c>
      <c r="BU215" s="5">
        <f t="shared" si="27"/>
        <v>0</v>
      </c>
      <c r="BV215" s="5">
        <f t="shared" ref="BV215:BW215" si="789">IF(OR(ISNUMBER(SEARCH("grit",$D215)),ISNUMBER(SEARCH("grit",$T215)),ISNUMBER(SEARCH("grit",$R215)),ISNUMBER(SEARCH("grit",$S215)),
ISNUMBER(SEARCH("determination",$D215)),ISNUMBER(SEARCH("determination",$T215)),ISNUMBER(SEARCH("determination",$R215)),ISNUMBER(SEARCH("determination",$S215)),
ISNUMBER(SEARCH("tenacity",$D215)),ISNUMBER(SEARCH("tenacity",$T215)),ISNUMBER(SEARCH("tenacity",$R215)),ISNUMBER(SEARCH("tenacity",$S215)),
ISNUMBER(SEARCH("endurance",$D215)),ISNUMBER(SEARCH("endurance",$T215)),ISNUMBER(SEARCH("endurance",$R215)),ISNUMBER(SEARCH("endurance",$S215)),
ISNUMBER(SEARCH("fortitude",$D215)),ISNUMBER(SEARCH("fortitude",$T215)),ISNUMBER(SEARCH("fortitude",$R215)),ISNUMBER(SEARCH("fortitude",$S215)),
ISNUMBER(SEARCH("resolve",$D215)),ISNUMBER(SEARCH("resolve",$T215)),ISNUMBER(SEARCH("resolve",$R215)),ISNUMBER(SEARCH("resolve",$S215)),
ISNUMBER(SEARCH("stamina",$D215)),ISNUMBER(SEARCH("stamina",$T215)),ISNUMBER(SEARCH("stamina",$R215)),ISNUMBER(SEARCH("stamina",$S215)),
ISNUMBER(SEARCH("guts",$D215)),ISNUMBER(SEARCH("guts",$T215)),ISNUMBER(SEARCH("guts",$R215)),ISNUMBER(SEARCH("guts",$S215)),
ISNUMBER(SEARCH("spunk",$D215)),ISNUMBER(SEARCH("spunk",$T215)),ISNUMBER(SEARCH("spunk",$R215)),ISNUMBER(SEARCH("spunk",$S215))), 1, 0)</f>
        <v>0</v>
      </c>
      <c r="BW215" s="5">
        <f t="shared" si="789"/>
        <v>0</v>
      </c>
      <c r="BX215" s="5">
        <f t="shared" si="29"/>
        <v>0</v>
      </c>
      <c r="BY215" s="5">
        <f t="shared" si="30"/>
        <v>0</v>
      </c>
      <c r="BZ215" s="5">
        <f t="shared" si="31"/>
        <v>0</v>
      </c>
      <c r="CA215" s="5">
        <f t="shared" si="32"/>
        <v>0</v>
      </c>
      <c r="CB215" s="5">
        <f t="shared" si="33"/>
        <v>0</v>
      </c>
      <c r="CC215" s="5">
        <f t="shared" si="34"/>
        <v>0</v>
      </c>
      <c r="CD215" s="5">
        <f t="shared" si="35"/>
        <v>0</v>
      </c>
      <c r="CE215" s="5">
        <f t="shared" si="36"/>
        <v>0</v>
      </c>
      <c r="CF215" s="5">
        <f t="shared" si="37"/>
        <v>0</v>
      </c>
      <c r="CG215" s="5">
        <f t="shared" si="38"/>
        <v>0</v>
      </c>
      <c r="CH215" s="5">
        <f t="shared" si="39"/>
        <v>0</v>
      </c>
      <c r="CI215" s="5">
        <f t="shared" si="40"/>
        <v>0</v>
      </c>
      <c r="CJ215" s="5">
        <f t="shared" si="41"/>
        <v>0</v>
      </c>
      <c r="CK215" s="5">
        <f t="shared" si="42"/>
        <v>0</v>
      </c>
      <c r="CL215" s="5">
        <f t="shared" si="43"/>
        <v>0</v>
      </c>
      <c r="CM215" s="5">
        <f t="shared" si="44"/>
        <v>0</v>
      </c>
      <c r="CN215" s="5">
        <f t="shared" si="45"/>
        <v>0</v>
      </c>
      <c r="CO215" s="5">
        <f t="shared" si="46"/>
        <v>0</v>
      </c>
      <c r="CP215" s="6">
        <f t="shared" si="47"/>
        <v>0</v>
      </c>
      <c r="CQ215" s="6">
        <f t="shared" si="48"/>
        <v>0</v>
      </c>
      <c r="CR215" s="6">
        <f t="shared" si="49"/>
        <v>0</v>
      </c>
      <c r="CS215" s="6">
        <f t="shared" si="50"/>
        <v>0</v>
      </c>
      <c r="CT215" s="6">
        <f t="shared" si="584"/>
        <v>0</v>
      </c>
      <c r="CU215" s="6">
        <f t="shared" si="52"/>
        <v>0</v>
      </c>
      <c r="CV215" s="6">
        <f t="shared" si="53"/>
        <v>0</v>
      </c>
      <c r="CW215" s="6">
        <f t="shared" si="54"/>
        <v>0</v>
      </c>
      <c r="CX215" s="6">
        <f t="shared" si="55"/>
        <v>0</v>
      </c>
      <c r="CY215" s="6">
        <f t="shared" si="56"/>
        <v>0</v>
      </c>
      <c r="CZ215" s="6">
        <f t="shared" si="57"/>
        <v>0</v>
      </c>
      <c r="DA215" s="6">
        <f t="shared" si="58"/>
        <v>0</v>
      </c>
      <c r="DB215" s="6">
        <f t="shared" si="59"/>
        <v>0</v>
      </c>
      <c r="DC215" s="6">
        <f t="shared" si="60"/>
        <v>0</v>
      </c>
      <c r="DD215" s="6">
        <f t="shared" si="61"/>
        <v>0</v>
      </c>
      <c r="DE215" s="6">
        <f t="shared" si="62"/>
        <v>0</v>
      </c>
      <c r="DF215" s="6">
        <f t="shared" si="63"/>
        <v>0</v>
      </c>
      <c r="DG215" s="6">
        <f t="shared" si="64"/>
        <v>0</v>
      </c>
      <c r="DH215" s="6">
        <f t="shared" si="697"/>
        <v>0</v>
      </c>
      <c r="DI215" s="6">
        <f t="shared" si="66"/>
        <v>0</v>
      </c>
      <c r="DJ215" s="6">
        <f t="shared" si="653"/>
        <v>0</v>
      </c>
      <c r="DK215" s="7">
        <f t="shared" si="68"/>
        <v>0</v>
      </c>
      <c r="DL215" s="7">
        <f t="shared" si="498"/>
        <v>0</v>
      </c>
      <c r="DM215" s="7">
        <f t="shared" si="70"/>
        <v>0</v>
      </c>
      <c r="DN215" s="7">
        <f t="shared" si="71"/>
        <v>0</v>
      </c>
      <c r="DO215" s="7">
        <f t="shared" si="72"/>
        <v>1</v>
      </c>
      <c r="DP215" s="8">
        <f t="shared" si="73"/>
        <v>0</v>
      </c>
      <c r="DQ215" s="8">
        <f t="shared" si="74"/>
        <v>0</v>
      </c>
      <c r="DR215" s="7">
        <f t="shared" si="75"/>
        <v>0</v>
      </c>
      <c r="DS215" s="7">
        <f t="shared" si="76"/>
        <v>0</v>
      </c>
      <c r="DT215" s="7">
        <f t="shared" si="77"/>
        <v>0</v>
      </c>
      <c r="DU215" s="9">
        <f t="shared" si="78"/>
        <v>0</v>
      </c>
      <c r="DV215" s="9">
        <f t="shared" si="79"/>
        <v>0</v>
      </c>
      <c r="DW215" s="9">
        <f t="shared" si="80"/>
        <v>0</v>
      </c>
      <c r="DX215" s="9">
        <f t="shared" si="81"/>
        <v>0</v>
      </c>
      <c r="DY215" s="9">
        <f t="shared" si="82"/>
        <v>0</v>
      </c>
      <c r="DZ215" s="9">
        <f t="shared" si="83"/>
        <v>0</v>
      </c>
      <c r="EA215" s="9">
        <f t="shared" si="84"/>
        <v>0</v>
      </c>
      <c r="EB215" s="9">
        <f t="shared" si="85"/>
        <v>0</v>
      </c>
      <c r="EC215" s="9">
        <f t="shared" si="86"/>
        <v>0</v>
      </c>
      <c r="ED215" s="9">
        <f t="shared" si="87"/>
        <v>0</v>
      </c>
      <c r="EE215" s="9">
        <f t="shared" si="88"/>
        <v>0</v>
      </c>
      <c r="EF215" s="9">
        <f t="shared" si="89"/>
        <v>0</v>
      </c>
      <c r="EG215" s="9">
        <f t="shared" si="90"/>
        <v>0</v>
      </c>
      <c r="EH215" s="9">
        <f t="shared" si="91"/>
        <v>0</v>
      </c>
      <c r="EI215" s="9">
        <f t="shared" si="92"/>
        <v>0</v>
      </c>
      <c r="EJ215" s="10">
        <f t="shared" si="93"/>
        <v>0</v>
      </c>
      <c r="EK215" s="10">
        <f t="shared" si="94"/>
        <v>0</v>
      </c>
      <c r="EL215" s="10">
        <f t="shared" ref="EL215:EM215" si="790">IF(OR(ISNUMBER(SEARCH("ai software toolkit", $D215)), ISNUMBER(SEARCH("ai software toolkit", $T215)), ISNUMBER(SEARCH("ai software toolkit", $R215)), ISNUMBER(SEARCH("ai software toolkit", $S215))), 1, 0)</f>
        <v>0</v>
      </c>
      <c r="EM215" s="10">
        <f t="shared" si="790"/>
        <v>0</v>
      </c>
      <c r="EN215" s="10">
        <f t="shared" si="96"/>
        <v>0</v>
      </c>
      <c r="EO215" s="10">
        <f t="shared" si="97"/>
        <v>0</v>
      </c>
      <c r="EP215" s="10">
        <f t="shared" si="98"/>
        <v>0</v>
      </c>
      <c r="EQ215" s="10">
        <f t="shared" si="99"/>
        <v>0</v>
      </c>
      <c r="ER215" s="10">
        <f t="shared" si="100"/>
        <v>0</v>
      </c>
      <c r="ES215" s="10">
        <f t="shared" si="101"/>
        <v>0</v>
      </c>
      <c r="ET215" s="10">
        <f t="shared" si="102"/>
        <v>0</v>
      </c>
      <c r="EU215" s="10">
        <f t="shared" si="103"/>
        <v>0</v>
      </c>
      <c r="EV215" s="10">
        <f t="shared" si="104"/>
        <v>0</v>
      </c>
      <c r="EW215" s="10">
        <f t="shared" si="105"/>
        <v>0</v>
      </c>
      <c r="EX215" s="10">
        <f t="shared" si="106"/>
        <v>0</v>
      </c>
      <c r="EY215" s="10">
        <f t="shared" si="107"/>
        <v>0</v>
      </c>
      <c r="EZ215" s="10">
        <f t="shared" si="108"/>
        <v>0</v>
      </c>
      <c r="FA215" s="10">
        <f t="shared" si="109"/>
        <v>0</v>
      </c>
      <c r="FB215" s="10">
        <f t="shared" si="110"/>
        <v>0</v>
      </c>
      <c r="FC215" s="10">
        <f t="shared" si="111"/>
        <v>0</v>
      </c>
      <c r="FD215" s="10">
        <f t="shared" si="112"/>
        <v>0</v>
      </c>
      <c r="FE215" s="10">
        <f t="shared" si="782"/>
        <v>0</v>
      </c>
      <c r="FF215" s="10">
        <f t="shared" si="114"/>
        <v>0</v>
      </c>
      <c r="FG215" s="10">
        <f t="shared" si="115"/>
        <v>0</v>
      </c>
      <c r="FH215" s="10">
        <f t="shared" si="116"/>
        <v>0</v>
      </c>
      <c r="FI215" s="10">
        <f t="shared" si="117"/>
        <v>0</v>
      </c>
      <c r="FJ215" s="10">
        <f t="shared" si="118"/>
        <v>0</v>
      </c>
      <c r="FK215" s="10">
        <f t="shared" si="119"/>
        <v>0</v>
      </c>
      <c r="FL215" s="10">
        <f t="shared" si="120"/>
        <v>0</v>
      </c>
      <c r="FM215" s="10">
        <f t="shared" si="121"/>
        <v>0</v>
      </c>
      <c r="FN215" s="10">
        <f t="shared" si="122"/>
        <v>0</v>
      </c>
      <c r="FO215" s="10">
        <f t="shared" si="123"/>
        <v>0</v>
      </c>
      <c r="FP215" s="10">
        <f t="shared" si="124"/>
        <v>0</v>
      </c>
      <c r="FQ215" s="10">
        <f t="shared" si="125"/>
        <v>0</v>
      </c>
      <c r="FR215" s="11">
        <f t="shared" si="767"/>
        <v>0</v>
      </c>
      <c r="FS215" s="11">
        <f t="shared" si="127"/>
        <v>0</v>
      </c>
      <c r="FT215" s="11">
        <f t="shared" si="128"/>
        <v>0</v>
      </c>
      <c r="FU215" s="11">
        <f t="shared" si="129"/>
        <v>0</v>
      </c>
      <c r="FV215" s="11">
        <f t="shared" si="130"/>
        <v>0</v>
      </c>
      <c r="FW215" s="11">
        <f t="shared" si="131"/>
        <v>0</v>
      </c>
      <c r="FX215" s="11">
        <f t="shared" si="132"/>
        <v>0</v>
      </c>
      <c r="FY215" s="11">
        <f t="shared" si="133"/>
        <v>0</v>
      </c>
      <c r="FZ215" s="11">
        <f t="shared" si="134"/>
        <v>0</v>
      </c>
      <c r="GA215" s="11">
        <f t="shared" si="135"/>
        <v>0</v>
      </c>
      <c r="GB215" s="11">
        <f t="shared" si="136"/>
        <v>0</v>
      </c>
      <c r="GC215" s="11">
        <f t="shared" si="137"/>
        <v>0</v>
      </c>
      <c r="GD215" s="11">
        <f t="shared" si="138"/>
        <v>0</v>
      </c>
      <c r="GE215" s="11">
        <f t="shared" si="139"/>
        <v>0</v>
      </c>
      <c r="GF215" s="11">
        <f t="shared" si="140"/>
        <v>0</v>
      </c>
      <c r="GG215" s="11">
        <f t="shared" si="141"/>
        <v>0</v>
      </c>
      <c r="GH215" s="11">
        <f t="shared" si="142"/>
        <v>0</v>
      </c>
      <c r="GI215" s="11">
        <f t="shared" si="143"/>
        <v>0</v>
      </c>
      <c r="GJ215" s="11">
        <f t="shared" si="144"/>
        <v>0</v>
      </c>
      <c r="GK215" s="11">
        <f t="shared" si="145"/>
        <v>0</v>
      </c>
      <c r="GL215" s="11">
        <f t="shared" si="146"/>
        <v>0</v>
      </c>
      <c r="GM215" s="11">
        <f t="shared" si="147"/>
        <v>0</v>
      </c>
      <c r="GN215" s="11">
        <f t="shared" si="148"/>
        <v>0</v>
      </c>
      <c r="GO215" s="11">
        <f t="shared" si="149"/>
        <v>0</v>
      </c>
      <c r="GP215" s="11">
        <f t="shared" si="150"/>
        <v>0</v>
      </c>
      <c r="GQ215" s="11">
        <f t="shared" si="151"/>
        <v>0</v>
      </c>
      <c r="GR215" s="11">
        <f t="shared" si="152"/>
        <v>0</v>
      </c>
      <c r="GS215" s="11">
        <f t="shared" si="153"/>
        <v>0</v>
      </c>
      <c r="GT215" s="11">
        <f t="shared" si="154"/>
        <v>0</v>
      </c>
      <c r="GU215" s="12">
        <f t="shared" si="155"/>
        <v>0</v>
      </c>
      <c r="GV215" s="12">
        <f t="shared" si="156"/>
        <v>0</v>
      </c>
      <c r="GW215" s="12">
        <f t="shared" si="157"/>
        <v>0</v>
      </c>
      <c r="GX215" s="12">
        <f t="shared" si="158"/>
        <v>0</v>
      </c>
      <c r="GY215" s="12">
        <f t="shared" si="159"/>
        <v>0</v>
      </c>
      <c r="GZ215" s="12">
        <f t="shared" si="160"/>
        <v>0</v>
      </c>
      <c r="HA215" s="12">
        <f t="shared" si="161"/>
        <v>0</v>
      </c>
      <c r="HB215" s="12">
        <f t="shared" si="162"/>
        <v>0</v>
      </c>
      <c r="HC215" s="12">
        <f t="shared" si="163"/>
        <v>0</v>
      </c>
      <c r="HD215" s="12">
        <f t="shared" si="164"/>
        <v>0</v>
      </c>
      <c r="HE215" s="12">
        <f t="shared" si="165"/>
        <v>0</v>
      </c>
      <c r="HF215" s="12">
        <f t="shared" si="166"/>
        <v>0</v>
      </c>
      <c r="HG215" s="12">
        <f t="shared" si="167"/>
        <v>0</v>
      </c>
      <c r="HH215" s="12">
        <f t="shared" si="168"/>
        <v>0</v>
      </c>
      <c r="HI215" s="12">
        <f t="shared" si="169"/>
        <v>0</v>
      </c>
      <c r="HJ215" s="12">
        <f t="shared" si="170"/>
        <v>0</v>
      </c>
      <c r="HK215" s="12">
        <f t="shared" si="171"/>
        <v>0</v>
      </c>
      <c r="HL215" s="12">
        <f t="shared" si="172"/>
        <v>0</v>
      </c>
      <c r="HM215" s="12">
        <f t="shared" si="173"/>
        <v>0</v>
      </c>
      <c r="HN215" s="12">
        <f t="shared" si="174"/>
        <v>0</v>
      </c>
      <c r="HO215" s="12">
        <f t="shared" si="175"/>
        <v>0</v>
      </c>
      <c r="HP215" s="12">
        <f t="shared" si="176"/>
        <v>0</v>
      </c>
      <c r="HQ215" s="12">
        <f t="shared" si="177"/>
        <v>0</v>
      </c>
      <c r="HR215" s="12">
        <f t="shared" si="178"/>
        <v>0</v>
      </c>
      <c r="HS215" s="12">
        <f t="shared" si="179"/>
        <v>0</v>
      </c>
      <c r="HT215" s="12">
        <f t="shared" si="180"/>
        <v>0</v>
      </c>
      <c r="HU215" s="12">
        <f t="shared" si="181"/>
        <v>0</v>
      </c>
      <c r="HV215" s="12">
        <f t="shared" si="182"/>
        <v>0</v>
      </c>
      <c r="HW215" s="12">
        <f t="shared" si="183"/>
        <v>0</v>
      </c>
      <c r="HX215" s="12">
        <f t="shared" si="184"/>
        <v>0</v>
      </c>
      <c r="HY215" s="12">
        <f t="shared" si="185"/>
        <v>0</v>
      </c>
      <c r="HZ215" s="12">
        <f t="shared" si="186"/>
        <v>0</v>
      </c>
      <c r="IA215" s="12">
        <f t="shared" si="187"/>
        <v>0</v>
      </c>
      <c r="IB215" s="12">
        <f t="shared" si="188"/>
        <v>0</v>
      </c>
      <c r="IC215" s="12">
        <f t="shared" si="189"/>
        <v>0</v>
      </c>
      <c r="ID215" s="12">
        <f t="shared" si="190"/>
        <v>0</v>
      </c>
      <c r="IE215" s="12">
        <f t="shared" si="191"/>
        <v>0</v>
      </c>
      <c r="IF215" s="12">
        <f t="shared" si="192"/>
        <v>0</v>
      </c>
      <c r="IG215" s="12">
        <f t="shared" si="193"/>
        <v>0</v>
      </c>
      <c r="IH215" s="12">
        <f t="shared" si="194"/>
        <v>0</v>
      </c>
      <c r="II215" s="12">
        <f t="shared" si="195"/>
        <v>0</v>
      </c>
      <c r="IJ215" s="12">
        <f t="shared" si="196"/>
        <v>0</v>
      </c>
      <c r="IK215" s="12">
        <f t="shared" si="197"/>
        <v>0</v>
      </c>
      <c r="IL215" s="12">
        <f t="shared" si="198"/>
        <v>0</v>
      </c>
      <c r="IM215" s="12">
        <f t="shared" si="199"/>
        <v>0</v>
      </c>
      <c r="IN215" s="12">
        <f t="shared" si="200"/>
        <v>0</v>
      </c>
      <c r="IO215" s="12">
        <f t="shared" si="201"/>
        <v>0</v>
      </c>
      <c r="IP215" s="12">
        <f t="shared" si="202"/>
        <v>0</v>
      </c>
      <c r="IQ215" s="12">
        <f t="shared" si="203"/>
        <v>0</v>
      </c>
      <c r="IR215" s="12">
        <f t="shared" si="204"/>
        <v>0</v>
      </c>
      <c r="IS215" s="12">
        <f t="shared" si="205"/>
        <v>0</v>
      </c>
      <c r="IT215" s="12">
        <f t="shared" si="206"/>
        <v>0</v>
      </c>
      <c r="IU215" s="12">
        <f t="shared" si="207"/>
        <v>0</v>
      </c>
      <c r="IV215" s="12">
        <f t="shared" si="208"/>
        <v>0</v>
      </c>
      <c r="IW215" s="12">
        <f t="shared" si="209"/>
        <v>0</v>
      </c>
      <c r="IX215" s="12">
        <f t="shared" si="210"/>
        <v>0</v>
      </c>
      <c r="IY215" s="12">
        <f t="shared" si="211"/>
        <v>0</v>
      </c>
      <c r="IZ215" s="12">
        <f t="shared" si="212"/>
        <v>0</v>
      </c>
      <c r="JA215" s="13">
        <f t="shared" si="213"/>
        <v>0</v>
      </c>
      <c r="JB215" s="13">
        <f t="shared" si="214"/>
        <v>0</v>
      </c>
      <c r="JC215" s="13">
        <f t="shared" si="215"/>
        <v>0</v>
      </c>
      <c r="JD215" s="13">
        <f t="shared" si="216"/>
        <v>0</v>
      </c>
      <c r="JE215" s="13">
        <f t="shared" si="217"/>
        <v>0</v>
      </c>
      <c r="JF215" s="13">
        <f t="shared" si="218"/>
        <v>0</v>
      </c>
      <c r="JG215" s="13">
        <f t="shared" si="219"/>
        <v>0</v>
      </c>
      <c r="JH215" s="13">
        <f t="shared" si="220"/>
        <v>0</v>
      </c>
      <c r="JI215" s="13">
        <f t="shared" si="221"/>
        <v>0</v>
      </c>
      <c r="JJ215" s="13">
        <f t="shared" si="222"/>
        <v>0</v>
      </c>
      <c r="JK215" s="13">
        <f t="shared" si="223"/>
        <v>0</v>
      </c>
      <c r="JL215" s="13">
        <f t="shared" si="224"/>
        <v>0</v>
      </c>
      <c r="JM215" s="13">
        <f t="shared" si="225"/>
        <v>0</v>
      </c>
      <c r="JN215" s="13">
        <f t="shared" si="226"/>
        <v>0</v>
      </c>
      <c r="JO215" s="13">
        <f t="shared" si="227"/>
        <v>0</v>
      </c>
      <c r="JP215" s="13">
        <f t="shared" si="228"/>
        <v>0</v>
      </c>
      <c r="JQ215" s="13">
        <f t="shared" si="229"/>
        <v>0</v>
      </c>
      <c r="JR215" s="13">
        <f t="shared" si="230"/>
        <v>0</v>
      </c>
      <c r="JS215" s="13">
        <f t="shared" si="231"/>
        <v>0</v>
      </c>
      <c r="JT215" s="13">
        <f t="shared" si="232"/>
        <v>0</v>
      </c>
      <c r="JU215" s="13">
        <f t="shared" si="233"/>
        <v>0</v>
      </c>
      <c r="JV215" s="12">
        <f t="shared" si="234"/>
        <v>0</v>
      </c>
      <c r="JW215" s="12">
        <f t="shared" si="235"/>
        <v>0</v>
      </c>
      <c r="JX215" s="12">
        <f t="shared" si="236"/>
        <v>0</v>
      </c>
      <c r="JY215" s="12">
        <f t="shared" si="237"/>
        <v>0</v>
      </c>
      <c r="JZ215" s="12">
        <f t="shared" si="238"/>
        <v>0</v>
      </c>
      <c r="KA215" s="12">
        <f t="shared" si="239"/>
        <v>0</v>
      </c>
      <c r="KB215" s="12">
        <f t="shared" si="240"/>
        <v>0</v>
      </c>
      <c r="KC215" s="12">
        <f t="shared" si="241"/>
        <v>0</v>
      </c>
      <c r="KD215" s="12">
        <f t="shared" si="242"/>
        <v>0</v>
      </c>
      <c r="KE215" s="12">
        <f t="shared" si="243"/>
        <v>0</v>
      </c>
      <c r="KF215" s="12">
        <f t="shared" si="244"/>
        <v>0</v>
      </c>
      <c r="KG215" s="12">
        <f t="shared" si="245"/>
        <v>0</v>
      </c>
      <c r="KH215" s="12">
        <f t="shared" si="246"/>
        <v>0</v>
      </c>
      <c r="KI215" s="12">
        <f t="shared" si="247"/>
        <v>0</v>
      </c>
      <c r="KJ215" s="12">
        <f t="shared" si="248"/>
        <v>0</v>
      </c>
      <c r="KK215" s="12">
        <f t="shared" si="249"/>
        <v>0</v>
      </c>
      <c r="KL215" s="12">
        <f t="shared" si="250"/>
        <v>0</v>
      </c>
      <c r="KM215" s="12">
        <f t="shared" si="251"/>
        <v>0</v>
      </c>
      <c r="KN215" s="12">
        <f t="shared" si="252"/>
        <v>0</v>
      </c>
      <c r="KO215" s="12">
        <f t="shared" si="253"/>
        <v>0</v>
      </c>
      <c r="KP215" s="12">
        <f t="shared" si="254"/>
        <v>0</v>
      </c>
      <c r="KQ215" s="12">
        <f t="shared" si="255"/>
        <v>0</v>
      </c>
      <c r="KR215" s="12">
        <f t="shared" si="256"/>
        <v>0</v>
      </c>
      <c r="KS215" s="12">
        <f t="shared" si="257"/>
        <v>0</v>
      </c>
      <c r="KT215" s="12">
        <f t="shared" si="258"/>
        <v>0</v>
      </c>
      <c r="KU215" s="12">
        <f t="shared" si="259"/>
        <v>0</v>
      </c>
      <c r="KV215" s="12">
        <f t="shared" si="260"/>
        <v>0</v>
      </c>
      <c r="KW215" s="12">
        <f t="shared" si="261"/>
        <v>0</v>
      </c>
      <c r="KX215" s="12">
        <f t="shared" si="262"/>
        <v>0</v>
      </c>
      <c r="KY215" s="12">
        <f t="shared" si="263"/>
        <v>0</v>
      </c>
      <c r="KZ215" s="12">
        <f t="shared" si="264"/>
        <v>0</v>
      </c>
      <c r="LA215" s="12">
        <f t="shared" si="265"/>
        <v>0</v>
      </c>
      <c r="LB215" s="12">
        <f t="shared" si="266"/>
        <v>0</v>
      </c>
      <c r="LC215" s="12">
        <f t="shared" si="267"/>
        <v>0</v>
      </c>
      <c r="LD215" s="12">
        <f t="shared" si="268"/>
        <v>0</v>
      </c>
      <c r="LE215" s="12">
        <f t="shared" si="269"/>
        <v>0</v>
      </c>
      <c r="LF215" s="12">
        <f t="shared" si="270"/>
        <v>0</v>
      </c>
      <c r="LG215" s="12">
        <f t="shared" si="271"/>
        <v>0</v>
      </c>
      <c r="LH215" s="12">
        <f t="shared" si="272"/>
        <v>0</v>
      </c>
      <c r="LI215" s="12">
        <f t="shared" si="273"/>
        <v>0</v>
      </c>
      <c r="LJ215" s="12">
        <f t="shared" si="274"/>
        <v>0</v>
      </c>
      <c r="LK215" s="12">
        <f t="shared" si="275"/>
        <v>0</v>
      </c>
      <c r="LL215" s="12">
        <f t="shared" si="276"/>
        <v>0</v>
      </c>
      <c r="LM215" s="12">
        <f t="shared" si="277"/>
        <v>0</v>
      </c>
      <c r="LN215" s="12">
        <f t="shared" si="278"/>
        <v>0</v>
      </c>
      <c r="LO215" s="12">
        <f t="shared" si="279"/>
        <v>0</v>
      </c>
      <c r="LP215" s="12">
        <f t="shared" si="280"/>
        <v>0</v>
      </c>
      <c r="LQ215" s="12">
        <f t="shared" si="281"/>
        <v>0</v>
      </c>
      <c r="LR215" s="12">
        <f t="shared" si="282"/>
        <v>0</v>
      </c>
      <c r="LS215" s="12">
        <f t="shared" si="283"/>
        <v>0</v>
      </c>
      <c r="LT215" s="13">
        <f t="shared" si="284"/>
        <v>0</v>
      </c>
      <c r="LU215" s="13">
        <f t="shared" si="285"/>
        <v>0</v>
      </c>
      <c r="LV215" s="13">
        <f t="shared" si="286"/>
        <v>0</v>
      </c>
      <c r="LW215" s="13">
        <f t="shared" si="287"/>
        <v>0</v>
      </c>
      <c r="LX215" s="13">
        <f t="shared" si="288"/>
        <v>0</v>
      </c>
      <c r="LY215" s="13">
        <f t="shared" si="289"/>
        <v>0</v>
      </c>
      <c r="LZ215" s="13">
        <f t="shared" si="290"/>
        <v>0</v>
      </c>
      <c r="MA215" s="13">
        <f t="shared" si="291"/>
        <v>0</v>
      </c>
      <c r="MB215" s="13">
        <f t="shared" si="292"/>
        <v>0</v>
      </c>
      <c r="MC215" s="13">
        <f t="shared" si="293"/>
        <v>0</v>
      </c>
      <c r="MD215" s="13">
        <f t="shared" si="294"/>
        <v>0</v>
      </c>
      <c r="ME215" s="13">
        <f t="shared" si="295"/>
        <v>0</v>
      </c>
      <c r="MF215" s="13">
        <f t="shared" si="296"/>
        <v>0</v>
      </c>
      <c r="MG215" s="13">
        <f t="shared" si="297"/>
        <v>0</v>
      </c>
      <c r="MH215" s="13">
        <f t="shared" si="298"/>
        <v>0</v>
      </c>
      <c r="MI215" s="13">
        <f t="shared" si="299"/>
        <v>0</v>
      </c>
      <c r="MJ215" s="13">
        <f t="shared" si="300"/>
        <v>0</v>
      </c>
      <c r="MK215" s="13">
        <f t="shared" si="301"/>
        <v>0</v>
      </c>
      <c r="ML215" s="14">
        <f t="shared" si="302"/>
        <v>0</v>
      </c>
      <c r="MM215" s="14">
        <f t="shared" si="303"/>
        <v>0</v>
      </c>
      <c r="MN215" s="14">
        <f t="shared" si="304"/>
        <v>0</v>
      </c>
      <c r="MO215" s="14">
        <f t="shared" si="305"/>
        <v>0</v>
      </c>
      <c r="MP215" s="14">
        <f t="shared" si="306"/>
        <v>0</v>
      </c>
      <c r="MQ215" s="14">
        <f t="shared" si="307"/>
        <v>0</v>
      </c>
      <c r="MR215" s="14">
        <f t="shared" si="308"/>
        <v>0</v>
      </c>
      <c r="MS215" s="14">
        <f t="shared" si="309"/>
        <v>0</v>
      </c>
      <c r="MT215" s="14">
        <f t="shared" si="310"/>
        <v>0</v>
      </c>
      <c r="MU215" s="14">
        <f t="shared" si="311"/>
        <v>0</v>
      </c>
      <c r="MV215" s="14">
        <f t="shared" si="312"/>
        <v>0</v>
      </c>
      <c r="MW215" s="14">
        <f t="shared" si="313"/>
        <v>0</v>
      </c>
      <c r="MX215" s="14">
        <f t="shared" si="314"/>
        <v>0</v>
      </c>
      <c r="MY215" s="14">
        <f t="shared" si="315"/>
        <v>0</v>
      </c>
      <c r="MZ215" s="14">
        <f t="shared" si="316"/>
        <v>0</v>
      </c>
      <c r="NA215" s="14">
        <f t="shared" si="317"/>
        <v>0</v>
      </c>
      <c r="NB215" s="14">
        <f t="shared" si="318"/>
        <v>0</v>
      </c>
    </row>
    <row r="216" ht="15.75" customHeight="1">
      <c r="A216" s="2">
        <v>478.0</v>
      </c>
      <c r="B216" s="2" t="s">
        <v>3946</v>
      </c>
      <c r="C216" s="2" t="s">
        <v>3947</v>
      </c>
      <c r="D216" s="2" t="s">
        <v>3948</v>
      </c>
      <c r="E216" s="2">
        <v>2023.0</v>
      </c>
      <c r="F216" s="2" t="s">
        <v>3949</v>
      </c>
      <c r="G216" s="2">
        <v>71.0</v>
      </c>
      <c r="H216" s="2" t="s">
        <v>452</v>
      </c>
      <c r="J216" s="2" t="s">
        <v>3950</v>
      </c>
      <c r="K216" s="2" t="s">
        <v>3951</v>
      </c>
      <c r="N216" s="2" t="s">
        <v>3952</v>
      </c>
      <c r="O216" s="2" t="s">
        <v>3953</v>
      </c>
      <c r="P216" s="2" t="s">
        <v>3954</v>
      </c>
      <c r="Q216" s="2" t="s">
        <v>3955</v>
      </c>
      <c r="R216" s="2" t="s">
        <v>3956</v>
      </c>
      <c r="S216" s="2" t="s">
        <v>3957</v>
      </c>
      <c r="Y216" s="2" t="s">
        <v>3958</v>
      </c>
      <c r="AB216" s="2" t="s">
        <v>3959</v>
      </c>
      <c r="AG216" s="2" t="s">
        <v>3960</v>
      </c>
      <c r="AK216" s="2" t="s">
        <v>3961</v>
      </c>
      <c r="AL216" s="2" t="s">
        <v>384</v>
      </c>
      <c r="AN216" s="2" t="s">
        <v>386</v>
      </c>
      <c r="AO216" s="2" t="s">
        <v>3962</v>
      </c>
      <c r="AP216" s="2" t="s">
        <v>386</v>
      </c>
      <c r="AQ216" s="2">
        <v>1844.0</v>
      </c>
      <c r="AR216" s="2" t="s">
        <v>3963</v>
      </c>
      <c r="AS216" s="2" t="b">
        <v>0</v>
      </c>
      <c r="AT216" s="3">
        <v>0.0</v>
      </c>
      <c r="AU216" s="4">
        <v>1.0</v>
      </c>
      <c r="AV216" s="4"/>
      <c r="AW216" s="5">
        <f t="shared" si="432"/>
        <v>0</v>
      </c>
      <c r="AX216" s="5">
        <f t="shared" si="4"/>
        <v>0</v>
      </c>
      <c r="AY216" s="5">
        <f t="shared" si="5"/>
        <v>0</v>
      </c>
      <c r="AZ216" s="5">
        <f t="shared" si="6"/>
        <v>0</v>
      </c>
      <c r="BA216" s="5">
        <f t="shared" si="7"/>
        <v>0</v>
      </c>
      <c r="BB216" s="5">
        <f t="shared" si="8"/>
        <v>0</v>
      </c>
      <c r="BC216" s="5">
        <f t="shared" si="9"/>
        <v>0</v>
      </c>
      <c r="BD216" s="5">
        <f t="shared" si="10"/>
        <v>0</v>
      </c>
      <c r="BE216" s="5">
        <f t="shared" si="11"/>
        <v>0</v>
      </c>
      <c r="BF216" s="5">
        <f t="shared" si="12"/>
        <v>0</v>
      </c>
      <c r="BG216" s="5">
        <f t="shared" si="13"/>
        <v>0</v>
      </c>
      <c r="BH216" s="5">
        <f t="shared" si="14"/>
        <v>0</v>
      </c>
      <c r="BI216" s="5">
        <f t="shared" si="15"/>
        <v>0</v>
      </c>
      <c r="BJ216" s="5">
        <f t="shared" si="16"/>
        <v>0</v>
      </c>
      <c r="BK216" s="5">
        <f t="shared" si="17"/>
        <v>0</v>
      </c>
      <c r="BL216" s="5">
        <f t="shared" si="18"/>
        <v>0</v>
      </c>
      <c r="BM216" s="5">
        <f t="shared" si="19"/>
        <v>0</v>
      </c>
      <c r="BN216" s="5">
        <f t="shared" si="20"/>
        <v>0</v>
      </c>
      <c r="BO216" s="5">
        <f t="shared" si="21"/>
        <v>0</v>
      </c>
      <c r="BP216" s="5">
        <f t="shared" si="22"/>
        <v>0</v>
      </c>
      <c r="BQ216" s="5">
        <f t="shared" si="23"/>
        <v>0</v>
      </c>
      <c r="BR216" s="5">
        <f t="shared" si="24"/>
        <v>0</v>
      </c>
      <c r="BS216" s="5">
        <f t="shared" si="25"/>
        <v>0</v>
      </c>
      <c r="BT216" s="5">
        <f t="shared" si="26"/>
        <v>0</v>
      </c>
      <c r="BU216" s="5">
        <f t="shared" si="27"/>
        <v>0</v>
      </c>
      <c r="BV216" s="5">
        <f t="shared" ref="BV216:BW216" si="791">IF(OR(ISNUMBER(SEARCH("grit",$D216)),ISNUMBER(SEARCH("grit",$T216)),ISNUMBER(SEARCH("grit",$R216)),ISNUMBER(SEARCH("grit",$S216)),
ISNUMBER(SEARCH("determination",$D216)),ISNUMBER(SEARCH("determination",$T216)),ISNUMBER(SEARCH("determination",$R216)),ISNUMBER(SEARCH("determination",$S216)),
ISNUMBER(SEARCH("tenacity",$D216)),ISNUMBER(SEARCH("tenacity",$T216)),ISNUMBER(SEARCH("tenacity",$R216)),ISNUMBER(SEARCH("tenacity",$S216)),
ISNUMBER(SEARCH("endurance",$D216)),ISNUMBER(SEARCH("endurance",$T216)),ISNUMBER(SEARCH("endurance",$R216)),ISNUMBER(SEARCH("endurance",$S216)),
ISNUMBER(SEARCH("fortitude",$D216)),ISNUMBER(SEARCH("fortitude",$T216)),ISNUMBER(SEARCH("fortitude",$R216)),ISNUMBER(SEARCH("fortitude",$S216)),
ISNUMBER(SEARCH("resolve",$D216)),ISNUMBER(SEARCH("resolve",$T216)),ISNUMBER(SEARCH("resolve",$R216)),ISNUMBER(SEARCH("resolve",$S216)),
ISNUMBER(SEARCH("stamina",$D216)),ISNUMBER(SEARCH("stamina",$T216)),ISNUMBER(SEARCH("stamina",$R216)),ISNUMBER(SEARCH("stamina",$S216)),
ISNUMBER(SEARCH("guts",$D216)),ISNUMBER(SEARCH("guts",$T216)),ISNUMBER(SEARCH("guts",$R216)),ISNUMBER(SEARCH("guts",$S216)),
ISNUMBER(SEARCH("spunk",$D216)),ISNUMBER(SEARCH("spunk",$T216)),ISNUMBER(SEARCH("spunk",$R216)),ISNUMBER(SEARCH("spunk",$S216))), 1, 0)</f>
        <v>0</v>
      </c>
      <c r="BW216" s="5">
        <f t="shared" si="791"/>
        <v>0</v>
      </c>
      <c r="BX216" s="5">
        <f t="shared" si="29"/>
        <v>0</v>
      </c>
      <c r="BY216" s="5">
        <f t="shared" si="30"/>
        <v>0</v>
      </c>
      <c r="BZ216" s="5">
        <f t="shared" si="31"/>
        <v>0</v>
      </c>
      <c r="CA216" s="5">
        <f t="shared" si="32"/>
        <v>0</v>
      </c>
      <c r="CB216" s="5">
        <f t="shared" si="33"/>
        <v>0</v>
      </c>
      <c r="CC216" s="5">
        <f t="shared" si="34"/>
        <v>0</v>
      </c>
      <c r="CD216" s="5">
        <f t="shared" si="35"/>
        <v>0</v>
      </c>
      <c r="CE216" s="5">
        <f t="shared" si="36"/>
        <v>0</v>
      </c>
      <c r="CF216" s="5">
        <f t="shared" si="37"/>
        <v>0</v>
      </c>
      <c r="CG216" s="5">
        <f t="shared" si="38"/>
        <v>0</v>
      </c>
      <c r="CH216" s="5">
        <f t="shared" si="39"/>
        <v>0</v>
      </c>
      <c r="CI216" s="5">
        <f t="shared" si="40"/>
        <v>0</v>
      </c>
      <c r="CJ216" s="5">
        <f t="shared" si="41"/>
        <v>0</v>
      </c>
      <c r="CK216" s="5">
        <f t="shared" si="42"/>
        <v>0</v>
      </c>
      <c r="CL216" s="5">
        <f t="shared" si="43"/>
        <v>0</v>
      </c>
      <c r="CM216" s="5">
        <f t="shared" si="44"/>
        <v>0</v>
      </c>
      <c r="CN216" s="5">
        <f t="shared" si="45"/>
        <v>0</v>
      </c>
      <c r="CO216" s="5">
        <f t="shared" si="46"/>
        <v>0</v>
      </c>
      <c r="CP216" s="6">
        <f t="shared" si="47"/>
        <v>0</v>
      </c>
      <c r="CQ216" s="6">
        <f t="shared" si="48"/>
        <v>0</v>
      </c>
      <c r="CR216" s="6">
        <f t="shared" si="49"/>
        <v>0</v>
      </c>
      <c r="CS216" s="6">
        <f t="shared" si="50"/>
        <v>0</v>
      </c>
      <c r="CT216" s="6">
        <f t="shared" si="584"/>
        <v>0</v>
      </c>
      <c r="CU216" s="6">
        <f t="shared" si="52"/>
        <v>0</v>
      </c>
      <c r="CV216" s="6">
        <f t="shared" si="53"/>
        <v>0</v>
      </c>
      <c r="CW216" s="6">
        <f t="shared" si="54"/>
        <v>0</v>
      </c>
      <c r="CX216" s="6">
        <f t="shared" si="55"/>
        <v>0</v>
      </c>
      <c r="CY216" s="6">
        <f t="shared" si="56"/>
        <v>0</v>
      </c>
      <c r="CZ216" s="6">
        <f t="shared" si="57"/>
        <v>0</v>
      </c>
      <c r="DA216" s="6">
        <f t="shared" si="58"/>
        <v>0</v>
      </c>
      <c r="DB216" s="6">
        <f t="shared" si="59"/>
        <v>0</v>
      </c>
      <c r="DC216" s="6">
        <f t="shared" si="60"/>
        <v>0</v>
      </c>
      <c r="DD216" s="6">
        <f t="shared" si="61"/>
        <v>0</v>
      </c>
      <c r="DE216" s="6">
        <f t="shared" si="62"/>
        <v>0</v>
      </c>
      <c r="DF216" s="6">
        <f t="shared" si="63"/>
        <v>0</v>
      </c>
      <c r="DG216" s="6">
        <f t="shared" si="64"/>
        <v>0</v>
      </c>
      <c r="DH216" s="6">
        <f t="shared" si="697"/>
        <v>0</v>
      </c>
      <c r="DI216" s="6">
        <f t="shared" si="66"/>
        <v>0</v>
      </c>
      <c r="DJ216" s="6">
        <f t="shared" si="653"/>
        <v>0</v>
      </c>
      <c r="DK216" s="7">
        <f t="shared" si="68"/>
        <v>0</v>
      </c>
      <c r="DL216" s="7">
        <f t="shared" si="498"/>
        <v>0</v>
      </c>
      <c r="DM216" s="7">
        <f t="shared" si="70"/>
        <v>0</v>
      </c>
      <c r="DN216" s="7">
        <f t="shared" si="71"/>
        <v>0</v>
      </c>
      <c r="DO216" s="7">
        <f t="shared" si="72"/>
        <v>0</v>
      </c>
      <c r="DP216" s="8">
        <f t="shared" si="73"/>
        <v>0</v>
      </c>
      <c r="DQ216" s="8">
        <f t="shared" si="74"/>
        <v>1</v>
      </c>
      <c r="DR216" s="7">
        <f t="shared" si="75"/>
        <v>0</v>
      </c>
      <c r="DS216" s="7">
        <f t="shared" si="76"/>
        <v>0</v>
      </c>
      <c r="DT216" s="7">
        <f t="shared" si="77"/>
        <v>0</v>
      </c>
      <c r="DU216" s="9">
        <f t="shared" si="78"/>
        <v>0</v>
      </c>
      <c r="DV216" s="9">
        <f t="shared" si="79"/>
        <v>0</v>
      </c>
      <c r="DW216" s="9">
        <f t="shared" si="80"/>
        <v>0</v>
      </c>
      <c r="DX216" s="9">
        <f t="shared" si="81"/>
        <v>0</v>
      </c>
      <c r="DY216" s="9">
        <f t="shared" si="82"/>
        <v>0</v>
      </c>
      <c r="DZ216" s="9">
        <f t="shared" si="83"/>
        <v>0</v>
      </c>
      <c r="EA216" s="9">
        <f t="shared" si="84"/>
        <v>0</v>
      </c>
      <c r="EB216" s="9">
        <f t="shared" si="85"/>
        <v>0</v>
      </c>
      <c r="EC216" s="9">
        <f t="shared" si="86"/>
        <v>0</v>
      </c>
      <c r="ED216" s="9">
        <f t="shared" si="87"/>
        <v>0</v>
      </c>
      <c r="EE216" s="9">
        <f t="shared" si="88"/>
        <v>0</v>
      </c>
      <c r="EF216" s="9">
        <f t="shared" si="89"/>
        <v>0</v>
      </c>
      <c r="EG216" s="9">
        <f t="shared" si="90"/>
        <v>0</v>
      </c>
      <c r="EH216" s="9">
        <f t="shared" si="91"/>
        <v>0</v>
      </c>
      <c r="EI216" s="9">
        <f t="shared" si="92"/>
        <v>0</v>
      </c>
      <c r="EJ216" s="10">
        <f t="shared" si="93"/>
        <v>0</v>
      </c>
      <c r="EK216" s="10">
        <f t="shared" si="94"/>
        <v>0</v>
      </c>
      <c r="EL216" s="10">
        <f t="shared" ref="EL216:EM216" si="792">IF(OR(ISNUMBER(SEARCH("ai software toolkit", $D216)), ISNUMBER(SEARCH("ai software toolkit", $T216)), ISNUMBER(SEARCH("ai software toolkit", $R216)), ISNUMBER(SEARCH("ai software toolkit", $S216))), 1, 0)</f>
        <v>0</v>
      </c>
      <c r="EM216" s="10">
        <f t="shared" si="792"/>
        <v>0</v>
      </c>
      <c r="EN216" s="10">
        <f t="shared" si="96"/>
        <v>0</v>
      </c>
      <c r="EO216" s="10">
        <f t="shared" si="97"/>
        <v>0</v>
      </c>
      <c r="EP216" s="10">
        <f t="shared" si="98"/>
        <v>0</v>
      </c>
      <c r="EQ216" s="10">
        <f t="shared" si="99"/>
        <v>0</v>
      </c>
      <c r="ER216" s="10">
        <f t="shared" si="100"/>
        <v>0</v>
      </c>
      <c r="ES216" s="10">
        <f t="shared" si="101"/>
        <v>0</v>
      </c>
      <c r="ET216" s="10">
        <f t="shared" si="102"/>
        <v>0</v>
      </c>
      <c r="EU216" s="10">
        <f t="shared" si="103"/>
        <v>0</v>
      </c>
      <c r="EV216" s="10">
        <f t="shared" si="104"/>
        <v>0</v>
      </c>
      <c r="EW216" s="10">
        <f t="shared" si="105"/>
        <v>0</v>
      </c>
      <c r="EX216" s="10">
        <f t="shared" si="106"/>
        <v>0</v>
      </c>
      <c r="EY216" s="10">
        <f t="shared" si="107"/>
        <v>0</v>
      </c>
      <c r="EZ216" s="10">
        <f t="shared" si="108"/>
        <v>0</v>
      </c>
      <c r="FA216" s="10">
        <f t="shared" si="109"/>
        <v>0</v>
      </c>
      <c r="FB216" s="10">
        <f t="shared" si="110"/>
        <v>0</v>
      </c>
      <c r="FC216" s="10">
        <f t="shared" si="111"/>
        <v>0</v>
      </c>
      <c r="FD216" s="10">
        <f t="shared" si="112"/>
        <v>0</v>
      </c>
      <c r="FE216" s="10">
        <f t="shared" si="782"/>
        <v>0</v>
      </c>
      <c r="FF216" s="10">
        <f t="shared" si="114"/>
        <v>0</v>
      </c>
      <c r="FG216" s="10">
        <f t="shared" si="115"/>
        <v>0</v>
      </c>
      <c r="FH216" s="10">
        <f t="shared" si="116"/>
        <v>0</v>
      </c>
      <c r="FI216" s="10">
        <f t="shared" si="117"/>
        <v>0</v>
      </c>
      <c r="FJ216" s="10">
        <f t="shared" si="118"/>
        <v>0</v>
      </c>
      <c r="FK216" s="10">
        <f t="shared" si="119"/>
        <v>0</v>
      </c>
      <c r="FL216" s="10">
        <f t="shared" si="120"/>
        <v>0</v>
      </c>
      <c r="FM216" s="10">
        <f t="shared" si="121"/>
        <v>0</v>
      </c>
      <c r="FN216" s="10">
        <f t="shared" si="122"/>
        <v>0</v>
      </c>
      <c r="FO216" s="10">
        <f t="shared" si="123"/>
        <v>1</v>
      </c>
      <c r="FP216" s="10">
        <f t="shared" si="124"/>
        <v>0</v>
      </c>
      <c r="FQ216" s="10">
        <f t="shared" si="125"/>
        <v>0</v>
      </c>
      <c r="FR216" s="11">
        <f t="shared" si="767"/>
        <v>0</v>
      </c>
      <c r="FS216" s="11">
        <f t="shared" si="127"/>
        <v>0</v>
      </c>
      <c r="FT216" s="11">
        <f t="shared" si="128"/>
        <v>0</v>
      </c>
      <c r="FU216" s="11">
        <f t="shared" si="129"/>
        <v>0</v>
      </c>
      <c r="FV216" s="11">
        <f t="shared" si="130"/>
        <v>0</v>
      </c>
      <c r="FW216" s="11">
        <f t="shared" si="131"/>
        <v>0</v>
      </c>
      <c r="FX216" s="11">
        <f t="shared" si="132"/>
        <v>0</v>
      </c>
      <c r="FY216" s="11">
        <f t="shared" si="133"/>
        <v>0</v>
      </c>
      <c r="FZ216" s="11">
        <f t="shared" si="134"/>
        <v>0</v>
      </c>
      <c r="GA216" s="11">
        <f t="shared" si="135"/>
        <v>0</v>
      </c>
      <c r="GB216" s="11">
        <f t="shared" si="136"/>
        <v>0</v>
      </c>
      <c r="GC216" s="11">
        <f t="shared" si="137"/>
        <v>0</v>
      </c>
      <c r="GD216" s="11">
        <f t="shared" si="138"/>
        <v>0</v>
      </c>
      <c r="GE216" s="11">
        <f t="shared" si="139"/>
        <v>0</v>
      </c>
      <c r="GF216" s="11">
        <f t="shared" si="140"/>
        <v>0</v>
      </c>
      <c r="GG216" s="11">
        <f t="shared" si="141"/>
        <v>0</v>
      </c>
      <c r="GH216" s="11">
        <f t="shared" si="142"/>
        <v>0</v>
      </c>
      <c r="GI216" s="11">
        <f t="shared" si="143"/>
        <v>0</v>
      </c>
      <c r="GJ216" s="11">
        <f t="shared" si="144"/>
        <v>0</v>
      </c>
      <c r="GK216" s="11">
        <f t="shared" si="145"/>
        <v>0</v>
      </c>
      <c r="GL216" s="11">
        <f t="shared" si="146"/>
        <v>0</v>
      </c>
      <c r="GM216" s="11">
        <f t="shared" si="147"/>
        <v>0</v>
      </c>
      <c r="GN216" s="11">
        <f t="shared" si="148"/>
        <v>0</v>
      </c>
      <c r="GO216" s="11">
        <f t="shared" si="149"/>
        <v>0</v>
      </c>
      <c r="GP216" s="11">
        <f t="shared" si="150"/>
        <v>1</v>
      </c>
      <c r="GQ216" s="11">
        <f t="shared" si="151"/>
        <v>0</v>
      </c>
      <c r="GR216" s="11">
        <f t="shared" si="152"/>
        <v>0</v>
      </c>
      <c r="GS216" s="11">
        <f t="shared" si="153"/>
        <v>0</v>
      </c>
      <c r="GT216" s="11">
        <f t="shared" si="154"/>
        <v>0</v>
      </c>
      <c r="GU216" s="12">
        <f t="shared" si="155"/>
        <v>0</v>
      </c>
      <c r="GV216" s="12">
        <f t="shared" si="156"/>
        <v>0</v>
      </c>
      <c r="GW216" s="12">
        <f t="shared" si="157"/>
        <v>0</v>
      </c>
      <c r="GX216" s="12">
        <f t="shared" si="158"/>
        <v>0</v>
      </c>
      <c r="GY216" s="12">
        <f t="shared" si="159"/>
        <v>0</v>
      </c>
      <c r="GZ216" s="12">
        <f t="shared" si="160"/>
        <v>0</v>
      </c>
      <c r="HA216" s="12">
        <f t="shared" si="161"/>
        <v>0</v>
      </c>
      <c r="HB216" s="12">
        <f t="shared" si="162"/>
        <v>0</v>
      </c>
      <c r="HC216" s="12">
        <f t="shared" si="163"/>
        <v>0</v>
      </c>
      <c r="HD216" s="12">
        <f t="shared" si="164"/>
        <v>0</v>
      </c>
      <c r="HE216" s="12">
        <f t="shared" si="165"/>
        <v>0</v>
      </c>
      <c r="HF216" s="12">
        <f t="shared" si="166"/>
        <v>0</v>
      </c>
      <c r="HG216" s="12">
        <f t="shared" si="167"/>
        <v>0</v>
      </c>
      <c r="HH216" s="12">
        <f t="shared" si="168"/>
        <v>0</v>
      </c>
      <c r="HI216" s="12">
        <f t="shared" si="169"/>
        <v>0</v>
      </c>
      <c r="HJ216" s="12">
        <f t="shared" si="170"/>
        <v>0</v>
      </c>
      <c r="HK216" s="12">
        <f t="shared" si="171"/>
        <v>0</v>
      </c>
      <c r="HL216" s="12">
        <f t="shared" si="172"/>
        <v>0</v>
      </c>
      <c r="HM216" s="12">
        <f t="shared" si="173"/>
        <v>0</v>
      </c>
      <c r="HN216" s="12">
        <f t="shared" si="174"/>
        <v>0</v>
      </c>
      <c r="HO216" s="12">
        <f t="shared" si="175"/>
        <v>0</v>
      </c>
      <c r="HP216" s="12">
        <f t="shared" si="176"/>
        <v>0</v>
      </c>
      <c r="HQ216" s="12">
        <f t="shared" si="177"/>
        <v>0</v>
      </c>
      <c r="HR216" s="12">
        <f t="shared" si="178"/>
        <v>0</v>
      </c>
      <c r="HS216" s="12">
        <f t="shared" si="179"/>
        <v>0</v>
      </c>
      <c r="HT216" s="12">
        <f t="shared" si="180"/>
        <v>0</v>
      </c>
      <c r="HU216" s="12">
        <f t="shared" si="181"/>
        <v>0</v>
      </c>
      <c r="HV216" s="12">
        <f t="shared" si="182"/>
        <v>0</v>
      </c>
      <c r="HW216" s="12">
        <f t="shared" si="183"/>
        <v>0</v>
      </c>
      <c r="HX216" s="12">
        <f t="shared" si="184"/>
        <v>0</v>
      </c>
      <c r="HY216" s="12">
        <f t="shared" si="185"/>
        <v>0</v>
      </c>
      <c r="HZ216" s="12">
        <f t="shared" si="186"/>
        <v>0</v>
      </c>
      <c r="IA216" s="12">
        <f t="shared" si="187"/>
        <v>0</v>
      </c>
      <c r="IB216" s="12">
        <f t="shared" si="188"/>
        <v>0</v>
      </c>
      <c r="IC216" s="12">
        <f t="shared" si="189"/>
        <v>0</v>
      </c>
      <c r="ID216" s="12">
        <f t="shared" si="190"/>
        <v>0</v>
      </c>
      <c r="IE216" s="12">
        <f t="shared" si="191"/>
        <v>0</v>
      </c>
      <c r="IF216" s="12">
        <f t="shared" si="192"/>
        <v>0</v>
      </c>
      <c r="IG216" s="12">
        <f t="shared" si="193"/>
        <v>0</v>
      </c>
      <c r="IH216" s="12">
        <f t="shared" si="194"/>
        <v>0</v>
      </c>
      <c r="II216" s="12">
        <f t="shared" si="195"/>
        <v>0</v>
      </c>
      <c r="IJ216" s="12">
        <f t="shared" si="196"/>
        <v>0</v>
      </c>
      <c r="IK216" s="12">
        <f t="shared" si="197"/>
        <v>0</v>
      </c>
      <c r="IL216" s="12">
        <f t="shared" si="198"/>
        <v>0</v>
      </c>
      <c r="IM216" s="12">
        <f t="shared" si="199"/>
        <v>0</v>
      </c>
      <c r="IN216" s="12">
        <f t="shared" si="200"/>
        <v>0</v>
      </c>
      <c r="IO216" s="12">
        <f t="shared" si="201"/>
        <v>0</v>
      </c>
      <c r="IP216" s="12">
        <f t="shared" si="202"/>
        <v>0</v>
      </c>
      <c r="IQ216" s="12">
        <f t="shared" si="203"/>
        <v>0</v>
      </c>
      <c r="IR216" s="12">
        <f t="shared" si="204"/>
        <v>0</v>
      </c>
      <c r="IS216" s="12">
        <f t="shared" si="205"/>
        <v>0</v>
      </c>
      <c r="IT216" s="12">
        <f t="shared" si="206"/>
        <v>0</v>
      </c>
      <c r="IU216" s="12">
        <f t="shared" si="207"/>
        <v>0</v>
      </c>
      <c r="IV216" s="12">
        <f t="shared" si="208"/>
        <v>0</v>
      </c>
      <c r="IW216" s="12">
        <f t="shared" si="209"/>
        <v>0</v>
      </c>
      <c r="IX216" s="12">
        <f t="shared" si="210"/>
        <v>0</v>
      </c>
      <c r="IY216" s="12">
        <f t="shared" si="211"/>
        <v>0</v>
      </c>
      <c r="IZ216" s="12">
        <f t="shared" si="212"/>
        <v>0</v>
      </c>
      <c r="JA216" s="13">
        <f t="shared" si="213"/>
        <v>0</v>
      </c>
      <c r="JB216" s="13">
        <f t="shared" si="214"/>
        <v>0</v>
      </c>
      <c r="JC216" s="13">
        <f t="shared" si="215"/>
        <v>0</v>
      </c>
      <c r="JD216" s="13">
        <f t="shared" si="216"/>
        <v>0</v>
      </c>
      <c r="JE216" s="13">
        <f t="shared" si="217"/>
        <v>0</v>
      </c>
      <c r="JF216" s="13">
        <f t="shared" si="218"/>
        <v>0</v>
      </c>
      <c r="JG216" s="13">
        <f t="shared" si="219"/>
        <v>0</v>
      </c>
      <c r="JH216" s="13">
        <f t="shared" si="220"/>
        <v>0</v>
      </c>
      <c r="JI216" s="13">
        <f t="shared" si="221"/>
        <v>0</v>
      </c>
      <c r="JJ216" s="13">
        <f t="shared" si="222"/>
        <v>0</v>
      </c>
      <c r="JK216" s="13">
        <f t="shared" si="223"/>
        <v>0</v>
      </c>
      <c r="JL216" s="13">
        <f t="shared" si="224"/>
        <v>0</v>
      </c>
      <c r="JM216" s="13">
        <f t="shared" si="225"/>
        <v>0</v>
      </c>
      <c r="JN216" s="13">
        <f t="shared" si="226"/>
        <v>0</v>
      </c>
      <c r="JO216" s="13">
        <f t="shared" si="227"/>
        <v>0</v>
      </c>
      <c r="JP216" s="13">
        <f t="shared" si="228"/>
        <v>0</v>
      </c>
      <c r="JQ216" s="13">
        <f t="shared" si="229"/>
        <v>0</v>
      </c>
      <c r="JR216" s="13">
        <f t="shared" si="230"/>
        <v>0</v>
      </c>
      <c r="JS216" s="13">
        <f t="shared" si="231"/>
        <v>0</v>
      </c>
      <c r="JT216" s="13">
        <f t="shared" si="232"/>
        <v>0</v>
      </c>
      <c r="JU216" s="13">
        <f t="shared" si="233"/>
        <v>0</v>
      </c>
      <c r="JV216" s="12">
        <f t="shared" si="234"/>
        <v>0</v>
      </c>
      <c r="JW216" s="12">
        <f t="shared" si="235"/>
        <v>0</v>
      </c>
      <c r="JX216" s="12">
        <f t="shared" si="236"/>
        <v>0</v>
      </c>
      <c r="JY216" s="12">
        <f t="shared" si="237"/>
        <v>0</v>
      </c>
      <c r="JZ216" s="12">
        <f t="shared" si="238"/>
        <v>0</v>
      </c>
      <c r="KA216" s="12">
        <f t="shared" si="239"/>
        <v>0</v>
      </c>
      <c r="KB216" s="12">
        <f t="shared" si="240"/>
        <v>0</v>
      </c>
      <c r="KC216" s="12">
        <f t="shared" si="241"/>
        <v>0</v>
      </c>
      <c r="KD216" s="12">
        <v>0.0</v>
      </c>
      <c r="KE216" s="12">
        <f t="shared" si="243"/>
        <v>0</v>
      </c>
      <c r="KF216" s="12">
        <f t="shared" si="244"/>
        <v>0</v>
      </c>
      <c r="KG216" s="12">
        <f t="shared" si="245"/>
        <v>0</v>
      </c>
      <c r="KH216" s="12">
        <f t="shared" si="246"/>
        <v>0</v>
      </c>
      <c r="KI216" s="12">
        <f t="shared" si="247"/>
        <v>0</v>
      </c>
      <c r="KJ216" s="12">
        <f t="shared" si="248"/>
        <v>0</v>
      </c>
      <c r="KK216" s="12">
        <f t="shared" si="249"/>
        <v>0</v>
      </c>
      <c r="KL216" s="12">
        <f t="shared" si="250"/>
        <v>0</v>
      </c>
      <c r="KM216" s="12">
        <f t="shared" si="251"/>
        <v>0</v>
      </c>
      <c r="KN216" s="12">
        <f t="shared" si="252"/>
        <v>0</v>
      </c>
      <c r="KO216" s="12">
        <f t="shared" si="253"/>
        <v>0</v>
      </c>
      <c r="KP216" s="12">
        <f t="shared" si="254"/>
        <v>0</v>
      </c>
      <c r="KQ216" s="12">
        <f t="shared" si="255"/>
        <v>0</v>
      </c>
      <c r="KR216" s="12">
        <f t="shared" si="256"/>
        <v>0</v>
      </c>
      <c r="KS216" s="12">
        <f t="shared" si="257"/>
        <v>0</v>
      </c>
      <c r="KT216" s="12">
        <f t="shared" si="258"/>
        <v>0</v>
      </c>
      <c r="KU216" s="12">
        <f t="shared" si="259"/>
        <v>0</v>
      </c>
      <c r="KV216" s="12">
        <f t="shared" si="260"/>
        <v>0</v>
      </c>
      <c r="KW216" s="12">
        <f t="shared" si="261"/>
        <v>0</v>
      </c>
      <c r="KX216" s="12">
        <f t="shared" si="262"/>
        <v>0</v>
      </c>
      <c r="KY216" s="12">
        <f t="shared" si="263"/>
        <v>0</v>
      </c>
      <c r="KZ216" s="12">
        <f t="shared" si="264"/>
        <v>0</v>
      </c>
      <c r="LA216" s="12">
        <f t="shared" si="265"/>
        <v>0</v>
      </c>
      <c r="LB216" s="12">
        <f t="shared" si="266"/>
        <v>0</v>
      </c>
      <c r="LC216" s="12">
        <f t="shared" si="267"/>
        <v>0</v>
      </c>
      <c r="LD216" s="12">
        <f t="shared" si="268"/>
        <v>0</v>
      </c>
      <c r="LE216" s="12">
        <f t="shared" si="269"/>
        <v>0</v>
      </c>
      <c r="LF216" s="12">
        <f t="shared" si="270"/>
        <v>0</v>
      </c>
      <c r="LG216" s="12">
        <f t="shared" si="271"/>
        <v>0</v>
      </c>
      <c r="LH216" s="12">
        <f t="shared" si="272"/>
        <v>0</v>
      </c>
      <c r="LI216" s="12">
        <f t="shared" si="273"/>
        <v>0</v>
      </c>
      <c r="LJ216" s="12">
        <f t="shared" si="274"/>
        <v>0</v>
      </c>
      <c r="LK216" s="12">
        <f t="shared" si="275"/>
        <v>0</v>
      </c>
      <c r="LL216" s="12">
        <f t="shared" si="276"/>
        <v>0</v>
      </c>
      <c r="LM216" s="12">
        <f t="shared" si="277"/>
        <v>0</v>
      </c>
      <c r="LN216" s="12">
        <f t="shared" si="278"/>
        <v>0</v>
      </c>
      <c r="LO216" s="12">
        <f t="shared" si="279"/>
        <v>0</v>
      </c>
      <c r="LP216" s="12">
        <f t="shared" si="280"/>
        <v>0</v>
      </c>
      <c r="LQ216" s="12">
        <f t="shared" si="281"/>
        <v>0</v>
      </c>
      <c r="LR216" s="12">
        <f t="shared" si="282"/>
        <v>0</v>
      </c>
      <c r="LS216" s="12">
        <f t="shared" si="283"/>
        <v>0</v>
      </c>
      <c r="LT216" s="13">
        <f t="shared" si="284"/>
        <v>0</v>
      </c>
      <c r="LU216" s="13">
        <f t="shared" si="285"/>
        <v>0</v>
      </c>
      <c r="LV216" s="13">
        <f t="shared" si="286"/>
        <v>0</v>
      </c>
      <c r="LW216" s="13">
        <f t="shared" si="287"/>
        <v>0</v>
      </c>
      <c r="LX216" s="13">
        <f t="shared" si="288"/>
        <v>0</v>
      </c>
      <c r="LY216" s="13">
        <f t="shared" si="289"/>
        <v>0</v>
      </c>
      <c r="LZ216" s="13">
        <f t="shared" si="290"/>
        <v>0</v>
      </c>
      <c r="MA216" s="13">
        <f t="shared" si="291"/>
        <v>0</v>
      </c>
      <c r="MB216" s="13">
        <f t="shared" si="292"/>
        <v>0</v>
      </c>
      <c r="MC216" s="13">
        <f t="shared" si="293"/>
        <v>0</v>
      </c>
      <c r="MD216" s="13">
        <f t="shared" si="294"/>
        <v>0</v>
      </c>
      <c r="ME216" s="13">
        <f t="shared" si="295"/>
        <v>0</v>
      </c>
      <c r="MF216" s="13">
        <f t="shared" si="296"/>
        <v>0</v>
      </c>
      <c r="MG216" s="13">
        <f t="shared" si="297"/>
        <v>0</v>
      </c>
      <c r="MH216" s="13">
        <f t="shared" si="298"/>
        <v>0</v>
      </c>
      <c r="MI216" s="13">
        <f t="shared" si="299"/>
        <v>0</v>
      </c>
      <c r="MJ216" s="13">
        <f t="shared" si="300"/>
        <v>0</v>
      </c>
      <c r="MK216" s="13">
        <f t="shared" si="301"/>
        <v>0</v>
      </c>
      <c r="ML216" s="14">
        <f t="shared" si="302"/>
        <v>0</v>
      </c>
      <c r="MM216" s="14">
        <f t="shared" si="303"/>
        <v>0</v>
      </c>
      <c r="MN216" s="14">
        <f t="shared" si="304"/>
        <v>0</v>
      </c>
      <c r="MO216" s="14">
        <f t="shared" si="305"/>
        <v>0</v>
      </c>
      <c r="MP216" s="14">
        <f t="shared" si="306"/>
        <v>0</v>
      </c>
      <c r="MQ216" s="14">
        <f t="shared" si="307"/>
        <v>0</v>
      </c>
      <c r="MR216" s="14">
        <f t="shared" si="308"/>
        <v>0</v>
      </c>
      <c r="MS216" s="14">
        <f t="shared" si="309"/>
        <v>0</v>
      </c>
      <c r="MT216" s="14">
        <f t="shared" si="310"/>
        <v>0</v>
      </c>
      <c r="MU216" s="14">
        <f t="shared" si="311"/>
        <v>0</v>
      </c>
      <c r="MV216" s="14">
        <f t="shared" si="312"/>
        <v>0</v>
      </c>
      <c r="MW216" s="14">
        <f t="shared" si="313"/>
        <v>0</v>
      </c>
      <c r="MX216" s="14">
        <f t="shared" si="314"/>
        <v>0</v>
      </c>
      <c r="MY216" s="14">
        <f t="shared" si="315"/>
        <v>0</v>
      </c>
      <c r="MZ216" s="14">
        <f t="shared" si="316"/>
        <v>0</v>
      </c>
      <c r="NA216" s="14">
        <f t="shared" si="317"/>
        <v>0</v>
      </c>
      <c r="NB216" s="14">
        <f t="shared" si="318"/>
        <v>0</v>
      </c>
    </row>
    <row r="217" ht="15.75" customHeight="1">
      <c r="A217" s="2">
        <v>142.0</v>
      </c>
      <c r="B217" s="2" t="s">
        <v>3964</v>
      </c>
      <c r="C217" s="2" t="s">
        <v>3965</v>
      </c>
      <c r="D217" s="2" t="s">
        <v>3966</v>
      </c>
      <c r="E217" s="2">
        <v>2021.0</v>
      </c>
      <c r="F217" s="2" t="s">
        <v>2268</v>
      </c>
      <c r="G217" s="2" t="s">
        <v>1160</v>
      </c>
      <c r="J217" s="2" t="s">
        <v>3967</v>
      </c>
      <c r="K217" s="2" t="s">
        <v>3968</v>
      </c>
      <c r="N217" s="2" t="s">
        <v>3969</v>
      </c>
      <c r="O217" s="2" t="s">
        <v>3970</v>
      </c>
      <c r="P217" s="2" t="s">
        <v>3971</v>
      </c>
      <c r="Q217" s="2" t="s">
        <v>3972</v>
      </c>
      <c r="R217" s="2" t="s">
        <v>3973</v>
      </c>
      <c r="S217" s="2" t="s">
        <v>3974</v>
      </c>
      <c r="T217" s="2" t="s">
        <v>3975</v>
      </c>
      <c r="Y217" s="2" t="s">
        <v>3976</v>
      </c>
      <c r="AB217" s="2" t="s">
        <v>668</v>
      </c>
      <c r="AG217" s="2" t="s">
        <v>2280</v>
      </c>
      <c r="AK217" s="2" t="s">
        <v>2268</v>
      </c>
      <c r="AL217" s="2" t="s">
        <v>384</v>
      </c>
      <c r="AM217" s="2" t="s">
        <v>1306</v>
      </c>
      <c r="AN217" s="2" t="s">
        <v>386</v>
      </c>
      <c r="AO217" s="2" t="s">
        <v>3977</v>
      </c>
      <c r="AP217" s="2" t="s">
        <v>386</v>
      </c>
      <c r="AQ217" s="2">
        <v>465.0</v>
      </c>
      <c r="AR217" s="2" t="s">
        <v>3978</v>
      </c>
      <c r="AS217" s="2" t="b">
        <v>1</v>
      </c>
      <c r="AT217" s="3">
        <v>0.0</v>
      </c>
      <c r="AU217" s="4"/>
      <c r="AV217" s="4"/>
      <c r="AW217" s="5">
        <f t="shared" si="432"/>
        <v>0</v>
      </c>
      <c r="AX217" s="5">
        <f t="shared" si="4"/>
        <v>0</v>
      </c>
      <c r="AY217" s="5">
        <f t="shared" si="5"/>
        <v>0</v>
      </c>
      <c r="AZ217" s="5">
        <f t="shared" si="6"/>
        <v>0</v>
      </c>
      <c r="BA217" s="5">
        <f t="shared" si="7"/>
        <v>0</v>
      </c>
      <c r="BB217" s="5">
        <f t="shared" si="8"/>
        <v>0</v>
      </c>
      <c r="BC217" s="5">
        <f t="shared" si="9"/>
        <v>0</v>
      </c>
      <c r="BD217" s="5">
        <f t="shared" si="10"/>
        <v>0</v>
      </c>
      <c r="BE217" s="5">
        <f t="shared" si="11"/>
        <v>0</v>
      </c>
      <c r="BF217" s="5">
        <f t="shared" si="12"/>
        <v>0</v>
      </c>
      <c r="BG217" s="5">
        <f t="shared" si="13"/>
        <v>0</v>
      </c>
      <c r="BH217" s="5">
        <f t="shared" si="14"/>
        <v>0</v>
      </c>
      <c r="BI217" s="5">
        <f t="shared" si="15"/>
        <v>0</v>
      </c>
      <c r="BJ217" s="5">
        <f t="shared" si="16"/>
        <v>0</v>
      </c>
      <c r="BK217" s="5">
        <f t="shared" si="17"/>
        <v>0</v>
      </c>
      <c r="BL217" s="5">
        <f t="shared" si="18"/>
        <v>0</v>
      </c>
      <c r="BM217" s="5">
        <f t="shared" si="19"/>
        <v>0</v>
      </c>
      <c r="BN217" s="5">
        <f t="shared" si="20"/>
        <v>0</v>
      </c>
      <c r="BO217" s="5">
        <f t="shared" si="21"/>
        <v>0</v>
      </c>
      <c r="BP217" s="5">
        <f t="shared" si="22"/>
        <v>0</v>
      </c>
      <c r="BQ217" s="5">
        <f t="shared" si="23"/>
        <v>0</v>
      </c>
      <c r="BR217" s="5">
        <f t="shared" si="24"/>
        <v>0</v>
      </c>
      <c r="BS217" s="5">
        <f t="shared" si="25"/>
        <v>0</v>
      </c>
      <c r="BT217" s="5">
        <f t="shared" si="26"/>
        <v>0</v>
      </c>
      <c r="BU217" s="5">
        <f t="shared" si="27"/>
        <v>0</v>
      </c>
      <c r="BV217" s="5">
        <f t="shared" ref="BV217:BW217" si="793">IF(OR(ISNUMBER(SEARCH("grit",$D217)),ISNUMBER(SEARCH("grit",$T217)),ISNUMBER(SEARCH("grit",$R217)),ISNUMBER(SEARCH("grit",$S217)),
ISNUMBER(SEARCH("determination",$D217)),ISNUMBER(SEARCH("determination",$T217)),ISNUMBER(SEARCH("determination",$R217)),ISNUMBER(SEARCH("determination",$S217)),
ISNUMBER(SEARCH("tenacity",$D217)),ISNUMBER(SEARCH("tenacity",$T217)),ISNUMBER(SEARCH("tenacity",$R217)),ISNUMBER(SEARCH("tenacity",$S217)),
ISNUMBER(SEARCH("endurance",$D217)),ISNUMBER(SEARCH("endurance",$T217)),ISNUMBER(SEARCH("endurance",$R217)),ISNUMBER(SEARCH("endurance",$S217)),
ISNUMBER(SEARCH("fortitude",$D217)),ISNUMBER(SEARCH("fortitude",$T217)),ISNUMBER(SEARCH("fortitude",$R217)),ISNUMBER(SEARCH("fortitude",$S217)),
ISNUMBER(SEARCH("resolve",$D217)),ISNUMBER(SEARCH("resolve",$T217)),ISNUMBER(SEARCH("resolve",$R217)),ISNUMBER(SEARCH("resolve",$S217)),
ISNUMBER(SEARCH("stamina",$D217)),ISNUMBER(SEARCH("stamina",$T217)),ISNUMBER(SEARCH("stamina",$R217)),ISNUMBER(SEARCH("stamina",$S217)),
ISNUMBER(SEARCH("guts",$D217)),ISNUMBER(SEARCH("guts",$T217)),ISNUMBER(SEARCH("guts",$R217)),ISNUMBER(SEARCH("guts",$S217)),
ISNUMBER(SEARCH("spunk",$D217)),ISNUMBER(SEARCH("spunk",$T217)),ISNUMBER(SEARCH("spunk",$R217)),ISNUMBER(SEARCH("spunk",$S217))), 1, 0)</f>
        <v>0</v>
      </c>
      <c r="BW217" s="5">
        <f t="shared" si="793"/>
        <v>0</v>
      </c>
      <c r="BX217" s="5">
        <f t="shared" si="29"/>
        <v>0</v>
      </c>
      <c r="BY217" s="5">
        <f t="shared" si="30"/>
        <v>0</v>
      </c>
      <c r="BZ217" s="5">
        <f t="shared" si="31"/>
        <v>0</v>
      </c>
      <c r="CA217" s="5">
        <f t="shared" si="32"/>
        <v>0</v>
      </c>
      <c r="CB217" s="5">
        <f t="shared" si="33"/>
        <v>0</v>
      </c>
      <c r="CC217" s="5">
        <f t="shared" si="34"/>
        <v>0</v>
      </c>
      <c r="CD217" s="5">
        <f t="shared" si="35"/>
        <v>0</v>
      </c>
      <c r="CE217" s="5">
        <f t="shared" si="36"/>
        <v>0</v>
      </c>
      <c r="CF217" s="5">
        <f t="shared" si="37"/>
        <v>0</v>
      </c>
      <c r="CG217" s="5">
        <f t="shared" si="38"/>
        <v>0</v>
      </c>
      <c r="CH217" s="5">
        <f t="shared" si="39"/>
        <v>0</v>
      </c>
      <c r="CI217" s="5">
        <f t="shared" si="40"/>
        <v>0</v>
      </c>
      <c r="CJ217" s="5">
        <f t="shared" si="41"/>
        <v>0</v>
      </c>
      <c r="CK217" s="5">
        <f t="shared" si="42"/>
        <v>0</v>
      </c>
      <c r="CL217" s="5">
        <f t="shared" si="43"/>
        <v>0</v>
      </c>
      <c r="CM217" s="5">
        <f t="shared" si="44"/>
        <v>0</v>
      </c>
      <c r="CN217" s="5">
        <f t="shared" si="45"/>
        <v>0</v>
      </c>
      <c r="CO217" s="5">
        <f t="shared" si="46"/>
        <v>0</v>
      </c>
      <c r="CP217" s="6">
        <f t="shared" si="47"/>
        <v>0</v>
      </c>
      <c r="CQ217" s="6">
        <f t="shared" si="48"/>
        <v>0</v>
      </c>
      <c r="CR217" s="6">
        <f t="shared" si="49"/>
        <v>0</v>
      </c>
      <c r="CS217" s="6">
        <f t="shared" si="50"/>
        <v>0</v>
      </c>
      <c r="CT217" s="6">
        <f t="shared" si="584"/>
        <v>0</v>
      </c>
      <c r="CU217" s="6">
        <f t="shared" si="52"/>
        <v>0</v>
      </c>
      <c r="CV217" s="6">
        <f t="shared" si="53"/>
        <v>0</v>
      </c>
      <c r="CW217" s="6">
        <f t="shared" si="54"/>
        <v>0</v>
      </c>
      <c r="CX217" s="6">
        <f t="shared" si="55"/>
        <v>0</v>
      </c>
      <c r="CY217" s="6">
        <f t="shared" si="56"/>
        <v>0</v>
      </c>
      <c r="CZ217" s="6">
        <f t="shared" si="57"/>
        <v>0</v>
      </c>
      <c r="DA217" s="6">
        <f t="shared" si="58"/>
        <v>0</v>
      </c>
      <c r="DB217" s="6">
        <f t="shared" si="59"/>
        <v>0</v>
      </c>
      <c r="DC217" s="6">
        <f t="shared" si="60"/>
        <v>0</v>
      </c>
      <c r="DD217" s="6">
        <f t="shared" si="61"/>
        <v>0</v>
      </c>
      <c r="DE217" s="6">
        <f t="shared" si="62"/>
        <v>0</v>
      </c>
      <c r="DF217" s="6">
        <f t="shared" si="63"/>
        <v>0</v>
      </c>
      <c r="DG217" s="6">
        <f t="shared" si="64"/>
        <v>0</v>
      </c>
      <c r="DH217" s="6">
        <f t="shared" si="697"/>
        <v>0</v>
      </c>
      <c r="DI217" s="6">
        <f t="shared" si="66"/>
        <v>0</v>
      </c>
      <c r="DJ217" s="6">
        <f t="shared" si="653"/>
        <v>0</v>
      </c>
      <c r="DK217" s="7">
        <f t="shared" si="68"/>
        <v>0</v>
      </c>
      <c r="DL217" s="7">
        <f t="shared" si="498"/>
        <v>0</v>
      </c>
      <c r="DM217" s="7">
        <f t="shared" si="70"/>
        <v>0</v>
      </c>
      <c r="DN217" s="7">
        <f t="shared" si="71"/>
        <v>0</v>
      </c>
      <c r="DO217" s="7">
        <f t="shared" si="72"/>
        <v>1</v>
      </c>
      <c r="DP217" s="8">
        <f t="shared" si="73"/>
        <v>0</v>
      </c>
      <c r="DQ217" s="8">
        <f t="shared" si="74"/>
        <v>1</v>
      </c>
      <c r="DR217" s="7">
        <f t="shared" si="75"/>
        <v>0</v>
      </c>
      <c r="DS217" s="7">
        <f t="shared" si="76"/>
        <v>1</v>
      </c>
      <c r="DT217" s="7">
        <f t="shared" si="77"/>
        <v>0</v>
      </c>
      <c r="DU217" s="9">
        <f t="shared" si="78"/>
        <v>0</v>
      </c>
      <c r="DV217" s="9">
        <f t="shared" si="79"/>
        <v>0</v>
      </c>
      <c r="DW217" s="9">
        <f t="shared" si="80"/>
        <v>0</v>
      </c>
      <c r="DX217" s="9">
        <f t="shared" si="81"/>
        <v>0</v>
      </c>
      <c r="DY217" s="9">
        <f t="shared" si="82"/>
        <v>0</v>
      </c>
      <c r="DZ217" s="9">
        <f t="shared" si="83"/>
        <v>0</v>
      </c>
      <c r="EA217" s="9">
        <f t="shared" si="84"/>
        <v>0</v>
      </c>
      <c r="EB217" s="9">
        <f t="shared" si="85"/>
        <v>0</v>
      </c>
      <c r="EC217" s="9">
        <f t="shared" si="86"/>
        <v>0</v>
      </c>
      <c r="ED217" s="9">
        <f t="shared" si="87"/>
        <v>0</v>
      </c>
      <c r="EE217" s="9">
        <f t="shared" si="88"/>
        <v>0</v>
      </c>
      <c r="EF217" s="9">
        <f t="shared" si="89"/>
        <v>0</v>
      </c>
      <c r="EG217" s="9">
        <f t="shared" si="90"/>
        <v>0</v>
      </c>
      <c r="EH217" s="9">
        <f t="shared" si="91"/>
        <v>0</v>
      </c>
      <c r="EI217" s="9">
        <f t="shared" si="92"/>
        <v>0</v>
      </c>
      <c r="EJ217" s="10">
        <f t="shared" si="93"/>
        <v>0</v>
      </c>
      <c r="EK217" s="10">
        <f t="shared" si="94"/>
        <v>0</v>
      </c>
      <c r="EL217" s="10">
        <f t="shared" ref="EL217:EM217" si="794">IF(OR(ISNUMBER(SEARCH("ai software toolkit", $D217)), ISNUMBER(SEARCH("ai software toolkit", $T217)), ISNUMBER(SEARCH("ai software toolkit", $R217)), ISNUMBER(SEARCH("ai software toolkit", $S217))), 1, 0)</f>
        <v>0</v>
      </c>
      <c r="EM217" s="10">
        <f t="shared" si="794"/>
        <v>0</v>
      </c>
      <c r="EN217" s="10">
        <f t="shared" si="96"/>
        <v>0</v>
      </c>
      <c r="EO217" s="10">
        <f t="shared" si="97"/>
        <v>1</v>
      </c>
      <c r="EP217" s="10">
        <f t="shared" si="98"/>
        <v>0</v>
      </c>
      <c r="EQ217" s="10">
        <f t="shared" si="99"/>
        <v>0</v>
      </c>
      <c r="ER217" s="10">
        <f t="shared" si="100"/>
        <v>0</v>
      </c>
      <c r="ES217" s="10">
        <f t="shared" si="101"/>
        <v>0</v>
      </c>
      <c r="ET217" s="10">
        <f t="shared" si="102"/>
        <v>0</v>
      </c>
      <c r="EU217" s="10">
        <f t="shared" si="103"/>
        <v>0</v>
      </c>
      <c r="EV217" s="10">
        <f t="shared" si="104"/>
        <v>0</v>
      </c>
      <c r="EW217" s="10">
        <f t="shared" si="105"/>
        <v>0</v>
      </c>
      <c r="EX217" s="10">
        <f t="shared" si="106"/>
        <v>0</v>
      </c>
      <c r="EY217" s="10">
        <f t="shared" si="107"/>
        <v>0</v>
      </c>
      <c r="EZ217" s="10">
        <f t="shared" si="108"/>
        <v>0</v>
      </c>
      <c r="FA217" s="10">
        <f t="shared" si="109"/>
        <v>0</v>
      </c>
      <c r="FB217" s="10">
        <f t="shared" si="110"/>
        <v>0</v>
      </c>
      <c r="FC217" s="10">
        <f t="shared" si="111"/>
        <v>0</v>
      </c>
      <c r="FD217" s="10">
        <f t="shared" si="112"/>
        <v>0</v>
      </c>
      <c r="FE217" s="10">
        <f t="shared" si="782"/>
        <v>1</v>
      </c>
      <c r="FF217" s="10">
        <f t="shared" si="114"/>
        <v>0</v>
      </c>
      <c r="FG217" s="10">
        <f t="shared" si="115"/>
        <v>0</v>
      </c>
      <c r="FH217" s="10">
        <f t="shared" si="116"/>
        <v>0</v>
      </c>
      <c r="FI217" s="10">
        <f t="shared" si="117"/>
        <v>0</v>
      </c>
      <c r="FJ217" s="10">
        <f t="shared" si="118"/>
        <v>0</v>
      </c>
      <c r="FK217" s="10">
        <f t="shared" si="119"/>
        <v>0</v>
      </c>
      <c r="FL217" s="10">
        <f t="shared" si="120"/>
        <v>0</v>
      </c>
      <c r="FM217" s="10">
        <f t="shared" si="121"/>
        <v>0</v>
      </c>
      <c r="FN217" s="10">
        <f t="shared" si="122"/>
        <v>0</v>
      </c>
      <c r="FO217" s="10">
        <f t="shared" si="123"/>
        <v>0</v>
      </c>
      <c r="FP217" s="10">
        <f t="shared" si="124"/>
        <v>0</v>
      </c>
      <c r="FQ217" s="10">
        <f t="shared" si="125"/>
        <v>0</v>
      </c>
      <c r="FR217" s="11">
        <f>IF(
OR(
ISNUMBER(SEARCH("chatbot",$D217)),ISNUMBER(SEARCH("chatbot",$T217)),ISNUMBER(SEARCH("chatbot",$R216)),ISNUMBER(SEARCH("chatbot",$S217)),
ISNUMBER(SEARCH("virtual assistance",$D217)),ISNUMBER(SEARCH("virtual assistance",$T217)),ISNUMBER(SEARCH("virtual assistance",$R217)),ISNUMBER(SEARCH("virtual assistance",$S217))), 1, 0)</f>
        <v>0</v>
      </c>
      <c r="FS217" s="11">
        <f t="shared" si="127"/>
        <v>0</v>
      </c>
      <c r="FT217" s="11">
        <f t="shared" si="128"/>
        <v>0</v>
      </c>
      <c r="FU217" s="11">
        <f t="shared" si="129"/>
        <v>0</v>
      </c>
      <c r="FV217" s="11">
        <f t="shared" si="130"/>
        <v>0</v>
      </c>
      <c r="FW217" s="11">
        <f t="shared" si="131"/>
        <v>0</v>
      </c>
      <c r="FX217" s="11">
        <f t="shared" si="132"/>
        <v>0</v>
      </c>
      <c r="FY217" s="11">
        <f t="shared" si="133"/>
        <v>0</v>
      </c>
      <c r="FZ217" s="11">
        <f t="shared" si="134"/>
        <v>0</v>
      </c>
      <c r="GA217" s="11">
        <f t="shared" si="135"/>
        <v>0</v>
      </c>
      <c r="GB217" s="11">
        <f t="shared" si="136"/>
        <v>0</v>
      </c>
      <c r="GC217" s="11">
        <f t="shared" si="137"/>
        <v>0</v>
      </c>
      <c r="GD217" s="11">
        <f t="shared" si="138"/>
        <v>0</v>
      </c>
      <c r="GE217" s="11">
        <f t="shared" si="139"/>
        <v>0</v>
      </c>
      <c r="GF217" s="11">
        <f t="shared" si="140"/>
        <v>0</v>
      </c>
      <c r="GG217" s="11">
        <f t="shared" si="141"/>
        <v>0</v>
      </c>
      <c r="GH217" s="11">
        <f t="shared" si="142"/>
        <v>0</v>
      </c>
      <c r="GI217" s="11">
        <f t="shared" si="143"/>
        <v>0</v>
      </c>
      <c r="GJ217" s="11">
        <f t="shared" si="144"/>
        <v>0</v>
      </c>
      <c r="GK217" s="11">
        <f t="shared" si="145"/>
        <v>0</v>
      </c>
      <c r="GL217" s="11">
        <f t="shared" si="146"/>
        <v>0</v>
      </c>
      <c r="GM217" s="11">
        <f t="shared" si="147"/>
        <v>0</v>
      </c>
      <c r="GN217" s="11">
        <f t="shared" si="148"/>
        <v>0</v>
      </c>
      <c r="GO217" s="11">
        <f t="shared" si="149"/>
        <v>0</v>
      </c>
      <c r="GP217" s="11">
        <f t="shared" si="150"/>
        <v>0</v>
      </c>
      <c r="GQ217" s="11">
        <f t="shared" si="151"/>
        <v>0</v>
      </c>
      <c r="GR217" s="11">
        <f t="shared" si="152"/>
        <v>0</v>
      </c>
      <c r="GS217" s="11">
        <f t="shared" si="153"/>
        <v>0</v>
      </c>
      <c r="GT217" s="11">
        <f t="shared" si="154"/>
        <v>0</v>
      </c>
      <c r="GU217" s="12">
        <f t="shared" si="155"/>
        <v>0</v>
      </c>
      <c r="GV217" s="12">
        <f t="shared" si="156"/>
        <v>0</v>
      </c>
      <c r="GW217" s="12">
        <f t="shared" si="157"/>
        <v>0</v>
      </c>
      <c r="GX217" s="12">
        <f t="shared" si="158"/>
        <v>0</v>
      </c>
      <c r="GY217" s="12">
        <f t="shared" si="159"/>
        <v>0</v>
      </c>
      <c r="GZ217" s="12">
        <f t="shared" si="160"/>
        <v>0</v>
      </c>
      <c r="HA217" s="12">
        <f t="shared" si="161"/>
        <v>0</v>
      </c>
      <c r="HB217" s="12">
        <f t="shared" si="162"/>
        <v>0</v>
      </c>
      <c r="HC217" s="12">
        <f t="shared" si="163"/>
        <v>0</v>
      </c>
      <c r="HD217" s="12">
        <f t="shared" si="164"/>
        <v>0</v>
      </c>
      <c r="HE217" s="12">
        <f t="shared" si="165"/>
        <v>0</v>
      </c>
      <c r="HF217" s="12">
        <f t="shared" si="166"/>
        <v>0</v>
      </c>
      <c r="HG217" s="12">
        <f t="shared" si="167"/>
        <v>0</v>
      </c>
      <c r="HH217" s="12">
        <f t="shared" si="168"/>
        <v>0</v>
      </c>
      <c r="HI217" s="12">
        <f t="shared" si="169"/>
        <v>0</v>
      </c>
      <c r="HJ217" s="12">
        <f t="shared" si="170"/>
        <v>0</v>
      </c>
      <c r="HK217" s="12">
        <f t="shared" si="171"/>
        <v>0</v>
      </c>
      <c r="HL217" s="12">
        <f t="shared" si="172"/>
        <v>0</v>
      </c>
      <c r="HM217" s="12">
        <f t="shared" si="173"/>
        <v>0</v>
      </c>
      <c r="HN217" s="12">
        <f t="shared" si="174"/>
        <v>0</v>
      </c>
      <c r="HO217" s="12">
        <f t="shared" si="175"/>
        <v>0</v>
      </c>
      <c r="HP217" s="12">
        <f t="shared" si="176"/>
        <v>0</v>
      </c>
      <c r="HQ217" s="12">
        <f t="shared" si="177"/>
        <v>0</v>
      </c>
      <c r="HR217" s="12">
        <f t="shared" si="178"/>
        <v>0</v>
      </c>
      <c r="HS217" s="12">
        <f t="shared" si="179"/>
        <v>0</v>
      </c>
      <c r="HT217" s="12">
        <f t="shared" si="180"/>
        <v>0</v>
      </c>
      <c r="HU217" s="12">
        <f t="shared" si="181"/>
        <v>0</v>
      </c>
      <c r="HV217" s="12">
        <f t="shared" si="182"/>
        <v>0</v>
      </c>
      <c r="HW217" s="12">
        <f t="shared" si="183"/>
        <v>0</v>
      </c>
      <c r="HX217" s="12">
        <f t="shared" si="184"/>
        <v>0</v>
      </c>
      <c r="HY217" s="12">
        <f t="shared" si="185"/>
        <v>0</v>
      </c>
      <c r="HZ217" s="12">
        <f t="shared" si="186"/>
        <v>0</v>
      </c>
      <c r="IA217" s="12">
        <f t="shared" si="187"/>
        <v>0</v>
      </c>
      <c r="IB217" s="12">
        <f t="shared" si="188"/>
        <v>0</v>
      </c>
      <c r="IC217" s="12">
        <f t="shared" si="189"/>
        <v>0</v>
      </c>
      <c r="ID217" s="12">
        <f t="shared" si="190"/>
        <v>0</v>
      </c>
      <c r="IE217" s="12">
        <f t="shared" si="191"/>
        <v>0</v>
      </c>
      <c r="IF217" s="12">
        <f t="shared" si="192"/>
        <v>0</v>
      </c>
      <c r="IG217" s="12">
        <f t="shared" si="193"/>
        <v>0</v>
      </c>
      <c r="IH217" s="12">
        <f t="shared" si="194"/>
        <v>0</v>
      </c>
      <c r="II217" s="12">
        <f t="shared" si="195"/>
        <v>0</v>
      </c>
      <c r="IJ217" s="12">
        <f t="shared" si="196"/>
        <v>0</v>
      </c>
      <c r="IK217" s="12">
        <f t="shared" si="197"/>
        <v>0</v>
      </c>
      <c r="IL217" s="12">
        <f t="shared" si="198"/>
        <v>0</v>
      </c>
      <c r="IM217" s="12">
        <f t="shared" si="199"/>
        <v>0</v>
      </c>
      <c r="IN217" s="12">
        <f t="shared" si="200"/>
        <v>0</v>
      </c>
      <c r="IO217" s="12">
        <f t="shared" si="201"/>
        <v>0</v>
      </c>
      <c r="IP217" s="12">
        <f t="shared" si="202"/>
        <v>0</v>
      </c>
      <c r="IQ217" s="12">
        <f t="shared" si="203"/>
        <v>0</v>
      </c>
      <c r="IR217" s="12">
        <f t="shared" si="204"/>
        <v>0</v>
      </c>
      <c r="IS217" s="12">
        <f t="shared" si="205"/>
        <v>0</v>
      </c>
      <c r="IT217" s="12">
        <f t="shared" si="206"/>
        <v>0</v>
      </c>
      <c r="IU217" s="12">
        <f t="shared" si="207"/>
        <v>0</v>
      </c>
      <c r="IV217" s="12">
        <f t="shared" si="208"/>
        <v>0</v>
      </c>
      <c r="IW217" s="12">
        <f t="shared" si="209"/>
        <v>0</v>
      </c>
      <c r="IX217" s="12">
        <f t="shared" si="210"/>
        <v>0</v>
      </c>
      <c r="IY217" s="12">
        <f t="shared" si="211"/>
        <v>0</v>
      </c>
      <c r="IZ217" s="12">
        <f t="shared" si="212"/>
        <v>0</v>
      </c>
      <c r="JA217" s="13">
        <f t="shared" si="213"/>
        <v>0</v>
      </c>
      <c r="JB217" s="13">
        <f t="shared" si="214"/>
        <v>0</v>
      </c>
      <c r="JC217" s="13">
        <f t="shared" si="215"/>
        <v>0</v>
      </c>
      <c r="JD217" s="13">
        <f t="shared" si="216"/>
        <v>0</v>
      </c>
      <c r="JE217" s="13">
        <f t="shared" si="217"/>
        <v>0</v>
      </c>
      <c r="JF217" s="13">
        <f t="shared" si="218"/>
        <v>0</v>
      </c>
      <c r="JG217" s="13">
        <f t="shared" si="219"/>
        <v>0</v>
      </c>
      <c r="JH217" s="13">
        <f t="shared" si="220"/>
        <v>0</v>
      </c>
      <c r="JI217" s="13">
        <f t="shared" si="221"/>
        <v>0</v>
      </c>
      <c r="JJ217" s="13">
        <f t="shared" si="222"/>
        <v>0</v>
      </c>
      <c r="JK217" s="13">
        <f t="shared" si="223"/>
        <v>0</v>
      </c>
      <c r="JL217" s="13">
        <f t="shared" si="224"/>
        <v>0</v>
      </c>
      <c r="JM217" s="13">
        <f t="shared" si="225"/>
        <v>0</v>
      </c>
      <c r="JN217" s="13">
        <f t="shared" si="226"/>
        <v>0</v>
      </c>
      <c r="JO217" s="13">
        <f t="shared" si="227"/>
        <v>0</v>
      </c>
      <c r="JP217" s="13">
        <f t="shared" si="228"/>
        <v>0</v>
      </c>
      <c r="JQ217" s="13">
        <f t="shared" si="229"/>
        <v>0</v>
      </c>
      <c r="JR217" s="13">
        <f t="shared" si="230"/>
        <v>0</v>
      </c>
      <c r="JS217" s="13">
        <f t="shared" si="231"/>
        <v>0</v>
      </c>
      <c r="JT217" s="13">
        <f t="shared" si="232"/>
        <v>0</v>
      </c>
      <c r="JU217" s="13">
        <f t="shared" si="233"/>
        <v>0</v>
      </c>
      <c r="JV217" s="12">
        <f t="shared" si="234"/>
        <v>0</v>
      </c>
      <c r="JW217" s="12">
        <f t="shared" si="235"/>
        <v>0</v>
      </c>
      <c r="JX217" s="12">
        <f t="shared" si="236"/>
        <v>0</v>
      </c>
      <c r="JY217" s="12">
        <f t="shared" si="237"/>
        <v>0</v>
      </c>
      <c r="JZ217" s="12">
        <f t="shared" si="238"/>
        <v>0</v>
      </c>
      <c r="KA217" s="12">
        <f t="shared" si="239"/>
        <v>0</v>
      </c>
      <c r="KB217" s="12">
        <f t="shared" si="240"/>
        <v>0</v>
      </c>
      <c r="KC217" s="12">
        <f t="shared" si="241"/>
        <v>0</v>
      </c>
      <c r="KD217" s="12">
        <f t="shared" ref="KD217:KD264" si="797">IF(OR(ISNUMBER(SEARCH("PERMA", $D217)), ISNUMBER(SEARCH("PERMA", $T217)), ISNUMBER(SEARCH("PERMA", $R217)), ISNUMBER(SEARCH("PERMA", $S217))), 1, 0)</f>
        <v>0</v>
      </c>
      <c r="KE217" s="12">
        <f t="shared" si="243"/>
        <v>0</v>
      </c>
      <c r="KF217" s="12">
        <f t="shared" si="244"/>
        <v>0</v>
      </c>
      <c r="KG217" s="12">
        <f t="shared" si="245"/>
        <v>0</v>
      </c>
      <c r="KH217" s="12">
        <f t="shared" si="246"/>
        <v>0</v>
      </c>
      <c r="KI217" s="12">
        <f t="shared" si="247"/>
        <v>0</v>
      </c>
      <c r="KJ217" s="12">
        <f t="shared" si="248"/>
        <v>0</v>
      </c>
      <c r="KK217" s="12">
        <f t="shared" si="249"/>
        <v>0</v>
      </c>
      <c r="KL217" s="12">
        <f t="shared" si="250"/>
        <v>0</v>
      </c>
      <c r="KM217" s="12">
        <f t="shared" si="251"/>
        <v>0</v>
      </c>
      <c r="KN217" s="12">
        <f t="shared" si="252"/>
        <v>0</v>
      </c>
      <c r="KO217" s="12">
        <f t="shared" si="253"/>
        <v>0</v>
      </c>
      <c r="KP217" s="12">
        <f t="shared" si="254"/>
        <v>0</v>
      </c>
      <c r="KQ217" s="12">
        <f t="shared" si="255"/>
        <v>0</v>
      </c>
      <c r="KR217" s="12">
        <f t="shared" si="256"/>
        <v>0</v>
      </c>
      <c r="KS217" s="12">
        <f t="shared" si="257"/>
        <v>0</v>
      </c>
      <c r="KT217" s="12">
        <f t="shared" si="258"/>
        <v>0</v>
      </c>
      <c r="KU217" s="12">
        <f t="shared" si="259"/>
        <v>0</v>
      </c>
      <c r="KV217" s="12">
        <f t="shared" si="260"/>
        <v>0</v>
      </c>
      <c r="KW217" s="12">
        <f t="shared" si="261"/>
        <v>0</v>
      </c>
      <c r="KX217" s="12">
        <f t="shared" si="262"/>
        <v>0</v>
      </c>
      <c r="KY217" s="12">
        <f t="shared" si="263"/>
        <v>0</v>
      </c>
      <c r="KZ217" s="12">
        <f t="shared" si="264"/>
        <v>0</v>
      </c>
      <c r="LA217" s="12">
        <f t="shared" si="265"/>
        <v>0</v>
      </c>
      <c r="LB217" s="12">
        <f t="shared" si="266"/>
        <v>0</v>
      </c>
      <c r="LC217" s="12">
        <f t="shared" si="267"/>
        <v>0</v>
      </c>
      <c r="LD217" s="12">
        <f t="shared" si="268"/>
        <v>0</v>
      </c>
      <c r="LE217" s="12">
        <f t="shared" si="269"/>
        <v>0</v>
      </c>
      <c r="LF217" s="12">
        <f t="shared" si="270"/>
        <v>0</v>
      </c>
      <c r="LG217" s="12">
        <f t="shared" si="271"/>
        <v>0</v>
      </c>
      <c r="LH217" s="12">
        <f t="shared" si="272"/>
        <v>0</v>
      </c>
      <c r="LI217" s="12">
        <f t="shared" si="273"/>
        <v>0</v>
      </c>
      <c r="LJ217" s="12">
        <f t="shared" si="274"/>
        <v>0</v>
      </c>
      <c r="LK217" s="12">
        <f t="shared" si="275"/>
        <v>0</v>
      </c>
      <c r="LL217" s="12">
        <f t="shared" si="276"/>
        <v>0</v>
      </c>
      <c r="LM217" s="12">
        <f t="shared" si="277"/>
        <v>0</v>
      </c>
      <c r="LN217" s="12">
        <f t="shared" si="278"/>
        <v>0</v>
      </c>
      <c r="LO217" s="12">
        <f t="shared" si="279"/>
        <v>0</v>
      </c>
      <c r="LP217" s="12">
        <f t="shared" si="280"/>
        <v>0</v>
      </c>
      <c r="LQ217" s="12">
        <f t="shared" si="281"/>
        <v>0</v>
      </c>
      <c r="LR217" s="12">
        <f t="shared" si="282"/>
        <v>0</v>
      </c>
      <c r="LS217" s="12">
        <f t="shared" si="283"/>
        <v>0</v>
      </c>
      <c r="LT217" s="13">
        <f t="shared" si="284"/>
        <v>0</v>
      </c>
      <c r="LU217" s="13">
        <f t="shared" si="285"/>
        <v>0</v>
      </c>
      <c r="LV217" s="13">
        <f t="shared" si="286"/>
        <v>0</v>
      </c>
      <c r="LW217" s="13">
        <f t="shared" si="287"/>
        <v>0</v>
      </c>
      <c r="LX217" s="13">
        <f t="shared" si="288"/>
        <v>0</v>
      </c>
      <c r="LY217" s="13">
        <f t="shared" si="289"/>
        <v>0</v>
      </c>
      <c r="LZ217" s="13">
        <f t="shared" si="290"/>
        <v>0</v>
      </c>
      <c r="MA217" s="13">
        <f t="shared" si="291"/>
        <v>0</v>
      </c>
      <c r="MB217" s="13">
        <f t="shared" si="292"/>
        <v>0</v>
      </c>
      <c r="MC217" s="13">
        <f t="shared" si="293"/>
        <v>0</v>
      </c>
      <c r="MD217" s="13">
        <f t="shared" si="294"/>
        <v>0</v>
      </c>
      <c r="ME217" s="13">
        <f t="shared" si="295"/>
        <v>0</v>
      </c>
      <c r="MF217" s="13">
        <f t="shared" si="296"/>
        <v>0</v>
      </c>
      <c r="MG217" s="13">
        <f t="shared" si="297"/>
        <v>0</v>
      </c>
      <c r="MH217" s="13">
        <f t="shared" si="298"/>
        <v>0</v>
      </c>
      <c r="MI217" s="13">
        <f t="shared" si="299"/>
        <v>0</v>
      </c>
      <c r="MJ217" s="13">
        <f t="shared" si="300"/>
        <v>0</v>
      </c>
      <c r="MK217" s="13">
        <f t="shared" si="301"/>
        <v>0</v>
      </c>
      <c r="ML217" s="14">
        <f t="shared" si="302"/>
        <v>0</v>
      </c>
      <c r="MM217" s="14">
        <f t="shared" si="303"/>
        <v>0</v>
      </c>
      <c r="MN217" s="14">
        <f t="shared" si="304"/>
        <v>0</v>
      </c>
      <c r="MO217" s="14">
        <f t="shared" si="305"/>
        <v>0</v>
      </c>
      <c r="MP217" s="14">
        <f t="shared" si="306"/>
        <v>0</v>
      </c>
      <c r="MQ217" s="14">
        <f t="shared" si="307"/>
        <v>0</v>
      </c>
      <c r="MR217" s="14">
        <f t="shared" si="308"/>
        <v>0</v>
      </c>
      <c r="MS217" s="14">
        <f t="shared" si="309"/>
        <v>0</v>
      </c>
      <c r="MT217" s="14">
        <f t="shared" si="310"/>
        <v>0</v>
      </c>
      <c r="MU217" s="14">
        <f t="shared" si="311"/>
        <v>0</v>
      </c>
      <c r="MV217" s="14">
        <f t="shared" si="312"/>
        <v>0</v>
      </c>
      <c r="MW217" s="14">
        <f t="shared" si="313"/>
        <v>0</v>
      </c>
      <c r="MX217" s="14">
        <f t="shared" si="314"/>
        <v>0</v>
      </c>
      <c r="MY217" s="14">
        <f t="shared" si="315"/>
        <v>0</v>
      </c>
      <c r="MZ217" s="14">
        <f t="shared" si="316"/>
        <v>0</v>
      </c>
      <c r="NA217" s="14">
        <f t="shared" si="317"/>
        <v>0</v>
      </c>
      <c r="NB217" s="14">
        <f t="shared" si="318"/>
        <v>0</v>
      </c>
    </row>
    <row r="218" ht="15.75" customHeight="1">
      <c r="A218" s="2">
        <v>519.0</v>
      </c>
      <c r="B218" s="2" t="s">
        <v>3979</v>
      </c>
      <c r="C218" s="2" t="s">
        <v>3980</v>
      </c>
      <c r="D218" s="2" t="s">
        <v>3981</v>
      </c>
      <c r="E218" s="2">
        <v>2023.0</v>
      </c>
      <c r="F218" s="2" t="s">
        <v>3982</v>
      </c>
      <c r="N218" s="2" t="s">
        <v>3983</v>
      </c>
      <c r="O218" s="2" t="s">
        <v>3984</v>
      </c>
      <c r="P218" s="2" t="s">
        <v>3985</v>
      </c>
      <c r="Q218" s="2" t="s">
        <v>3986</v>
      </c>
      <c r="R218" s="2" t="s">
        <v>3987</v>
      </c>
      <c r="S218" s="2" t="s">
        <v>3988</v>
      </c>
      <c r="Y218" s="2" t="s">
        <v>3989</v>
      </c>
      <c r="AB218" s="2" t="s">
        <v>1080</v>
      </c>
      <c r="AG218" s="2" t="s">
        <v>3990</v>
      </c>
      <c r="AK218" s="2" t="s">
        <v>3991</v>
      </c>
      <c r="AL218" s="2" t="s">
        <v>2966</v>
      </c>
      <c r="AN218" s="2" t="s">
        <v>386</v>
      </c>
      <c r="AO218" s="2" t="s">
        <v>3992</v>
      </c>
      <c r="AP218" s="2" t="s">
        <v>386</v>
      </c>
      <c r="AQ218" s="2">
        <v>2019.0</v>
      </c>
      <c r="AR218" s="2" t="s">
        <v>3981</v>
      </c>
      <c r="AS218" s="2" t="b">
        <v>1</v>
      </c>
      <c r="AT218" s="3">
        <v>0.0</v>
      </c>
      <c r="AU218" s="4">
        <v>1.0</v>
      </c>
      <c r="AV218" s="4"/>
      <c r="AW218" s="5">
        <f t="shared" si="432"/>
        <v>0</v>
      </c>
      <c r="AX218" s="5">
        <f t="shared" si="4"/>
        <v>0</v>
      </c>
      <c r="AY218" s="5">
        <f t="shared" si="5"/>
        <v>0</v>
      </c>
      <c r="AZ218" s="5">
        <f t="shared" si="6"/>
        <v>0</v>
      </c>
      <c r="BA218" s="5">
        <f t="shared" si="7"/>
        <v>0</v>
      </c>
      <c r="BB218" s="5">
        <f t="shared" si="8"/>
        <v>0</v>
      </c>
      <c r="BC218" s="5">
        <f t="shared" si="9"/>
        <v>0</v>
      </c>
      <c r="BD218" s="5">
        <f t="shared" si="10"/>
        <v>0</v>
      </c>
      <c r="BE218" s="5">
        <f t="shared" si="11"/>
        <v>0</v>
      </c>
      <c r="BF218" s="5">
        <f t="shared" si="12"/>
        <v>0</v>
      </c>
      <c r="BG218" s="5">
        <f t="shared" si="13"/>
        <v>0</v>
      </c>
      <c r="BH218" s="5">
        <f t="shared" si="14"/>
        <v>0</v>
      </c>
      <c r="BI218" s="5">
        <f t="shared" si="15"/>
        <v>0</v>
      </c>
      <c r="BJ218" s="5">
        <f t="shared" si="16"/>
        <v>0</v>
      </c>
      <c r="BK218" s="5">
        <f t="shared" si="17"/>
        <v>0</v>
      </c>
      <c r="BL218" s="5">
        <f t="shared" si="18"/>
        <v>0</v>
      </c>
      <c r="BM218" s="5">
        <f t="shared" si="19"/>
        <v>0</v>
      </c>
      <c r="BN218" s="5">
        <f t="shared" si="20"/>
        <v>0</v>
      </c>
      <c r="BO218" s="5">
        <f t="shared" si="21"/>
        <v>0</v>
      </c>
      <c r="BP218" s="5">
        <f t="shared" si="22"/>
        <v>0</v>
      </c>
      <c r="BQ218" s="5">
        <f t="shared" si="23"/>
        <v>0</v>
      </c>
      <c r="BR218" s="5">
        <f t="shared" si="24"/>
        <v>0</v>
      </c>
      <c r="BS218" s="5">
        <f t="shared" si="25"/>
        <v>0</v>
      </c>
      <c r="BT218" s="5">
        <f t="shared" si="26"/>
        <v>0</v>
      </c>
      <c r="BU218" s="5">
        <f t="shared" si="27"/>
        <v>0</v>
      </c>
      <c r="BV218" s="5">
        <f t="shared" ref="BV218:BW218" si="795">IF(OR(ISNUMBER(SEARCH("grit",$D218)),ISNUMBER(SEARCH("grit",$T218)),ISNUMBER(SEARCH("grit",$R218)),ISNUMBER(SEARCH("grit",$S218)),
ISNUMBER(SEARCH("determination",$D218)),ISNUMBER(SEARCH("determination",$T218)),ISNUMBER(SEARCH("determination",$R218)),ISNUMBER(SEARCH("determination",$S218)),
ISNUMBER(SEARCH("tenacity",$D218)),ISNUMBER(SEARCH("tenacity",$T218)),ISNUMBER(SEARCH("tenacity",$R218)),ISNUMBER(SEARCH("tenacity",$S218)),
ISNUMBER(SEARCH("endurance",$D218)),ISNUMBER(SEARCH("endurance",$T218)),ISNUMBER(SEARCH("endurance",$R218)),ISNUMBER(SEARCH("endurance",$S218)),
ISNUMBER(SEARCH("fortitude",$D218)),ISNUMBER(SEARCH("fortitude",$T218)),ISNUMBER(SEARCH("fortitude",$R218)),ISNUMBER(SEARCH("fortitude",$S218)),
ISNUMBER(SEARCH("resolve",$D218)),ISNUMBER(SEARCH("resolve",$T218)),ISNUMBER(SEARCH("resolve",$R218)),ISNUMBER(SEARCH("resolve",$S218)),
ISNUMBER(SEARCH("stamina",$D218)),ISNUMBER(SEARCH("stamina",$T218)),ISNUMBER(SEARCH("stamina",$R218)),ISNUMBER(SEARCH("stamina",$S218)),
ISNUMBER(SEARCH("guts",$D218)),ISNUMBER(SEARCH("guts",$T218)),ISNUMBER(SEARCH("guts",$R218)),ISNUMBER(SEARCH("guts",$S218)),
ISNUMBER(SEARCH("spunk",$D218)),ISNUMBER(SEARCH("spunk",$T218)),ISNUMBER(SEARCH("spunk",$R218)),ISNUMBER(SEARCH("spunk",$S218))), 1, 0)</f>
        <v>0</v>
      </c>
      <c r="BW218" s="5">
        <f t="shared" si="795"/>
        <v>0</v>
      </c>
      <c r="BX218" s="5">
        <f t="shared" si="29"/>
        <v>0</v>
      </c>
      <c r="BY218" s="5">
        <f t="shared" si="30"/>
        <v>0</v>
      </c>
      <c r="BZ218" s="5">
        <f t="shared" si="31"/>
        <v>0</v>
      </c>
      <c r="CA218" s="5">
        <f t="shared" si="32"/>
        <v>0</v>
      </c>
      <c r="CB218" s="5">
        <f t="shared" si="33"/>
        <v>0</v>
      </c>
      <c r="CC218" s="5">
        <f t="shared" si="34"/>
        <v>0</v>
      </c>
      <c r="CD218" s="5">
        <f t="shared" si="35"/>
        <v>0</v>
      </c>
      <c r="CE218" s="5">
        <f t="shared" si="36"/>
        <v>0</v>
      </c>
      <c r="CF218" s="5">
        <f t="shared" si="37"/>
        <v>0</v>
      </c>
      <c r="CG218" s="5">
        <f t="shared" si="38"/>
        <v>0</v>
      </c>
      <c r="CH218" s="5">
        <f t="shared" si="39"/>
        <v>0</v>
      </c>
      <c r="CI218" s="5">
        <f t="shared" si="40"/>
        <v>0</v>
      </c>
      <c r="CJ218" s="5">
        <f t="shared" si="41"/>
        <v>0</v>
      </c>
      <c r="CK218" s="5">
        <f t="shared" si="42"/>
        <v>0</v>
      </c>
      <c r="CL218" s="5">
        <f t="shared" si="43"/>
        <v>0</v>
      </c>
      <c r="CM218" s="5">
        <f t="shared" si="44"/>
        <v>0</v>
      </c>
      <c r="CN218" s="5">
        <f t="shared" si="45"/>
        <v>0</v>
      </c>
      <c r="CO218" s="5">
        <f t="shared" si="46"/>
        <v>0</v>
      </c>
      <c r="CP218" s="6">
        <f t="shared" si="47"/>
        <v>0</v>
      </c>
      <c r="CQ218" s="6">
        <f t="shared" si="48"/>
        <v>0</v>
      </c>
      <c r="CR218" s="6">
        <f t="shared" si="49"/>
        <v>0</v>
      </c>
      <c r="CS218" s="6">
        <f t="shared" si="50"/>
        <v>0</v>
      </c>
      <c r="CT218" s="6">
        <f t="shared" si="584"/>
        <v>0</v>
      </c>
      <c r="CU218" s="6">
        <f t="shared" si="52"/>
        <v>0</v>
      </c>
      <c r="CV218" s="6">
        <f t="shared" si="53"/>
        <v>0</v>
      </c>
      <c r="CW218" s="6">
        <f t="shared" si="54"/>
        <v>0</v>
      </c>
      <c r="CX218" s="6">
        <f t="shared" si="55"/>
        <v>0</v>
      </c>
      <c r="CY218" s="6">
        <f t="shared" si="56"/>
        <v>0</v>
      </c>
      <c r="CZ218" s="6">
        <f t="shared" si="57"/>
        <v>0</v>
      </c>
      <c r="DA218" s="6">
        <f t="shared" si="58"/>
        <v>0</v>
      </c>
      <c r="DB218" s="6">
        <f t="shared" si="59"/>
        <v>0</v>
      </c>
      <c r="DC218" s="6">
        <f t="shared" si="60"/>
        <v>0</v>
      </c>
      <c r="DD218" s="6">
        <f t="shared" si="61"/>
        <v>0</v>
      </c>
      <c r="DE218" s="6">
        <f t="shared" si="62"/>
        <v>0</v>
      </c>
      <c r="DF218" s="6">
        <f t="shared" si="63"/>
        <v>0</v>
      </c>
      <c r="DG218" s="6">
        <f t="shared" si="64"/>
        <v>0</v>
      </c>
      <c r="DH218" s="6">
        <f t="shared" si="697"/>
        <v>0</v>
      </c>
      <c r="DI218" s="6">
        <f t="shared" si="66"/>
        <v>0</v>
      </c>
      <c r="DJ218" s="6">
        <f t="shared" si="653"/>
        <v>0</v>
      </c>
      <c r="DK218" s="7">
        <f t="shared" si="68"/>
        <v>0</v>
      </c>
      <c r="DL218" s="7">
        <f t="shared" si="498"/>
        <v>0</v>
      </c>
      <c r="DM218" s="7">
        <f t="shared" si="70"/>
        <v>0</v>
      </c>
      <c r="DN218" s="7">
        <f t="shared" si="71"/>
        <v>0</v>
      </c>
      <c r="DO218" s="7">
        <f t="shared" si="72"/>
        <v>0</v>
      </c>
      <c r="DP218" s="8">
        <f t="shared" si="73"/>
        <v>0</v>
      </c>
      <c r="DQ218" s="8">
        <f t="shared" si="74"/>
        <v>1</v>
      </c>
      <c r="DR218" s="7">
        <f t="shared" si="75"/>
        <v>0</v>
      </c>
      <c r="DS218" s="7">
        <f t="shared" si="76"/>
        <v>0</v>
      </c>
      <c r="DT218" s="7">
        <f t="shared" si="77"/>
        <v>0</v>
      </c>
      <c r="DU218" s="9">
        <f t="shared" si="78"/>
        <v>0</v>
      </c>
      <c r="DV218" s="9">
        <f t="shared" si="79"/>
        <v>0</v>
      </c>
      <c r="DW218" s="9">
        <f t="shared" si="80"/>
        <v>0</v>
      </c>
      <c r="DX218" s="9">
        <f t="shared" si="81"/>
        <v>0</v>
      </c>
      <c r="DY218" s="9">
        <f t="shared" si="82"/>
        <v>0</v>
      </c>
      <c r="DZ218" s="9">
        <f t="shared" si="83"/>
        <v>0</v>
      </c>
      <c r="EA218" s="9">
        <f t="shared" si="84"/>
        <v>0</v>
      </c>
      <c r="EB218" s="9">
        <f t="shared" si="85"/>
        <v>0</v>
      </c>
      <c r="EC218" s="9">
        <f t="shared" si="86"/>
        <v>0</v>
      </c>
      <c r="ED218" s="9">
        <f t="shared" si="87"/>
        <v>0</v>
      </c>
      <c r="EE218" s="9">
        <f t="shared" si="88"/>
        <v>0</v>
      </c>
      <c r="EF218" s="9">
        <f t="shared" si="89"/>
        <v>0</v>
      </c>
      <c r="EG218" s="9">
        <f t="shared" si="90"/>
        <v>0</v>
      </c>
      <c r="EH218" s="9">
        <f t="shared" si="91"/>
        <v>0</v>
      </c>
      <c r="EI218" s="9">
        <f t="shared" si="92"/>
        <v>0</v>
      </c>
      <c r="EJ218" s="10">
        <f t="shared" si="93"/>
        <v>0</v>
      </c>
      <c r="EK218" s="10">
        <f t="shared" si="94"/>
        <v>0</v>
      </c>
      <c r="EL218" s="10">
        <f t="shared" ref="EL218:EM218" si="796">IF(OR(ISNUMBER(SEARCH("ai software toolkit", $D218)), ISNUMBER(SEARCH("ai software toolkit", $T218)), ISNUMBER(SEARCH("ai software toolkit", $R218)), ISNUMBER(SEARCH("ai software toolkit", $S218))), 1, 0)</f>
        <v>0</v>
      </c>
      <c r="EM218" s="10">
        <f t="shared" si="796"/>
        <v>0</v>
      </c>
      <c r="EN218" s="10">
        <f t="shared" si="96"/>
        <v>0</v>
      </c>
      <c r="EO218" s="10">
        <f t="shared" si="97"/>
        <v>0</v>
      </c>
      <c r="EP218" s="10">
        <f t="shared" si="98"/>
        <v>0</v>
      </c>
      <c r="EQ218" s="10">
        <f t="shared" si="99"/>
        <v>0</v>
      </c>
      <c r="ER218" s="10">
        <f t="shared" si="100"/>
        <v>0</v>
      </c>
      <c r="ES218" s="10">
        <f t="shared" si="101"/>
        <v>0</v>
      </c>
      <c r="ET218" s="10">
        <f t="shared" si="102"/>
        <v>0</v>
      </c>
      <c r="EU218" s="10">
        <f t="shared" si="103"/>
        <v>0</v>
      </c>
      <c r="EV218" s="10">
        <f t="shared" si="104"/>
        <v>0</v>
      </c>
      <c r="EW218" s="10">
        <f t="shared" si="105"/>
        <v>0</v>
      </c>
      <c r="EX218" s="10">
        <f t="shared" si="106"/>
        <v>0</v>
      </c>
      <c r="EY218" s="10">
        <f t="shared" si="107"/>
        <v>0</v>
      </c>
      <c r="EZ218" s="10">
        <f t="shared" si="108"/>
        <v>0</v>
      </c>
      <c r="FA218" s="10">
        <f t="shared" si="109"/>
        <v>0</v>
      </c>
      <c r="FB218" s="10">
        <f t="shared" si="110"/>
        <v>0</v>
      </c>
      <c r="FC218" s="10">
        <f t="shared" si="111"/>
        <v>0</v>
      </c>
      <c r="FD218" s="10">
        <f t="shared" si="112"/>
        <v>0</v>
      </c>
      <c r="FE218" s="10">
        <f t="shared" si="782"/>
        <v>1</v>
      </c>
      <c r="FF218" s="10">
        <f t="shared" si="114"/>
        <v>0</v>
      </c>
      <c r="FG218" s="10">
        <f t="shared" si="115"/>
        <v>0</v>
      </c>
      <c r="FH218" s="10">
        <f t="shared" si="116"/>
        <v>0</v>
      </c>
      <c r="FI218" s="10">
        <f t="shared" si="117"/>
        <v>0</v>
      </c>
      <c r="FJ218" s="10">
        <f t="shared" si="118"/>
        <v>0</v>
      </c>
      <c r="FK218" s="10">
        <f t="shared" si="119"/>
        <v>0</v>
      </c>
      <c r="FL218" s="10">
        <f t="shared" si="120"/>
        <v>0</v>
      </c>
      <c r="FM218" s="10">
        <f t="shared" si="121"/>
        <v>0</v>
      </c>
      <c r="FN218" s="10">
        <f t="shared" si="122"/>
        <v>0</v>
      </c>
      <c r="FO218" s="10">
        <f t="shared" si="123"/>
        <v>0</v>
      </c>
      <c r="FP218" s="10">
        <f t="shared" si="124"/>
        <v>0</v>
      </c>
      <c r="FQ218" s="10">
        <f t="shared" si="125"/>
        <v>0</v>
      </c>
      <c r="FR218" s="11">
        <f>IF(
OR(
ISNUMBER(SEARCH("chatbot",$D218)),ISNUMBER(SEARCH("chatbot",$T218)),ISNUMBER(SEARCH("chatbot",#REF!)),ISNUMBER(SEARCH("chatbot",$S218)),
ISNUMBER(SEARCH("virtual assistance",$D218)),ISNUMBER(SEARCH("virtual assistance",$T218)),ISNUMBER(SEARCH("virtual assistance",$R218)),ISNUMBER(SEARCH("virtual assistance",$S218))), 1, 0)</f>
        <v>0</v>
      </c>
      <c r="FS218" s="11">
        <f t="shared" si="127"/>
        <v>0</v>
      </c>
      <c r="FT218" s="11">
        <f t="shared" si="128"/>
        <v>0</v>
      </c>
      <c r="FU218" s="11">
        <f t="shared" si="129"/>
        <v>0</v>
      </c>
      <c r="FV218" s="11">
        <f t="shared" si="130"/>
        <v>0</v>
      </c>
      <c r="FW218" s="11">
        <f t="shared" si="131"/>
        <v>0</v>
      </c>
      <c r="FX218" s="11">
        <f t="shared" si="132"/>
        <v>0</v>
      </c>
      <c r="FY218" s="11">
        <f t="shared" si="133"/>
        <v>0</v>
      </c>
      <c r="FZ218" s="11">
        <f t="shared" si="134"/>
        <v>0</v>
      </c>
      <c r="GA218" s="11">
        <f t="shared" si="135"/>
        <v>0</v>
      </c>
      <c r="GB218" s="11">
        <f t="shared" si="136"/>
        <v>0</v>
      </c>
      <c r="GC218" s="11">
        <f t="shared" si="137"/>
        <v>0</v>
      </c>
      <c r="GD218" s="11">
        <f t="shared" si="138"/>
        <v>0</v>
      </c>
      <c r="GE218" s="11">
        <f t="shared" si="139"/>
        <v>0</v>
      </c>
      <c r="GF218" s="11">
        <f t="shared" si="140"/>
        <v>0</v>
      </c>
      <c r="GG218" s="11">
        <f t="shared" si="141"/>
        <v>0</v>
      </c>
      <c r="GH218" s="11">
        <f t="shared" si="142"/>
        <v>0</v>
      </c>
      <c r="GI218" s="11">
        <f t="shared" si="143"/>
        <v>0</v>
      </c>
      <c r="GJ218" s="11">
        <f t="shared" si="144"/>
        <v>0</v>
      </c>
      <c r="GK218" s="11">
        <f t="shared" si="145"/>
        <v>0</v>
      </c>
      <c r="GL218" s="11">
        <f t="shared" si="146"/>
        <v>0</v>
      </c>
      <c r="GM218" s="11">
        <f t="shared" si="147"/>
        <v>0</v>
      </c>
      <c r="GN218" s="11">
        <f t="shared" si="148"/>
        <v>0</v>
      </c>
      <c r="GO218" s="11">
        <f t="shared" si="149"/>
        <v>0</v>
      </c>
      <c r="GP218" s="11">
        <f t="shared" si="150"/>
        <v>0</v>
      </c>
      <c r="GQ218" s="11">
        <f t="shared" si="151"/>
        <v>0</v>
      </c>
      <c r="GR218" s="11">
        <f t="shared" si="152"/>
        <v>0</v>
      </c>
      <c r="GS218" s="11">
        <f t="shared" si="153"/>
        <v>0</v>
      </c>
      <c r="GT218" s="11">
        <f t="shared" si="154"/>
        <v>0</v>
      </c>
      <c r="GU218" s="12">
        <f t="shared" si="155"/>
        <v>0</v>
      </c>
      <c r="GV218" s="12">
        <f t="shared" si="156"/>
        <v>0</v>
      </c>
      <c r="GW218" s="12">
        <f t="shared" si="157"/>
        <v>0</v>
      </c>
      <c r="GX218" s="12">
        <f t="shared" si="158"/>
        <v>0</v>
      </c>
      <c r="GY218" s="12">
        <f t="shared" si="159"/>
        <v>0</v>
      </c>
      <c r="GZ218" s="12">
        <f t="shared" si="160"/>
        <v>0</v>
      </c>
      <c r="HA218" s="12">
        <f t="shared" si="161"/>
        <v>0</v>
      </c>
      <c r="HB218" s="12">
        <f t="shared" si="162"/>
        <v>0</v>
      </c>
      <c r="HC218" s="12">
        <f t="shared" si="163"/>
        <v>0</v>
      </c>
      <c r="HD218" s="12">
        <f t="shared" si="164"/>
        <v>0</v>
      </c>
      <c r="HE218" s="12">
        <f t="shared" si="165"/>
        <v>0</v>
      </c>
      <c r="HF218" s="12">
        <f t="shared" si="166"/>
        <v>0</v>
      </c>
      <c r="HG218" s="12">
        <f t="shared" si="167"/>
        <v>0</v>
      </c>
      <c r="HH218" s="12">
        <f t="shared" si="168"/>
        <v>0</v>
      </c>
      <c r="HI218" s="12">
        <f t="shared" si="169"/>
        <v>0</v>
      </c>
      <c r="HJ218" s="12">
        <f t="shared" si="170"/>
        <v>0</v>
      </c>
      <c r="HK218" s="12">
        <f t="shared" si="171"/>
        <v>0</v>
      </c>
      <c r="HL218" s="12">
        <f t="shared" si="172"/>
        <v>0</v>
      </c>
      <c r="HM218" s="12">
        <f t="shared" si="173"/>
        <v>0</v>
      </c>
      <c r="HN218" s="12">
        <f t="shared" si="174"/>
        <v>0</v>
      </c>
      <c r="HO218" s="12">
        <f t="shared" si="175"/>
        <v>0</v>
      </c>
      <c r="HP218" s="12">
        <f t="shared" si="176"/>
        <v>0</v>
      </c>
      <c r="HQ218" s="12">
        <f t="shared" si="177"/>
        <v>0</v>
      </c>
      <c r="HR218" s="12">
        <f t="shared" si="178"/>
        <v>0</v>
      </c>
      <c r="HS218" s="12">
        <f t="shared" si="179"/>
        <v>0</v>
      </c>
      <c r="HT218" s="12">
        <f t="shared" si="180"/>
        <v>0</v>
      </c>
      <c r="HU218" s="12">
        <f t="shared" si="181"/>
        <v>0</v>
      </c>
      <c r="HV218" s="12">
        <f t="shared" si="182"/>
        <v>0</v>
      </c>
      <c r="HW218" s="12">
        <f t="shared" si="183"/>
        <v>0</v>
      </c>
      <c r="HX218" s="12">
        <f t="shared" si="184"/>
        <v>0</v>
      </c>
      <c r="HY218" s="12">
        <f t="shared" si="185"/>
        <v>0</v>
      </c>
      <c r="HZ218" s="12">
        <f t="shared" si="186"/>
        <v>0</v>
      </c>
      <c r="IA218" s="12">
        <f t="shared" si="187"/>
        <v>0</v>
      </c>
      <c r="IB218" s="12">
        <f t="shared" si="188"/>
        <v>0</v>
      </c>
      <c r="IC218" s="12">
        <f t="shared" si="189"/>
        <v>0</v>
      </c>
      <c r="ID218" s="12">
        <f t="shared" si="190"/>
        <v>0</v>
      </c>
      <c r="IE218" s="12">
        <f t="shared" si="191"/>
        <v>0</v>
      </c>
      <c r="IF218" s="12">
        <f t="shared" si="192"/>
        <v>0</v>
      </c>
      <c r="IG218" s="12">
        <f t="shared" si="193"/>
        <v>0</v>
      </c>
      <c r="IH218" s="12">
        <f t="shared" si="194"/>
        <v>0</v>
      </c>
      <c r="II218" s="12">
        <f t="shared" si="195"/>
        <v>0</v>
      </c>
      <c r="IJ218" s="12">
        <f t="shared" si="196"/>
        <v>0</v>
      </c>
      <c r="IK218" s="12">
        <f t="shared" si="197"/>
        <v>0</v>
      </c>
      <c r="IL218" s="12">
        <f t="shared" si="198"/>
        <v>0</v>
      </c>
      <c r="IM218" s="12">
        <f t="shared" si="199"/>
        <v>0</v>
      </c>
      <c r="IN218" s="12">
        <f t="shared" si="200"/>
        <v>0</v>
      </c>
      <c r="IO218" s="12">
        <f t="shared" si="201"/>
        <v>0</v>
      </c>
      <c r="IP218" s="12">
        <f t="shared" si="202"/>
        <v>0</v>
      </c>
      <c r="IQ218" s="12">
        <f t="shared" si="203"/>
        <v>0</v>
      </c>
      <c r="IR218" s="12">
        <f t="shared" si="204"/>
        <v>0</v>
      </c>
      <c r="IS218" s="12">
        <f t="shared" si="205"/>
        <v>0</v>
      </c>
      <c r="IT218" s="12">
        <f t="shared" si="206"/>
        <v>0</v>
      </c>
      <c r="IU218" s="12">
        <f t="shared" si="207"/>
        <v>0</v>
      </c>
      <c r="IV218" s="12">
        <f t="shared" si="208"/>
        <v>0</v>
      </c>
      <c r="IW218" s="12">
        <f t="shared" si="209"/>
        <v>0</v>
      </c>
      <c r="IX218" s="12">
        <f t="shared" si="210"/>
        <v>0</v>
      </c>
      <c r="IY218" s="12">
        <f t="shared" si="211"/>
        <v>0</v>
      </c>
      <c r="IZ218" s="12">
        <f t="shared" si="212"/>
        <v>0</v>
      </c>
      <c r="JA218" s="13">
        <f t="shared" si="213"/>
        <v>0</v>
      </c>
      <c r="JB218" s="13">
        <f t="shared" si="214"/>
        <v>0</v>
      </c>
      <c r="JC218" s="13">
        <f t="shared" si="215"/>
        <v>0</v>
      </c>
      <c r="JD218" s="13">
        <f t="shared" si="216"/>
        <v>0</v>
      </c>
      <c r="JE218" s="13">
        <f t="shared" si="217"/>
        <v>0</v>
      </c>
      <c r="JF218" s="13">
        <f t="shared" si="218"/>
        <v>0</v>
      </c>
      <c r="JG218" s="13">
        <f t="shared" si="219"/>
        <v>0</v>
      </c>
      <c r="JH218" s="13">
        <f t="shared" si="220"/>
        <v>0</v>
      </c>
      <c r="JI218" s="13">
        <f t="shared" si="221"/>
        <v>0</v>
      </c>
      <c r="JJ218" s="13">
        <f t="shared" si="222"/>
        <v>0</v>
      </c>
      <c r="JK218" s="13">
        <f t="shared" si="223"/>
        <v>0</v>
      </c>
      <c r="JL218" s="13">
        <f t="shared" si="224"/>
        <v>0</v>
      </c>
      <c r="JM218" s="13">
        <f t="shared" si="225"/>
        <v>0</v>
      </c>
      <c r="JN218" s="13">
        <f t="shared" si="226"/>
        <v>0</v>
      </c>
      <c r="JO218" s="13">
        <f t="shared" si="227"/>
        <v>0</v>
      </c>
      <c r="JP218" s="13">
        <f t="shared" si="228"/>
        <v>0</v>
      </c>
      <c r="JQ218" s="13">
        <f t="shared" si="229"/>
        <v>0</v>
      </c>
      <c r="JR218" s="13">
        <f t="shared" si="230"/>
        <v>0</v>
      </c>
      <c r="JS218" s="13">
        <f t="shared" si="231"/>
        <v>0</v>
      </c>
      <c r="JT218" s="13">
        <f t="shared" si="232"/>
        <v>0</v>
      </c>
      <c r="JU218" s="13">
        <f t="shared" si="233"/>
        <v>0</v>
      </c>
      <c r="JV218" s="12">
        <f t="shared" si="234"/>
        <v>0</v>
      </c>
      <c r="JW218" s="12">
        <f t="shared" si="235"/>
        <v>0</v>
      </c>
      <c r="JX218" s="12">
        <f t="shared" si="236"/>
        <v>0</v>
      </c>
      <c r="JY218" s="12">
        <f t="shared" si="237"/>
        <v>0</v>
      </c>
      <c r="JZ218" s="12">
        <f t="shared" si="238"/>
        <v>0</v>
      </c>
      <c r="KA218" s="12">
        <f t="shared" si="239"/>
        <v>0</v>
      </c>
      <c r="KB218" s="12">
        <f t="shared" si="240"/>
        <v>0</v>
      </c>
      <c r="KC218" s="12">
        <f t="shared" si="241"/>
        <v>0</v>
      </c>
      <c r="KD218" s="12">
        <f t="shared" si="797"/>
        <v>0</v>
      </c>
      <c r="KE218" s="12">
        <f t="shared" si="243"/>
        <v>0</v>
      </c>
      <c r="KF218" s="12">
        <f t="shared" si="244"/>
        <v>0</v>
      </c>
      <c r="KG218" s="12">
        <f t="shared" si="245"/>
        <v>0</v>
      </c>
      <c r="KH218" s="12">
        <f t="shared" si="246"/>
        <v>0</v>
      </c>
      <c r="KI218" s="12">
        <f t="shared" si="247"/>
        <v>0</v>
      </c>
      <c r="KJ218" s="12">
        <f t="shared" si="248"/>
        <v>0</v>
      </c>
      <c r="KK218" s="12">
        <f t="shared" si="249"/>
        <v>0</v>
      </c>
      <c r="KL218" s="12">
        <f t="shared" si="250"/>
        <v>0</v>
      </c>
      <c r="KM218" s="12">
        <f t="shared" si="251"/>
        <v>0</v>
      </c>
      <c r="KN218" s="12">
        <f t="shared" si="252"/>
        <v>0</v>
      </c>
      <c r="KO218" s="12">
        <f t="shared" si="253"/>
        <v>0</v>
      </c>
      <c r="KP218" s="12">
        <f t="shared" si="254"/>
        <v>0</v>
      </c>
      <c r="KQ218" s="12">
        <f t="shared" si="255"/>
        <v>0</v>
      </c>
      <c r="KR218" s="12">
        <f t="shared" si="256"/>
        <v>0</v>
      </c>
      <c r="KS218" s="12">
        <f t="shared" si="257"/>
        <v>0</v>
      </c>
      <c r="KT218" s="12">
        <f t="shared" si="258"/>
        <v>0</v>
      </c>
      <c r="KU218" s="12">
        <f t="shared" si="259"/>
        <v>0</v>
      </c>
      <c r="KV218" s="12">
        <f t="shared" si="260"/>
        <v>0</v>
      </c>
      <c r="KW218" s="12">
        <f t="shared" si="261"/>
        <v>0</v>
      </c>
      <c r="KX218" s="12">
        <f t="shared" si="262"/>
        <v>0</v>
      </c>
      <c r="KY218" s="12">
        <f t="shared" si="263"/>
        <v>0</v>
      </c>
      <c r="KZ218" s="12">
        <f t="shared" si="264"/>
        <v>0</v>
      </c>
      <c r="LA218" s="12">
        <f t="shared" si="265"/>
        <v>0</v>
      </c>
      <c r="LB218" s="12">
        <f t="shared" si="266"/>
        <v>0</v>
      </c>
      <c r="LC218" s="12">
        <f t="shared" si="267"/>
        <v>0</v>
      </c>
      <c r="LD218" s="12">
        <f t="shared" si="268"/>
        <v>0</v>
      </c>
      <c r="LE218" s="12">
        <f t="shared" si="269"/>
        <v>0</v>
      </c>
      <c r="LF218" s="12">
        <f t="shared" si="270"/>
        <v>0</v>
      </c>
      <c r="LG218" s="12">
        <f t="shared" si="271"/>
        <v>0</v>
      </c>
      <c r="LH218" s="12">
        <f t="shared" si="272"/>
        <v>0</v>
      </c>
      <c r="LI218" s="12">
        <f t="shared" si="273"/>
        <v>0</v>
      </c>
      <c r="LJ218" s="12">
        <f t="shared" si="274"/>
        <v>0</v>
      </c>
      <c r="LK218" s="12">
        <f t="shared" si="275"/>
        <v>0</v>
      </c>
      <c r="LL218" s="12">
        <f t="shared" si="276"/>
        <v>0</v>
      </c>
      <c r="LM218" s="12">
        <f t="shared" si="277"/>
        <v>0</v>
      </c>
      <c r="LN218" s="12">
        <f t="shared" si="278"/>
        <v>0</v>
      </c>
      <c r="LO218" s="12">
        <f t="shared" si="279"/>
        <v>0</v>
      </c>
      <c r="LP218" s="12">
        <f t="shared" si="280"/>
        <v>0</v>
      </c>
      <c r="LQ218" s="12">
        <f t="shared" si="281"/>
        <v>0</v>
      </c>
      <c r="LR218" s="12">
        <f t="shared" si="282"/>
        <v>0</v>
      </c>
      <c r="LS218" s="12">
        <f t="shared" si="283"/>
        <v>0</v>
      </c>
      <c r="LT218" s="13">
        <f t="shared" si="284"/>
        <v>0</v>
      </c>
      <c r="LU218" s="13">
        <f t="shared" si="285"/>
        <v>0</v>
      </c>
      <c r="LV218" s="13">
        <f t="shared" si="286"/>
        <v>0</v>
      </c>
      <c r="LW218" s="13">
        <f t="shared" si="287"/>
        <v>0</v>
      </c>
      <c r="LX218" s="13">
        <f t="shared" si="288"/>
        <v>0</v>
      </c>
      <c r="LY218" s="13">
        <f t="shared" si="289"/>
        <v>0</v>
      </c>
      <c r="LZ218" s="13">
        <f t="shared" si="290"/>
        <v>0</v>
      </c>
      <c r="MA218" s="13">
        <f t="shared" si="291"/>
        <v>0</v>
      </c>
      <c r="MB218" s="13">
        <f t="shared" si="292"/>
        <v>0</v>
      </c>
      <c r="MC218" s="13">
        <f t="shared" si="293"/>
        <v>0</v>
      </c>
      <c r="MD218" s="13">
        <f t="shared" si="294"/>
        <v>0</v>
      </c>
      <c r="ME218" s="13">
        <f t="shared" si="295"/>
        <v>0</v>
      </c>
      <c r="MF218" s="13">
        <f t="shared" si="296"/>
        <v>0</v>
      </c>
      <c r="MG218" s="13">
        <f t="shared" si="297"/>
        <v>0</v>
      </c>
      <c r="MH218" s="13">
        <f t="shared" si="298"/>
        <v>0</v>
      </c>
      <c r="MI218" s="13">
        <f t="shared" si="299"/>
        <v>0</v>
      </c>
      <c r="MJ218" s="13">
        <f t="shared" si="300"/>
        <v>0</v>
      </c>
      <c r="MK218" s="13">
        <f t="shared" si="301"/>
        <v>0</v>
      </c>
      <c r="ML218" s="14">
        <f t="shared" si="302"/>
        <v>0</v>
      </c>
      <c r="MM218" s="14">
        <f t="shared" si="303"/>
        <v>0</v>
      </c>
      <c r="MN218" s="14">
        <f t="shared" si="304"/>
        <v>0</v>
      </c>
      <c r="MO218" s="14">
        <f t="shared" si="305"/>
        <v>0</v>
      </c>
      <c r="MP218" s="14">
        <f t="shared" si="306"/>
        <v>0</v>
      </c>
      <c r="MQ218" s="14">
        <f t="shared" si="307"/>
        <v>0</v>
      </c>
      <c r="MR218" s="14">
        <f t="shared" si="308"/>
        <v>0</v>
      </c>
      <c r="MS218" s="14">
        <f t="shared" si="309"/>
        <v>0</v>
      </c>
      <c r="MT218" s="14">
        <f t="shared" si="310"/>
        <v>0</v>
      </c>
      <c r="MU218" s="14">
        <f t="shared" si="311"/>
        <v>0</v>
      </c>
      <c r="MV218" s="14">
        <f t="shared" si="312"/>
        <v>0</v>
      </c>
      <c r="MW218" s="14">
        <f t="shared" si="313"/>
        <v>0</v>
      </c>
      <c r="MX218" s="14">
        <f t="shared" si="314"/>
        <v>0</v>
      </c>
      <c r="MY218" s="14">
        <f t="shared" si="315"/>
        <v>0</v>
      </c>
      <c r="MZ218" s="14">
        <f t="shared" si="316"/>
        <v>0</v>
      </c>
      <c r="NA218" s="14">
        <f t="shared" si="317"/>
        <v>0</v>
      </c>
      <c r="NB218" s="14">
        <f t="shared" si="318"/>
        <v>0</v>
      </c>
    </row>
    <row r="219" ht="15.75" customHeight="1">
      <c r="A219" s="2">
        <v>534.0</v>
      </c>
      <c r="B219" s="2" t="s">
        <v>3993</v>
      </c>
      <c r="C219" s="2" t="s">
        <v>3994</v>
      </c>
      <c r="D219" s="2" t="s">
        <v>3995</v>
      </c>
      <c r="E219" s="2">
        <v>2023.0</v>
      </c>
      <c r="F219" s="2" t="s">
        <v>3267</v>
      </c>
      <c r="G219" s="2">
        <v>25.0</v>
      </c>
      <c r="I219" s="2" t="s">
        <v>3996</v>
      </c>
      <c r="N219" s="2" t="s">
        <v>3997</v>
      </c>
      <c r="O219" s="2" t="s">
        <v>3998</v>
      </c>
      <c r="P219" s="2" t="s">
        <v>3999</v>
      </c>
      <c r="Q219" s="2" t="s">
        <v>4000</v>
      </c>
      <c r="R219" s="2" t="s">
        <v>4001</v>
      </c>
      <c r="S219" s="2" t="s">
        <v>4002</v>
      </c>
      <c r="T219" s="2" t="s">
        <v>4003</v>
      </c>
      <c r="Y219" s="2" t="s">
        <v>4004</v>
      </c>
      <c r="AB219" s="2" t="s">
        <v>481</v>
      </c>
      <c r="AG219" s="2" t="s">
        <v>3277</v>
      </c>
      <c r="AJ219" s="2">
        <v>3.6719723E7</v>
      </c>
      <c r="AK219" s="2" t="s">
        <v>3278</v>
      </c>
      <c r="AL219" s="2" t="s">
        <v>384</v>
      </c>
      <c r="AM219" s="2" t="s">
        <v>484</v>
      </c>
      <c r="AN219" s="2" t="s">
        <v>386</v>
      </c>
      <c r="AO219" s="2" t="s">
        <v>4005</v>
      </c>
      <c r="AP219" s="2" t="s">
        <v>386</v>
      </c>
      <c r="AQ219" s="2">
        <v>2067.0</v>
      </c>
      <c r="AR219" s="2" t="s">
        <v>4006</v>
      </c>
      <c r="AS219" s="2" t="b">
        <v>0</v>
      </c>
      <c r="AT219" s="3">
        <v>0.0</v>
      </c>
      <c r="AU219" s="4"/>
      <c r="AV219" s="4"/>
      <c r="AW219" s="5">
        <f t="shared" si="432"/>
        <v>0</v>
      </c>
      <c r="AX219" s="5">
        <f t="shared" si="4"/>
        <v>0</v>
      </c>
      <c r="AY219" s="5">
        <f t="shared" si="5"/>
        <v>0</v>
      </c>
      <c r="AZ219" s="5">
        <f t="shared" si="6"/>
        <v>0</v>
      </c>
      <c r="BA219" s="5">
        <f t="shared" si="7"/>
        <v>0</v>
      </c>
      <c r="BB219" s="5">
        <f t="shared" si="8"/>
        <v>0</v>
      </c>
      <c r="BC219" s="5">
        <f t="shared" si="9"/>
        <v>0</v>
      </c>
      <c r="BD219" s="5">
        <f t="shared" si="10"/>
        <v>0</v>
      </c>
      <c r="BE219" s="5">
        <f t="shared" si="11"/>
        <v>0</v>
      </c>
      <c r="BF219" s="5">
        <f t="shared" si="12"/>
        <v>0</v>
      </c>
      <c r="BG219" s="5">
        <f t="shared" si="13"/>
        <v>0</v>
      </c>
      <c r="BH219" s="5">
        <f t="shared" si="14"/>
        <v>0</v>
      </c>
      <c r="BI219" s="5">
        <f t="shared" si="15"/>
        <v>0</v>
      </c>
      <c r="BJ219" s="5">
        <f t="shared" si="16"/>
        <v>0</v>
      </c>
      <c r="BK219" s="5">
        <f t="shared" si="17"/>
        <v>0</v>
      </c>
      <c r="BL219" s="5">
        <f t="shared" si="18"/>
        <v>0</v>
      </c>
      <c r="BM219" s="5">
        <f t="shared" si="19"/>
        <v>0</v>
      </c>
      <c r="BN219" s="5">
        <f t="shared" si="20"/>
        <v>0</v>
      </c>
      <c r="BO219" s="5">
        <f t="shared" si="21"/>
        <v>0</v>
      </c>
      <c r="BP219" s="5">
        <f t="shared" si="22"/>
        <v>0</v>
      </c>
      <c r="BQ219" s="5">
        <f t="shared" si="23"/>
        <v>0</v>
      </c>
      <c r="BR219" s="5">
        <f t="shared" si="24"/>
        <v>0</v>
      </c>
      <c r="BS219" s="5">
        <f t="shared" si="25"/>
        <v>0</v>
      </c>
      <c r="BT219" s="5">
        <f t="shared" si="26"/>
        <v>0</v>
      </c>
      <c r="BU219" s="5">
        <f t="shared" si="27"/>
        <v>0</v>
      </c>
      <c r="BV219" s="5">
        <f t="shared" ref="BV219:BW219" si="798">IF(OR(ISNUMBER(SEARCH("grit",$D219)),ISNUMBER(SEARCH("grit",$T219)),ISNUMBER(SEARCH("grit",$R219)),ISNUMBER(SEARCH("grit",$S219)),
ISNUMBER(SEARCH("determination",$D219)),ISNUMBER(SEARCH("determination",$T219)),ISNUMBER(SEARCH("determination",$R219)),ISNUMBER(SEARCH("determination",$S219)),
ISNUMBER(SEARCH("tenacity",$D219)),ISNUMBER(SEARCH("tenacity",$T219)),ISNUMBER(SEARCH("tenacity",$R219)),ISNUMBER(SEARCH("tenacity",$S219)),
ISNUMBER(SEARCH("endurance",$D219)),ISNUMBER(SEARCH("endurance",$T219)),ISNUMBER(SEARCH("endurance",$R219)),ISNUMBER(SEARCH("endurance",$S219)),
ISNUMBER(SEARCH("fortitude",$D219)),ISNUMBER(SEARCH("fortitude",$T219)),ISNUMBER(SEARCH("fortitude",$R219)),ISNUMBER(SEARCH("fortitude",$S219)),
ISNUMBER(SEARCH("resolve",$D219)),ISNUMBER(SEARCH("resolve",$T219)),ISNUMBER(SEARCH("resolve",$R219)),ISNUMBER(SEARCH("resolve",$S219)),
ISNUMBER(SEARCH("stamina",$D219)),ISNUMBER(SEARCH("stamina",$T219)),ISNUMBER(SEARCH("stamina",$R219)),ISNUMBER(SEARCH("stamina",$S219)),
ISNUMBER(SEARCH("guts",$D219)),ISNUMBER(SEARCH("guts",$T219)),ISNUMBER(SEARCH("guts",$R219)),ISNUMBER(SEARCH("guts",$S219)),
ISNUMBER(SEARCH("spunk",$D219)),ISNUMBER(SEARCH("spunk",$T219)),ISNUMBER(SEARCH("spunk",$R219)),ISNUMBER(SEARCH("spunk",$S219))), 1, 0)</f>
        <v>0</v>
      </c>
      <c r="BW219" s="5">
        <f t="shared" si="798"/>
        <v>0</v>
      </c>
      <c r="BX219" s="5">
        <f t="shared" si="29"/>
        <v>0</v>
      </c>
      <c r="BY219" s="5">
        <f t="shared" si="30"/>
        <v>0</v>
      </c>
      <c r="BZ219" s="5">
        <f t="shared" si="31"/>
        <v>0</v>
      </c>
      <c r="CA219" s="5">
        <f t="shared" si="32"/>
        <v>0</v>
      </c>
      <c r="CB219" s="5">
        <f t="shared" si="33"/>
        <v>0</v>
      </c>
      <c r="CC219" s="5">
        <f t="shared" si="34"/>
        <v>0</v>
      </c>
      <c r="CD219" s="5">
        <f t="shared" si="35"/>
        <v>0</v>
      </c>
      <c r="CE219" s="5">
        <f t="shared" si="36"/>
        <v>0</v>
      </c>
      <c r="CF219" s="5">
        <f t="shared" si="37"/>
        <v>0</v>
      </c>
      <c r="CG219" s="5">
        <f t="shared" si="38"/>
        <v>0</v>
      </c>
      <c r="CH219" s="5">
        <f t="shared" si="39"/>
        <v>0</v>
      </c>
      <c r="CI219" s="5">
        <f t="shared" si="40"/>
        <v>0</v>
      </c>
      <c r="CJ219" s="5">
        <f t="shared" si="41"/>
        <v>0</v>
      </c>
      <c r="CK219" s="5">
        <f t="shared" si="42"/>
        <v>0</v>
      </c>
      <c r="CL219" s="5">
        <f t="shared" si="43"/>
        <v>0</v>
      </c>
      <c r="CM219" s="5">
        <f t="shared" si="44"/>
        <v>0</v>
      </c>
      <c r="CN219" s="5">
        <f t="shared" si="45"/>
        <v>0</v>
      </c>
      <c r="CO219" s="5">
        <f t="shared" si="46"/>
        <v>0</v>
      </c>
      <c r="CP219" s="6">
        <f t="shared" si="47"/>
        <v>0</v>
      </c>
      <c r="CQ219" s="6">
        <f t="shared" si="48"/>
        <v>0</v>
      </c>
      <c r="CR219" s="6">
        <f t="shared" si="49"/>
        <v>0</v>
      </c>
      <c r="CS219" s="6">
        <f t="shared" si="50"/>
        <v>0</v>
      </c>
      <c r="CT219" s="6">
        <f t="shared" si="584"/>
        <v>0</v>
      </c>
      <c r="CU219" s="6">
        <f t="shared" si="52"/>
        <v>0</v>
      </c>
      <c r="CV219" s="6">
        <f t="shared" si="53"/>
        <v>0</v>
      </c>
      <c r="CW219" s="6">
        <f t="shared" si="54"/>
        <v>0</v>
      </c>
      <c r="CX219" s="6">
        <f t="shared" si="55"/>
        <v>0</v>
      </c>
      <c r="CY219" s="6">
        <f t="shared" si="56"/>
        <v>0</v>
      </c>
      <c r="CZ219" s="6">
        <f t="shared" si="57"/>
        <v>0</v>
      </c>
      <c r="DA219" s="6">
        <f t="shared" si="58"/>
        <v>0</v>
      </c>
      <c r="DB219" s="6">
        <f t="shared" si="59"/>
        <v>0</v>
      </c>
      <c r="DC219" s="6">
        <f t="shared" si="60"/>
        <v>0</v>
      </c>
      <c r="DD219" s="6">
        <f t="shared" si="61"/>
        <v>0</v>
      </c>
      <c r="DE219" s="6">
        <f t="shared" si="62"/>
        <v>0</v>
      </c>
      <c r="DF219" s="6">
        <f t="shared" si="63"/>
        <v>0</v>
      </c>
      <c r="DG219" s="6">
        <f t="shared" si="64"/>
        <v>0</v>
      </c>
      <c r="DH219" s="6">
        <f t="shared" si="697"/>
        <v>0</v>
      </c>
      <c r="DI219" s="6">
        <f t="shared" si="66"/>
        <v>0</v>
      </c>
      <c r="DJ219" s="6">
        <f t="shared" si="653"/>
        <v>0</v>
      </c>
      <c r="DK219" s="7">
        <f t="shared" si="68"/>
        <v>0</v>
      </c>
      <c r="DL219" s="7">
        <f t="shared" si="498"/>
        <v>0</v>
      </c>
      <c r="DM219" s="7">
        <f t="shared" si="70"/>
        <v>0</v>
      </c>
      <c r="DN219" s="7">
        <f t="shared" si="71"/>
        <v>0</v>
      </c>
      <c r="DO219" s="7">
        <f t="shared" si="72"/>
        <v>0</v>
      </c>
      <c r="DP219" s="8">
        <f t="shared" si="73"/>
        <v>0</v>
      </c>
      <c r="DQ219" s="8">
        <f t="shared" si="74"/>
        <v>1</v>
      </c>
      <c r="DR219" s="7">
        <f t="shared" si="75"/>
        <v>0</v>
      </c>
      <c r="DS219" s="7">
        <f t="shared" si="76"/>
        <v>0</v>
      </c>
      <c r="DT219" s="7">
        <f t="shared" si="77"/>
        <v>0</v>
      </c>
      <c r="DU219" s="9">
        <f t="shared" si="78"/>
        <v>0</v>
      </c>
      <c r="DV219" s="9">
        <f t="shared" si="79"/>
        <v>0</v>
      </c>
      <c r="DW219" s="9">
        <f t="shared" si="80"/>
        <v>0</v>
      </c>
      <c r="DX219" s="9">
        <f t="shared" si="81"/>
        <v>0</v>
      </c>
      <c r="DY219" s="9">
        <f t="shared" si="82"/>
        <v>0</v>
      </c>
      <c r="DZ219" s="9">
        <f t="shared" si="83"/>
        <v>0</v>
      </c>
      <c r="EA219" s="9">
        <f t="shared" si="84"/>
        <v>0</v>
      </c>
      <c r="EB219" s="9">
        <f t="shared" si="85"/>
        <v>0</v>
      </c>
      <c r="EC219" s="9">
        <f t="shared" si="86"/>
        <v>0</v>
      </c>
      <c r="ED219" s="9">
        <f t="shared" si="87"/>
        <v>0</v>
      </c>
      <c r="EE219" s="9">
        <f t="shared" si="88"/>
        <v>0</v>
      </c>
      <c r="EF219" s="9">
        <f t="shared" si="89"/>
        <v>0</v>
      </c>
      <c r="EG219" s="9">
        <f t="shared" si="90"/>
        <v>0</v>
      </c>
      <c r="EH219" s="9">
        <f t="shared" si="91"/>
        <v>0</v>
      </c>
      <c r="EI219" s="9">
        <f t="shared" si="92"/>
        <v>0</v>
      </c>
      <c r="EJ219" s="10">
        <f t="shared" si="93"/>
        <v>0</v>
      </c>
      <c r="EK219" s="10">
        <f t="shared" si="94"/>
        <v>0</v>
      </c>
      <c r="EL219" s="10">
        <f t="shared" ref="EL219:EM219" si="799">IF(OR(ISNUMBER(SEARCH("ai software toolkit", $D219)), ISNUMBER(SEARCH("ai software toolkit", $T219)), ISNUMBER(SEARCH("ai software toolkit", $R219)), ISNUMBER(SEARCH("ai software toolkit", $S219))), 1, 0)</f>
        <v>0</v>
      </c>
      <c r="EM219" s="10">
        <f t="shared" si="799"/>
        <v>0</v>
      </c>
      <c r="EN219" s="10">
        <f t="shared" si="96"/>
        <v>0</v>
      </c>
      <c r="EO219" s="10">
        <f t="shared" si="97"/>
        <v>0</v>
      </c>
      <c r="EP219" s="10">
        <f t="shared" si="98"/>
        <v>0</v>
      </c>
      <c r="EQ219" s="10">
        <f t="shared" si="99"/>
        <v>0</v>
      </c>
      <c r="ER219" s="10">
        <f t="shared" si="100"/>
        <v>0</v>
      </c>
      <c r="ES219" s="10">
        <f t="shared" si="101"/>
        <v>0</v>
      </c>
      <c r="ET219" s="10">
        <f t="shared" si="102"/>
        <v>0</v>
      </c>
      <c r="EU219" s="10">
        <f t="shared" si="103"/>
        <v>0</v>
      </c>
      <c r="EV219" s="10">
        <f t="shared" si="104"/>
        <v>0</v>
      </c>
      <c r="EW219" s="10">
        <f t="shared" si="105"/>
        <v>0</v>
      </c>
      <c r="EX219" s="10">
        <f t="shared" si="106"/>
        <v>0</v>
      </c>
      <c r="EY219" s="10">
        <f t="shared" si="107"/>
        <v>0</v>
      </c>
      <c r="EZ219" s="10">
        <f t="shared" si="108"/>
        <v>0</v>
      </c>
      <c r="FA219" s="10">
        <f t="shared" si="109"/>
        <v>0</v>
      </c>
      <c r="FB219" s="10">
        <f t="shared" si="110"/>
        <v>0</v>
      </c>
      <c r="FC219" s="10">
        <f t="shared" si="111"/>
        <v>0</v>
      </c>
      <c r="FD219" s="10">
        <f t="shared" si="112"/>
        <v>0</v>
      </c>
      <c r="FE219" s="10">
        <f t="shared" si="782"/>
        <v>0</v>
      </c>
      <c r="FF219" s="10">
        <f t="shared" si="114"/>
        <v>0</v>
      </c>
      <c r="FG219" s="10">
        <f t="shared" si="115"/>
        <v>0</v>
      </c>
      <c r="FH219" s="10">
        <f t="shared" si="116"/>
        <v>0</v>
      </c>
      <c r="FI219" s="10">
        <f t="shared" si="117"/>
        <v>0</v>
      </c>
      <c r="FJ219" s="10">
        <f t="shared" si="118"/>
        <v>0</v>
      </c>
      <c r="FK219" s="10">
        <f t="shared" si="119"/>
        <v>0</v>
      </c>
      <c r="FL219" s="10">
        <f t="shared" si="120"/>
        <v>0</v>
      </c>
      <c r="FM219" s="10">
        <f t="shared" si="121"/>
        <v>0</v>
      </c>
      <c r="FN219" s="10">
        <f t="shared" si="122"/>
        <v>0</v>
      </c>
      <c r="FO219" s="10">
        <f t="shared" si="123"/>
        <v>0</v>
      </c>
      <c r="FP219" s="10">
        <f t="shared" si="124"/>
        <v>0</v>
      </c>
      <c r="FQ219" s="10">
        <f t="shared" si="125"/>
        <v>0</v>
      </c>
      <c r="FR219" s="11">
        <f>IF(
OR(
ISNUMBER(SEARCH("chatbot",$D219)),ISNUMBER(SEARCH("chatbot",$T219)),ISNUMBER(SEARCH("chatbot",$R218)),ISNUMBER(SEARCH("chatbot",$S219)),
ISNUMBER(SEARCH("virtual assistance",$D219)),ISNUMBER(SEARCH("virtual assistance",$T219)),ISNUMBER(SEARCH("virtual assistance",$R219)),ISNUMBER(SEARCH("virtual assistance",$S219))), 1, 0)</f>
        <v>0</v>
      </c>
      <c r="FS219" s="11">
        <f t="shared" si="127"/>
        <v>0</v>
      </c>
      <c r="FT219" s="11">
        <f t="shared" si="128"/>
        <v>0</v>
      </c>
      <c r="FU219" s="11">
        <f t="shared" si="129"/>
        <v>0</v>
      </c>
      <c r="FV219" s="11">
        <f t="shared" si="130"/>
        <v>0</v>
      </c>
      <c r="FW219" s="11">
        <f t="shared" si="131"/>
        <v>0</v>
      </c>
      <c r="FX219" s="11">
        <f t="shared" si="132"/>
        <v>0</v>
      </c>
      <c r="FY219" s="11">
        <f t="shared" si="133"/>
        <v>0</v>
      </c>
      <c r="FZ219" s="11">
        <f t="shared" si="134"/>
        <v>0</v>
      </c>
      <c r="GA219" s="11">
        <f t="shared" si="135"/>
        <v>0</v>
      </c>
      <c r="GB219" s="11">
        <f t="shared" si="136"/>
        <v>0</v>
      </c>
      <c r="GC219" s="11">
        <f t="shared" si="137"/>
        <v>0</v>
      </c>
      <c r="GD219" s="11">
        <f t="shared" si="138"/>
        <v>0</v>
      </c>
      <c r="GE219" s="11">
        <f t="shared" si="139"/>
        <v>0</v>
      </c>
      <c r="GF219" s="11">
        <f t="shared" si="140"/>
        <v>0</v>
      </c>
      <c r="GG219" s="11">
        <f t="shared" si="141"/>
        <v>0</v>
      </c>
      <c r="GH219" s="11">
        <f t="shared" si="142"/>
        <v>0</v>
      </c>
      <c r="GI219" s="11">
        <f t="shared" si="143"/>
        <v>0</v>
      </c>
      <c r="GJ219" s="11">
        <f t="shared" si="144"/>
        <v>0</v>
      </c>
      <c r="GK219" s="11">
        <f t="shared" si="145"/>
        <v>0</v>
      </c>
      <c r="GL219" s="11">
        <f t="shared" si="146"/>
        <v>0</v>
      </c>
      <c r="GM219" s="11">
        <f t="shared" si="147"/>
        <v>0</v>
      </c>
      <c r="GN219" s="11">
        <f t="shared" si="148"/>
        <v>0</v>
      </c>
      <c r="GO219" s="11">
        <f t="shared" si="149"/>
        <v>0</v>
      </c>
      <c r="GP219" s="11">
        <f t="shared" si="150"/>
        <v>0</v>
      </c>
      <c r="GQ219" s="11">
        <f t="shared" si="151"/>
        <v>0</v>
      </c>
      <c r="GR219" s="11">
        <f t="shared" si="152"/>
        <v>0</v>
      </c>
      <c r="GS219" s="11">
        <f t="shared" si="153"/>
        <v>0</v>
      </c>
      <c r="GT219" s="11">
        <f t="shared" si="154"/>
        <v>0</v>
      </c>
      <c r="GU219" s="12">
        <f t="shared" si="155"/>
        <v>0</v>
      </c>
      <c r="GV219" s="12">
        <f t="shared" si="156"/>
        <v>0</v>
      </c>
      <c r="GW219" s="12">
        <f t="shared" si="157"/>
        <v>0</v>
      </c>
      <c r="GX219" s="12">
        <f t="shared" si="158"/>
        <v>0</v>
      </c>
      <c r="GY219" s="12">
        <f t="shared" si="159"/>
        <v>0</v>
      </c>
      <c r="GZ219" s="12">
        <f t="shared" si="160"/>
        <v>0</v>
      </c>
      <c r="HA219" s="12">
        <f t="shared" si="161"/>
        <v>0</v>
      </c>
      <c r="HB219" s="12">
        <f t="shared" si="162"/>
        <v>0</v>
      </c>
      <c r="HC219" s="12">
        <f t="shared" si="163"/>
        <v>0</v>
      </c>
      <c r="HD219" s="12">
        <f t="shared" si="164"/>
        <v>0</v>
      </c>
      <c r="HE219" s="12">
        <f t="shared" si="165"/>
        <v>0</v>
      </c>
      <c r="HF219" s="12">
        <f t="shared" si="166"/>
        <v>0</v>
      </c>
      <c r="HG219" s="12">
        <f t="shared" si="167"/>
        <v>0</v>
      </c>
      <c r="HH219" s="12">
        <f t="shared" si="168"/>
        <v>0</v>
      </c>
      <c r="HI219" s="12">
        <f t="shared" si="169"/>
        <v>0</v>
      </c>
      <c r="HJ219" s="12">
        <f t="shared" si="170"/>
        <v>0</v>
      </c>
      <c r="HK219" s="12">
        <f t="shared" si="171"/>
        <v>0</v>
      </c>
      <c r="HL219" s="12">
        <f t="shared" si="172"/>
        <v>0</v>
      </c>
      <c r="HM219" s="12">
        <f t="shared" si="173"/>
        <v>0</v>
      </c>
      <c r="HN219" s="12">
        <f t="shared" si="174"/>
        <v>0</v>
      </c>
      <c r="HO219" s="12">
        <f t="shared" si="175"/>
        <v>0</v>
      </c>
      <c r="HP219" s="12">
        <f t="shared" si="176"/>
        <v>0</v>
      </c>
      <c r="HQ219" s="12">
        <f t="shared" si="177"/>
        <v>0</v>
      </c>
      <c r="HR219" s="12">
        <f t="shared" si="178"/>
        <v>0</v>
      </c>
      <c r="HS219" s="12">
        <f t="shared" si="179"/>
        <v>0</v>
      </c>
      <c r="HT219" s="12">
        <f t="shared" si="180"/>
        <v>0</v>
      </c>
      <c r="HU219" s="12">
        <f t="shared" si="181"/>
        <v>0</v>
      </c>
      <c r="HV219" s="12">
        <f t="shared" si="182"/>
        <v>0</v>
      </c>
      <c r="HW219" s="12">
        <f t="shared" si="183"/>
        <v>0</v>
      </c>
      <c r="HX219" s="12">
        <f t="shared" si="184"/>
        <v>0</v>
      </c>
      <c r="HY219" s="12">
        <f t="shared" si="185"/>
        <v>0</v>
      </c>
      <c r="HZ219" s="12">
        <f t="shared" si="186"/>
        <v>0</v>
      </c>
      <c r="IA219" s="12">
        <f t="shared" si="187"/>
        <v>0</v>
      </c>
      <c r="IB219" s="12">
        <f t="shared" si="188"/>
        <v>0</v>
      </c>
      <c r="IC219" s="12">
        <f t="shared" si="189"/>
        <v>0</v>
      </c>
      <c r="ID219" s="12">
        <f t="shared" si="190"/>
        <v>0</v>
      </c>
      <c r="IE219" s="12">
        <f t="shared" si="191"/>
        <v>0</v>
      </c>
      <c r="IF219" s="12">
        <f t="shared" si="192"/>
        <v>0</v>
      </c>
      <c r="IG219" s="12">
        <f t="shared" si="193"/>
        <v>0</v>
      </c>
      <c r="IH219" s="12">
        <f t="shared" si="194"/>
        <v>0</v>
      </c>
      <c r="II219" s="12">
        <f t="shared" si="195"/>
        <v>0</v>
      </c>
      <c r="IJ219" s="12">
        <f t="shared" si="196"/>
        <v>0</v>
      </c>
      <c r="IK219" s="12">
        <f t="shared" si="197"/>
        <v>0</v>
      </c>
      <c r="IL219" s="12">
        <f t="shared" si="198"/>
        <v>0</v>
      </c>
      <c r="IM219" s="12">
        <f t="shared" si="199"/>
        <v>0</v>
      </c>
      <c r="IN219" s="12">
        <f t="shared" si="200"/>
        <v>0</v>
      </c>
      <c r="IO219" s="12">
        <f t="shared" si="201"/>
        <v>0</v>
      </c>
      <c r="IP219" s="12">
        <f t="shared" si="202"/>
        <v>0</v>
      </c>
      <c r="IQ219" s="12">
        <f t="shared" si="203"/>
        <v>0</v>
      </c>
      <c r="IR219" s="12">
        <f t="shared" si="204"/>
        <v>0</v>
      </c>
      <c r="IS219" s="12">
        <f t="shared" si="205"/>
        <v>0</v>
      </c>
      <c r="IT219" s="12">
        <f t="shared" si="206"/>
        <v>0</v>
      </c>
      <c r="IU219" s="12">
        <f t="shared" si="207"/>
        <v>0</v>
      </c>
      <c r="IV219" s="12">
        <f t="shared" si="208"/>
        <v>0</v>
      </c>
      <c r="IW219" s="12">
        <f t="shared" si="209"/>
        <v>0</v>
      </c>
      <c r="IX219" s="12">
        <f t="shared" si="210"/>
        <v>0</v>
      </c>
      <c r="IY219" s="12">
        <f t="shared" si="211"/>
        <v>0</v>
      </c>
      <c r="IZ219" s="12">
        <f t="shared" si="212"/>
        <v>1</v>
      </c>
      <c r="JA219" s="13">
        <f t="shared" si="213"/>
        <v>0</v>
      </c>
      <c r="JB219" s="13">
        <f t="shared" si="214"/>
        <v>0</v>
      </c>
      <c r="JC219" s="13">
        <f t="shared" si="215"/>
        <v>0</v>
      </c>
      <c r="JD219" s="13">
        <f t="shared" si="216"/>
        <v>0</v>
      </c>
      <c r="JE219" s="13">
        <f t="shared" si="217"/>
        <v>0</v>
      </c>
      <c r="JF219" s="13">
        <f t="shared" si="218"/>
        <v>0</v>
      </c>
      <c r="JG219" s="13">
        <f t="shared" si="219"/>
        <v>0</v>
      </c>
      <c r="JH219" s="13">
        <f t="shared" si="220"/>
        <v>0</v>
      </c>
      <c r="JI219" s="13">
        <f t="shared" si="221"/>
        <v>0</v>
      </c>
      <c r="JJ219" s="13">
        <f t="shared" si="222"/>
        <v>0</v>
      </c>
      <c r="JK219" s="13">
        <f t="shared" si="223"/>
        <v>0</v>
      </c>
      <c r="JL219" s="13">
        <f t="shared" si="224"/>
        <v>0</v>
      </c>
      <c r="JM219" s="13">
        <f t="shared" si="225"/>
        <v>0</v>
      </c>
      <c r="JN219" s="13">
        <f t="shared" si="226"/>
        <v>0</v>
      </c>
      <c r="JO219" s="13">
        <f t="shared" si="227"/>
        <v>0</v>
      </c>
      <c r="JP219" s="13">
        <f t="shared" si="228"/>
        <v>0</v>
      </c>
      <c r="JQ219" s="13">
        <f t="shared" si="229"/>
        <v>0</v>
      </c>
      <c r="JR219" s="13">
        <f t="shared" si="230"/>
        <v>0</v>
      </c>
      <c r="JS219" s="13">
        <f t="shared" si="231"/>
        <v>0</v>
      </c>
      <c r="JT219" s="13">
        <f t="shared" si="232"/>
        <v>0</v>
      </c>
      <c r="JU219" s="13">
        <f t="shared" si="233"/>
        <v>0</v>
      </c>
      <c r="JV219" s="12">
        <f t="shared" si="234"/>
        <v>0</v>
      </c>
      <c r="JW219" s="12">
        <f t="shared" si="235"/>
        <v>0</v>
      </c>
      <c r="JX219" s="12">
        <f t="shared" si="236"/>
        <v>0</v>
      </c>
      <c r="JY219" s="12">
        <f t="shared" si="237"/>
        <v>0</v>
      </c>
      <c r="JZ219" s="12">
        <f t="shared" si="238"/>
        <v>0</v>
      </c>
      <c r="KA219" s="12">
        <f t="shared" si="239"/>
        <v>0</v>
      </c>
      <c r="KB219" s="12">
        <f t="shared" si="240"/>
        <v>0</v>
      </c>
      <c r="KC219" s="12">
        <f t="shared" si="241"/>
        <v>0</v>
      </c>
      <c r="KD219" s="12">
        <f t="shared" si="797"/>
        <v>0</v>
      </c>
      <c r="KE219" s="12">
        <f t="shared" si="243"/>
        <v>0</v>
      </c>
      <c r="KF219" s="12">
        <f t="shared" si="244"/>
        <v>0</v>
      </c>
      <c r="KG219" s="12">
        <f t="shared" si="245"/>
        <v>0</v>
      </c>
      <c r="KH219" s="12">
        <f t="shared" si="246"/>
        <v>0</v>
      </c>
      <c r="KI219" s="12">
        <f t="shared" si="247"/>
        <v>0</v>
      </c>
      <c r="KJ219" s="12">
        <f t="shared" si="248"/>
        <v>0</v>
      </c>
      <c r="KK219" s="12">
        <f t="shared" si="249"/>
        <v>0</v>
      </c>
      <c r="KL219" s="12">
        <f t="shared" si="250"/>
        <v>0</v>
      </c>
      <c r="KM219" s="12">
        <f t="shared" si="251"/>
        <v>0</v>
      </c>
      <c r="KN219" s="12">
        <f t="shared" si="252"/>
        <v>0</v>
      </c>
      <c r="KO219" s="12">
        <f t="shared" si="253"/>
        <v>0</v>
      </c>
      <c r="KP219" s="12">
        <f t="shared" si="254"/>
        <v>0</v>
      </c>
      <c r="KQ219" s="12">
        <f t="shared" si="255"/>
        <v>0</v>
      </c>
      <c r="KR219" s="12">
        <f t="shared" si="256"/>
        <v>0</v>
      </c>
      <c r="KS219" s="12">
        <f t="shared" si="257"/>
        <v>0</v>
      </c>
      <c r="KT219" s="12">
        <f t="shared" si="258"/>
        <v>0</v>
      </c>
      <c r="KU219" s="12">
        <f t="shared" si="259"/>
        <v>0</v>
      </c>
      <c r="KV219" s="12">
        <f t="shared" si="260"/>
        <v>0</v>
      </c>
      <c r="KW219" s="12">
        <f t="shared" si="261"/>
        <v>0</v>
      </c>
      <c r="KX219" s="12">
        <f t="shared" si="262"/>
        <v>0</v>
      </c>
      <c r="KY219" s="12">
        <f t="shared" si="263"/>
        <v>0</v>
      </c>
      <c r="KZ219" s="12">
        <f t="shared" si="264"/>
        <v>0</v>
      </c>
      <c r="LA219" s="12">
        <f t="shared" si="265"/>
        <v>0</v>
      </c>
      <c r="LB219" s="12">
        <f t="shared" si="266"/>
        <v>0</v>
      </c>
      <c r="LC219" s="12">
        <f t="shared" si="267"/>
        <v>0</v>
      </c>
      <c r="LD219" s="12">
        <f t="shared" si="268"/>
        <v>0</v>
      </c>
      <c r="LE219" s="12">
        <f t="shared" si="269"/>
        <v>0</v>
      </c>
      <c r="LF219" s="12">
        <f t="shared" si="270"/>
        <v>0</v>
      </c>
      <c r="LG219" s="12">
        <f t="shared" si="271"/>
        <v>0</v>
      </c>
      <c r="LH219" s="12">
        <f t="shared" si="272"/>
        <v>0</v>
      </c>
      <c r="LI219" s="12">
        <f t="shared" si="273"/>
        <v>0</v>
      </c>
      <c r="LJ219" s="12">
        <f t="shared" si="274"/>
        <v>0</v>
      </c>
      <c r="LK219" s="12">
        <f t="shared" si="275"/>
        <v>0</v>
      </c>
      <c r="LL219" s="12">
        <f t="shared" si="276"/>
        <v>0</v>
      </c>
      <c r="LM219" s="12">
        <f t="shared" si="277"/>
        <v>0</v>
      </c>
      <c r="LN219" s="12">
        <f t="shared" si="278"/>
        <v>0</v>
      </c>
      <c r="LO219" s="12">
        <f t="shared" si="279"/>
        <v>0</v>
      </c>
      <c r="LP219" s="12">
        <f t="shared" si="280"/>
        <v>0</v>
      </c>
      <c r="LQ219" s="12">
        <f t="shared" si="281"/>
        <v>0</v>
      </c>
      <c r="LR219" s="12">
        <f t="shared" si="282"/>
        <v>0</v>
      </c>
      <c r="LS219" s="12">
        <f t="shared" si="283"/>
        <v>0</v>
      </c>
      <c r="LT219" s="13">
        <f t="shared" si="284"/>
        <v>0</v>
      </c>
      <c r="LU219" s="13">
        <f t="shared" si="285"/>
        <v>0</v>
      </c>
      <c r="LV219" s="13">
        <f t="shared" si="286"/>
        <v>0</v>
      </c>
      <c r="LW219" s="13">
        <f t="shared" si="287"/>
        <v>0</v>
      </c>
      <c r="LX219" s="13">
        <f t="shared" si="288"/>
        <v>0</v>
      </c>
      <c r="LY219" s="13">
        <f t="shared" si="289"/>
        <v>0</v>
      </c>
      <c r="LZ219" s="13">
        <f t="shared" si="290"/>
        <v>0</v>
      </c>
      <c r="MA219" s="13">
        <f t="shared" si="291"/>
        <v>0</v>
      </c>
      <c r="MB219" s="13">
        <f t="shared" si="292"/>
        <v>0</v>
      </c>
      <c r="MC219" s="13">
        <f t="shared" si="293"/>
        <v>0</v>
      </c>
      <c r="MD219" s="13">
        <f t="shared" si="294"/>
        <v>0</v>
      </c>
      <c r="ME219" s="13">
        <f t="shared" si="295"/>
        <v>0</v>
      </c>
      <c r="MF219" s="13">
        <f t="shared" si="296"/>
        <v>0</v>
      </c>
      <c r="MG219" s="13">
        <f t="shared" si="297"/>
        <v>0</v>
      </c>
      <c r="MH219" s="13">
        <f t="shared" si="298"/>
        <v>0</v>
      </c>
      <c r="MI219" s="13">
        <f t="shared" si="299"/>
        <v>0</v>
      </c>
      <c r="MJ219" s="13">
        <f t="shared" si="300"/>
        <v>0</v>
      </c>
      <c r="MK219" s="13">
        <f t="shared" si="301"/>
        <v>0</v>
      </c>
      <c r="ML219" s="14">
        <f t="shared" si="302"/>
        <v>0</v>
      </c>
      <c r="MM219" s="14">
        <f t="shared" si="303"/>
        <v>0</v>
      </c>
      <c r="MN219" s="14">
        <f t="shared" si="304"/>
        <v>0</v>
      </c>
      <c r="MO219" s="14">
        <f t="shared" si="305"/>
        <v>0</v>
      </c>
      <c r="MP219" s="14">
        <f t="shared" si="306"/>
        <v>0</v>
      </c>
      <c r="MQ219" s="14">
        <f t="shared" si="307"/>
        <v>0</v>
      </c>
      <c r="MR219" s="14">
        <f t="shared" si="308"/>
        <v>0</v>
      </c>
      <c r="MS219" s="14">
        <f t="shared" si="309"/>
        <v>0</v>
      </c>
      <c r="MT219" s="14">
        <f t="shared" si="310"/>
        <v>0</v>
      </c>
      <c r="MU219" s="14">
        <f t="shared" si="311"/>
        <v>0</v>
      </c>
      <c r="MV219" s="14">
        <f t="shared" si="312"/>
        <v>0</v>
      </c>
      <c r="MW219" s="14">
        <f t="shared" si="313"/>
        <v>0</v>
      </c>
      <c r="MX219" s="14">
        <f t="shared" si="314"/>
        <v>0</v>
      </c>
      <c r="MY219" s="14">
        <f t="shared" si="315"/>
        <v>0</v>
      </c>
      <c r="MZ219" s="14">
        <f t="shared" si="316"/>
        <v>0</v>
      </c>
      <c r="NA219" s="14">
        <f t="shared" si="317"/>
        <v>0</v>
      </c>
      <c r="NB219" s="14">
        <f t="shared" si="318"/>
        <v>0</v>
      </c>
    </row>
    <row r="220" ht="15.75" customHeight="1">
      <c r="A220" s="2">
        <v>484.0</v>
      </c>
      <c r="B220" s="2" t="s">
        <v>4007</v>
      </c>
      <c r="C220" s="2" t="s">
        <v>4008</v>
      </c>
      <c r="D220" s="2" t="s">
        <v>4009</v>
      </c>
      <c r="E220" s="2">
        <v>2023.0</v>
      </c>
      <c r="F220" s="2" t="s">
        <v>4010</v>
      </c>
      <c r="G220" s="2">
        <v>225.0</v>
      </c>
      <c r="I220" s="2" t="s">
        <v>4011</v>
      </c>
      <c r="N220" s="2" t="s">
        <v>4012</v>
      </c>
      <c r="O220" s="2" t="s">
        <v>4013</v>
      </c>
      <c r="P220" s="2" t="s">
        <v>4014</v>
      </c>
      <c r="Q220" s="2" t="s">
        <v>4015</v>
      </c>
      <c r="R220" s="2" t="s">
        <v>4016</v>
      </c>
      <c r="S220" s="2" t="s">
        <v>4017</v>
      </c>
      <c r="T220" s="2" t="s">
        <v>4018</v>
      </c>
      <c r="V220" s="2" t="s">
        <v>4019</v>
      </c>
      <c r="Y220" s="2" t="s">
        <v>4020</v>
      </c>
      <c r="AB220" s="2" t="s">
        <v>646</v>
      </c>
      <c r="AG220" s="2" t="s">
        <v>4021</v>
      </c>
      <c r="AI220" s="2" t="s">
        <v>4022</v>
      </c>
      <c r="AJ220" s="2">
        <v>3.6724658E7</v>
      </c>
      <c r="AK220" s="2" t="s">
        <v>4023</v>
      </c>
      <c r="AL220" s="2" t="s">
        <v>384</v>
      </c>
      <c r="AN220" s="2" t="s">
        <v>386</v>
      </c>
      <c r="AO220" s="2" t="s">
        <v>4024</v>
      </c>
      <c r="AP220" s="2" t="s">
        <v>386</v>
      </c>
      <c r="AQ220" s="2">
        <v>1867.0</v>
      </c>
      <c r="AR220" s="2" t="s">
        <v>4025</v>
      </c>
      <c r="AS220" s="2" t="b">
        <v>1</v>
      </c>
      <c r="AT220" s="3">
        <v>0.0</v>
      </c>
      <c r="AU220" s="4"/>
      <c r="AV220" s="4">
        <v>1.0</v>
      </c>
      <c r="AW220" s="5">
        <f t="shared" si="432"/>
        <v>0</v>
      </c>
      <c r="AX220" s="5">
        <f t="shared" si="4"/>
        <v>0</v>
      </c>
      <c r="AY220" s="5">
        <f t="shared" si="5"/>
        <v>0</v>
      </c>
      <c r="AZ220" s="5">
        <f t="shared" si="6"/>
        <v>0</v>
      </c>
      <c r="BA220" s="5">
        <f t="shared" si="7"/>
        <v>0</v>
      </c>
      <c r="BB220" s="5">
        <f t="shared" si="8"/>
        <v>0</v>
      </c>
      <c r="BC220" s="5">
        <f t="shared" si="9"/>
        <v>0</v>
      </c>
      <c r="BD220" s="5">
        <f t="shared" si="10"/>
        <v>0</v>
      </c>
      <c r="BE220" s="5">
        <f t="shared" si="11"/>
        <v>0</v>
      </c>
      <c r="BF220" s="5">
        <f t="shared" si="12"/>
        <v>0</v>
      </c>
      <c r="BG220" s="5">
        <f t="shared" si="13"/>
        <v>0</v>
      </c>
      <c r="BH220" s="5">
        <f t="shared" si="14"/>
        <v>0</v>
      </c>
      <c r="BI220" s="5">
        <f t="shared" si="15"/>
        <v>0</v>
      </c>
      <c r="BJ220" s="5">
        <f t="shared" si="16"/>
        <v>0</v>
      </c>
      <c r="BK220" s="5">
        <f t="shared" si="17"/>
        <v>0</v>
      </c>
      <c r="BL220" s="5">
        <f t="shared" si="18"/>
        <v>0</v>
      </c>
      <c r="BM220" s="5">
        <f t="shared" si="19"/>
        <v>0</v>
      </c>
      <c r="BN220" s="5">
        <f t="shared" si="20"/>
        <v>0</v>
      </c>
      <c r="BO220" s="5">
        <f t="shared" si="21"/>
        <v>0</v>
      </c>
      <c r="BP220" s="5">
        <f t="shared" si="22"/>
        <v>0</v>
      </c>
      <c r="BQ220" s="5">
        <f t="shared" si="23"/>
        <v>0</v>
      </c>
      <c r="BR220" s="5">
        <f t="shared" si="24"/>
        <v>0</v>
      </c>
      <c r="BS220" s="5">
        <f t="shared" si="25"/>
        <v>0</v>
      </c>
      <c r="BT220" s="5">
        <f t="shared" si="26"/>
        <v>0</v>
      </c>
      <c r="BU220" s="5">
        <f t="shared" si="27"/>
        <v>0</v>
      </c>
      <c r="BV220" s="5">
        <f t="shared" ref="BV220:BW220" si="800">IF(OR(ISNUMBER(SEARCH("grit",$D220)),ISNUMBER(SEARCH("grit",$T220)),ISNUMBER(SEARCH("grit",$R220)),ISNUMBER(SEARCH("grit",$S220)),
ISNUMBER(SEARCH("determination",$D220)),ISNUMBER(SEARCH("determination",$T220)),ISNUMBER(SEARCH("determination",$R220)),ISNUMBER(SEARCH("determination",$S220)),
ISNUMBER(SEARCH("tenacity",$D220)),ISNUMBER(SEARCH("tenacity",$T220)),ISNUMBER(SEARCH("tenacity",$R220)),ISNUMBER(SEARCH("tenacity",$S220)),
ISNUMBER(SEARCH("endurance",$D220)),ISNUMBER(SEARCH("endurance",$T220)),ISNUMBER(SEARCH("endurance",$R220)),ISNUMBER(SEARCH("endurance",$S220)),
ISNUMBER(SEARCH("fortitude",$D220)),ISNUMBER(SEARCH("fortitude",$T220)),ISNUMBER(SEARCH("fortitude",$R220)),ISNUMBER(SEARCH("fortitude",$S220)),
ISNUMBER(SEARCH("resolve",$D220)),ISNUMBER(SEARCH("resolve",$T220)),ISNUMBER(SEARCH("resolve",$R220)),ISNUMBER(SEARCH("resolve",$S220)),
ISNUMBER(SEARCH("stamina",$D220)),ISNUMBER(SEARCH("stamina",$T220)),ISNUMBER(SEARCH("stamina",$R220)),ISNUMBER(SEARCH("stamina",$S220)),
ISNUMBER(SEARCH("guts",$D220)),ISNUMBER(SEARCH("guts",$T220)),ISNUMBER(SEARCH("guts",$R220)),ISNUMBER(SEARCH("guts",$S220)),
ISNUMBER(SEARCH("spunk",$D220)),ISNUMBER(SEARCH("spunk",$T220)),ISNUMBER(SEARCH("spunk",$R220)),ISNUMBER(SEARCH("spunk",$S220))), 1, 0)</f>
        <v>0</v>
      </c>
      <c r="BW220" s="5">
        <f t="shared" si="800"/>
        <v>0</v>
      </c>
      <c r="BX220" s="5">
        <f t="shared" si="29"/>
        <v>0</v>
      </c>
      <c r="BY220" s="5">
        <f t="shared" si="30"/>
        <v>0</v>
      </c>
      <c r="BZ220" s="5">
        <f t="shared" si="31"/>
        <v>0</v>
      </c>
      <c r="CA220" s="5">
        <f t="shared" si="32"/>
        <v>0</v>
      </c>
      <c r="CB220" s="5">
        <f t="shared" si="33"/>
        <v>0</v>
      </c>
      <c r="CC220" s="5">
        <f t="shared" si="34"/>
        <v>0</v>
      </c>
      <c r="CD220" s="5">
        <f t="shared" si="35"/>
        <v>0</v>
      </c>
      <c r="CE220" s="5">
        <f t="shared" si="36"/>
        <v>0</v>
      </c>
      <c r="CF220" s="5">
        <f t="shared" si="37"/>
        <v>0</v>
      </c>
      <c r="CG220" s="5">
        <f t="shared" si="38"/>
        <v>0</v>
      </c>
      <c r="CH220" s="5">
        <f t="shared" si="39"/>
        <v>0</v>
      </c>
      <c r="CI220" s="5">
        <f t="shared" si="40"/>
        <v>0</v>
      </c>
      <c r="CJ220" s="5">
        <f t="shared" si="41"/>
        <v>0</v>
      </c>
      <c r="CK220" s="5">
        <f t="shared" si="42"/>
        <v>0</v>
      </c>
      <c r="CL220" s="5">
        <f t="shared" si="43"/>
        <v>0</v>
      </c>
      <c r="CM220" s="5">
        <f t="shared" si="44"/>
        <v>0</v>
      </c>
      <c r="CN220" s="5">
        <f t="shared" si="45"/>
        <v>0</v>
      </c>
      <c r="CO220" s="5">
        <f t="shared" si="46"/>
        <v>0</v>
      </c>
      <c r="CP220" s="6">
        <f t="shared" si="47"/>
        <v>0</v>
      </c>
      <c r="CQ220" s="6">
        <f t="shared" si="48"/>
        <v>0</v>
      </c>
      <c r="CR220" s="6">
        <f t="shared" si="49"/>
        <v>0</v>
      </c>
      <c r="CS220" s="6">
        <f t="shared" si="50"/>
        <v>0</v>
      </c>
      <c r="CT220" s="6">
        <f t="shared" si="584"/>
        <v>0</v>
      </c>
      <c r="CU220" s="6">
        <f t="shared" si="52"/>
        <v>0</v>
      </c>
      <c r="CV220" s="6">
        <f t="shared" si="53"/>
        <v>0</v>
      </c>
      <c r="CW220" s="6">
        <f t="shared" si="54"/>
        <v>0</v>
      </c>
      <c r="CX220" s="6">
        <f t="shared" si="55"/>
        <v>0</v>
      </c>
      <c r="CY220" s="6">
        <f t="shared" si="56"/>
        <v>0</v>
      </c>
      <c r="CZ220" s="6">
        <f t="shared" si="57"/>
        <v>0</v>
      </c>
      <c r="DA220" s="6">
        <f t="shared" si="58"/>
        <v>0</v>
      </c>
      <c r="DB220" s="6">
        <f t="shared" si="59"/>
        <v>0</v>
      </c>
      <c r="DC220" s="6">
        <f t="shared" si="60"/>
        <v>1</v>
      </c>
      <c r="DD220" s="6">
        <f t="shared" si="61"/>
        <v>0</v>
      </c>
      <c r="DE220" s="6">
        <f t="shared" si="62"/>
        <v>0</v>
      </c>
      <c r="DF220" s="6">
        <f t="shared" si="63"/>
        <v>0</v>
      </c>
      <c r="DG220" s="6">
        <f t="shared" si="64"/>
        <v>0</v>
      </c>
      <c r="DH220" s="6">
        <f t="shared" si="697"/>
        <v>0</v>
      </c>
      <c r="DI220" s="6">
        <f t="shared" si="66"/>
        <v>0</v>
      </c>
      <c r="DJ220" s="6">
        <f t="shared" si="653"/>
        <v>0</v>
      </c>
      <c r="DK220" s="7">
        <f t="shared" si="68"/>
        <v>0</v>
      </c>
      <c r="DL220" s="7">
        <f t="shared" si="498"/>
        <v>0</v>
      </c>
      <c r="DM220" s="7">
        <f t="shared" si="70"/>
        <v>0</v>
      </c>
      <c r="DN220" s="7">
        <f t="shared" si="71"/>
        <v>0</v>
      </c>
      <c r="DO220" s="7">
        <f t="shared" si="72"/>
        <v>1</v>
      </c>
      <c r="DP220" s="8">
        <f t="shared" si="73"/>
        <v>0</v>
      </c>
      <c r="DQ220" s="8">
        <f t="shared" si="74"/>
        <v>1</v>
      </c>
      <c r="DR220" s="7">
        <f t="shared" si="75"/>
        <v>0</v>
      </c>
      <c r="DS220" s="7">
        <f t="shared" si="76"/>
        <v>0</v>
      </c>
      <c r="DT220" s="7">
        <f t="shared" si="77"/>
        <v>0</v>
      </c>
      <c r="DU220" s="9">
        <f t="shared" si="78"/>
        <v>0</v>
      </c>
      <c r="DV220" s="9">
        <f t="shared" si="79"/>
        <v>0</v>
      </c>
      <c r="DW220" s="9">
        <f t="shared" si="80"/>
        <v>0</v>
      </c>
      <c r="DX220" s="9">
        <f t="shared" si="81"/>
        <v>0</v>
      </c>
      <c r="DY220" s="9">
        <f t="shared" si="82"/>
        <v>0</v>
      </c>
      <c r="DZ220" s="9">
        <f t="shared" si="83"/>
        <v>0</v>
      </c>
      <c r="EA220" s="9">
        <f t="shared" si="84"/>
        <v>0</v>
      </c>
      <c r="EB220" s="9">
        <f t="shared" si="85"/>
        <v>0</v>
      </c>
      <c r="EC220" s="9">
        <f t="shared" si="86"/>
        <v>0</v>
      </c>
      <c r="ED220" s="9">
        <f t="shared" si="87"/>
        <v>0</v>
      </c>
      <c r="EE220" s="9">
        <f t="shared" si="88"/>
        <v>0</v>
      </c>
      <c r="EF220" s="9">
        <f t="shared" si="89"/>
        <v>0</v>
      </c>
      <c r="EG220" s="9">
        <f t="shared" si="90"/>
        <v>0</v>
      </c>
      <c r="EH220" s="9">
        <f t="shared" si="91"/>
        <v>0</v>
      </c>
      <c r="EI220" s="9">
        <f t="shared" si="92"/>
        <v>0</v>
      </c>
      <c r="EJ220" s="10">
        <f t="shared" si="93"/>
        <v>0</v>
      </c>
      <c r="EK220" s="10">
        <f t="shared" si="94"/>
        <v>0</v>
      </c>
      <c r="EL220" s="10">
        <f t="shared" ref="EL220:EM220" si="801">IF(OR(ISNUMBER(SEARCH("ai software toolkit", $D220)), ISNUMBER(SEARCH("ai software toolkit", $T220)), ISNUMBER(SEARCH("ai software toolkit", $R220)), ISNUMBER(SEARCH("ai software toolkit", $S220))), 1, 0)</f>
        <v>0</v>
      </c>
      <c r="EM220" s="10">
        <f t="shared" si="801"/>
        <v>0</v>
      </c>
      <c r="EN220" s="10">
        <f t="shared" si="96"/>
        <v>0</v>
      </c>
      <c r="EO220" s="10">
        <f t="shared" si="97"/>
        <v>0</v>
      </c>
      <c r="EP220" s="10">
        <f t="shared" si="98"/>
        <v>0</v>
      </c>
      <c r="EQ220" s="10">
        <f t="shared" si="99"/>
        <v>0</v>
      </c>
      <c r="ER220" s="10">
        <f t="shared" si="100"/>
        <v>0</v>
      </c>
      <c r="ES220" s="10">
        <f t="shared" si="101"/>
        <v>0</v>
      </c>
      <c r="ET220" s="10">
        <f t="shared" si="102"/>
        <v>0</v>
      </c>
      <c r="EU220" s="10">
        <f t="shared" si="103"/>
        <v>0</v>
      </c>
      <c r="EV220" s="10">
        <f t="shared" si="104"/>
        <v>0</v>
      </c>
      <c r="EW220" s="10">
        <f t="shared" si="105"/>
        <v>0</v>
      </c>
      <c r="EX220" s="10">
        <f t="shared" si="106"/>
        <v>0</v>
      </c>
      <c r="EY220" s="10">
        <f t="shared" si="107"/>
        <v>0</v>
      </c>
      <c r="EZ220" s="10">
        <f t="shared" si="108"/>
        <v>0</v>
      </c>
      <c r="FA220" s="10">
        <f t="shared" si="109"/>
        <v>0</v>
      </c>
      <c r="FB220" s="10">
        <f t="shared" si="110"/>
        <v>0</v>
      </c>
      <c r="FC220" s="10">
        <f t="shared" si="111"/>
        <v>0</v>
      </c>
      <c r="FD220" s="10">
        <f t="shared" si="112"/>
        <v>0</v>
      </c>
      <c r="FE220" s="10">
        <f t="shared" si="782"/>
        <v>0</v>
      </c>
      <c r="FF220" s="10">
        <f t="shared" si="114"/>
        <v>0</v>
      </c>
      <c r="FG220" s="10">
        <f t="shared" si="115"/>
        <v>0</v>
      </c>
      <c r="FH220" s="10">
        <f t="shared" si="116"/>
        <v>0</v>
      </c>
      <c r="FI220" s="10">
        <f t="shared" si="117"/>
        <v>0</v>
      </c>
      <c r="FJ220" s="10">
        <f t="shared" si="118"/>
        <v>0</v>
      </c>
      <c r="FK220" s="10">
        <f t="shared" si="119"/>
        <v>0</v>
      </c>
      <c r="FL220" s="10">
        <f t="shared" si="120"/>
        <v>0</v>
      </c>
      <c r="FM220" s="10">
        <f t="shared" si="121"/>
        <v>0</v>
      </c>
      <c r="FN220" s="10">
        <f t="shared" si="122"/>
        <v>0</v>
      </c>
      <c r="FO220" s="10">
        <f t="shared" si="123"/>
        <v>0</v>
      </c>
      <c r="FP220" s="10">
        <f t="shared" si="124"/>
        <v>0</v>
      </c>
      <c r="FQ220" s="10">
        <f t="shared" si="125"/>
        <v>0</v>
      </c>
      <c r="FR220" s="11">
        <f t="shared" ref="FR220:FR251" si="804">IF(
OR(
ISNUMBER(SEARCH("chatbot",$D220)),ISNUMBER(SEARCH("chatbot",$T220)),ISNUMBER(SEARCH("chatbot",#REF!)),ISNUMBER(SEARCH("chatbot",$S220)),
ISNUMBER(SEARCH("virtual assistance",$D220)),ISNUMBER(SEARCH("virtual assistance",$T220)),ISNUMBER(SEARCH("virtual assistance",$R220)),ISNUMBER(SEARCH("virtual assistance",$S220))), 1, 0)</f>
        <v>0</v>
      </c>
      <c r="FS220" s="11">
        <f t="shared" si="127"/>
        <v>0</v>
      </c>
      <c r="FT220" s="11">
        <f t="shared" si="128"/>
        <v>0</v>
      </c>
      <c r="FU220" s="11">
        <f t="shared" si="129"/>
        <v>0</v>
      </c>
      <c r="FV220" s="11">
        <f t="shared" si="130"/>
        <v>0</v>
      </c>
      <c r="FW220" s="11">
        <f t="shared" si="131"/>
        <v>0</v>
      </c>
      <c r="FX220" s="11">
        <f t="shared" si="132"/>
        <v>0</v>
      </c>
      <c r="FY220" s="11">
        <f t="shared" si="133"/>
        <v>0</v>
      </c>
      <c r="FZ220" s="11">
        <f t="shared" si="134"/>
        <v>0</v>
      </c>
      <c r="GA220" s="11">
        <f t="shared" si="135"/>
        <v>0</v>
      </c>
      <c r="GB220" s="11">
        <f t="shared" si="136"/>
        <v>0</v>
      </c>
      <c r="GC220" s="11">
        <f t="shared" si="137"/>
        <v>0</v>
      </c>
      <c r="GD220" s="11">
        <f t="shared" si="138"/>
        <v>0</v>
      </c>
      <c r="GE220" s="11">
        <f t="shared" si="139"/>
        <v>0</v>
      </c>
      <c r="GF220" s="11">
        <f t="shared" si="140"/>
        <v>0</v>
      </c>
      <c r="GG220" s="11">
        <f t="shared" si="141"/>
        <v>0</v>
      </c>
      <c r="GH220" s="11">
        <f t="shared" si="142"/>
        <v>0</v>
      </c>
      <c r="GI220" s="11">
        <f t="shared" si="143"/>
        <v>0</v>
      </c>
      <c r="GJ220" s="11">
        <f t="shared" si="144"/>
        <v>0</v>
      </c>
      <c r="GK220" s="11">
        <f t="shared" si="145"/>
        <v>0</v>
      </c>
      <c r="GL220" s="11">
        <f t="shared" si="146"/>
        <v>0</v>
      </c>
      <c r="GM220" s="11">
        <f t="shared" si="147"/>
        <v>0</v>
      </c>
      <c r="GN220" s="11">
        <f t="shared" si="148"/>
        <v>0</v>
      </c>
      <c r="GO220" s="11">
        <f t="shared" si="149"/>
        <v>0</v>
      </c>
      <c r="GP220" s="11">
        <f t="shared" si="150"/>
        <v>0</v>
      </c>
      <c r="GQ220" s="11">
        <f t="shared" si="151"/>
        <v>0</v>
      </c>
      <c r="GR220" s="11">
        <f t="shared" si="152"/>
        <v>0</v>
      </c>
      <c r="GS220" s="11">
        <f t="shared" si="153"/>
        <v>0</v>
      </c>
      <c r="GT220" s="11">
        <f t="shared" si="154"/>
        <v>0</v>
      </c>
      <c r="GU220" s="12">
        <f t="shared" si="155"/>
        <v>0</v>
      </c>
      <c r="GV220" s="12">
        <f t="shared" si="156"/>
        <v>0</v>
      </c>
      <c r="GW220" s="12">
        <f t="shared" si="157"/>
        <v>0</v>
      </c>
      <c r="GX220" s="12">
        <f t="shared" si="158"/>
        <v>0</v>
      </c>
      <c r="GY220" s="12">
        <f t="shared" si="159"/>
        <v>0</v>
      </c>
      <c r="GZ220" s="12">
        <f t="shared" si="160"/>
        <v>0</v>
      </c>
      <c r="HA220" s="12">
        <f t="shared" si="161"/>
        <v>0</v>
      </c>
      <c r="HB220" s="12">
        <f t="shared" si="162"/>
        <v>0</v>
      </c>
      <c r="HC220" s="12">
        <f t="shared" si="163"/>
        <v>0</v>
      </c>
      <c r="HD220" s="12">
        <f t="shared" si="164"/>
        <v>0</v>
      </c>
      <c r="HE220" s="12">
        <f t="shared" si="165"/>
        <v>0</v>
      </c>
      <c r="HF220" s="12">
        <f t="shared" si="166"/>
        <v>0</v>
      </c>
      <c r="HG220" s="12">
        <f t="shared" si="167"/>
        <v>0</v>
      </c>
      <c r="HH220" s="12">
        <f t="shared" si="168"/>
        <v>0</v>
      </c>
      <c r="HI220" s="12">
        <f t="shared" si="169"/>
        <v>0</v>
      </c>
      <c r="HJ220" s="12">
        <f t="shared" si="170"/>
        <v>0</v>
      </c>
      <c r="HK220" s="12">
        <f t="shared" si="171"/>
        <v>0</v>
      </c>
      <c r="HL220" s="12">
        <f t="shared" si="172"/>
        <v>0</v>
      </c>
      <c r="HM220" s="12">
        <f t="shared" si="173"/>
        <v>0</v>
      </c>
      <c r="HN220" s="12">
        <f t="shared" si="174"/>
        <v>0</v>
      </c>
      <c r="HO220" s="12">
        <f t="shared" si="175"/>
        <v>0</v>
      </c>
      <c r="HP220" s="12">
        <f t="shared" si="176"/>
        <v>0</v>
      </c>
      <c r="HQ220" s="12">
        <f t="shared" si="177"/>
        <v>0</v>
      </c>
      <c r="HR220" s="12">
        <f t="shared" si="178"/>
        <v>0</v>
      </c>
      <c r="HS220" s="12">
        <f t="shared" si="179"/>
        <v>0</v>
      </c>
      <c r="HT220" s="12">
        <f t="shared" si="180"/>
        <v>0</v>
      </c>
      <c r="HU220" s="12">
        <f t="shared" si="181"/>
        <v>0</v>
      </c>
      <c r="HV220" s="12">
        <f t="shared" si="182"/>
        <v>0</v>
      </c>
      <c r="HW220" s="12">
        <f t="shared" si="183"/>
        <v>0</v>
      </c>
      <c r="HX220" s="12">
        <f t="shared" si="184"/>
        <v>0</v>
      </c>
      <c r="HY220" s="12">
        <f t="shared" si="185"/>
        <v>0</v>
      </c>
      <c r="HZ220" s="12">
        <f t="shared" si="186"/>
        <v>0</v>
      </c>
      <c r="IA220" s="12">
        <f t="shared" si="187"/>
        <v>0</v>
      </c>
      <c r="IB220" s="12">
        <f t="shared" si="188"/>
        <v>0</v>
      </c>
      <c r="IC220" s="12">
        <f t="shared" si="189"/>
        <v>0</v>
      </c>
      <c r="ID220" s="12">
        <f t="shared" si="190"/>
        <v>0</v>
      </c>
      <c r="IE220" s="12">
        <f t="shared" si="191"/>
        <v>0</v>
      </c>
      <c r="IF220" s="12">
        <f t="shared" si="192"/>
        <v>0</v>
      </c>
      <c r="IG220" s="12">
        <f t="shared" si="193"/>
        <v>0</v>
      </c>
      <c r="IH220" s="12">
        <f t="shared" si="194"/>
        <v>0</v>
      </c>
      <c r="II220" s="12">
        <f t="shared" si="195"/>
        <v>0</v>
      </c>
      <c r="IJ220" s="12">
        <f t="shared" si="196"/>
        <v>0</v>
      </c>
      <c r="IK220" s="12">
        <f t="shared" si="197"/>
        <v>0</v>
      </c>
      <c r="IL220" s="12">
        <f t="shared" si="198"/>
        <v>0</v>
      </c>
      <c r="IM220" s="12">
        <f t="shared" si="199"/>
        <v>0</v>
      </c>
      <c r="IN220" s="12">
        <f t="shared" si="200"/>
        <v>0</v>
      </c>
      <c r="IO220" s="12">
        <f t="shared" si="201"/>
        <v>0</v>
      </c>
      <c r="IP220" s="12">
        <f t="shared" si="202"/>
        <v>0</v>
      </c>
      <c r="IQ220" s="12">
        <f t="shared" si="203"/>
        <v>0</v>
      </c>
      <c r="IR220" s="12">
        <f t="shared" si="204"/>
        <v>0</v>
      </c>
      <c r="IS220" s="12">
        <f t="shared" si="205"/>
        <v>0</v>
      </c>
      <c r="IT220" s="12">
        <f t="shared" si="206"/>
        <v>0</v>
      </c>
      <c r="IU220" s="12">
        <f t="shared" si="207"/>
        <v>0</v>
      </c>
      <c r="IV220" s="12">
        <f t="shared" si="208"/>
        <v>0</v>
      </c>
      <c r="IW220" s="12">
        <f t="shared" si="209"/>
        <v>0</v>
      </c>
      <c r="IX220" s="12">
        <f t="shared" si="210"/>
        <v>0</v>
      </c>
      <c r="IY220" s="12">
        <f t="shared" si="211"/>
        <v>0</v>
      </c>
      <c r="IZ220" s="12">
        <f t="shared" si="212"/>
        <v>0</v>
      </c>
      <c r="JA220" s="13">
        <f t="shared" si="213"/>
        <v>0</v>
      </c>
      <c r="JB220" s="13">
        <f t="shared" si="214"/>
        <v>0</v>
      </c>
      <c r="JC220" s="13">
        <f t="shared" si="215"/>
        <v>0</v>
      </c>
      <c r="JD220" s="13">
        <f t="shared" si="216"/>
        <v>0</v>
      </c>
      <c r="JE220" s="13">
        <f t="shared" si="217"/>
        <v>0</v>
      </c>
      <c r="JF220" s="13">
        <f t="shared" si="218"/>
        <v>0</v>
      </c>
      <c r="JG220" s="13">
        <f t="shared" si="219"/>
        <v>0</v>
      </c>
      <c r="JH220" s="13">
        <f t="shared" si="220"/>
        <v>0</v>
      </c>
      <c r="JI220" s="13">
        <f t="shared" si="221"/>
        <v>0</v>
      </c>
      <c r="JJ220" s="13">
        <f t="shared" si="222"/>
        <v>0</v>
      </c>
      <c r="JK220" s="13">
        <f t="shared" si="223"/>
        <v>0</v>
      </c>
      <c r="JL220" s="13">
        <f t="shared" si="224"/>
        <v>0</v>
      </c>
      <c r="JM220" s="13">
        <f t="shared" si="225"/>
        <v>0</v>
      </c>
      <c r="JN220" s="13">
        <f t="shared" si="226"/>
        <v>0</v>
      </c>
      <c r="JO220" s="13">
        <f t="shared" si="227"/>
        <v>0</v>
      </c>
      <c r="JP220" s="13">
        <f t="shared" si="228"/>
        <v>0</v>
      </c>
      <c r="JQ220" s="13">
        <f t="shared" si="229"/>
        <v>0</v>
      </c>
      <c r="JR220" s="13">
        <f t="shared" si="230"/>
        <v>0</v>
      </c>
      <c r="JS220" s="13">
        <f t="shared" si="231"/>
        <v>0</v>
      </c>
      <c r="JT220" s="13">
        <f t="shared" si="232"/>
        <v>0</v>
      </c>
      <c r="JU220" s="13">
        <f t="shared" si="233"/>
        <v>0</v>
      </c>
      <c r="JV220" s="12">
        <f t="shared" si="234"/>
        <v>0</v>
      </c>
      <c r="JW220" s="12">
        <f t="shared" si="235"/>
        <v>0</v>
      </c>
      <c r="JX220" s="12">
        <f t="shared" si="236"/>
        <v>0</v>
      </c>
      <c r="JY220" s="12">
        <f t="shared" si="237"/>
        <v>0</v>
      </c>
      <c r="JZ220" s="12">
        <f t="shared" si="238"/>
        <v>0</v>
      </c>
      <c r="KA220" s="12">
        <f t="shared" si="239"/>
        <v>0</v>
      </c>
      <c r="KB220" s="12">
        <f t="shared" si="240"/>
        <v>0</v>
      </c>
      <c r="KC220" s="12">
        <f t="shared" si="241"/>
        <v>0</v>
      </c>
      <c r="KD220" s="12">
        <f t="shared" si="797"/>
        <v>0</v>
      </c>
      <c r="KE220" s="12">
        <f t="shared" si="243"/>
        <v>0</v>
      </c>
      <c r="KF220" s="12">
        <f t="shared" si="244"/>
        <v>0</v>
      </c>
      <c r="KG220" s="12">
        <f t="shared" si="245"/>
        <v>0</v>
      </c>
      <c r="KH220" s="12">
        <f t="shared" si="246"/>
        <v>0</v>
      </c>
      <c r="KI220" s="12">
        <f t="shared" si="247"/>
        <v>0</v>
      </c>
      <c r="KJ220" s="12">
        <f t="shared" si="248"/>
        <v>0</v>
      </c>
      <c r="KK220" s="12">
        <f t="shared" si="249"/>
        <v>0</v>
      </c>
      <c r="KL220" s="12">
        <f t="shared" si="250"/>
        <v>0</v>
      </c>
      <c r="KM220" s="12">
        <f t="shared" si="251"/>
        <v>0</v>
      </c>
      <c r="KN220" s="12">
        <f t="shared" si="252"/>
        <v>0</v>
      </c>
      <c r="KO220" s="12">
        <f t="shared" si="253"/>
        <v>0</v>
      </c>
      <c r="KP220" s="12">
        <f t="shared" si="254"/>
        <v>0</v>
      </c>
      <c r="KQ220" s="12">
        <f t="shared" si="255"/>
        <v>0</v>
      </c>
      <c r="KR220" s="12">
        <f t="shared" si="256"/>
        <v>0</v>
      </c>
      <c r="KS220" s="12">
        <f t="shared" si="257"/>
        <v>0</v>
      </c>
      <c r="KT220" s="12">
        <f t="shared" si="258"/>
        <v>0</v>
      </c>
      <c r="KU220" s="12">
        <f t="shared" si="259"/>
        <v>0</v>
      </c>
      <c r="KV220" s="12">
        <f t="shared" si="260"/>
        <v>0</v>
      </c>
      <c r="KW220" s="12">
        <f t="shared" si="261"/>
        <v>0</v>
      </c>
      <c r="KX220" s="12">
        <f t="shared" si="262"/>
        <v>0</v>
      </c>
      <c r="KY220" s="12">
        <f t="shared" si="263"/>
        <v>0</v>
      </c>
      <c r="KZ220" s="12">
        <f t="shared" si="264"/>
        <v>0</v>
      </c>
      <c r="LA220" s="12">
        <f t="shared" si="265"/>
        <v>0</v>
      </c>
      <c r="LB220" s="12">
        <f t="shared" si="266"/>
        <v>0</v>
      </c>
      <c r="LC220" s="12">
        <f t="shared" si="267"/>
        <v>0</v>
      </c>
      <c r="LD220" s="12">
        <f t="shared" si="268"/>
        <v>0</v>
      </c>
      <c r="LE220" s="12">
        <f t="shared" si="269"/>
        <v>0</v>
      </c>
      <c r="LF220" s="12">
        <f t="shared" si="270"/>
        <v>0</v>
      </c>
      <c r="LG220" s="12">
        <f t="shared" si="271"/>
        <v>0</v>
      </c>
      <c r="LH220" s="12">
        <f t="shared" si="272"/>
        <v>0</v>
      </c>
      <c r="LI220" s="12">
        <f t="shared" si="273"/>
        <v>0</v>
      </c>
      <c r="LJ220" s="12">
        <f t="shared" si="274"/>
        <v>0</v>
      </c>
      <c r="LK220" s="12">
        <f t="shared" si="275"/>
        <v>0</v>
      </c>
      <c r="LL220" s="12">
        <f t="shared" si="276"/>
        <v>0</v>
      </c>
      <c r="LM220" s="12">
        <f t="shared" si="277"/>
        <v>0</v>
      </c>
      <c r="LN220" s="12">
        <f t="shared" si="278"/>
        <v>0</v>
      </c>
      <c r="LO220" s="12">
        <f t="shared" si="279"/>
        <v>0</v>
      </c>
      <c r="LP220" s="12">
        <f t="shared" si="280"/>
        <v>0</v>
      </c>
      <c r="LQ220" s="12">
        <f t="shared" si="281"/>
        <v>0</v>
      </c>
      <c r="LR220" s="12">
        <f t="shared" si="282"/>
        <v>0</v>
      </c>
      <c r="LS220" s="12">
        <f t="shared" si="283"/>
        <v>0</v>
      </c>
      <c r="LT220" s="13">
        <f t="shared" si="284"/>
        <v>0</v>
      </c>
      <c r="LU220" s="13">
        <f t="shared" si="285"/>
        <v>0</v>
      </c>
      <c r="LV220" s="13">
        <f t="shared" si="286"/>
        <v>0</v>
      </c>
      <c r="LW220" s="13">
        <f t="shared" si="287"/>
        <v>0</v>
      </c>
      <c r="LX220" s="13">
        <f t="shared" si="288"/>
        <v>0</v>
      </c>
      <c r="LY220" s="13">
        <f t="shared" si="289"/>
        <v>0</v>
      </c>
      <c r="LZ220" s="13">
        <f t="shared" si="290"/>
        <v>0</v>
      </c>
      <c r="MA220" s="13">
        <f t="shared" si="291"/>
        <v>0</v>
      </c>
      <c r="MB220" s="13">
        <f t="shared" si="292"/>
        <v>0</v>
      </c>
      <c r="MC220" s="13">
        <f t="shared" si="293"/>
        <v>0</v>
      </c>
      <c r="MD220" s="13">
        <f t="shared" si="294"/>
        <v>0</v>
      </c>
      <c r="ME220" s="13">
        <f t="shared" si="295"/>
        <v>0</v>
      </c>
      <c r="MF220" s="13">
        <f t="shared" si="296"/>
        <v>0</v>
      </c>
      <c r="MG220" s="13">
        <f t="shared" si="297"/>
        <v>0</v>
      </c>
      <c r="MH220" s="13">
        <f t="shared" si="298"/>
        <v>0</v>
      </c>
      <c r="MI220" s="13">
        <f t="shared" si="299"/>
        <v>0</v>
      </c>
      <c r="MJ220" s="13">
        <f t="shared" si="300"/>
        <v>0</v>
      </c>
      <c r="MK220" s="13">
        <f t="shared" si="301"/>
        <v>0</v>
      </c>
      <c r="ML220" s="14">
        <f t="shared" si="302"/>
        <v>0</v>
      </c>
      <c r="MM220" s="14">
        <f t="shared" si="303"/>
        <v>0</v>
      </c>
      <c r="MN220" s="14">
        <f t="shared" si="304"/>
        <v>0</v>
      </c>
      <c r="MO220" s="14">
        <f t="shared" si="305"/>
        <v>0</v>
      </c>
      <c r="MP220" s="14">
        <f t="shared" si="306"/>
        <v>0</v>
      </c>
      <c r="MQ220" s="14">
        <f t="shared" si="307"/>
        <v>0</v>
      </c>
      <c r="MR220" s="14">
        <f t="shared" si="308"/>
        <v>0</v>
      </c>
      <c r="MS220" s="14">
        <f t="shared" si="309"/>
        <v>0</v>
      </c>
      <c r="MT220" s="14">
        <f t="shared" si="310"/>
        <v>0</v>
      </c>
      <c r="MU220" s="14">
        <f t="shared" si="311"/>
        <v>0</v>
      </c>
      <c r="MV220" s="14">
        <f t="shared" si="312"/>
        <v>0</v>
      </c>
      <c r="MW220" s="14">
        <f t="shared" si="313"/>
        <v>0</v>
      </c>
      <c r="MX220" s="14">
        <f t="shared" si="314"/>
        <v>0</v>
      </c>
      <c r="MY220" s="14">
        <f t="shared" si="315"/>
        <v>0</v>
      </c>
      <c r="MZ220" s="14">
        <f t="shared" si="316"/>
        <v>0</v>
      </c>
      <c r="NA220" s="14">
        <f t="shared" si="317"/>
        <v>0</v>
      </c>
      <c r="NB220" s="14">
        <f t="shared" si="318"/>
        <v>0</v>
      </c>
    </row>
    <row r="221" ht="15.75" customHeight="1">
      <c r="A221" s="2">
        <v>301.0</v>
      </c>
      <c r="B221" s="2" t="s">
        <v>4026</v>
      </c>
      <c r="C221" s="2" t="s">
        <v>4027</v>
      </c>
      <c r="D221" s="2" t="s">
        <v>4028</v>
      </c>
      <c r="E221" s="2">
        <v>2019.0</v>
      </c>
      <c r="F221" s="2" t="s">
        <v>4029</v>
      </c>
      <c r="G221" s="2" t="s">
        <v>603</v>
      </c>
      <c r="H221" s="2" t="s">
        <v>392</v>
      </c>
      <c r="J221" s="2" t="s">
        <v>392</v>
      </c>
      <c r="K221" s="2" t="s">
        <v>472</v>
      </c>
      <c r="N221" s="2" t="s">
        <v>4030</v>
      </c>
      <c r="O221" s="2" t="s">
        <v>4031</v>
      </c>
      <c r="P221" s="2" t="s">
        <v>4032</v>
      </c>
      <c r="Q221" s="2" t="s">
        <v>4033</v>
      </c>
      <c r="R221" s="2" t="s">
        <v>4034</v>
      </c>
      <c r="S221" s="2" t="s">
        <v>4035</v>
      </c>
      <c r="Y221" s="2" t="s">
        <v>4036</v>
      </c>
      <c r="AB221" s="2" t="s">
        <v>4037</v>
      </c>
      <c r="AG221" s="2" t="s">
        <v>4038</v>
      </c>
      <c r="AK221" s="2" t="s">
        <v>4039</v>
      </c>
      <c r="AL221" s="2" t="s">
        <v>384</v>
      </c>
      <c r="AN221" s="2" t="s">
        <v>386</v>
      </c>
      <c r="AO221" s="2" t="s">
        <v>4040</v>
      </c>
      <c r="AP221" s="2" t="s">
        <v>386</v>
      </c>
      <c r="AQ221" s="2">
        <v>1201.0</v>
      </c>
      <c r="AR221" s="2" t="s">
        <v>4041</v>
      </c>
      <c r="AS221" s="2" t="b">
        <v>0</v>
      </c>
      <c r="AT221" s="3">
        <v>0.0</v>
      </c>
      <c r="AU221" s="4"/>
      <c r="AV221" s="4"/>
      <c r="AW221" s="5">
        <f t="shared" si="432"/>
        <v>0</v>
      </c>
      <c r="AX221" s="5">
        <f t="shared" si="4"/>
        <v>0</v>
      </c>
      <c r="AY221" s="5">
        <f t="shared" si="5"/>
        <v>0</v>
      </c>
      <c r="AZ221" s="5">
        <f t="shared" si="6"/>
        <v>0</v>
      </c>
      <c r="BA221" s="5">
        <f t="shared" si="7"/>
        <v>0</v>
      </c>
      <c r="BB221" s="5">
        <f t="shared" si="8"/>
        <v>0</v>
      </c>
      <c r="BC221" s="5">
        <f t="shared" si="9"/>
        <v>0</v>
      </c>
      <c r="BD221" s="5">
        <f t="shared" si="10"/>
        <v>0</v>
      </c>
      <c r="BE221" s="5">
        <f t="shared" si="11"/>
        <v>0</v>
      </c>
      <c r="BF221" s="5">
        <f t="shared" si="12"/>
        <v>0</v>
      </c>
      <c r="BG221" s="5">
        <f t="shared" si="13"/>
        <v>0</v>
      </c>
      <c r="BH221" s="5">
        <f t="shared" si="14"/>
        <v>0</v>
      </c>
      <c r="BI221" s="5">
        <f t="shared" si="15"/>
        <v>0</v>
      </c>
      <c r="BJ221" s="5">
        <f t="shared" si="16"/>
        <v>0</v>
      </c>
      <c r="BK221" s="5">
        <f t="shared" si="17"/>
        <v>0</v>
      </c>
      <c r="BL221" s="5">
        <f t="shared" si="18"/>
        <v>0</v>
      </c>
      <c r="BM221" s="5">
        <f t="shared" si="19"/>
        <v>0</v>
      </c>
      <c r="BN221" s="5">
        <f t="shared" si="20"/>
        <v>0</v>
      </c>
      <c r="BO221" s="5">
        <f t="shared" si="21"/>
        <v>0</v>
      </c>
      <c r="BP221" s="5">
        <f t="shared" si="22"/>
        <v>0</v>
      </c>
      <c r="BQ221" s="5">
        <f t="shared" si="23"/>
        <v>0</v>
      </c>
      <c r="BR221" s="5">
        <f t="shared" si="24"/>
        <v>0</v>
      </c>
      <c r="BS221" s="5">
        <f t="shared" si="25"/>
        <v>0</v>
      </c>
      <c r="BT221" s="5">
        <f t="shared" si="26"/>
        <v>0</v>
      </c>
      <c r="BU221" s="5">
        <f t="shared" si="27"/>
        <v>0</v>
      </c>
      <c r="BV221" s="5">
        <f t="shared" ref="BV221:BW221" si="802">IF(OR(ISNUMBER(SEARCH("grit",$D221)),ISNUMBER(SEARCH("grit",$T221)),ISNUMBER(SEARCH("grit",$R221)),ISNUMBER(SEARCH("grit",$S221)),
ISNUMBER(SEARCH("determination",$D221)),ISNUMBER(SEARCH("determination",$T221)),ISNUMBER(SEARCH("determination",$R221)),ISNUMBER(SEARCH("determination",$S221)),
ISNUMBER(SEARCH("tenacity",$D221)),ISNUMBER(SEARCH("tenacity",$T221)),ISNUMBER(SEARCH("tenacity",$R221)),ISNUMBER(SEARCH("tenacity",$S221)),
ISNUMBER(SEARCH("endurance",$D221)),ISNUMBER(SEARCH("endurance",$T221)),ISNUMBER(SEARCH("endurance",$R221)),ISNUMBER(SEARCH("endurance",$S221)),
ISNUMBER(SEARCH("fortitude",$D221)),ISNUMBER(SEARCH("fortitude",$T221)),ISNUMBER(SEARCH("fortitude",$R221)),ISNUMBER(SEARCH("fortitude",$S221)),
ISNUMBER(SEARCH("resolve",$D221)),ISNUMBER(SEARCH("resolve",$T221)),ISNUMBER(SEARCH("resolve",$R221)),ISNUMBER(SEARCH("resolve",$S221)),
ISNUMBER(SEARCH("stamina",$D221)),ISNUMBER(SEARCH("stamina",$T221)),ISNUMBER(SEARCH("stamina",$R221)),ISNUMBER(SEARCH("stamina",$S221)),
ISNUMBER(SEARCH("guts",$D221)),ISNUMBER(SEARCH("guts",$T221)),ISNUMBER(SEARCH("guts",$R221)),ISNUMBER(SEARCH("guts",$S221)),
ISNUMBER(SEARCH("spunk",$D221)),ISNUMBER(SEARCH("spunk",$T221)),ISNUMBER(SEARCH("spunk",$R221)),ISNUMBER(SEARCH("spunk",$S221))), 1, 0)</f>
        <v>0</v>
      </c>
      <c r="BW221" s="5">
        <f t="shared" si="802"/>
        <v>0</v>
      </c>
      <c r="BX221" s="5">
        <f t="shared" si="29"/>
        <v>0</v>
      </c>
      <c r="BY221" s="5">
        <f t="shared" si="30"/>
        <v>0</v>
      </c>
      <c r="BZ221" s="5">
        <f t="shared" si="31"/>
        <v>0</v>
      </c>
      <c r="CA221" s="5">
        <f t="shared" si="32"/>
        <v>0</v>
      </c>
      <c r="CB221" s="5">
        <f t="shared" si="33"/>
        <v>0</v>
      </c>
      <c r="CC221" s="5">
        <f t="shared" si="34"/>
        <v>0</v>
      </c>
      <c r="CD221" s="5">
        <f t="shared" si="35"/>
        <v>0</v>
      </c>
      <c r="CE221" s="5">
        <f t="shared" si="36"/>
        <v>0</v>
      </c>
      <c r="CF221" s="5">
        <f t="shared" si="37"/>
        <v>0</v>
      </c>
      <c r="CG221" s="5">
        <f t="shared" si="38"/>
        <v>0</v>
      </c>
      <c r="CH221" s="5">
        <f t="shared" si="39"/>
        <v>0</v>
      </c>
      <c r="CI221" s="5">
        <f t="shared" si="40"/>
        <v>0</v>
      </c>
      <c r="CJ221" s="5">
        <f t="shared" si="41"/>
        <v>0</v>
      </c>
      <c r="CK221" s="5">
        <f t="shared" si="42"/>
        <v>0</v>
      </c>
      <c r="CL221" s="5">
        <f t="shared" si="43"/>
        <v>0</v>
      </c>
      <c r="CM221" s="5">
        <f t="shared" si="44"/>
        <v>0</v>
      </c>
      <c r="CN221" s="5">
        <f t="shared" si="45"/>
        <v>0</v>
      </c>
      <c r="CO221" s="5">
        <f t="shared" si="46"/>
        <v>0</v>
      </c>
      <c r="CP221" s="6">
        <f t="shared" si="47"/>
        <v>0</v>
      </c>
      <c r="CQ221" s="6">
        <f t="shared" si="48"/>
        <v>0</v>
      </c>
      <c r="CR221" s="6">
        <f t="shared" si="49"/>
        <v>0</v>
      </c>
      <c r="CS221" s="6">
        <f t="shared" si="50"/>
        <v>0</v>
      </c>
      <c r="CT221" s="6">
        <f t="shared" si="584"/>
        <v>0</v>
      </c>
      <c r="CU221" s="6">
        <f t="shared" si="52"/>
        <v>0</v>
      </c>
      <c r="CV221" s="6">
        <f t="shared" si="53"/>
        <v>0</v>
      </c>
      <c r="CW221" s="6">
        <f t="shared" si="54"/>
        <v>0</v>
      </c>
      <c r="CX221" s="6">
        <f t="shared" si="55"/>
        <v>0</v>
      </c>
      <c r="CY221" s="6">
        <f t="shared" si="56"/>
        <v>0</v>
      </c>
      <c r="CZ221" s="6">
        <f t="shared" si="57"/>
        <v>0</v>
      </c>
      <c r="DA221" s="6">
        <f t="shared" si="58"/>
        <v>0</v>
      </c>
      <c r="DB221" s="6">
        <f t="shared" si="59"/>
        <v>0</v>
      </c>
      <c r="DC221" s="6">
        <f t="shared" si="60"/>
        <v>0</v>
      </c>
      <c r="DD221" s="6">
        <f t="shared" si="61"/>
        <v>0</v>
      </c>
      <c r="DE221" s="6">
        <f t="shared" si="62"/>
        <v>0</v>
      </c>
      <c r="DF221" s="6">
        <f t="shared" si="63"/>
        <v>1</v>
      </c>
      <c r="DG221" s="6">
        <f t="shared" si="64"/>
        <v>0</v>
      </c>
      <c r="DH221" s="6">
        <f t="shared" si="697"/>
        <v>0</v>
      </c>
      <c r="DI221" s="6">
        <f t="shared" si="66"/>
        <v>0</v>
      </c>
      <c r="DJ221" s="6">
        <f t="shared" si="653"/>
        <v>0</v>
      </c>
      <c r="DK221" s="7">
        <f t="shared" si="68"/>
        <v>0</v>
      </c>
      <c r="DL221" s="7">
        <f t="shared" si="498"/>
        <v>0</v>
      </c>
      <c r="DM221" s="7">
        <f t="shared" si="70"/>
        <v>0</v>
      </c>
      <c r="DN221" s="7">
        <f t="shared" si="71"/>
        <v>0</v>
      </c>
      <c r="DO221" s="7">
        <f t="shared" si="72"/>
        <v>0</v>
      </c>
      <c r="DP221" s="8">
        <f t="shared" si="73"/>
        <v>0</v>
      </c>
      <c r="DQ221" s="8">
        <f t="shared" si="74"/>
        <v>1</v>
      </c>
      <c r="DR221" s="7">
        <f t="shared" si="75"/>
        <v>0</v>
      </c>
      <c r="DS221" s="7">
        <f t="shared" si="76"/>
        <v>0</v>
      </c>
      <c r="DT221" s="7">
        <f t="shared" si="77"/>
        <v>0</v>
      </c>
      <c r="DU221" s="9">
        <f t="shared" si="78"/>
        <v>0</v>
      </c>
      <c r="DV221" s="9">
        <f t="shared" si="79"/>
        <v>0</v>
      </c>
      <c r="DW221" s="9">
        <f t="shared" si="80"/>
        <v>0</v>
      </c>
      <c r="DX221" s="9">
        <f t="shared" si="81"/>
        <v>0</v>
      </c>
      <c r="DY221" s="9">
        <f t="shared" si="82"/>
        <v>0</v>
      </c>
      <c r="DZ221" s="9">
        <f t="shared" si="83"/>
        <v>0</v>
      </c>
      <c r="EA221" s="9">
        <f t="shared" si="84"/>
        <v>0</v>
      </c>
      <c r="EB221" s="9">
        <f t="shared" si="85"/>
        <v>0</v>
      </c>
      <c r="EC221" s="9">
        <f t="shared" si="86"/>
        <v>0</v>
      </c>
      <c r="ED221" s="9">
        <f t="shared" si="87"/>
        <v>0</v>
      </c>
      <c r="EE221" s="9">
        <f t="shared" si="88"/>
        <v>0</v>
      </c>
      <c r="EF221" s="9">
        <f t="shared" si="89"/>
        <v>0</v>
      </c>
      <c r="EG221" s="9">
        <f t="shared" si="90"/>
        <v>0</v>
      </c>
      <c r="EH221" s="9">
        <f t="shared" si="91"/>
        <v>0</v>
      </c>
      <c r="EI221" s="9">
        <f t="shared" si="92"/>
        <v>0</v>
      </c>
      <c r="EJ221" s="10">
        <f t="shared" si="93"/>
        <v>0</v>
      </c>
      <c r="EK221" s="10">
        <f t="shared" si="94"/>
        <v>0</v>
      </c>
      <c r="EL221" s="10">
        <f t="shared" ref="EL221:EM221" si="803">IF(OR(ISNUMBER(SEARCH("ai software toolkit", $D221)), ISNUMBER(SEARCH("ai software toolkit", $T221)), ISNUMBER(SEARCH("ai software toolkit", $R221)), ISNUMBER(SEARCH("ai software toolkit", $S221))), 1, 0)</f>
        <v>0</v>
      </c>
      <c r="EM221" s="10">
        <f t="shared" si="803"/>
        <v>0</v>
      </c>
      <c r="EN221" s="10">
        <f t="shared" si="96"/>
        <v>0</v>
      </c>
      <c r="EO221" s="10">
        <f t="shared" si="97"/>
        <v>0</v>
      </c>
      <c r="EP221" s="10">
        <f t="shared" si="98"/>
        <v>0</v>
      </c>
      <c r="EQ221" s="10">
        <f t="shared" si="99"/>
        <v>0</v>
      </c>
      <c r="ER221" s="10">
        <f t="shared" si="100"/>
        <v>0</v>
      </c>
      <c r="ES221" s="10">
        <f t="shared" si="101"/>
        <v>0</v>
      </c>
      <c r="ET221" s="10">
        <f t="shared" si="102"/>
        <v>0</v>
      </c>
      <c r="EU221" s="10">
        <f t="shared" si="103"/>
        <v>0</v>
      </c>
      <c r="EV221" s="10">
        <f t="shared" si="104"/>
        <v>0</v>
      </c>
      <c r="EW221" s="10">
        <f t="shared" si="105"/>
        <v>0</v>
      </c>
      <c r="EX221" s="10">
        <f t="shared" si="106"/>
        <v>0</v>
      </c>
      <c r="EY221" s="10">
        <f t="shared" si="107"/>
        <v>0</v>
      </c>
      <c r="EZ221" s="10">
        <f t="shared" si="108"/>
        <v>0</v>
      </c>
      <c r="FA221" s="10">
        <f t="shared" si="109"/>
        <v>0</v>
      </c>
      <c r="FB221" s="10">
        <f t="shared" si="110"/>
        <v>0</v>
      </c>
      <c r="FC221" s="10">
        <f t="shared" si="111"/>
        <v>0</v>
      </c>
      <c r="FD221" s="10">
        <f t="shared" si="112"/>
        <v>0</v>
      </c>
      <c r="FE221" s="10">
        <f t="shared" si="782"/>
        <v>0</v>
      </c>
      <c r="FF221" s="10">
        <f t="shared" si="114"/>
        <v>0</v>
      </c>
      <c r="FG221" s="10">
        <f t="shared" si="115"/>
        <v>0</v>
      </c>
      <c r="FH221" s="10">
        <f t="shared" si="116"/>
        <v>0</v>
      </c>
      <c r="FI221" s="10">
        <f t="shared" si="117"/>
        <v>0</v>
      </c>
      <c r="FJ221" s="10">
        <f t="shared" si="118"/>
        <v>0</v>
      </c>
      <c r="FK221" s="10">
        <f t="shared" si="119"/>
        <v>0</v>
      </c>
      <c r="FL221" s="10">
        <f t="shared" si="120"/>
        <v>0</v>
      </c>
      <c r="FM221" s="10">
        <f t="shared" si="121"/>
        <v>0</v>
      </c>
      <c r="FN221" s="10">
        <f t="shared" si="122"/>
        <v>0</v>
      </c>
      <c r="FO221" s="10">
        <f t="shared" si="123"/>
        <v>0</v>
      </c>
      <c r="FP221" s="10">
        <f t="shared" si="124"/>
        <v>0</v>
      </c>
      <c r="FQ221" s="10">
        <f t="shared" si="125"/>
        <v>0</v>
      </c>
      <c r="FR221" s="11">
        <f t="shared" si="804"/>
        <v>0</v>
      </c>
      <c r="FS221" s="11">
        <f t="shared" si="127"/>
        <v>0</v>
      </c>
      <c r="FT221" s="11">
        <f t="shared" si="128"/>
        <v>0</v>
      </c>
      <c r="FU221" s="11">
        <f t="shared" si="129"/>
        <v>0</v>
      </c>
      <c r="FV221" s="11">
        <f t="shared" si="130"/>
        <v>0</v>
      </c>
      <c r="FW221" s="11">
        <f t="shared" si="131"/>
        <v>0</v>
      </c>
      <c r="FX221" s="11">
        <f t="shared" si="132"/>
        <v>0</v>
      </c>
      <c r="FY221" s="11">
        <f t="shared" si="133"/>
        <v>0</v>
      </c>
      <c r="FZ221" s="11">
        <f t="shared" si="134"/>
        <v>0</v>
      </c>
      <c r="GA221" s="11">
        <f t="shared" si="135"/>
        <v>0</v>
      </c>
      <c r="GB221" s="11">
        <f t="shared" si="136"/>
        <v>0</v>
      </c>
      <c r="GC221" s="11">
        <f t="shared" si="137"/>
        <v>0</v>
      </c>
      <c r="GD221" s="11">
        <f t="shared" si="138"/>
        <v>0</v>
      </c>
      <c r="GE221" s="11">
        <f t="shared" si="139"/>
        <v>0</v>
      </c>
      <c r="GF221" s="11">
        <f t="shared" si="140"/>
        <v>0</v>
      </c>
      <c r="GG221" s="11">
        <f t="shared" si="141"/>
        <v>0</v>
      </c>
      <c r="GH221" s="11">
        <f t="shared" si="142"/>
        <v>0</v>
      </c>
      <c r="GI221" s="11">
        <f t="shared" si="143"/>
        <v>0</v>
      </c>
      <c r="GJ221" s="11">
        <f t="shared" si="144"/>
        <v>0</v>
      </c>
      <c r="GK221" s="11">
        <f t="shared" si="145"/>
        <v>0</v>
      </c>
      <c r="GL221" s="11">
        <f t="shared" si="146"/>
        <v>0</v>
      </c>
      <c r="GM221" s="11">
        <f t="shared" si="147"/>
        <v>0</v>
      </c>
      <c r="GN221" s="11">
        <f t="shared" si="148"/>
        <v>0</v>
      </c>
      <c r="GO221" s="11">
        <f t="shared" si="149"/>
        <v>0</v>
      </c>
      <c r="GP221" s="11">
        <f t="shared" si="150"/>
        <v>0</v>
      </c>
      <c r="GQ221" s="11">
        <f t="shared" si="151"/>
        <v>0</v>
      </c>
      <c r="GR221" s="11">
        <f t="shared" si="152"/>
        <v>0</v>
      </c>
      <c r="GS221" s="11">
        <f t="shared" si="153"/>
        <v>0</v>
      </c>
      <c r="GT221" s="11">
        <f t="shared" si="154"/>
        <v>0</v>
      </c>
      <c r="GU221" s="12">
        <f t="shared" si="155"/>
        <v>0</v>
      </c>
      <c r="GV221" s="12">
        <f t="shared" si="156"/>
        <v>0</v>
      </c>
      <c r="GW221" s="12">
        <f t="shared" si="157"/>
        <v>0</v>
      </c>
      <c r="GX221" s="12">
        <f t="shared" si="158"/>
        <v>0</v>
      </c>
      <c r="GY221" s="12">
        <f t="shared" si="159"/>
        <v>0</v>
      </c>
      <c r="GZ221" s="12">
        <f t="shared" si="160"/>
        <v>0</v>
      </c>
      <c r="HA221" s="12">
        <f t="shared" si="161"/>
        <v>0</v>
      </c>
      <c r="HB221" s="12">
        <f t="shared" si="162"/>
        <v>0</v>
      </c>
      <c r="HC221" s="12">
        <f t="shared" si="163"/>
        <v>0</v>
      </c>
      <c r="HD221" s="12">
        <f t="shared" si="164"/>
        <v>0</v>
      </c>
      <c r="HE221" s="12">
        <f t="shared" si="165"/>
        <v>0</v>
      </c>
      <c r="HF221" s="12">
        <f t="shared" si="166"/>
        <v>0</v>
      </c>
      <c r="HG221" s="12">
        <f t="shared" si="167"/>
        <v>0</v>
      </c>
      <c r="HH221" s="12">
        <f t="shared" si="168"/>
        <v>0</v>
      </c>
      <c r="HI221" s="12">
        <f t="shared" si="169"/>
        <v>0</v>
      </c>
      <c r="HJ221" s="12">
        <f t="shared" si="170"/>
        <v>0</v>
      </c>
      <c r="HK221" s="12">
        <f t="shared" si="171"/>
        <v>0</v>
      </c>
      <c r="HL221" s="12">
        <f t="shared" si="172"/>
        <v>0</v>
      </c>
      <c r="HM221" s="12">
        <f t="shared" si="173"/>
        <v>0</v>
      </c>
      <c r="HN221" s="12">
        <f t="shared" si="174"/>
        <v>0</v>
      </c>
      <c r="HO221" s="12">
        <f t="shared" si="175"/>
        <v>0</v>
      </c>
      <c r="HP221" s="12">
        <f t="shared" si="176"/>
        <v>0</v>
      </c>
      <c r="HQ221" s="12">
        <f t="shared" si="177"/>
        <v>0</v>
      </c>
      <c r="HR221" s="12">
        <f t="shared" si="178"/>
        <v>0</v>
      </c>
      <c r="HS221" s="12">
        <f t="shared" si="179"/>
        <v>0</v>
      </c>
      <c r="HT221" s="12">
        <f t="shared" si="180"/>
        <v>0</v>
      </c>
      <c r="HU221" s="12">
        <f t="shared" si="181"/>
        <v>0</v>
      </c>
      <c r="HV221" s="12">
        <f t="shared" si="182"/>
        <v>0</v>
      </c>
      <c r="HW221" s="12">
        <f t="shared" si="183"/>
        <v>0</v>
      </c>
      <c r="HX221" s="12">
        <f t="shared" si="184"/>
        <v>0</v>
      </c>
      <c r="HY221" s="12">
        <f t="shared" si="185"/>
        <v>0</v>
      </c>
      <c r="HZ221" s="12">
        <f t="shared" si="186"/>
        <v>0</v>
      </c>
      <c r="IA221" s="12">
        <f t="shared" si="187"/>
        <v>0</v>
      </c>
      <c r="IB221" s="12">
        <f t="shared" si="188"/>
        <v>0</v>
      </c>
      <c r="IC221" s="12">
        <f t="shared" si="189"/>
        <v>0</v>
      </c>
      <c r="ID221" s="12">
        <f t="shared" si="190"/>
        <v>0</v>
      </c>
      <c r="IE221" s="12">
        <f t="shared" si="191"/>
        <v>0</v>
      </c>
      <c r="IF221" s="12">
        <f t="shared" si="192"/>
        <v>0</v>
      </c>
      <c r="IG221" s="12">
        <f t="shared" si="193"/>
        <v>0</v>
      </c>
      <c r="IH221" s="12">
        <f t="shared" si="194"/>
        <v>0</v>
      </c>
      <c r="II221" s="12">
        <f t="shared" si="195"/>
        <v>0</v>
      </c>
      <c r="IJ221" s="12">
        <f t="shared" si="196"/>
        <v>0</v>
      </c>
      <c r="IK221" s="12">
        <f t="shared" si="197"/>
        <v>0</v>
      </c>
      <c r="IL221" s="12">
        <f t="shared" si="198"/>
        <v>0</v>
      </c>
      <c r="IM221" s="12">
        <f t="shared" si="199"/>
        <v>0</v>
      </c>
      <c r="IN221" s="12">
        <f t="shared" si="200"/>
        <v>0</v>
      </c>
      <c r="IO221" s="12">
        <f t="shared" si="201"/>
        <v>0</v>
      </c>
      <c r="IP221" s="12">
        <f t="shared" si="202"/>
        <v>0</v>
      </c>
      <c r="IQ221" s="12">
        <f t="shared" si="203"/>
        <v>0</v>
      </c>
      <c r="IR221" s="12">
        <f t="shared" si="204"/>
        <v>0</v>
      </c>
      <c r="IS221" s="12">
        <f t="shared" si="205"/>
        <v>0</v>
      </c>
      <c r="IT221" s="12">
        <f t="shared" si="206"/>
        <v>0</v>
      </c>
      <c r="IU221" s="12">
        <f t="shared" si="207"/>
        <v>0</v>
      </c>
      <c r="IV221" s="12">
        <f t="shared" si="208"/>
        <v>0</v>
      </c>
      <c r="IW221" s="12">
        <f t="shared" si="209"/>
        <v>0</v>
      </c>
      <c r="IX221" s="12">
        <f t="shared" si="210"/>
        <v>0</v>
      </c>
      <c r="IY221" s="12">
        <f t="shared" si="211"/>
        <v>0</v>
      </c>
      <c r="IZ221" s="12">
        <f t="shared" si="212"/>
        <v>0</v>
      </c>
      <c r="JA221" s="13">
        <f t="shared" si="213"/>
        <v>0</v>
      </c>
      <c r="JB221" s="13">
        <f t="shared" si="214"/>
        <v>0</v>
      </c>
      <c r="JC221" s="13">
        <f t="shared" si="215"/>
        <v>0</v>
      </c>
      <c r="JD221" s="13">
        <f t="shared" si="216"/>
        <v>0</v>
      </c>
      <c r="JE221" s="13">
        <f t="shared" si="217"/>
        <v>0</v>
      </c>
      <c r="JF221" s="13">
        <f t="shared" si="218"/>
        <v>0</v>
      </c>
      <c r="JG221" s="13">
        <f t="shared" si="219"/>
        <v>0</v>
      </c>
      <c r="JH221" s="13">
        <f t="shared" si="220"/>
        <v>0</v>
      </c>
      <c r="JI221" s="13">
        <f t="shared" si="221"/>
        <v>0</v>
      </c>
      <c r="JJ221" s="13">
        <f t="shared" si="222"/>
        <v>0</v>
      </c>
      <c r="JK221" s="13">
        <f t="shared" si="223"/>
        <v>0</v>
      </c>
      <c r="JL221" s="13">
        <f t="shared" si="224"/>
        <v>0</v>
      </c>
      <c r="JM221" s="13">
        <f t="shared" si="225"/>
        <v>0</v>
      </c>
      <c r="JN221" s="13">
        <f t="shared" si="226"/>
        <v>0</v>
      </c>
      <c r="JO221" s="13">
        <f t="shared" si="227"/>
        <v>0</v>
      </c>
      <c r="JP221" s="13">
        <f t="shared" si="228"/>
        <v>0</v>
      </c>
      <c r="JQ221" s="13">
        <f t="shared" si="229"/>
        <v>0</v>
      </c>
      <c r="JR221" s="13">
        <f t="shared" si="230"/>
        <v>0</v>
      </c>
      <c r="JS221" s="13">
        <f t="shared" si="231"/>
        <v>0</v>
      </c>
      <c r="JT221" s="13">
        <f t="shared" si="232"/>
        <v>0</v>
      </c>
      <c r="JU221" s="13">
        <f t="shared" si="233"/>
        <v>0</v>
      </c>
      <c r="JV221" s="12">
        <f t="shared" si="234"/>
        <v>0</v>
      </c>
      <c r="JW221" s="12">
        <f t="shared" si="235"/>
        <v>0</v>
      </c>
      <c r="JX221" s="12">
        <f t="shared" si="236"/>
        <v>0</v>
      </c>
      <c r="JY221" s="12">
        <f t="shared" si="237"/>
        <v>0</v>
      </c>
      <c r="JZ221" s="12">
        <f t="shared" si="238"/>
        <v>0</v>
      </c>
      <c r="KA221" s="12">
        <f t="shared" si="239"/>
        <v>0</v>
      </c>
      <c r="KB221" s="12">
        <f t="shared" si="240"/>
        <v>0</v>
      </c>
      <c r="KC221" s="12">
        <f t="shared" si="241"/>
        <v>0</v>
      </c>
      <c r="KD221" s="12">
        <f t="shared" si="797"/>
        <v>0</v>
      </c>
      <c r="KE221" s="12">
        <f t="shared" si="243"/>
        <v>0</v>
      </c>
      <c r="KF221" s="12">
        <f t="shared" si="244"/>
        <v>0</v>
      </c>
      <c r="KG221" s="12">
        <f t="shared" si="245"/>
        <v>0</v>
      </c>
      <c r="KH221" s="12">
        <f t="shared" si="246"/>
        <v>0</v>
      </c>
      <c r="KI221" s="12">
        <f t="shared" si="247"/>
        <v>0</v>
      </c>
      <c r="KJ221" s="12">
        <f t="shared" si="248"/>
        <v>0</v>
      </c>
      <c r="KK221" s="12">
        <f t="shared" si="249"/>
        <v>0</v>
      </c>
      <c r="KL221" s="12">
        <f t="shared" si="250"/>
        <v>0</v>
      </c>
      <c r="KM221" s="12">
        <f t="shared" si="251"/>
        <v>0</v>
      </c>
      <c r="KN221" s="12">
        <f t="shared" si="252"/>
        <v>0</v>
      </c>
      <c r="KO221" s="12">
        <f t="shared" si="253"/>
        <v>0</v>
      </c>
      <c r="KP221" s="12">
        <f t="shared" si="254"/>
        <v>0</v>
      </c>
      <c r="KQ221" s="12">
        <f t="shared" si="255"/>
        <v>0</v>
      </c>
      <c r="KR221" s="12">
        <f t="shared" si="256"/>
        <v>0</v>
      </c>
      <c r="KS221" s="12">
        <f t="shared" si="257"/>
        <v>0</v>
      </c>
      <c r="KT221" s="12">
        <f t="shared" si="258"/>
        <v>0</v>
      </c>
      <c r="KU221" s="12">
        <f t="shared" si="259"/>
        <v>0</v>
      </c>
      <c r="KV221" s="12">
        <f t="shared" si="260"/>
        <v>0</v>
      </c>
      <c r="KW221" s="12">
        <f t="shared" si="261"/>
        <v>0</v>
      </c>
      <c r="KX221" s="12">
        <f t="shared" si="262"/>
        <v>0</v>
      </c>
      <c r="KY221" s="12">
        <f t="shared" si="263"/>
        <v>0</v>
      </c>
      <c r="KZ221" s="12">
        <f t="shared" si="264"/>
        <v>0</v>
      </c>
      <c r="LA221" s="12">
        <f t="shared" si="265"/>
        <v>0</v>
      </c>
      <c r="LB221" s="12">
        <f t="shared" si="266"/>
        <v>0</v>
      </c>
      <c r="LC221" s="12">
        <f t="shared" si="267"/>
        <v>0</v>
      </c>
      <c r="LD221" s="12">
        <f t="shared" si="268"/>
        <v>0</v>
      </c>
      <c r="LE221" s="12">
        <f t="shared" si="269"/>
        <v>0</v>
      </c>
      <c r="LF221" s="12">
        <f t="shared" si="270"/>
        <v>0</v>
      </c>
      <c r="LG221" s="12">
        <f t="shared" si="271"/>
        <v>0</v>
      </c>
      <c r="LH221" s="12">
        <f t="shared" si="272"/>
        <v>0</v>
      </c>
      <c r="LI221" s="12">
        <f t="shared" si="273"/>
        <v>0</v>
      </c>
      <c r="LJ221" s="12">
        <f t="shared" si="274"/>
        <v>0</v>
      </c>
      <c r="LK221" s="12">
        <f t="shared" si="275"/>
        <v>0</v>
      </c>
      <c r="LL221" s="12">
        <f t="shared" si="276"/>
        <v>0</v>
      </c>
      <c r="LM221" s="12">
        <f t="shared" si="277"/>
        <v>0</v>
      </c>
      <c r="LN221" s="12">
        <f t="shared" si="278"/>
        <v>0</v>
      </c>
      <c r="LO221" s="12">
        <f t="shared" si="279"/>
        <v>0</v>
      </c>
      <c r="LP221" s="12">
        <f t="shared" si="280"/>
        <v>0</v>
      </c>
      <c r="LQ221" s="12">
        <f t="shared" si="281"/>
        <v>0</v>
      </c>
      <c r="LR221" s="12">
        <f t="shared" si="282"/>
        <v>0</v>
      </c>
      <c r="LS221" s="12">
        <f t="shared" si="283"/>
        <v>0</v>
      </c>
      <c r="LT221" s="13">
        <f t="shared" si="284"/>
        <v>0</v>
      </c>
      <c r="LU221" s="13">
        <f t="shared" si="285"/>
        <v>0</v>
      </c>
      <c r="LV221" s="13">
        <f t="shared" si="286"/>
        <v>0</v>
      </c>
      <c r="LW221" s="13">
        <f t="shared" si="287"/>
        <v>0</v>
      </c>
      <c r="LX221" s="13">
        <f t="shared" si="288"/>
        <v>0</v>
      </c>
      <c r="LY221" s="13">
        <f t="shared" si="289"/>
        <v>0</v>
      </c>
      <c r="LZ221" s="13">
        <f t="shared" si="290"/>
        <v>0</v>
      </c>
      <c r="MA221" s="13">
        <f t="shared" si="291"/>
        <v>0</v>
      </c>
      <c r="MB221" s="13">
        <f t="shared" si="292"/>
        <v>0</v>
      </c>
      <c r="MC221" s="13">
        <f t="shared" si="293"/>
        <v>0</v>
      </c>
      <c r="MD221" s="13">
        <f t="shared" si="294"/>
        <v>0</v>
      </c>
      <c r="ME221" s="13">
        <f t="shared" si="295"/>
        <v>0</v>
      </c>
      <c r="MF221" s="13">
        <f t="shared" si="296"/>
        <v>0</v>
      </c>
      <c r="MG221" s="13">
        <f t="shared" si="297"/>
        <v>0</v>
      </c>
      <c r="MH221" s="13">
        <f t="shared" si="298"/>
        <v>0</v>
      </c>
      <c r="MI221" s="13">
        <f t="shared" si="299"/>
        <v>0</v>
      </c>
      <c r="MJ221" s="13">
        <f t="shared" si="300"/>
        <v>0</v>
      </c>
      <c r="MK221" s="13">
        <f t="shared" si="301"/>
        <v>0</v>
      </c>
      <c r="ML221" s="14">
        <f t="shared" si="302"/>
        <v>0</v>
      </c>
      <c r="MM221" s="14">
        <f t="shared" si="303"/>
        <v>0</v>
      </c>
      <c r="MN221" s="14">
        <f t="shared" si="304"/>
        <v>0</v>
      </c>
      <c r="MO221" s="14">
        <f t="shared" si="305"/>
        <v>0</v>
      </c>
      <c r="MP221" s="14">
        <f t="shared" si="306"/>
        <v>0</v>
      </c>
      <c r="MQ221" s="14">
        <f t="shared" si="307"/>
        <v>0</v>
      </c>
      <c r="MR221" s="14">
        <f t="shared" si="308"/>
        <v>0</v>
      </c>
      <c r="MS221" s="14">
        <f t="shared" si="309"/>
        <v>0</v>
      </c>
      <c r="MT221" s="14">
        <f t="shared" si="310"/>
        <v>0</v>
      </c>
      <c r="MU221" s="14">
        <f t="shared" si="311"/>
        <v>0</v>
      </c>
      <c r="MV221" s="14">
        <f t="shared" si="312"/>
        <v>0</v>
      </c>
      <c r="MW221" s="14">
        <f t="shared" si="313"/>
        <v>0</v>
      </c>
      <c r="MX221" s="14">
        <f t="shared" si="314"/>
        <v>0</v>
      </c>
      <c r="MY221" s="14">
        <f t="shared" si="315"/>
        <v>0</v>
      </c>
      <c r="MZ221" s="14">
        <f t="shared" si="316"/>
        <v>0</v>
      </c>
      <c r="NA221" s="14">
        <f t="shared" si="317"/>
        <v>0</v>
      </c>
      <c r="NB221" s="14">
        <f t="shared" si="318"/>
        <v>0</v>
      </c>
    </row>
    <row r="222" ht="15.75" customHeight="1">
      <c r="A222" s="2">
        <v>558.0</v>
      </c>
      <c r="B222" s="2" t="s">
        <v>4042</v>
      </c>
      <c r="C222" s="2" t="s">
        <v>4043</v>
      </c>
      <c r="D222" s="2" t="s">
        <v>4044</v>
      </c>
      <c r="E222" s="2">
        <v>2022.0</v>
      </c>
      <c r="F222" s="2" t="s">
        <v>689</v>
      </c>
      <c r="G222" s="2">
        <v>22.0</v>
      </c>
      <c r="H222" s="2" t="s">
        <v>831</v>
      </c>
      <c r="I222" s="2" t="s">
        <v>4045</v>
      </c>
      <c r="N222" s="2" t="s">
        <v>4046</v>
      </c>
      <c r="O222" s="2" t="s">
        <v>4047</v>
      </c>
      <c r="P222" s="2" t="s">
        <v>4048</v>
      </c>
      <c r="Q222" s="2" t="s">
        <v>4049</v>
      </c>
      <c r="R222" s="2" t="s">
        <v>4050</v>
      </c>
      <c r="S222" s="2" t="s">
        <v>4051</v>
      </c>
      <c r="T222" s="2" t="s">
        <v>4052</v>
      </c>
      <c r="Y222" s="2" t="s">
        <v>4053</v>
      </c>
      <c r="AB222" s="2" t="s">
        <v>1303</v>
      </c>
      <c r="AG222" s="2" t="s">
        <v>688</v>
      </c>
      <c r="AJ222" s="2">
        <v>3.6560115E7</v>
      </c>
      <c r="AK222" s="2" t="s">
        <v>689</v>
      </c>
      <c r="AL222" s="2" t="s">
        <v>384</v>
      </c>
      <c r="AM222" s="2" t="s">
        <v>484</v>
      </c>
      <c r="AN222" s="2" t="s">
        <v>386</v>
      </c>
      <c r="AO222" s="2" t="s">
        <v>4054</v>
      </c>
      <c r="AP222" s="2" t="s">
        <v>386</v>
      </c>
      <c r="AQ222" s="2">
        <v>2151.0</v>
      </c>
      <c r="AR222" s="2" t="s">
        <v>4055</v>
      </c>
      <c r="AS222" s="2" t="b">
        <v>1</v>
      </c>
      <c r="AT222" s="3">
        <v>0.0</v>
      </c>
      <c r="AU222" s="4"/>
      <c r="AV222" s="4"/>
      <c r="AW222" s="5">
        <f t="shared" si="432"/>
        <v>0</v>
      </c>
      <c r="AX222" s="5">
        <f t="shared" si="4"/>
        <v>0</v>
      </c>
      <c r="AY222" s="5">
        <f t="shared" si="5"/>
        <v>0</v>
      </c>
      <c r="AZ222" s="5">
        <f t="shared" si="6"/>
        <v>0</v>
      </c>
      <c r="BA222" s="5">
        <f t="shared" si="7"/>
        <v>0</v>
      </c>
      <c r="BB222" s="5">
        <f t="shared" si="8"/>
        <v>0</v>
      </c>
      <c r="BC222" s="5">
        <f t="shared" si="9"/>
        <v>0</v>
      </c>
      <c r="BD222" s="5">
        <f t="shared" si="10"/>
        <v>0</v>
      </c>
      <c r="BE222" s="5">
        <f t="shared" si="11"/>
        <v>0</v>
      </c>
      <c r="BF222" s="5">
        <f t="shared" si="12"/>
        <v>0</v>
      </c>
      <c r="BG222" s="5">
        <f t="shared" si="13"/>
        <v>0</v>
      </c>
      <c r="BH222" s="5">
        <f t="shared" si="14"/>
        <v>0</v>
      </c>
      <c r="BI222" s="5">
        <f t="shared" si="15"/>
        <v>0</v>
      </c>
      <c r="BJ222" s="5">
        <f t="shared" si="16"/>
        <v>0</v>
      </c>
      <c r="BK222" s="5">
        <f t="shared" si="17"/>
        <v>0</v>
      </c>
      <c r="BL222" s="5">
        <f t="shared" si="18"/>
        <v>0</v>
      </c>
      <c r="BM222" s="5">
        <f t="shared" si="19"/>
        <v>0</v>
      </c>
      <c r="BN222" s="5">
        <f t="shared" si="20"/>
        <v>0</v>
      </c>
      <c r="BO222" s="5">
        <f t="shared" si="21"/>
        <v>0</v>
      </c>
      <c r="BP222" s="5">
        <f t="shared" si="22"/>
        <v>0</v>
      </c>
      <c r="BQ222" s="5">
        <f t="shared" si="23"/>
        <v>0</v>
      </c>
      <c r="BR222" s="5">
        <f t="shared" si="24"/>
        <v>0</v>
      </c>
      <c r="BS222" s="5">
        <f t="shared" si="25"/>
        <v>0</v>
      </c>
      <c r="BT222" s="5">
        <f t="shared" si="26"/>
        <v>0</v>
      </c>
      <c r="BU222" s="5">
        <f t="shared" si="27"/>
        <v>0</v>
      </c>
      <c r="BV222" s="5">
        <f t="shared" ref="BV222:BW222" si="805">IF(OR(ISNUMBER(SEARCH("grit",$D222)),ISNUMBER(SEARCH("grit",$T222)),ISNUMBER(SEARCH("grit",$R222)),ISNUMBER(SEARCH("grit",$S222)),
ISNUMBER(SEARCH("determination",$D222)),ISNUMBER(SEARCH("determination",$T222)),ISNUMBER(SEARCH("determination",$R222)),ISNUMBER(SEARCH("determination",$S222)),
ISNUMBER(SEARCH("tenacity",$D222)),ISNUMBER(SEARCH("tenacity",$T222)),ISNUMBER(SEARCH("tenacity",$R222)),ISNUMBER(SEARCH("tenacity",$S222)),
ISNUMBER(SEARCH("endurance",$D222)),ISNUMBER(SEARCH("endurance",$T222)),ISNUMBER(SEARCH("endurance",$R222)),ISNUMBER(SEARCH("endurance",$S222)),
ISNUMBER(SEARCH("fortitude",$D222)),ISNUMBER(SEARCH("fortitude",$T222)),ISNUMBER(SEARCH("fortitude",$R222)),ISNUMBER(SEARCH("fortitude",$S222)),
ISNUMBER(SEARCH("resolve",$D222)),ISNUMBER(SEARCH("resolve",$T222)),ISNUMBER(SEARCH("resolve",$R222)),ISNUMBER(SEARCH("resolve",$S222)),
ISNUMBER(SEARCH("stamina",$D222)),ISNUMBER(SEARCH("stamina",$T222)),ISNUMBER(SEARCH("stamina",$R222)),ISNUMBER(SEARCH("stamina",$S222)),
ISNUMBER(SEARCH("guts",$D222)),ISNUMBER(SEARCH("guts",$T222)),ISNUMBER(SEARCH("guts",$R222)),ISNUMBER(SEARCH("guts",$S222)),
ISNUMBER(SEARCH("spunk",$D222)),ISNUMBER(SEARCH("spunk",$T222)),ISNUMBER(SEARCH("spunk",$R222)),ISNUMBER(SEARCH("spunk",$S222))), 1, 0)</f>
        <v>0</v>
      </c>
      <c r="BW222" s="5">
        <f t="shared" si="805"/>
        <v>0</v>
      </c>
      <c r="BX222" s="5">
        <f t="shared" si="29"/>
        <v>0</v>
      </c>
      <c r="BY222" s="5">
        <f t="shared" si="30"/>
        <v>0</v>
      </c>
      <c r="BZ222" s="5">
        <f t="shared" si="31"/>
        <v>0</v>
      </c>
      <c r="CA222" s="5">
        <f t="shared" si="32"/>
        <v>0</v>
      </c>
      <c r="CB222" s="5">
        <f t="shared" si="33"/>
        <v>0</v>
      </c>
      <c r="CC222" s="5">
        <f t="shared" si="34"/>
        <v>0</v>
      </c>
      <c r="CD222" s="5">
        <f t="shared" si="35"/>
        <v>0</v>
      </c>
      <c r="CE222" s="5">
        <f t="shared" si="36"/>
        <v>0</v>
      </c>
      <c r="CF222" s="5">
        <f t="shared" si="37"/>
        <v>0</v>
      </c>
      <c r="CG222" s="5">
        <f t="shared" si="38"/>
        <v>0</v>
      </c>
      <c r="CH222" s="5">
        <f t="shared" si="39"/>
        <v>0</v>
      </c>
      <c r="CI222" s="5">
        <f t="shared" si="40"/>
        <v>0</v>
      </c>
      <c r="CJ222" s="5">
        <f t="shared" si="41"/>
        <v>0</v>
      </c>
      <c r="CK222" s="5">
        <f t="shared" si="42"/>
        <v>0</v>
      </c>
      <c r="CL222" s="5">
        <f t="shared" si="43"/>
        <v>0</v>
      </c>
      <c r="CM222" s="5">
        <f t="shared" si="44"/>
        <v>0</v>
      </c>
      <c r="CN222" s="5">
        <f t="shared" si="45"/>
        <v>0</v>
      </c>
      <c r="CO222" s="5">
        <f t="shared" si="46"/>
        <v>0</v>
      </c>
      <c r="CP222" s="6">
        <f t="shared" si="47"/>
        <v>0</v>
      </c>
      <c r="CQ222" s="6">
        <f t="shared" si="48"/>
        <v>0</v>
      </c>
      <c r="CR222" s="6">
        <f t="shared" si="49"/>
        <v>0</v>
      </c>
      <c r="CS222" s="6">
        <f t="shared" si="50"/>
        <v>0</v>
      </c>
      <c r="CT222" s="6">
        <f t="shared" si="584"/>
        <v>0</v>
      </c>
      <c r="CU222" s="6">
        <f t="shared" si="52"/>
        <v>0</v>
      </c>
      <c r="CV222" s="6">
        <f t="shared" si="53"/>
        <v>0</v>
      </c>
      <c r="CW222" s="6">
        <f t="shared" si="54"/>
        <v>0</v>
      </c>
      <c r="CX222" s="6">
        <f t="shared" si="55"/>
        <v>0</v>
      </c>
      <c r="CY222" s="6">
        <f t="shared" si="56"/>
        <v>0</v>
      </c>
      <c r="CZ222" s="6">
        <f t="shared" si="57"/>
        <v>0</v>
      </c>
      <c r="DA222" s="6">
        <f t="shared" si="58"/>
        <v>0</v>
      </c>
      <c r="DB222" s="6">
        <f t="shared" si="59"/>
        <v>0</v>
      </c>
      <c r="DC222" s="6">
        <f t="shared" si="60"/>
        <v>0</v>
      </c>
      <c r="DD222" s="6">
        <f t="shared" si="61"/>
        <v>0</v>
      </c>
      <c r="DE222" s="6">
        <f t="shared" si="62"/>
        <v>0</v>
      </c>
      <c r="DF222" s="6">
        <f t="shared" si="63"/>
        <v>0</v>
      </c>
      <c r="DG222" s="6">
        <f t="shared" si="64"/>
        <v>0</v>
      </c>
      <c r="DH222" s="6">
        <f t="shared" si="697"/>
        <v>0</v>
      </c>
      <c r="DI222" s="6">
        <f t="shared" si="66"/>
        <v>0</v>
      </c>
      <c r="DJ222" s="6">
        <f t="shared" si="653"/>
        <v>0</v>
      </c>
      <c r="DK222" s="7">
        <f t="shared" si="68"/>
        <v>0</v>
      </c>
      <c r="DL222" s="7">
        <f t="shared" si="498"/>
        <v>0</v>
      </c>
      <c r="DM222" s="7">
        <f t="shared" si="70"/>
        <v>0</v>
      </c>
      <c r="DN222" s="7">
        <f t="shared" si="71"/>
        <v>0</v>
      </c>
      <c r="DO222" s="7">
        <f t="shared" si="72"/>
        <v>1</v>
      </c>
      <c r="DP222" s="8">
        <f t="shared" si="73"/>
        <v>0</v>
      </c>
      <c r="DQ222" s="8">
        <f t="shared" si="74"/>
        <v>1</v>
      </c>
      <c r="DR222" s="7">
        <f t="shared" si="75"/>
        <v>0</v>
      </c>
      <c r="DS222" s="7">
        <f t="shared" si="76"/>
        <v>0</v>
      </c>
      <c r="DT222" s="7">
        <f t="shared" si="77"/>
        <v>0</v>
      </c>
      <c r="DU222" s="9">
        <f t="shared" si="78"/>
        <v>0</v>
      </c>
      <c r="DV222" s="9">
        <f t="shared" si="79"/>
        <v>0</v>
      </c>
      <c r="DW222" s="9">
        <f t="shared" si="80"/>
        <v>0</v>
      </c>
      <c r="DX222" s="9">
        <f t="shared" si="81"/>
        <v>0</v>
      </c>
      <c r="DY222" s="9">
        <f t="shared" si="82"/>
        <v>0</v>
      </c>
      <c r="DZ222" s="9">
        <f t="shared" si="83"/>
        <v>0</v>
      </c>
      <c r="EA222" s="9">
        <f t="shared" si="84"/>
        <v>0</v>
      </c>
      <c r="EB222" s="9">
        <f t="shared" si="85"/>
        <v>0</v>
      </c>
      <c r="EC222" s="9">
        <f t="shared" si="86"/>
        <v>0</v>
      </c>
      <c r="ED222" s="9">
        <f t="shared" si="87"/>
        <v>0</v>
      </c>
      <c r="EE222" s="9">
        <f t="shared" si="88"/>
        <v>0</v>
      </c>
      <c r="EF222" s="9">
        <f t="shared" si="89"/>
        <v>0</v>
      </c>
      <c r="EG222" s="9">
        <f t="shared" si="90"/>
        <v>0</v>
      </c>
      <c r="EH222" s="9">
        <f t="shared" si="91"/>
        <v>0</v>
      </c>
      <c r="EI222" s="9">
        <f t="shared" si="92"/>
        <v>0</v>
      </c>
      <c r="EJ222" s="10">
        <f t="shared" si="93"/>
        <v>0</v>
      </c>
      <c r="EK222" s="10">
        <f t="shared" si="94"/>
        <v>0</v>
      </c>
      <c r="EL222" s="10">
        <f t="shared" ref="EL222:EM222" si="806">IF(OR(ISNUMBER(SEARCH("ai software toolkit", $D222)), ISNUMBER(SEARCH("ai software toolkit", $T222)), ISNUMBER(SEARCH("ai software toolkit", $R222)), ISNUMBER(SEARCH("ai software toolkit", $S222))), 1, 0)</f>
        <v>0</v>
      </c>
      <c r="EM222" s="10">
        <f t="shared" si="806"/>
        <v>0</v>
      </c>
      <c r="EN222" s="10">
        <f t="shared" si="96"/>
        <v>0</v>
      </c>
      <c r="EO222" s="10">
        <f t="shared" si="97"/>
        <v>0</v>
      </c>
      <c r="EP222" s="10">
        <f t="shared" si="98"/>
        <v>0</v>
      </c>
      <c r="EQ222" s="10">
        <f t="shared" si="99"/>
        <v>0</v>
      </c>
      <c r="ER222" s="10">
        <f t="shared" si="100"/>
        <v>0</v>
      </c>
      <c r="ES222" s="10">
        <f t="shared" si="101"/>
        <v>0</v>
      </c>
      <c r="ET222" s="10">
        <f t="shared" si="102"/>
        <v>0</v>
      </c>
      <c r="EU222" s="10">
        <f t="shared" si="103"/>
        <v>0</v>
      </c>
      <c r="EV222" s="10">
        <f t="shared" si="104"/>
        <v>0</v>
      </c>
      <c r="EW222" s="10">
        <f t="shared" si="105"/>
        <v>0</v>
      </c>
      <c r="EX222" s="10">
        <f t="shared" si="106"/>
        <v>0</v>
      </c>
      <c r="EY222" s="10">
        <f t="shared" si="107"/>
        <v>0</v>
      </c>
      <c r="EZ222" s="10">
        <f t="shared" si="108"/>
        <v>0</v>
      </c>
      <c r="FA222" s="10">
        <f t="shared" si="109"/>
        <v>0</v>
      </c>
      <c r="FB222" s="10">
        <f t="shared" si="110"/>
        <v>0</v>
      </c>
      <c r="FC222" s="10">
        <f t="shared" si="111"/>
        <v>0</v>
      </c>
      <c r="FD222" s="10">
        <f t="shared" si="112"/>
        <v>0</v>
      </c>
      <c r="FE222" s="10">
        <f t="shared" si="782"/>
        <v>0</v>
      </c>
      <c r="FF222" s="10">
        <f t="shared" si="114"/>
        <v>0</v>
      </c>
      <c r="FG222" s="10">
        <f t="shared" si="115"/>
        <v>0</v>
      </c>
      <c r="FH222" s="10">
        <f t="shared" si="116"/>
        <v>0</v>
      </c>
      <c r="FI222" s="10">
        <f t="shared" si="117"/>
        <v>0</v>
      </c>
      <c r="FJ222" s="10">
        <f t="shared" si="118"/>
        <v>0</v>
      </c>
      <c r="FK222" s="10">
        <f t="shared" si="119"/>
        <v>0</v>
      </c>
      <c r="FL222" s="10">
        <f t="shared" si="120"/>
        <v>0</v>
      </c>
      <c r="FM222" s="10">
        <f t="shared" si="121"/>
        <v>0</v>
      </c>
      <c r="FN222" s="10">
        <f t="shared" si="122"/>
        <v>0</v>
      </c>
      <c r="FO222" s="10">
        <f t="shared" si="123"/>
        <v>0</v>
      </c>
      <c r="FP222" s="10">
        <f t="shared" si="124"/>
        <v>0</v>
      </c>
      <c r="FQ222" s="10">
        <f t="shared" si="125"/>
        <v>0</v>
      </c>
      <c r="FR222" s="11">
        <f t="shared" si="804"/>
        <v>0</v>
      </c>
      <c r="FS222" s="11">
        <f t="shared" si="127"/>
        <v>0</v>
      </c>
      <c r="FT222" s="11">
        <f t="shared" si="128"/>
        <v>0</v>
      </c>
      <c r="FU222" s="11">
        <f t="shared" si="129"/>
        <v>0</v>
      </c>
      <c r="FV222" s="11">
        <f t="shared" si="130"/>
        <v>0</v>
      </c>
      <c r="FW222" s="11">
        <f t="shared" si="131"/>
        <v>0</v>
      </c>
      <c r="FX222" s="11">
        <f t="shared" si="132"/>
        <v>0</v>
      </c>
      <c r="FY222" s="11">
        <f t="shared" si="133"/>
        <v>0</v>
      </c>
      <c r="FZ222" s="11">
        <f t="shared" si="134"/>
        <v>0</v>
      </c>
      <c r="GA222" s="11">
        <f t="shared" si="135"/>
        <v>0</v>
      </c>
      <c r="GB222" s="11">
        <f t="shared" si="136"/>
        <v>0</v>
      </c>
      <c r="GC222" s="11">
        <f t="shared" si="137"/>
        <v>0</v>
      </c>
      <c r="GD222" s="11">
        <f t="shared" si="138"/>
        <v>0</v>
      </c>
      <c r="GE222" s="11">
        <f t="shared" si="139"/>
        <v>0</v>
      </c>
      <c r="GF222" s="11">
        <f t="shared" si="140"/>
        <v>0</v>
      </c>
      <c r="GG222" s="11">
        <f t="shared" si="141"/>
        <v>0</v>
      </c>
      <c r="GH222" s="11">
        <f t="shared" si="142"/>
        <v>0</v>
      </c>
      <c r="GI222" s="11">
        <f t="shared" si="143"/>
        <v>0</v>
      </c>
      <c r="GJ222" s="11">
        <f t="shared" si="144"/>
        <v>0</v>
      </c>
      <c r="GK222" s="11">
        <f t="shared" si="145"/>
        <v>0</v>
      </c>
      <c r="GL222" s="11">
        <f t="shared" si="146"/>
        <v>0</v>
      </c>
      <c r="GM222" s="11">
        <f t="shared" si="147"/>
        <v>0</v>
      </c>
      <c r="GN222" s="11">
        <f t="shared" si="148"/>
        <v>0</v>
      </c>
      <c r="GO222" s="11">
        <f t="shared" si="149"/>
        <v>0</v>
      </c>
      <c r="GP222" s="11">
        <f t="shared" si="150"/>
        <v>0</v>
      </c>
      <c r="GQ222" s="11">
        <f t="shared" si="151"/>
        <v>0</v>
      </c>
      <c r="GR222" s="11">
        <f t="shared" si="152"/>
        <v>0</v>
      </c>
      <c r="GS222" s="11">
        <f t="shared" si="153"/>
        <v>0</v>
      </c>
      <c r="GT222" s="11">
        <f t="shared" si="154"/>
        <v>0</v>
      </c>
      <c r="GU222" s="12">
        <f t="shared" si="155"/>
        <v>0</v>
      </c>
      <c r="GV222" s="12">
        <f t="shared" si="156"/>
        <v>0</v>
      </c>
      <c r="GW222" s="12">
        <f t="shared" si="157"/>
        <v>0</v>
      </c>
      <c r="GX222" s="12">
        <f t="shared" si="158"/>
        <v>0</v>
      </c>
      <c r="GY222" s="12">
        <f t="shared" si="159"/>
        <v>0</v>
      </c>
      <c r="GZ222" s="12">
        <f t="shared" si="160"/>
        <v>0</v>
      </c>
      <c r="HA222" s="12">
        <f t="shared" si="161"/>
        <v>0</v>
      </c>
      <c r="HB222" s="12">
        <f t="shared" si="162"/>
        <v>0</v>
      </c>
      <c r="HC222" s="12">
        <f t="shared" si="163"/>
        <v>0</v>
      </c>
      <c r="HD222" s="12">
        <f t="shared" si="164"/>
        <v>0</v>
      </c>
      <c r="HE222" s="12">
        <f t="shared" si="165"/>
        <v>0</v>
      </c>
      <c r="HF222" s="12">
        <f t="shared" si="166"/>
        <v>0</v>
      </c>
      <c r="HG222" s="12">
        <f t="shared" si="167"/>
        <v>0</v>
      </c>
      <c r="HH222" s="12">
        <f t="shared" si="168"/>
        <v>0</v>
      </c>
      <c r="HI222" s="12">
        <f t="shared" si="169"/>
        <v>0</v>
      </c>
      <c r="HJ222" s="12">
        <f t="shared" si="170"/>
        <v>0</v>
      </c>
      <c r="HK222" s="12">
        <f t="shared" si="171"/>
        <v>0</v>
      </c>
      <c r="HL222" s="12">
        <f t="shared" si="172"/>
        <v>0</v>
      </c>
      <c r="HM222" s="12">
        <f t="shared" si="173"/>
        <v>0</v>
      </c>
      <c r="HN222" s="12">
        <f t="shared" si="174"/>
        <v>0</v>
      </c>
      <c r="HO222" s="12">
        <f t="shared" si="175"/>
        <v>0</v>
      </c>
      <c r="HP222" s="12">
        <f t="shared" si="176"/>
        <v>0</v>
      </c>
      <c r="HQ222" s="12">
        <f t="shared" si="177"/>
        <v>0</v>
      </c>
      <c r="HR222" s="12">
        <f t="shared" si="178"/>
        <v>0</v>
      </c>
      <c r="HS222" s="12">
        <f t="shared" si="179"/>
        <v>0</v>
      </c>
      <c r="HT222" s="12">
        <f t="shared" si="180"/>
        <v>0</v>
      </c>
      <c r="HU222" s="12">
        <f t="shared" si="181"/>
        <v>0</v>
      </c>
      <c r="HV222" s="12">
        <f t="shared" si="182"/>
        <v>0</v>
      </c>
      <c r="HW222" s="12">
        <f t="shared" si="183"/>
        <v>0</v>
      </c>
      <c r="HX222" s="12">
        <f t="shared" si="184"/>
        <v>0</v>
      </c>
      <c r="HY222" s="12">
        <f t="shared" si="185"/>
        <v>0</v>
      </c>
      <c r="HZ222" s="12">
        <f t="shared" si="186"/>
        <v>0</v>
      </c>
      <c r="IA222" s="12">
        <f t="shared" si="187"/>
        <v>0</v>
      </c>
      <c r="IB222" s="12">
        <f t="shared" si="188"/>
        <v>0</v>
      </c>
      <c r="IC222" s="12">
        <f t="shared" si="189"/>
        <v>0</v>
      </c>
      <c r="ID222" s="12">
        <f t="shared" si="190"/>
        <v>0</v>
      </c>
      <c r="IE222" s="12">
        <f t="shared" si="191"/>
        <v>0</v>
      </c>
      <c r="IF222" s="12">
        <f t="shared" si="192"/>
        <v>0</v>
      </c>
      <c r="IG222" s="12">
        <f t="shared" si="193"/>
        <v>0</v>
      </c>
      <c r="IH222" s="12">
        <f t="shared" si="194"/>
        <v>0</v>
      </c>
      <c r="II222" s="12">
        <f t="shared" si="195"/>
        <v>0</v>
      </c>
      <c r="IJ222" s="12">
        <f t="shared" si="196"/>
        <v>0</v>
      </c>
      <c r="IK222" s="12">
        <f t="shared" si="197"/>
        <v>0</v>
      </c>
      <c r="IL222" s="12">
        <f t="shared" si="198"/>
        <v>0</v>
      </c>
      <c r="IM222" s="12">
        <f t="shared" si="199"/>
        <v>0</v>
      </c>
      <c r="IN222" s="12">
        <f t="shared" si="200"/>
        <v>0</v>
      </c>
      <c r="IO222" s="12">
        <f t="shared" si="201"/>
        <v>0</v>
      </c>
      <c r="IP222" s="12">
        <f t="shared" si="202"/>
        <v>0</v>
      </c>
      <c r="IQ222" s="12">
        <f t="shared" si="203"/>
        <v>0</v>
      </c>
      <c r="IR222" s="12">
        <f t="shared" si="204"/>
        <v>0</v>
      </c>
      <c r="IS222" s="12">
        <f t="shared" si="205"/>
        <v>0</v>
      </c>
      <c r="IT222" s="12">
        <f t="shared" si="206"/>
        <v>0</v>
      </c>
      <c r="IU222" s="12">
        <f t="shared" si="207"/>
        <v>0</v>
      </c>
      <c r="IV222" s="12">
        <f t="shared" si="208"/>
        <v>0</v>
      </c>
      <c r="IW222" s="12">
        <f t="shared" si="209"/>
        <v>0</v>
      </c>
      <c r="IX222" s="12">
        <f t="shared" si="210"/>
        <v>0</v>
      </c>
      <c r="IY222" s="12">
        <f t="shared" si="211"/>
        <v>0</v>
      </c>
      <c r="IZ222" s="12">
        <f t="shared" si="212"/>
        <v>0</v>
      </c>
      <c r="JA222" s="13">
        <f t="shared" si="213"/>
        <v>1</v>
      </c>
      <c r="JB222" s="13">
        <f t="shared" si="214"/>
        <v>0</v>
      </c>
      <c r="JC222" s="13">
        <f t="shared" si="215"/>
        <v>0</v>
      </c>
      <c r="JD222" s="13">
        <f t="shared" si="216"/>
        <v>0</v>
      </c>
      <c r="JE222" s="13">
        <f t="shared" si="217"/>
        <v>0</v>
      </c>
      <c r="JF222" s="13">
        <f t="shared" si="218"/>
        <v>0</v>
      </c>
      <c r="JG222" s="13">
        <f t="shared" si="219"/>
        <v>0</v>
      </c>
      <c r="JH222" s="13">
        <f t="shared" si="220"/>
        <v>0</v>
      </c>
      <c r="JI222" s="13">
        <f t="shared" si="221"/>
        <v>0</v>
      </c>
      <c r="JJ222" s="13">
        <f t="shared" si="222"/>
        <v>1</v>
      </c>
      <c r="JK222" s="13">
        <f t="shared" si="223"/>
        <v>0</v>
      </c>
      <c r="JL222" s="13">
        <f t="shared" si="224"/>
        <v>0</v>
      </c>
      <c r="JM222" s="13">
        <f t="shared" si="225"/>
        <v>0</v>
      </c>
      <c r="JN222" s="13">
        <f t="shared" si="226"/>
        <v>0</v>
      </c>
      <c r="JO222" s="13">
        <f t="shared" si="227"/>
        <v>0</v>
      </c>
      <c r="JP222" s="13">
        <f t="shared" si="228"/>
        <v>0</v>
      </c>
      <c r="JQ222" s="13">
        <f t="shared" si="229"/>
        <v>0</v>
      </c>
      <c r="JR222" s="13">
        <f t="shared" si="230"/>
        <v>0</v>
      </c>
      <c r="JS222" s="13">
        <f t="shared" si="231"/>
        <v>0</v>
      </c>
      <c r="JT222" s="13">
        <f t="shared" si="232"/>
        <v>0</v>
      </c>
      <c r="JU222" s="13">
        <f t="shared" si="233"/>
        <v>0</v>
      </c>
      <c r="JV222" s="12">
        <f t="shared" si="234"/>
        <v>0</v>
      </c>
      <c r="JW222" s="12">
        <f t="shared" si="235"/>
        <v>0</v>
      </c>
      <c r="JX222" s="12">
        <f t="shared" si="236"/>
        <v>0</v>
      </c>
      <c r="JY222" s="12">
        <f t="shared" si="237"/>
        <v>0</v>
      </c>
      <c r="JZ222" s="12">
        <f t="shared" si="238"/>
        <v>0</v>
      </c>
      <c r="KA222" s="12">
        <f t="shared" si="239"/>
        <v>0</v>
      </c>
      <c r="KB222" s="12">
        <f t="shared" si="240"/>
        <v>0</v>
      </c>
      <c r="KC222" s="12">
        <f t="shared" si="241"/>
        <v>0</v>
      </c>
      <c r="KD222" s="12">
        <f t="shared" si="797"/>
        <v>0</v>
      </c>
      <c r="KE222" s="12">
        <f t="shared" si="243"/>
        <v>0</v>
      </c>
      <c r="KF222" s="12">
        <f t="shared" si="244"/>
        <v>0</v>
      </c>
      <c r="KG222" s="12">
        <f t="shared" si="245"/>
        <v>0</v>
      </c>
      <c r="KH222" s="12">
        <f t="shared" si="246"/>
        <v>0</v>
      </c>
      <c r="KI222" s="12">
        <f t="shared" si="247"/>
        <v>0</v>
      </c>
      <c r="KJ222" s="12">
        <f t="shared" si="248"/>
        <v>0</v>
      </c>
      <c r="KK222" s="12">
        <f t="shared" si="249"/>
        <v>0</v>
      </c>
      <c r="KL222" s="12">
        <f t="shared" si="250"/>
        <v>0</v>
      </c>
      <c r="KM222" s="12">
        <f t="shared" si="251"/>
        <v>0</v>
      </c>
      <c r="KN222" s="12">
        <f t="shared" si="252"/>
        <v>0</v>
      </c>
      <c r="KO222" s="12">
        <f t="shared" si="253"/>
        <v>0</v>
      </c>
      <c r="KP222" s="12">
        <f t="shared" si="254"/>
        <v>0</v>
      </c>
      <c r="KQ222" s="12">
        <f t="shared" si="255"/>
        <v>0</v>
      </c>
      <c r="KR222" s="12">
        <f t="shared" si="256"/>
        <v>0</v>
      </c>
      <c r="KS222" s="12">
        <f t="shared" si="257"/>
        <v>0</v>
      </c>
      <c r="KT222" s="12">
        <f t="shared" si="258"/>
        <v>0</v>
      </c>
      <c r="KU222" s="12">
        <f t="shared" si="259"/>
        <v>0</v>
      </c>
      <c r="KV222" s="12">
        <f t="shared" si="260"/>
        <v>0</v>
      </c>
      <c r="KW222" s="12">
        <f t="shared" si="261"/>
        <v>0</v>
      </c>
      <c r="KX222" s="12">
        <f t="shared" si="262"/>
        <v>0</v>
      </c>
      <c r="KY222" s="12">
        <f t="shared" si="263"/>
        <v>0</v>
      </c>
      <c r="KZ222" s="12">
        <f t="shared" si="264"/>
        <v>0</v>
      </c>
      <c r="LA222" s="12">
        <f t="shared" si="265"/>
        <v>0</v>
      </c>
      <c r="LB222" s="12">
        <f t="shared" si="266"/>
        <v>0</v>
      </c>
      <c r="LC222" s="12">
        <f t="shared" si="267"/>
        <v>0</v>
      </c>
      <c r="LD222" s="12">
        <f t="shared" si="268"/>
        <v>0</v>
      </c>
      <c r="LE222" s="12">
        <f t="shared" si="269"/>
        <v>0</v>
      </c>
      <c r="LF222" s="12">
        <f t="shared" si="270"/>
        <v>0</v>
      </c>
      <c r="LG222" s="12">
        <f t="shared" si="271"/>
        <v>0</v>
      </c>
      <c r="LH222" s="12">
        <f t="shared" si="272"/>
        <v>0</v>
      </c>
      <c r="LI222" s="12">
        <f t="shared" si="273"/>
        <v>0</v>
      </c>
      <c r="LJ222" s="12">
        <f t="shared" si="274"/>
        <v>0</v>
      </c>
      <c r="LK222" s="12">
        <f t="shared" si="275"/>
        <v>0</v>
      </c>
      <c r="LL222" s="12">
        <f t="shared" si="276"/>
        <v>0</v>
      </c>
      <c r="LM222" s="12">
        <f t="shared" si="277"/>
        <v>0</v>
      </c>
      <c r="LN222" s="12">
        <f t="shared" si="278"/>
        <v>0</v>
      </c>
      <c r="LO222" s="12">
        <f t="shared" si="279"/>
        <v>0</v>
      </c>
      <c r="LP222" s="12">
        <f t="shared" si="280"/>
        <v>0</v>
      </c>
      <c r="LQ222" s="12">
        <f t="shared" si="281"/>
        <v>0</v>
      </c>
      <c r="LR222" s="12">
        <f t="shared" si="282"/>
        <v>0</v>
      </c>
      <c r="LS222" s="12">
        <f t="shared" si="283"/>
        <v>0</v>
      </c>
      <c r="LT222" s="13">
        <f t="shared" si="284"/>
        <v>0</v>
      </c>
      <c r="LU222" s="13">
        <f t="shared" si="285"/>
        <v>0</v>
      </c>
      <c r="LV222" s="13">
        <f t="shared" si="286"/>
        <v>0</v>
      </c>
      <c r="LW222" s="13">
        <f t="shared" si="287"/>
        <v>0</v>
      </c>
      <c r="LX222" s="13">
        <f t="shared" si="288"/>
        <v>0</v>
      </c>
      <c r="LY222" s="13">
        <f t="shared" si="289"/>
        <v>0</v>
      </c>
      <c r="LZ222" s="13">
        <f t="shared" si="290"/>
        <v>0</v>
      </c>
      <c r="MA222" s="13">
        <f t="shared" si="291"/>
        <v>0</v>
      </c>
      <c r="MB222" s="13">
        <f t="shared" si="292"/>
        <v>0</v>
      </c>
      <c r="MC222" s="13">
        <f t="shared" si="293"/>
        <v>0</v>
      </c>
      <c r="MD222" s="13">
        <f t="shared" si="294"/>
        <v>0</v>
      </c>
      <c r="ME222" s="13">
        <f t="shared" si="295"/>
        <v>0</v>
      </c>
      <c r="MF222" s="13">
        <f t="shared" si="296"/>
        <v>0</v>
      </c>
      <c r="MG222" s="13">
        <f t="shared" si="297"/>
        <v>0</v>
      </c>
      <c r="MH222" s="13">
        <f t="shared" si="298"/>
        <v>0</v>
      </c>
      <c r="MI222" s="13">
        <f t="shared" si="299"/>
        <v>0</v>
      </c>
      <c r="MJ222" s="13">
        <f t="shared" si="300"/>
        <v>0</v>
      </c>
      <c r="MK222" s="13">
        <f t="shared" si="301"/>
        <v>0</v>
      </c>
      <c r="ML222" s="14">
        <f t="shared" si="302"/>
        <v>0</v>
      </c>
      <c r="MM222" s="14">
        <f t="shared" si="303"/>
        <v>0</v>
      </c>
      <c r="MN222" s="14">
        <f t="shared" si="304"/>
        <v>0</v>
      </c>
      <c r="MO222" s="14">
        <f t="shared" si="305"/>
        <v>0</v>
      </c>
      <c r="MP222" s="14">
        <f t="shared" si="306"/>
        <v>0</v>
      </c>
      <c r="MQ222" s="14">
        <f t="shared" si="307"/>
        <v>0</v>
      </c>
      <c r="MR222" s="14">
        <f t="shared" si="308"/>
        <v>0</v>
      </c>
      <c r="MS222" s="14">
        <f t="shared" si="309"/>
        <v>0</v>
      </c>
      <c r="MT222" s="14">
        <f t="shared" si="310"/>
        <v>0</v>
      </c>
      <c r="MU222" s="14">
        <f t="shared" si="311"/>
        <v>0</v>
      </c>
      <c r="MV222" s="14">
        <f t="shared" si="312"/>
        <v>0</v>
      </c>
      <c r="MW222" s="14">
        <f t="shared" si="313"/>
        <v>0</v>
      </c>
      <c r="MX222" s="14">
        <f t="shared" si="314"/>
        <v>0</v>
      </c>
      <c r="MY222" s="14">
        <f t="shared" si="315"/>
        <v>0</v>
      </c>
      <c r="MZ222" s="14">
        <f t="shared" si="316"/>
        <v>0</v>
      </c>
      <c r="NA222" s="14">
        <f t="shared" si="317"/>
        <v>0</v>
      </c>
      <c r="NB222" s="14">
        <f t="shared" si="318"/>
        <v>0</v>
      </c>
    </row>
    <row r="223" ht="15.75" customHeight="1">
      <c r="A223" s="2">
        <v>496.0</v>
      </c>
      <c r="B223" s="2" t="s">
        <v>4056</v>
      </c>
      <c r="C223" s="2" t="s">
        <v>4057</v>
      </c>
      <c r="D223" s="2" t="s">
        <v>4058</v>
      </c>
      <c r="E223" s="2">
        <v>2023.0</v>
      </c>
      <c r="F223" s="2" t="s">
        <v>689</v>
      </c>
      <c r="G223" s="2">
        <v>23.0</v>
      </c>
      <c r="H223" s="2" t="s">
        <v>603</v>
      </c>
      <c r="I223" s="2" t="s">
        <v>4059</v>
      </c>
      <c r="N223" s="2" t="s">
        <v>4060</v>
      </c>
      <c r="O223" s="2" t="s">
        <v>4061</v>
      </c>
      <c r="P223" s="2" t="s">
        <v>4062</v>
      </c>
      <c r="Q223" s="2" t="s">
        <v>4063</v>
      </c>
      <c r="R223" s="2" t="s">
        <v>4064</v>
      </c>
      <c r="S223" s="2" t="s">
        <v>4065</v>
      </c>
      <c r="T223" s="2" t="s">
        <v>4066</v>
      </c>
      <c r="Y223" s="2" t="s">
        <v>4067</v>
      </c>
      <c r="AB223" s="2" t="s">
        <v>1303</v>
      </c>
      <c r="AG223" s="2" t="s">
        <v>688</v>
      </c>
      <c r="AJ223" s="2">
        <v>3.6904856E7</v>
      </c>
      <c r="AK223" s="2" t="s">
        <v>689</v>
      </c>
      <c r="AL223" s="2" t="s">
        <v>384</v>
      </c>
      <c r="AM223" s="2" t="s">
        <v>484</v>
      </c>
      <c r="AN223" s="2" t="s">
        <v>386</v>
      </c>
      <c r="AO223" s="2" t="s">
        <v>4068</v>
      </c>
      <c r="AP223" s="2" t="s">
        <v>386</v>
      </c>
      <c r="AQ223" s="2">
        <v>1900.0</v>
      </c>
      <c r="AR223" s="2" t="s">
        <v>4069</v>
      </c>
      <c r="AS223" s="2" t="b">
        <v>1</v>
      </c>
      <c r="AT223" s="3">
        <v>0.0</v>
      </c>
      <c r="AU223" s="4">
        <v>1.0</v>
      </c>
      <c r="AV223" s="4"/>
      <c r="AW223" s="5">
        <f t="shared" si="432"/>
        <v>0</v>
      </c>
      <c r="AX223" s="5">
        <f t="shared" si="4"/>
        <v>0</v>
      </c>
      <c r="AY223" s="5">
        <f t="shared" si="5"/>
        <v>0</v>
      </c>
      <c r="AZ223" s="5">
        <f t="shared" si="6"/>
        <v>0</v>
      </c>
      <c r="BA223" s="5">
        <f t="shared" si="7"/>
        <v>0</v>
      </c>
      <c r="BB223" s="5">
        <f t="shared" si="8"/>
        <v>0</v>
      </c>
      <c r="BC223" s="5">
        <f t="shared" si="9"/>
        <v>0</v>
      </c>
      <c r="BD223" s="5">
        <f t="shared" si="10"/>
        <v>0</v>
      </c>
      <c r="BE223" s="5">
        <f t="shared" si="11"/>
        <v>0</v>
      </c>
      <c r="BF223" s="5">
        <f t="shared" si="12"/>
        <v>0</v>
      </c>
      <c r="BG223" s="5">
        <f t="shared" si="13"/>
        <v>0</v>
      </c>
      <c r="BH223" s="5">
        <f t="shared" si="14"/>
        <v>0</v>
      </c>
      <c r="BI223" s="5">
        <f t="shared" si="15"/>
        <v>0</v>
      </c>
      <c r="BJ223" s="5">
        <f t="shared" si="16"/>
        <v>0</v>
      </c>
      <c r="BK223" s="5">
        <f t="shared" si="17"/>
        <v>0</v>
      </c>
      <c r="BL223" s="5">
        <f t="shared" si="18"/>
        <v>0</v>
      </c>
      <c r="BM223" s="5">
        <f t="shared" si="19"/>
        <v>0</v>
      </c>
      <c r="BN223" s="5">
        <f t="shared" si="20"/>
        <v>0</v>
      </c>
      <c r="BO223" s="5">
        <f t="shared" si="21"/>
        <v>0</v>
      </c>
      <c r="BP223" s="5">
        <f t="shared" si="22"/>
        <v>0</v>
      </c>
      <c r="BQ223" s="5">
        <f t="shared" si="23"/>
        <v>0</v>
      </c>
      <c r="BR223" s="5">
        <f t="shared" si="24"/>
        <v>0</v>
      </c>
      <c r="BS223" s="5">
        <f t="shared" si="25"/>
        <v>0</v>
      </c>
      <c r="BT223" s="5">
        <f t="shared" si="26"/>
        <v>1</v>
      </c>
      <c r="BU223" s="5">
        <f t="shared" si="27"/>
        <v>0</v>
      </c>
      <c r="BV223" s="5">
        <f t="shared" ref="BV223:BW223" si="807">IF(OR(ISNUMBER(SEARCH("grit",$D223)),ISNUMBER(SEARCH("grit",$T223)),ISNUMBER(SEARCH("grit",$R223)),ISNUMBER(SEARCH("grit",$S223)),
ISNUMBER(SEARCH("determination",$D223)),ISNUMBER(SEARCH("determination",$T223)),ISNUMBER(SEARCH("determination",$R223)),ISNUMBER(SEARCH("determination",$S223)),
ISNUMBER(SEARCH("tenacity",$D223)),ISNUMBER(SEARCH("tenacity",$T223)),ISNUMBER(SEARCH("tenacity",$R223)),ISNUMBER(SEARCH("tenacity",$S223)),
ISNUMBER(SEARCH("endurance",$D223)),ISNUMBER(SEARCH("endurance",$T223)),ISNUMBER(SEARCH("endurance",$R223)),ISNUMBER(SEARCH("endurance",$S223)),
ISNUMBER(SEARCH("fortitude",$D223)),ISNUMBER(SEARCH("fortitude",$T223)),ISNUMBER(SEARCH("fortitude",$R223)),ISNUMBER(SEARCH("fortitude",$S223)),
ISNUMBER(SEARCH("resolve",$D223)),ISNUMBER(SEARCH("resolve",$T223)),ISNUMBER(SEARCH("resolve",$R223)),ISNUMBER(SEARCH("resolve",$S223)),
ISNUMBER(SEARCH("stamina",$D223)),ISNUMBER(SEARCH("stamina",$T223)),ISNUMBER(SEARCH("stamina",$R223)),ISNUMBER(SEARCH("stamina",$S223)),
ISNUMBER(SEARCH("guts",$D223)),ISNUMBER(SEARCH("guts",$T223)),ISNUMBER(SEARCH("guts",$R223)),ISNUMBER(SEARCH("guts",$S223)),
ISNUMBER(SEARCH("spunk",$D223)),ISNUMBER(SEARCH("spunk",$T223)),ISNUMBER(SEARCH("spunk",$R223)),ISNUMBER(SEARCH("spunk",$S223))), 1, 0)</f>
        <v>0</v>
      </c>
      <c r="BW223" s="5">
        <f t="shared" si="807"/>
        <v>0</v>
      </c>
      <c r="BX223" s="5">
        <f t="shared" si="29"/>
        <v>0</v>
      </c>
      <c r="BY223" s="5">
        <f t="shared" si="30"/>
        <v>0</v>
      </c>
      <c r="BZ223" s="5">
        <f t="shared" si="31"/>
        <v>0</v>
      </c>
      <c r="CA223" s="5">
        <f t="shared" si="32"/>
        <v>0</v>
      </c>
      <c r="CB223" s="5">
        <f t="shared" si="33"/>
        <v>0</v>
      </c>
      <c r="CC223" s="5">
        <f t="shared" si="34"/>
        <v>0</v>
      </c>
      <c r="CD223" s="5">
        <f t="shared" si="35"/>
        <v>0</v>
      </c>
      <c r="CE223" s="5">
        <f t="shared" si="36"/>
        <v>0</v>
      </c>
      <c r="CF223" s="5">
        <f t="shared" si="37"/>
        <v>0</v>
      </c>
      <c r="CG223" s="5">
        <f t="shared" si="38"/>
        <v>0</v>
      </c>
      <c r="CH223" s="5">
        <f t="shared" si="39"/>
        <v>0</v>
      </c>
      <c r="CI223" s="5">
        <f t="shared" si="40"/>
        <v>0</v>
      </c>
      <c r="CJ223" s="5">
        <f t="shared" si="41"/>
        <v>0</v>
      </c>
      <c r="CK223" s="5">
        <f t="shared" si="42"/>
        <v>0</v>
      </c>
      <c r="CL223" s="5">
        <f t="shared" si="43"/>
        <v>0</v>
      </c>
      <c r="CM223" s="5">
        <f t="shared" si="44"/>
        <v>0</v>
      </c>
      <c r="CN223" s="5">
        <f t="shared" si="45"/>
        <v>0</v>
      </c>
      <c r="CO223" s="5">
        <f t="shared" si="46"/>
        <v>0</v>
      </c>
      <c r="CP223" s="6">
        <f t="shared" si="47"/>
        <v>0</v>
      </c>
      <c r="CQ223" s="6">
        <f t="shared" si="48"/>
        <v>0</v>
      </c>
      <c r="CR223" s="6">
        <f t="shared" si="49"/>
        <v>0</v>
      </c>
      <c r="CS223" s="6">
        <f t="shared" si="50"/>
        <v>0</v>
      </c>
      <c r="CT223" s="6">
        <f t="shared" si="584"/>
        <v>0</v>
      </c>
      <c r="CU223" s="6">
        <f t="shared" si="52"/>
        <v>0</v>
      </c>
      <c r="CV223" s="6">
        <f t="shared" si="53"/>
        <v>0</v>
      </c>
      <c r="CW223" s="6">
        <f t="shared" si="54"/>
        <v>0</v>
      </c>
      <c r="CX223" s="6">
        <f t="shared" si="55"/>
        <v>0</v>
      </c>
      <c r="CY223" s="6">
        <f t="shared" si="56"/>
        <v>0</v>
      </c>
      <c r="CZ223" s="6">
        <f t="shared" si="57"/>
        <v>0</v>
      </c>
      <c r="DA223" s="6">
        <f t="shared" si="58"/>
        <v>0</v>
      </c>
      <c r="DB223" s="6">
        <f t="shared" si="59"/>
        <v>1</v>
      </c>
      <c r="DC223" s="6">
        <f t="shared" si="60"/>
        <v>0</v>
      </c>
      <c r="DD223" s="6">
        <f t="shared" si="61"/>
        <v>0</v>
      </c>
      <c r="DE223" s="6">
        <f t="shared" si="62"/>
        <v>0</v>
      </c>
      <c r="DF223" s="6">
        <f t="shared" si="63"/>
        <v>0</v>
      </c>
      <c r="DG223" s="6">
        <f t="shared" si="64"/>
        <v>0</v>
      </c>
      <c r="DH223" s="6">
        <f t="shared" si="697"/>
        <v>0</v>
      </c>
      <c r="DI223" s="6">
        <f t="shared" si="66"/>
        <v>0</v>
      </c>
      <c r="DJ223" s="6">
        <f t="shared" si="653"/>
        <v>0</v>
      </c>
      <c r="DK223" s="7">
        <f t="shared" si="68"/>
        <v>0</v>
      </c>
      <c r="DL223" s="7">
        <f t="shared" si="498"/>
        <v>0</v>
      </c>
      <c r="DM223" s="7">
        <f t="shared" si="70"/>
        <v>0</v>
      </c>
      <c r="DN223" s="7">
        <f t="shared" si="71"/>
        <v>0</v>
      </c>
      <c r="DO223" s="7">
        <f t="shared" si="72"/>
        <v>1</v>
      </c>
      <c r="DP223" s="8">
        <f t="shared" si="73"/>
        <v>0</v>
      </c>
      <c r="DQ223" s="8">
        <f t="shared" si="74"/>
        <v>1</v>
      </c>
      <c r="DR223" s="7">
        <f t="shared" si="75"/>
        <v>0</v>
      </c>
      <c r="DS223" s="7">
        <f t="shared" si="76"/>
        <v>0</v>
      </c>
      <c r="DT223" s="7">
        <f t="shared" si="77"/>
        <v>0</v>
      </c>
      <c r="DU223" s="9">
        <f t="shared" si="78"/>
        <v>0</v>
      </c>
      <c r="DV223" s="9">
        <f t="shared" si="79"/>
        <v>0</v>
      </c>
      <c r="DW223" s="9">
        <f t="shared" si="80"/>
        <v>0</v>
      </c>
      <c r="DX223" s="9">
        <f t="shared" si="81"/>
        <v>0</v>
      </c>
      <c r="DY223" s="9">
        <f t="shared" si="82"/>
        <v>0</v>
      </c>
      <c r="DZ223" s="9">
        <f t="shared" si="83"/>
        <v>0</v>
      </c>
      <c r="EA223" s="9">
        <f t="shared" si="84"/>
        <v>0</v>
      </c>
      <c r="EB223" s="9">
        <f t="shared" si="85"/>
        <v>0</v>
      </c>
      <c r="EC223" s="9">
        <f t="shared" si="86"/>
        <v>0</v>
      </c>
      <c r="ED223" s="9">
        <f t="shared" si="87"/>
        <v>0</v>
      </c>
      <c r="EE223" s="9">
        <f t="shared" si="88"/>
        <v>0</v>
      </c>
      <c r="EF223" s="9">
        <f t="shared" si="89"/>
        <v>0</v>
      </c>
      <c r="EG223" s="9">
        <f t="shared" si="90"/>
        <v>0</v>
      </c>
      <c r="EH223" s="9">
        <f t="shared" si="91"/>
        <v>0</v>
      </c>
      <c r="EI223" s="9">
        <f t="shared" si="92"/>
        <v>0</v>
      </c>
      <c r="EJ223" s="10">
        <f t="shared" si="93"/>
        <v>0</v>
      </c>
      <c r="EK223" s="10">
        <f t="shared" si="94"/>
        <v>0</v>
      </c>
      <c r="EL223" s="10">
        <f t="shared" ref="EL223:EM223" si="808">IF(OR(ISNUMBER(SEARCH("ai software toolkit", $D223)), ISNUMBER(SEARCH("ai software toolkit", $T223)), ISNUMBER(SEARCH("ai software toolkit", $R223)), ISNUMBER(SEARCH("ai software toolkit", $S223))), 1, 0)</f>
        <v>0</v>
      </c>
      <c r="EM223" s="10">
        <f t="shared" si="808"/>
        <v>0</v>
      </c>
      <c r="EN223" s="10">
        <f t="shared" si="96"/>
        <v>0</v>
      </c>
      <c r="EO223" s="10">
        <f t="shared" si="97"/>
        <v>0</v>
      </c>
      <c r="EP223" s="10">
        <f t="shared" si="98"/>
        <v>0</v>
      </c>
      <c r="EQ223" s="10">
        <f t="shared" si="99"/>
        <v>0</v>
      </c>
      <c r="ER223" s="10">
        <f t="shared" si="100"/>
        <v>0</v>
      </c>
      <c r="ES223" s="10">
        <f t="shared" si="101"/>
        <v>0</v>
      </c>
      <c r="ET223" s="10">
        <f t="shared" si="102"/>
        <v>0</v>
      </c>
      <c r="EU223" s="10">
        <f t="shared" si="103"/>
        <v>0</v>
      </c>
      <c r="EV223" s="10">
        <f t="shared" si="104"/>
        <v>0</v>
      </c>
      <c r="EW223" s="10">
        <f t="shared" si="105"/>
        <v>0</v>
      </c>
      <c r="EX223" s="10">
        <f t="shared" si="106"/>
        <v>0</v>
      </c>
      <c r="EY223" s="10">
        <f t="shared" si="107"/>
        <v>0</v>
      </c>
      <c r="EZ223" s="10">
        <f t="shared" si="108"/>
        <v>0</v>
      </c>
      <c r="FA223" s="10">
        <f t="shared" si="109"/>
        <v>0</v>
      </c>
      <c r="FB223" s="10">
        <f t="shared" si="110"/>
        <v>0</v>
      </c>
      <c r="FC223" s="10">
        <f t="shared" si="111"/>
        <v>0</v>
      </c>
      <c r="FD223" s="10">
        <f t="shared" si="112"/>
        <v>0</v>
      </c>
      <c r="FE223" s="10">
        <f t="shared" si="782"/>
        <v>0</v>
      </c>
      <c r="FF223" s="10">
        <f t="shared" si="114"/>
        <v>0</v>
      </c>
      <c r="FG223" s="10">
        <f t="shared" si="115"/>
        <v>0</v>
      </c>
      <c r="FH223" s="10">
        <f t="shared" si="116"/>
        <v>0</v>
      </c>
      <c r="FI223" s="10">
        <f t="shared" si="117"/>
        <v>0</v>
      </c>
      <c r="FJ223" s="10">
        <f t="shared" si="118"/>
        <v>0</v>
      </c>
      <c r="FK223" s="10">
        <f t="shared" si="119"/>
        <v>0</v>
      </c>
      <c r="FL223" s="10">
        <f t="shared" si="120"/>
        <v>0</v>
      </c>
      <c r="FM223" s="10">
        <f t="shared" si="121"/>
        <v>0</v>
      </c>
      <c r="FN223" s="10">
        <f t="shared" si="122"/>
        <v>0</v>
      </c>
      <c r="FO223" s="10">
        <f t="shared" si="123"/>
        <v>0</v>
      </c>
      <c r="FP223" s="10">
        <f t="shared" si="124"/>
        <v>0</v>
      </c>
      <c r="FQ223" s="10">
        <f t="shared" si="125"/>
        <v>0</v>
      </c>
      <c r="FR223" s="11">
        <f t="shared" si="804"/>
        <v>0</v>
      </c>
      <c r="FS223" s="11">
        <f t="shared" si="127"/>
        <v>0</v>
      </c>
      <c r="FT223" s="11">
        <f t="shared" si="128"/>
        <v>0</v>
      </c>
      <c r="FU223" s="11">
        <f t="shared" si="129"/>
        <v>0</v>
      </c>
      <c r="FV223" s="11">
        <f t="shared" si="130"/>
        <v>0</v>
      </c>
      <c r="FW223" s="11">
        <f t="shared" si="131"/>
        <v>0</v>
      </c>
      <c r="FX223" s="11">
        <f t="shared" si="132"/>
        <v>0</v>
      </c>
      <c r="FY223" s="11">
        <f t="shared" si="133"/>
        <v>0</v>
      </c>
      <c r="FZ223" s="11">
        <f t="shared" si="134"/>
        <v>0</v>
      </c>
      <c r="GA223" s="11">
        <f t="shared" si="135"/>
        <v>0</v>
      </c>
      <c r="GB223" s="11">
        <f t="shared" si="136"/>
        <v>0</v>
      </c>
      <c r="GC223" s="11">
        <f t="shared" si="137"/>
        <v>0</v>
      </c>
      <c r="GD223" s="11">
        <f t="shared" si="138"/>
        <v>0</v>
      </c>
      <c r="GE223" s="11">
        <f t="shared" si="139"/>
        <v>0</v>
      </c>
      <c r="GF223" s="11">
        <f t="shared" si="140"/>
        <v>0</v>
      </c>
      <c r="GG223" s="11">
        <f t="shared" si="141"/>
        <v>0</v>
      </c>
      <c r="GH223" s="11">
        <f t="shared" si="142"/>
        <v>0</v>
      </c>
      <c r="GI223" s="11">
        <f t="shared" si="143"/>
        <v>0</v>
      </c>
      <c r="GJ223" s="11">
        <f t="shared" si="144"/>
        <v>0</v>
      </c>
      <c r="GK223" s="11">
        <f t="shared" si="145"/>
        <v>0</v>
      </c>
      <c r="GL223" s="11">
        <f t="shared" si="146"/>
        <v>0</v>
      </c>
      <c r="GM223" s="11">
        <f t="shared" si="147"/>
        <v>0</v>
      </c>
      <c r="GN223" s="11">
        <f t="shared" si="148"/>
        <v>0</v>
      </c>
      <c r="GO223" s="11">
        <f t="shared" si="149"/>
        <v>0</v>
      </c>
      <c r="GP223" s="11">
        <f t="shared" si="150"/>
        <v>0</v>
      </c>
      <c r="GQ223" s="11">
        <f t="shared" si="151"/>
        <v>0</v>
      </c>
      <c r="GR223" s="11">
        <f t="shared" si="152"/>
        <v>0</v>
      </c>
      <c r="GS223" s="11">
        <f t="shared" si="153"/>
        <v>0</v>
      </c>
      <c r="GT223" s="11">
        <f t="shared" si="154"/>
        <v>0</v>
      </c>
      <c r="GU223" s="12">
        <f t="shared" si="155"/>
        <v>0</v>
      </c>
      <c r="GV223" s="12">
        <f t="shared" si="156"/>
        <v>0</v>
      </c>
      <c r="GW223" s="12">
        <f t="shared" si="157"/>
        <v>0</v>
      </c>
      <c r="GX223" s="12">
        <f t="shared" si="158"/>
        <v>0</v>
      </c>
      <c r="GY223" s="12">
        <f t="shared" si="159"/>
        <v>0</v>
      </c>
      <c r="GZ223" s="12">
        <f t="shared" si="160"/>
        <v>0</v>
      </c>
      <c r="HA223" s="12">
        <f t="shared" si="161"/>
        <v>0</v>
      </c>
      <c r="HB223" s="12">
        <f t="shared" si="162"/>
        <v>0</v>
      </c>
      <c r="HC223" s="12">
        <f t="shared" si="163"/>
        <v>0</v>
      </c>
      <c r="HD223" s="12">
        <f t="shared" si="164"/>
        <v>0</v>
      </c>
      <c r="HE223" s="12">
        <f t="shared" si="165"/>
        <v>0</v>
      </c>
      <c r="HF223" s="12">
        <f t="shared" si="166"/>
        <v>0</v>
      </c>
      <c r="HG223" s="12">
        <f t="shared" si="167"/>
        <v>0</v>
      </c>
      <c r="HH223" s="12">
        <f t="shared" si="168"/>
        <v>0</v>
      </c>
      <c r="HI223" s="12">
        <f t="shared" si="169"/>
        <v>0</v>
      </c>
      <c r="HJ223" s="12">
        <f t="shared" si="170"/>
        <v>0</v>
      </c>
      <c r="HK223" s="12">
        <f t="shared" si="171"/>
        <v>0</v>
      </c>
      <c r="HL223" s="12">
        <f t="shared" si="172"/>
        <v>0</v>
      </c>
      <c r="HM223" s="12">
        <f t="shared" si="173"/>
        <v>0</v>
      </c>
      <c r="HN223" s="12">
        <f t="shared" si="174"/>
        <v>0</v>
      </c>
      <c r="HO223" s="12">
        <f t="shared" si="175"/>
        <v>0</v>
      </c>
      <c r="HP223" s="12">
        <f t="shared" si="176"/>
        <v>0</v>
      </c>
      <c r="HQ223" s="12">
        <f t="shared" si="177"/>
        <v>0</v>
      </c>
      <c r="HR223" s="12">
        <f t="shared" si="178"/>
        <v>0</v>
      </c>
      <c r="HS223" s="12">
        <f t="shared" si="179"/>
        <v>0</v>
      </c>
      <c r="HT223" s="12">
        <f t="shared" si="180"/>
        <v>0</v>
      </c>
      <c r="HU223" s="12">
        <f t="shared" si="181"/>
        <v>0</v>
      </c>
      <c r="HV223" s="12">
        <f t="shared" si="182"/>
        <v>0</v>
      </c>
      <c r="HW223" s="12">
        <f t="shared" si="183"/>
        <v>0</v>
      </c>
      <c r="HX223" s="12">
        <f t="shared" si="184"/>
        <v>0</v>
      </c>
      <c r="HY223" s="12">
        <f t="shared" si="185"/>
        <v>0</v>
      </c>
      <c r="HZ223" s="12">
        <f t="shared" si="186"/>
        <v>0</v>
      </c>
      <c r="IA223" s="12">
        <f t="shared" si="187"/>
        <v>0</v>
      </c>
      <c r="IB223" s="12">
        <f t="shared" si="188"/>
        <v>0</v>
      </c>
      <c r="IC223" s="12">
        <f t="shared" si="189"/>
        <v>0</v>
      </c>
      <c r="ID223" s="12">
        <f t="shared" si="190"/>
        <v>0</v>
      </c>
      <c r="IE223" s="12">
        <f t="shared" si="191"/>
        <v>0</v>
      </c>
      <c r="IF223" s="12">
        <f t="shared" si="192"/>
        <v>0</v>
      </c>
      <c r="IG223" s="12">
        <f t="shared" si="193"/>
        <v>0</v>
      </c>
      <c r="IH223" s="12">
        <f t="shared" si="194"/>
        <v>0</v>
      </c>
      <c r="II223" s="12">
        <f t="shared" si="195"/>
        <v>0</v>
      </c>
      <c r="IJ223" s="12">
        <f t="shared" si="196"/>
        <v>0</v>
      </c>
      <c r="IK223" s="12">
        <f t="shared" si="197"/>
        <v>0</v>
      </c>
      <c r="IL223" s="12">
        <f t="shared" si="198"/>
        <v>0</v>
      </c>
      <c r="IM223" s="12">
        <f t="shared" si="199"/>
        <v>0</v>
      </c>
      <c r="IN223" s="12">
        <f t="shared" si="200"/>
        <v>0</v>
      </c>
      <c r="IO223" s="12">
        <f t="shared" si="201"/>
        <v>0</v>
      </c>
      <c r="IP223" s="12">
        <f t="shared" si="202"/>
        <v>0</v>
      </c>
      <c r="IQ223" s="12">
        <f t="shared" si="203"/>
        <v>0</v>
      </c>
      <c r="IR223" s="12">
        <f t="shared" si="204"/>
        <v>0</v>
      </c>
      <c r="IS223" s="12">
        <f t="shared" si="205"/>
        <v>0</v>
      </c>
      <c r="IT223" s="12">
        <f t="shared" si="206"/>
        <v>0</v>
      </c>
      <c r="IU223" s="12">
        <f t="shared" si="207"/>
        <v>0</v>
      </c>
      <c r="IV223" s="12">
        <f t="shared" si="208"/>
        <v>0</v>
      </c>
      <c r="IW223" s="12">
        <f t="shared" si="209"/>
        <v>0</v>
      </c>
      <c r="IX223" s="12">
        <f t="shared" si="210"/>
        <v>0</v>
      </c>
      <c r="IY223" s="12">
        <f t="shared" si="211"/>
        <v>0</v>
      </c>
      <c r="IZ223" s="12">
        <f t="shared" si="212"/>
        <v>1</v>
      </c>
      <c r="JA223" s="13">
        <f t="shared" si="213"/>
        <v>1</v>
      </c>
      <c r="JB223" s="13">
        <f t="shared" si="214"/>
        <v>0</v>
      </c>
      <c r="JC223" s="13">
        <f t="shared" si="215"/>
        <v>0</v>
      </c>
      <c r="JD223" s="13">
        <f t="shared" si="216"/>
        <v>0</v>
      </c>
      <c r="JE223" s="13">
        <f t="shared" si="217"/>
        <v>0</v>
      </c>
      <c r="JF223" s="13">
        <f t="shared" si="218"/>
        <v>0</v>
      </c>
      <c r="JG223" s="13">
        <f t="shared" si="219"/>
        <v>1</v>
      </c>
      <c r="JH223" s="13">
        <f t="shared" si="220"/>
        <v>0</v>
      </c>
      <c r="JI223" s="13">
        <f t="shared" si="221"/>
        <v>0</v>
      </c>
      <c r="JJ223" s="13">
        <f t="shared" si="222"/>
        <v>0</v>
      </c>
      <c r="JK223" s="13">
        <f t="shared" si="223"/>
        <v>0</v>
      </c>
      <c r="JL223" s="13">
        <f t="shared" si="224"/>
        <v>0</v>
      </c>
      <c r="JM223" s="13">
        <f t="shared" si="225"/>
        <v>0</v>
      </c>
      <c r="JN223" s="13">
        <f t="shared" si="226"/>
        <v>0</v>
      </c>
      <c r="JO223" s="13">
        <f t="shared" si="227"/>
        <v>0</v>
      </c>
      <c r="JP223" s="13">
        <f t="shared" si="228"/>
        <v>0</v>
      </c>
      <c r="JQ223" s="13">
        <f t="shared" si="229"/>
        <v>0</v>
      </c>
      <c r="JR223" s="13">
        <f t="shared" si="230"/>
        <v>0</v>
      </c>
      <c r="JS223" s="13">
        <f t="shared" si="231"/>
        <v>0</v>
      </c>
      <c r="JT223" s="13">
        <f t="shared" si="232"/>
        <v>0</v>
      </c>
      <c r="JU223" s="13">
        <f t="shared" si="233"/>
        <v>0</v>
      </c>
      <c r="JV223" s="12">
        <f t="shared" si="234"/>
        <v>0</v>
      </c>
      <c r="JW223" s="12">
        <f t="shared" si="235"/>
        <v>0</v>
      </c>
      <c r="JX223" s="12">
        <f t="shared" si="236"/>
        <v>0</v>
      </c>
      <c r="JY223" s="12">
        <f t="shared" si="237"/>
        <v>0</v>
      </c>
      <c r="JZ223" s="12">
        <f t="shared" si="238"/>
        <v>0</v>
      </c>
      <c r="KA223" s="12">
        <f t="shared" si="239"/>
        <v>0</v>
      </c>
      <c r="KB223" s="12">
        <f t="shared" si="240"/>
        <v>0</v>
      </c>
      <c r="KC223" s="12">
        <f t="shared" si="241"/>
        <v>0</v>
      </c>
      <c r="KD223" s="12">
        <f t="shared" si="797"/>
        <v>0</v>
      </c>
      <c r="KE223" s="12">
        <f t="shared" si="243"/>
        <v>0</v>
      </c>
      <c r="KF223" s="12">
        <f t="shared" si="244"/>
        <v>0</v>
      </c>
      <c r="KG223" s="12">
        <f t="shared" si="245"/>
        <v>0</v>
      </c>
      <c r="KH223" s="12">
        <f t="shared" si="246"/>
        <v>0</v>
      </c>
      <c r="KI223" s="12">
        <f t="shared" si="247"/>
        <v>0</v>
      </c>
      <c r="KJ223" s="12">
        <f t="shared" si="248"/>
        <v>0</v>
      </c>
      <c r="KK223" s="12">
        <f t="shared" si="249"/>
        <v>0</v>
      </c>
      <c r="KL223" s="12">
        <f t="shared" si="250"/>
        <v>0</v>
      </c>
      <c r="KM223" s="12">
        <f t="shared" si="251"/>
        <v>0</v>
      </c>
      <c r="KN223" s="12">
        <f t="shared" si="252"/>
        <v>0</v>
      </c>
      <c r="KO223" s="12">
        <f t="shared" si="253"/>
        <v>0</v>
      </c>
      <c r="KP223" s="12">
        <f t="shared" si="254"/>
        <v>0</v>
      </c>
      <c r="KQ223" s="12">
        <f t="shared" si="255"/>
        <v>0</v>
      </c>
      <c r="KR223" s="12">
        <f t="shared" si="256"/>
        <v>0</v>
      </c>
      <c r="KS223" s="12">
        <f t="shared" si="257"/>
        <v>0</v>
      </c>
      <c r="KT223" s="12">
        <f t="shared" si="258"/>
        <v>0</v>
      </c>
      <c r="KU223" s="12">
        <f t="shared" si="259"/>
        <v>0</v>
      </c>
      <c r="KV223" s="12">
        <f t="shared" si="260"/>
        <v>0</v>
      </c>
      <c r="KW223" s="12">
        <f t="shared" si="261"/>
        <v>0</v>
      </c>
      <c r="KX223" s="12">
        <f t="shared" si="262"/>
        <v>0</v>
      </c>
      <c r="KY223" s="12">
        <f t="shared" si="263"/>
        <v>0</v>
      </c>
      <c r="KZ223" s="12">
        <f t="shared" si="264"/>
        <v>0</v>
      </c>
      <c r="LA223" s="12">
        <f t="shared" si="265"/>
        <v>0</v>
      </c>
      <c r="LB223" s="12">
        <f t="shared" si="266"/>
        <v>0</v>
      </c>
      <c r="LC223" s="12">
        <f t="shared" si="267"/>
        <v>0</v>
      </c>
      <c r="LD223" s="12">
        <f t="shared" si="268"/>
        <v>0</v>
      </c>
      <c r="LE223" s="12">
        <f t="shared" si="269"/>
        <v>0</v>
      </c>
      <c r="LF223" s="12">
        <f t="shared" si="270"/>
        <v>0</v>
      </c>
      <c r="LG223" s="12">
        <f t="shared" si="271"/>
        <v>0</v>
      </c>
      <c r="LH223" s="12">
        <f t="shared" si="272"/>
        <v>0</v>
      </c>
      <c r="LI223" s="12">
        <f t="shared" si="273"/>
        <v>0</v>
      </c>
      <c r="LJ223" s="12">
        <f t="shared" si="274"/>
        <v>0</v>
      </c>
      <c r="LK223" s="12">
        <f t="shared" si="275"/>
        <v>0</v>
      </c>
      <c r="LL223" s="12">
        <f t="shared" si="276"/>
        <v>0</v>
      </c>
      <c r="LM223" s="12">
        <f t="shared" si="277"/>
        <v>0</v>
      </c>
      <c r="LN223" s="12">
        <f t="shared" si="278"/>
        <v>0</v>
      </c>
      <c r="LO223" s="12">
        <f t="shared" si="279"/>
        <v>0</v>
      </c>
      <c r="LP223" s="12">
        <f t="shared" si="280"/>
        <v>0</v>
      </c>
      <c r="LQ223" s="12">
        <f t="shared" si="281"/>
        <v>0</v>
      </c>
      <c r="LR223" s="12">
        <f t="shared" si="282"/>
        <v>0</v>
      </c>
      <c r="LS223" s="12">
        <f t="shared" si="283"/>
        <v>0</v>
      </c>
      <c r="LT223" s="13">
        <f t="shared" si="284"/>
        <v>0</v>
      </c>
      <c r="LU223" s="13">
        <f t="shared" si="285"/>
        <v>0</v>
      </c>
      <c r="LV223" s="13">
        <f t="shared" si="286"/>
        <v>0</v>
      </c>
      <c r="LW223" s="13">
        <f t="shared" si="287"/>
        <v>1</v>
      </c>
      <c r="LX223" s="13">
        <f t="shared" si="288"/>
        <v>0</v>
      </c>
      <c r="LY223" s="13">
        <f t="shared" si="289"/>
        <v>0</v>
      </c>
      <c r="LZ223" s="13">
        <f t="shared" si="290"/>
        <v>0</v>
      </c>
      <c r="MA223" s="13">
        <f t="shared" si="291"/>
        <v>0</v>
      </c>
      <c r="MB223" s="13">
        <f t="shared" si="292"/>
        <v>0</v>
      </c>
      <c r="MC223" s="13">
        <f t="shared" si="293"/>
        <v>0</v>
      </c>
      <c r="MD223" s="13">
        <f t="shared" si="294"/>
        <v>0</v>
      </c>
      <c r="ME223" s="13">
        <f t="shared" si="295"/>
        <v>0</v>
      </c>
      <c r="MF223" s="13">
        <f t="shared" si="296"/>
        <v>0</v>
      </c>
      <c r="MG223" s="13">
        <f t="shared" si="297"/>
        <v>0</v>
      </c>
      <c r="MH223" s="13">
        <f t="shared" si="298"/>
        <v>0</v>
      </c>
      <c r="MI223" s="13">
        <f t="shared" si="299"/>
        <v>0</v>
      </c>
      <c r="MJ223" s="13">
        <f t="shared" si="300"/>
        <v>0</v>
      </c>
      <c r="MK223" s="13">
        <f t="shared" si="301"/>
        <v>0</v>
      </c>
      <c r="ML223" s="14">
        <f t="shared" si="302"/>
        <v>0</v>
      </c>
      <c r="MM223" s="14">
        <f t="shared" si="303"/>
        <v>0</v>
      </c>
      <c r="MN223" s="14">
        <f t="shared" si="304"/>
        <v>0</v>
      </c>
      <c r="MO223" s="14">
        <f t="shared" si="305"/>
        <v>0</v>
      </c>
      <c r="MP223" s="14">
        <f t="shared" si="306"/>
        <v>0</v>
      </c>
      <c r="MQ223" s="14">
        <f t="shared" si="307"/>
        <v>0</v>
      </c>
      <c r="MR223" s="14">
        <f t="shared" si="308"/>
        <v>0</v>
      </c>
      <c r="MS223" s="14">
        <f t="shared" si="309"/>
        <v>0</v>
      </c>
      <c r="MT223" s="14">
        <f t="shared" si="310"/>
        <v>0</v>
      </c>
      <c r="MU223" s="14">
        <f t="shared" si="311"/>
        <v>0</v>
      </c>
      <c r="MV223" s="14">
        <f t="shared" si="312"/>
        <v>0</v>
      </c>
      <c r="MW223" s="14">
        <f t="shared" si="313"/>
        <v>0</v>
      </c>
      <c r="MX223" s="14">
        <f t="shared" si="314"/>
        <v>0</v>
      </c>
      <c r="MY223" s="14">
        <f t="shared" si="315"/>
        <v>0</v>
      </c>
      <c r="MZ223" s="14">
        <f t="shared" si="316"/>
        <v>0</v>
      </c>
      <c r="NA223" s="14">
        <f t="shared" si="317"/>
        <v>0</v>
      </c>
      <c r="NB223" s="14">
        <f t="shared" si="318"/>
        <v>0</v>
      </c>
    </row>
    <row r="224" ht="15.75" customHeight="1">
      <c r="A224" s="2">
        <v>595.0</v>
      </c>
      <c r="B224" s="2" t="s">
        <v>4070</v>
      </c>
      <c r="C224" s="2" t="s">
        <v>4071</v>
      </c>
      <c r="D224" s="2" t="s">
        <v>4072</v>
      </c>
      <c r="E224" s="2">
        <v>2022.0</v>
      </c>
      <c r="F224" s="2" t="s">
        <v>4073</v>
      </c>
      <c r="G224" s="2">
        <v>11.0</v>
      </c>
      <c r="H224" s="2" t="s">
        <v>510</v>
      </c>
      <c r="J224" s="2" t="s">
        <v>4074</v>
      </c>
      <c r="K224" s="2" t="s">
        <v>2899</v>
      </c>
      <c r="N224" s="2" t="s">
        <v>4075</v>
      </c>
      <c r="O224" s="2" t="s">
        <v>4076</v>
      </c>
      <c r="P224" s="2" t="s">
        <v>4077</v>
      </c>
      <c r="Q224" s="2" t="s">
        <v>4078</v>
      </c>
      <c r="R224" s="2" t="s">
        <v>4079</v>
      </c>
      <c r="S224" s="2" t="s">
        <v>4080</v>
      </c>
      <c r="Y224" s="2" t="s">
        <v>4081</v>
      </c>
      <c r="AB224" s="2" t="s">
        <v>4082</v>
      </c>
      <c r="AG224" s="2" t="s">
        <v>4083</v>
      </c>
      <c r="AK224" s="2" t="s">
        <v>4084</v>
      </c>
      <c r="AL224" s="2" t="s">
        <v>384</v>
      </c>
      <c r="AM224" s="2" t="s">
        <v>484</v>
      </c>
      <c r="AN224" s="2" t="s">
        <v>386</v>
      </c>
      <c r="AO224" s="2" t="s">
        <v>4085</v>
      </c>
      <c r="AP224" s="2" t="s">
        <v>386</v>
      </c>
      <c r="AQ224" s="2">
        <v>2314.0</v>
      </c>
      <c r="AR224" s="2" t="s">
        <v>4086</v>
      </c>
      <c r="AS224" s="2" t="b">
        <v>0</v>
      </c>
      <c r="AT224" s="3">
        <v>0.0</v>
      </c>
      <c r="AU224" s="4"/>
      <c r="AV224" s="4"/>
      <c r="AW224" s="5">
        <f t="shared" si="432"/>
        <v>0</v>
      </c>
      <c r="AX224" s="5">
        <f t="shared" si="4"/>
        <v>0</v>
      </c>
      <c r="AY224" s="5">
        <f t="shared" si="5"/>
        <v>0</v>
      </c>
      <c r="AZ224" s="5">
        <f t="shared" si="6"/>
        <v>0</v>
      </c>
      <c r="BA224" s="5">
        <f t="shared" si="7"/>
        <v>0</v>
      </c>
      <c r="BB224" s="5">
        <f t="shared" si="8"/>
        <v>0</v>
      </c>
      <c r="BC224" s="5">
        <f t="shared" si="9"/>
        <v>0</v>
      </c>
      <c r="BD224" s="5">
        <f t="shared" si="10"/>
        <v>0</v>
      </c>
      <c r="BE224" s="5">
        <f t="shared" si="11"/>
        <v>0</v>
      </c>
      <c r="BF224" s="5">
        <f t="shared" si="12"/>
        <v>0</v>
      </c>
      <c r="BG224" s="5">
        <f t="shared" si="13"/>
        <v>0</v>
      </c>
      <c r="BH224" s="5">
        <f t="shared" si="14"/>
        <v>0</v>
      </c>
      <c r="BI224" s="5">
        <f t="shared" si="15"/>
        <v>0</v>
      </c>
      <c r="BJ224" s="5">
        <f t="shared" si="16"/>
        <v>0</v>
      </c>
      <c r="BK224" s="5">
        <f t="shared" si="17"/>
        <v>0</v>
      </c>
      <c r="BL224" s="5">
        <f t="shared" si="18"/>
        <v>0</v>
      </c>
      <c r="BM224" s="5">
        <f t="shared" si="19"/>
        <v>0</v>
      </c>
      <c r="BN224" s="5">
        <f t="shared" si="20"/>
        <v>0</v>
      </c>
      <c r="BO224" s="5">
        <f t="shared" si="21"/>
        <v>0</v>
      </c>
      <c r="BP224" s="5">
        <f t="shared" si="22"/>
        <v>0</v>
      </c>
      <c r="BQ224" s="5">
        <f t="shared" si="23"/>
        <v>0</v>
      </c>
      <c r="BR224" s="5">
        <f t="shared" si="24"/>
        <v>0</v>
      </c>
      <c r="BS224" s="5">
        <f t="shared" si="25"/>
        <v>0</v>
      </c>
      <c r="BT224" s="5">
        <f t="shared" si="26"/>
        <v>0</v>
      </c>
      <c r="BU224" s="5">
        <f t="shared" si="27"/>
        <v>0</v>
      </c>
      <c r="BV224" s="5">
        <f t="shared" ref="BV224:BW224" si="809">IF(OR(ISNUMBER(SEARCH("grit",$D224)),ISNUMBER(SEARCH("grit",$T224)),ISNUMBER(SEARCH("grit",$R224)),ISNUMBER(SEARCH("grit",$S224)),
ISNUMBER(SEARCH("determination",$D224)),ISNUMBER(SEARCH("determination",$T224)),ISNUMBER(SEARCH("determination",$R224)),ISNUMBER(SEARCH("determination",$S224)),
ISNUMBER(SEARCH("tenacity",$D224)),ISNUMBER(SEARCH("tenacity",$T224)),ISNUMBER(SEARCH("tenacity",$R224)),ISNUMBER(SEARCH("tenacity",$S224)),
ISNUMBER(SEARCH("endurance",$D224)),ISNUMBER(SEARCH("endurance",$T224)),ISNUMBER(SEARCH("endurance",$R224)),ISNUMBER(SEARCH("endurance",$S224)),
ISNUMBER(SEARCH("fortitude",$D224)),ISNUMBER(SEARCH("fortitude",$T224)),ISNUMBER(SEARCH("fortitude",$R224)),ISNUMBER(SEARCH("fortitude",$S224)),
ISNUMBER(SEARCH("resolve",$D224)),ISNUMBER(SEARCH("resolve",$T224)),ISNUMBER(SEARCH("resolve",$R224)),ISNUMBER(SEARCH("resolve",$S224)),
ISNUMBER(SEARCH("stamina",$D224)),ISNUMBER(SEARCH("stamina",$T224)),ISNUMBER(SEARCH("stamina",$R224)),ISNUMBER(SEARCH("stamina",$S224)),
ISNUMBER(SEARCH("guts",$D224)),ISNUMBER(SEARCH("guts",$T224)),ISNUMBER(SEARCH("guts",$R224)),ISNUMBER(SEARCH("guts",$S224)),
ISNUMBER(SEARCH("spunk",$D224)),ISNUMBER(SEARCH("spunk",$T224)),ISNUMBER(SEARCH("spunk",$R224)),ISNUMBER(SEARCH("spunk",$S224))), 1, 0)</f>
        <v>0</v>
      </c>
      <c r="BW224" s="5">
        <f t="shared" si="809"/>
        <v>0</v>
      </c>
      <c r="BX224" s="5">
        <f t="shared" si="29"/>
        <v>0</v>
      </c>
      <c r="BY224" s="5">
        <f t="shared" si="30"/>
        <v>0</v>
      </c>
      <c r="BZ224" s="5">
        <f t="shared" si="31"/>
        <v>0</v>
      </c>
      <c r="CA224" s="5">
        <f t="shared" si="32"/>
        <v>0</v>
      </c>
      <c r="CB224" s="5">
        <f t="shared" si="33"/>
        <v>0</v>
      </c>
      <c r="CC224" s="5">
        <f t="shared" si="34"/>
        <v>0</v>
      </c>
      <c r="CD224" s="5">
        <f t="shared" si="35"/>
        <v>0</v>
      </c>
      <c r="CE224" s="5">
        <f t="shared" si="36"/>
        <v>0</v>
      </c>
      <c r="CF224" s="5">
        <f t="shared" si="37"/>
        <v>0</v>
      </c>
      <c r="CG224" s="5">
        <f t="shared" si="38"/>
        <v>0</v>
      </c>
      <c r="CH224" s="5">
        <f t="shared" si="39"/>
        <v>0</v>
      </c>
      <c r="CI224" s="5">
        <f t="shared" si="40"/>
        <v>0</v>
      </c>
      <c r="CJ224" s="5">
        <f t="shared" si="41"/>
        <v>0</v>
      </c>
      <c r="CK224" s="5">
        <f t="shared" si="42"/>
        <v>0</v>
      </c>
      <c r="CL224" s="5">
        <f t="shared" si="43"/>
        <v>0</v>
      </c>
      <c r="CM224" s="5">
        <f t="shared" si="44"/>
        <v>0</v>
      </c>
      <c r="CN224" s="5">
        <f t="shared" si="45"/>
        <v>0</v>
      </c>
      <c r="CO224" s="5">
        <f t="shared" si="46"/>
        <v>0</v>
      </c>
      <c r="CP224" s="6">
        <f t="shared" si="47"/>
        <v>1</v>
      </c>
      <c r="CQ224" s="6">
        <f t="shared" si="48"/>
        <v>0</v>
      </c>
      <c r="CR224" s="6">
        <f t="shared" si="49"/>
        <v>0</v>
      </c>
      <c r="CS224" s="6">
        <f t="shared" si="50"/>
        <v>0</v>
      </c>
      <c r="CT224" s="6">
        <f t="shared" si="584"/>
        <v>0</v>
      </c>
      <c r="CU224" s="6">
        <f t="shared" si="52"/>
        <v>0</v>
      </c>
      <c r="CV224" s="6">
        <f t="shared" si="53"/>
        <v>0</v>
      </c>
      <c r="CW224" s="6">
        <f t="shared" si="54"/>
        <v>0</v>
      </c>
      <c r="CX224" s="6">
        <f t="shared" si="55"/>
        <v>0</v>
      </c>
      <c r="CY224" s="6">
        <f t="shared" si="56"/>
        <v>0</v>
      </c>
      <c r="CZ224" s="6">
        <f t="shared" si="57"/>
        <v>0</v>
      </c>
      <c r="DA224" s="6">
        <f t="shared" si="58"/>
        <v>0</v>
      </c>
      <c r="DB224" s="6">
        <f t="shared" si="59"/>
        <v>0</v>
      </c>
      <c r="DC224" s="6">
        <f t="shared" si="60"/>
        <v>0</v>
      </c>
      <c r="DD224" s="6">
        <f t="shared" si="61"/>
        <v>0</v>
      </c>
      <c r="DE224" s="6">
        <f t="shared" si="62"/>
        <v>0</v>
      </c>
      <c r="DF224" s="6">
        <f t="shared" si="63"/>
        <v>0</v>
      </c>
      <c r="DG224" s="6">
        <f t="shared" si="64"/>
        <v>0</v>
      </c>
      <c r="DH224" s="6">
        <f t="shared" si="697"/>
        <v>0</v>
      </c>
      <c r="DI224" s="6">
        <f t="shared" si="66"/>
        <v>0</v>
      </c>
      <c r="DJ224" s="6">
        <f t="shared" si="653"/>
        <v>0</v>
      </c>
      <c r="DK224" s="7">
        <f t="shared" si="68"/>
        <v>0</v>
      </c>
      <c r="DL224" s="7">
        <f t="shared" si="498"/>
        <v>0</v>
      </c>
      <c r="DM224" s="7">
        <f t="shared" si="70"/>
        <v>0</v>
      </c>
      <c r="DN224" s="7">
        <f t="shared" si="71"/>
        <v>0</v>
      </c>
      <c r="DO224" s="7">
        <f t="shared" si="72"/>
        <v>0</v>
      </c>
      <c r="DP224" s="8">
        <f t="shared" si="73"/>
        <v>0</v>
      </c>
      <c r="DQ224" s="8">
        <f t="shared" si="74"/>
        <v>1</v>
      </c>
      <c r="DR224" s="7">
        <f t="shared" si="75"/>
        <v>0</v>
      </c>
      <c r="DS224" s="7">
        <f t="shared" si="76"/>
        <v>0</v>
      </c>
      <c r="DT224" s="7">
        <f t="shared" si="77"/>
        <v>0</v>
      </c>
      <c r="DU224" s="9">
        <f t="shared" si="78"/>
        <v>0</v>
      </c>
      <c r="DV224" s="9">
        <f t="shared" si="79"/>
        <v>0</v>
      </c>
      <c r="DW224" s="9">
        <f t="shared" si="80"/>
        <v>0</v>
      </c>
      <c r="DX224" s="9">
        <f t="shared" si="81"/>
        <v>0</v>
      </c>
      <c r="DY224" s="9">
        <f t="shared" si="82"/>
        <v>0</v>
      </c>
      <c r="DZ224" s="9">
        <f t="shared" si="83"/>
        <v>0</v>
      </c>
      <c r="EA224" s="9">
        <f t="shared" si="84"/>
        <v>0</v>
      </c>
      <c r="EB224" s="9">
        <f t="shared" si="85"/>
        <v>0</v>
      </c>
      <c r="EC224" s="9">
        <f t="shared" si="86"/>
        <v>0</v>
      </c>
      <c r="ED224" s="9">
        <f t="shared" si="87"/>
        <v>0</v>
      </c>
      <c r="EE224" s="9">
        <f t="shared" si="88"/>
        <v>0</v>
      </c>
      <c r="EF224" s="9">
        <f t="shared" si="89"/>
        <v>0</v>
      </c>
      <c r="EG224" s="9">
        <f t="shared" si="90"/>
        <v>0</v>
      </c>
      <c r="EH224" s="9">
        <f t="shared" si="91"/>
        <v>0</v>
      </c>
      <c r="EI224" s="9">
        <f t="shared" si="92"/>
        <v>0</v>
      </c>
      <c r="EJ224" s="10">
        <f t="shared" si="93"/>
        <v>0</v>
      </c>
      <c r="EK224" s="10">
        <f t="shared" si="94"/>
        <v>0</v>
      </c>
      <c r="EL224" s="10">
        <f t="shared" ref="EL224:EM224" si="810">IF(OR(ISNUMBER(SEARCH("ai software toolkit", $D224)), ISNUMBER(SEARCH("ai software toolkit", $T224)), ISNUMBER(SEARCH("ai software toolkit", $R224)), ISNUMBER(SEARCH("ai software toolkit", $S224))), 1, 0)</f>
        <v>0</v>
      </c>
      <c r="EM224" s="10">
        <f t="shared" si="810"/>
        <v>0</v>
      </c>
      <c r="EN224" s="10">
        <f t="shared" si="96"/>
        <v>0</v>
      </c>
      <c r="EO224" s="10">
        <f t="shared" si="97"/>
        <v>0</v>
      </c>
      <c r="EP224" s="10">
        <f t="shared" si="98"/>
        <v>0</v>
      </c>
      <c r="EQ224" s="10">
        <f t="shared" si="99"/>
        <v>0</v>
      </c>
      <c r="ER224" s="10">
        <f t="shared" si="100"/>
        <v>0</v>
      </c>
      <c r="ES224" s="10">
        <f t="shared" si="101"/>
        <v>0</v>
      </c>
      <c r="ET224" s="10">
        <f t="shared" si="102"/>
        <v>0</v>
      </c>
      <c r="EU224" s="10">
        <f t="shared" si="103"/>
        <v>0</v>
      </c>
      <c r="EV224" s="10">
        <f t="shared" si="104"/>
        <v>0</v>
      </c>
      <c r="EW224" s="10">
        <f t="shared" si="105"/>
        <v>0</v>
      </c>
      <c r="EX224" s="10">
        <f t="shared" si="106"/>
        <v>0</v>
      </c>
      <c r="EY224" s="10">
        <f t="shared" si="107"/>
        <v>0</v>
      </c>
      <c r="EZ224" s="10">
        <f t="shared" si="108"/>
        <v>0</v>
      </c>
      <c r="FA224" s="10">
        <f t="shared" si="109"/>
        <v>0</v>
      </c>
      <c r="FB224" s="10">
        <f t="shared" si="110"/>
        <v>0</v>
      </c>
      <c r="FC224" s="10">
        <f t="shared" si="111"/>
        <v>0</v>
      </c>
      <c r="FD224" s="10">
        <f t="shared" si="112"/>
        <v>0</v>
      </c>
      <c r="FE224" s="10">
        <f t="shared" si="782"/>
        <v>0</v>
      </c>
      <c r="FF224" s="10">
        <f t="shared" si="114"/>
        <v>0</v>
      </c>
      <c r="FG224" s="10">
        <f t="shared" si="115"/>
        <v>0</v>
      </c>
      <c r="FH224" s="10">
        <f t="shared" si="116"/>
        <v>0</v>
      </c>
      <c r="FI224" s="10">
        <f t="shared" si="117"/>
        <v>0</v>
      </c>
      <c r="FJ224" s="10">
        <f t="shared" si="118"/>
        <v>0</v>
      </c>
      <c r="FK224" s="10">
        <f t="shared" si="119"/>
        <v>0</v>
      </c>
      <c r="FL224" s="10">
        <f t="shared" si="120"/>
        <v>0</v>
      </c>
      <c r="FM224" s="10">
        <f t="shared" si="121"/>
        <v>0</v>
      </c>
      <c r="FN224" s="10">
        <f t="shared" si="122"/>
        <v>0</v>
      </c>
      <c r="FO224" s="10">
        <f t="shared" si="123"/>
        <v>0</v>
      </c>
      <c r="FP224" s="10">
        <f t="shared" si="124"/>
        <v>0</v>
      </c>
      <c r="FQ224" s="10">
        <f t="shared" si="125"/>
        <v>0</v>
      </c>
      <c r="FR224" s="11">
        <f t="shared" si="804"/>
        <v>0</v>
      </c>
      <c r="FS224" s="11">
        <f t="shared" si="127"/>
        <v>0</v>
      </c>
      <c r="FT224" s="11">
        <f t="shared" si="128"/>
        <v>0</v>
      </c>
      <c r="FU224" s="11">
        <f t="shared" si="129"/>
        <v>0</v>
      </c>
      <c r="FV224" s="11">
        <f t="shared" si="130"/>
        <v>0</v>
      </c>
      <c r="FW224" s="11">
        <f t="shared" si="131"/>
        <v>0</v>
      </c>
      <c r="FX224" s="11">
        <f t="shared" si="132"/>
        <v>0</v>
      </c>
      <c r="FY224" s="11">
        <f t="shared" si="133"/>
        <v>0</v>
      </c>
      <c r="FZ224" s="11">
        <f t="shared" si="134"/>
        <v>0</v>
      </c>
      <c r="GA224" s="11">
        <f t="shared" si="135"/>
        <v>0</v>
      </c>
      <c r="GB224" s="11">
        <f t="shared" si="136"/>
        <v>0</v>
      </c>
      <c r="GC224" s="11">
        <f t="shared" si="137"/>
        <v>0</v>
      </c>
      <c r="GD224" s="11">
        <f t="shared" si="138"/>
        <v>0</v>
      </c>
      <c r="GE224" s="11">
        <f t="shared" si="139"/>
        <v>0</v>
      </c>
      <c r="GF224" s="11">
        <f t="shared" si="140"/>
        <v>0</v>
      </c>
      <c r="GG224" s="11">
        <f t="shared" si="141"/>
        <v>0</v>
      </c>
      <c r="GH224" s="11">
        <f t="shared" si="142"/>
        <v>0</v>
      </c>
      <c r="GI224" s="11">
        <f t="shared" si="143"/>
        <v>0</v>
      </c>
      <c r="GJ224" s="11">
        <f t="shared" si="144"/>
        <v>0</v>
      </c>
      <c r="GK224" s="11">
        <f t="shared" si="145"/>
        <v>0</v>
      </c>
      <c r="GL224" s="11">
        <f t="shared" si="146"/>
        <v>0</v>
      </c>
      <c r="GM224" s="11">
        <f t="shared" si="147"/>
        <v>0</v>
      </c>
      <c r="GN224" s="11">
        <f t="shared" si="148"/>
        <v>0</v>
      </c>
      <c r="GO224" s="11">
        <f t="shared" si="149"/>
        <v>0</v>
      </c>
      <c r="GP224" s="11">
        <f t="shared" si="150"/>
        <v>0</v>
      </c>
      <c r="GQ224" s="11">
        <f t="shared" si="151"/>
        <v>0</v>
      </c>
      <c r="GR224" s="11">
        <f t="shared" si="152"/>
        <v>0</v>
      </c>
      <c r="GS224" s="11">
        <f t="shared" si="153"/>
        <v>0</v>
      </c>
      <c r="GT224" s="11">
        <f t="shared" si="154"/>
        <v>0</v>
      </c>
      <c r="GU224" s="12">
        <f t="shared" si="155"/>
        <v>0</v>
      </c>
      <c r="GV224" s="12">
        <f t="shared" si="156"/>
        <v>0</v>
      </c>
      <c r="GW224" s="12">
        <f t="shared" si="157"/>
        <v>0</v>
      </c>
      <c r="GX224" s="12">
        <f t="shared" si="158"/>
        <v>0</v>
      </c>
      <c r="GY224" s="12">
        <f t="shared" si="159"/>
        <v>0</v>
      </c>
      <c r="GZ224" s="12">
        <f t="shared" si="160"/>
        <v>0</v>
      </c>
      <c r="HA224" s="12">
        <f t="shared" si="161"/>
        <v>0</v>
      </c>
      <c r="HB224" s="12">
        <f t="shared" si="162"/>
        <v>0</v>
      </c>
      <c r="HC224" s="12">
        <f t="shared" si="163"/>
        <v>0</v>
      </c>
      <c r="HD224" s="12">
        <f t="shared" si="164"/>
        <v>0</v>
      </c>
      <c r="HE224" s="12">
        <f t="shared" si="165"/>
        <v>0</v>
      </c>
      <c r="HF224" s="12">
        <f t="shared" si="166"/>
        <v>0</v>
      </c>
      <c r="HG224" s="12">
        <f t="shared" si="167"/>
        <v>0</v>
      </c>
      <c r="HH224" s="12">
        <f t="shared" si="168"/>
        <v>0</v>
      </c>
      <c r="HI224" s="12">
        <f t="shared" si="169"/>
        <v>0</v>
      </c>
      <c r="HJ224" s="12">
        <f t="shared" si="170"/>
        <v>0</v>
      </c>
      <c r="HK224" s="12">
        <f t="shared" si="171"/>
        <v>0</v>
      </c>
      <c r="HL224" s="12">
        <f t="shared" si="172"/>
        <v>0</v>
      </c>
      <c r="HM224" s="12">
        <f t="shared" si="173"/>
        <v>0</v>
      </c>
      <c r="HN224" s="12">
        <f t="shared" si="174"/>
        <v>0</v>
      </c>
      <c r="HO224" s="12">
        <f t="shared" si="175"/>
        <v>0</v>
      </c>
      <c r="HP224" s="12">
        <f t="shared" si="176"/>
        <v>0</v>
      </c>
      <c r="HQ224" s="12">
        <f t="shared" si="177"/>
        <v>0</v>
      </c>
      <c r="HR224" s="12">
        <f t="shared" si="178"/>
        <v>0</v>
      </c>
      <c r="HS224" s="12">
        <f t="shared" si="179"/>
        <v>0</v>
      </c>
      <c r="HT224" s="12">
        <f t="shared" si="180"/>
        <v>0</v>
      </c>
      <c r="HU224" s="12">
        <f t="shared" si="181"/>
        <v>0</v>
      </c>
      <c r="HV224" s="12">
        <f t="shared" si="182"/>
        <v>0</v>
      </c>
      <c r="HW224" s="12">
        <f t="shared" si="183"/>
        <v>0</v>
      </c>
      <c r="HX224" s="12">
        <f t="shared" si="184"/>
        <v>0</v>
      </c>
      <c r="HY224" s="12">
        <f t="shared" si="185"/>
        <v>0</v>
      </c>
      <c r="HZ224" s="12">
        <f t="shared" si="186"/>
        <v>0</v>
      </c>
      <c r="IA224" s="12">
        <f t="shared" si="187"/>
        <v>0</v>
      </c>
      <c r="IB224" s="12">
        <f t="shared" si="188"/>
        <v>0</v>
      </c>
      <c r="IC224" s="12">
        <f t="shared" si="189"/>
        <v>0</v>
      </c>
      <c r="ID224" s="12">
        <f t="shared" si="190"/>
        <v>0</v>
      </c>
      <c r="IE224" s="12">
        <f t="shared" si="191"/>
        <v>0</v>
      </c>
      <c r="IF224" s="12">
        <f t="shared" si="192"/>
        <v>0</v>
      </c>
      <c r="IG224" s="12">
        <f t="shared" si="193"/>
        <v>0</v>
      </c>
      <c r="IH224" s="12">
        <f t="shared" si="194"/>
        <v>0</v>
      </c>
      <c r="II224" s="12">
        <f t="shared" si="195"/>
        <v>0</v>
      </c>
      <c r="IJ224" s="12">
        <f t="shared" si="196"/>
        <v>0</v>
      </c>
      <c r="IK224" s="12">
        <f t="shared" si="197"/>
        <v>0</v>
      </c>
      <c r="IL224" s="12">
        <f t="shared" si="198"/>
        <v>0</v>
      </c>
      <c r="IM224" s="12">
        <f t="shared" si="199"/>
        <v>0</v>
      </c>
      <c r="IN224" s="12">
        <f t="shared" si="200"/>
        <v>0</v>
      </c>
      <c r="IO224" s="12">
        <f t="shared" si="201"/>
        <v>0</v>
      </c>
      <c r="IP224" s="12">
        <f t="shared" si="202"/>
        <v>0</v>
      </c>
      <c r="IQ224" s="12">
        <f t="shared" si="203"/>
        <v>0</v>
      </c>
      <c r="IR224" s="12">
        <f t="shared" si="204"/>
        <v>0</v>
      </c>
      <c r="IS224" s="12">
        <f t="shared" si="205"/>
        <v>0</v>
      </c>
      <c r="IT224" s="12">
        <f t="shared" si="206"/>
        <v>0</v>
      </c>
      <c r="IU224" s="12">
        <f t="shared" si="207"/>
        <v>0</v>
      </c>
      <c r="IV224" s="12">
        <f t="shared" si="208"/>
        <v>0</v>
      </c>
      <c r="IW224" s="12">
        <f t="shared" si="209"/>
        <v>0</v>
      </c>
      <c r="IX224" s="12">
        <f t="shared" si="210"/>
        <v>0</v>
      </c>
      <c r="IY224" s="12">
        <f t="shared" si="211"/>
        <v>0</v>
      </c>
      <c r="IZ224" s="12">
        <f t="shared" si="212"/>
        <v>1</v>
      </c>
      <c r="JA224" s="13">
        <f t="shared" si="213"/>
        <v>0</v>
      </c>
      <c r="JB224" s="13">
        <f t="shared" si="214"/>
        <v>0</v>
      </c>
      <c r="JC224" s="13">
        <f t="shared" si="215"/>
        <v>0</v>
      </c>
      <c r="JD224" s="13">
        <f t="shared" si="216"/>
        <v>0</v>
      </c>
      <c r="JE224" s="13">
        <f t="shared" si="217"/>
        <v>0</v>
      </c>
      <c r="JF224" s="13">
        <f t="shared" si="218"/>
        <v>0</v>
      </c>
      <c r="JG224" s="13">
        <f t="shared" si="219"/>
        <v>0</v>
      </c>
      <c r="JH224" s="13">
        <f t="shared" si="220"/>
        <v>0</v>
      </c>
      <c r="JI224" s="13">
        <f t="shared" si="221"/>
        <v>0</v>
      </c>
      <c r="JJ224" s="13">
        <f t="shared" si="222"/>
        <v>0</v>
      </c>
      <c r="JK224" s="13">
        <f t="shared" si="223"/>
        <v>0</v>
      </c>
      <c r="JL224" s="13">
        <f t="shared" si="224"/>
        <v>0</v>
      </c>
      <c r="JM224" s="13">
        <f t="shared" si="225"/>
        <v>0</v>
      </c>
      <c r="JN224" s="13">
        <f t="shared" si="226"/>
        <v>0</v>
      </c>
      <c r="JO224" s="13">
        <f t="shared" si="227"/>
        <v>0</v>
      </c>
      <c r="JP224" s="13">
        <f t="shared" si="228"/>
        <v>0</v>
      </c>
      <c r="JQ224" s="13">
        <f t="shared" si="229"/>
        <v>0</v>
      </c>
      <c r="JR224" s="13">
        <f t="shared" si="230"/>
        <v>0</v>
      </c>
      <c r="JS224" s="13">
        <f t="shared" si="231"/>
        <v>0</v>
      </c>
      <c r="JT224" s="13">
        <f t="shared" si="232"/>
        <v>0</v>
      </c>
      <c r="JU224" s="13">
        <f t="shared" si="233"/>
        <v>0</v>
      </c>
      <c r="JV224" s="12">
        <f t="shared" si="234"/>
        <v>0</v>
      </c>
      <c r="JW224" s="12">
        <f t="shared" si="235"/>
        <v>0</v>
      </c>
      <c r="JX224" s="12">
        <f t="shared" si="236"/>
        <v>0</v>
      </c>
      <c r="JY224" s="12">
        <f t="shared" si="237"/>
        <v>0</v>
      </c>
      <c r="JZ224" s="12">
        <f t="shared" si="238"/>
        <v>0</v>
      </c>
      <c r="KA224" s="12">
        <f t="shared" si="239"/>
        <v>0</v>
      </c>
      <c r="KB224" s="12">
        <f t="shared" si="240"/>
        <v>0</v>
      </c>
      <c r="KC224" s="12">
        <f t="shared" si="241"/>
        <v>0</v>
      </c>
      <c r="KD224" s="12">
        <f t="shared" si="797"/>
        <v>0</v>
      </c>
      <c r="KE224" s="12">
        <f t="shared" si="243"/>
        <v>0</v>
      </c>
      <c r="KF224" s="12">
        <f t="shared" si="244"/>
        <v>0</v>
      </c>
      <c r="KG224" s="12">
        <f t="shared" si="245"/>
        <v>0</v>
      </c>
      <c r="KH224" s="12">
        <f t="shared" si="246"/>
        <v>0</v>
      </c>
      <c r="KI224" s="12">
        <f t="shared" si="247"/>
        <v>0</v>
      </c>
      <c r="KJ224" s="12">
        <f t="shared" si="248"/>
        <v>0</v>
      </c>
      <c r="KK224" s="12">
        <f t="shared" si="249"/>
        <v>0</v>
      </c>
      <c r="KL224" s="12">
        <f t="shared" si="250"/>
        <v>0</v>
      </c>
      <c r="KM224" s="12">
        <f t="shared" si="251"/>
        <v>0</v>
      </c>
      <c r="KN224" s="12">
        <f t="shared" si="252"/>
        <v>0</v>
      </c>
      <c r="KO224" s="12">
        <f t="shared" si="253"/>
        <v>0</v>
      </c>
      <c r="KP224" s="12">
        <f t="shared" si="254"/>
        <v>0</v>
      </c>
      <c r="KQ224" s="12">
        <f t="shared" si="255"/>
        <v>0</v>
      </c>
      <c r="KR224" s="12">
        <f t="shared" si="256"/>
        <v>0</v>
      </c>
      <c r="KS224" s="12">
        <f t="shared" si="257"/>
        <v>0</v>
      </c>
      <c r="KT224" s="12">
        <f t="shared" si="258"/>
        <v>0</v>
      </c>
      <c r="KU224" s="12">
        <f t="shared" si="259"/>
        <v>0</v>
      </c>
      <c r="KV224" s="12">
        <f t="shared" si="260"/>
        <v>0</v>
      </c>
      <c r="KW224" s="12">
        <f t="shared" si="261"/>
        <v>0</v>
      </c>
      <c r="KX224" s="12">
        <f t="shared" si="262"/>
        <v>0</v>
      </c>
      <c r="KY224" s="12">
        <f t="shared" si="263"/>
        <v>0</v>
      </c>
      <c r="KZ224" s="12">
        <f t="shared" si="264"/>
        <v>0</v>
      </c>
      <c r="LA224" s="12">
        <f t="shared" si="265"/>
        <v>0</v>
      </c>
      <c r="LB224" s="12">
        <f t="shared" si="266"/>
        <v>0</v>
      </c>
      <c r="LC224" s="12">
        <f t="shared" si="267"/>
        <v>0</v>
      </c>
      <c r="LD224" s="12">
        <f t="shared" si="268"/>
        <v>0</v>
      </c>
      <c r="LE224" s="12">
        <f t="shared" si="269"/>
        <v>0</v>
      </c>
      <c r="LF224" s="12">
        <f t="shared" si="270"/>
        <v>0</v>
      </c>
      <c r="LG224" s="12">
        <f t="shared" si="271"/>
        <v>0</v>
      </c>
      <c r="LH224" s="12">
        <f t="shared" si="272"/>
        <v>0</v>
      </c>
      <c r="LI224" s="12">
        <f t="shared" si="273"/>
        <v>0</v>
      </c>
      <c r="LJ224" s="12">
        <f t="shared" si="274"/>
        <v>0</v>
      </c>
      <c r="LK224" s="12">
        <f t="shared" si="275"/>
        <v>0</v>
      </c>
      <c r="LL224" s="12">
        <f t="shared" si="276"/>
        <v>0</v>
      </c>
      <c r="LM224" s="12">
        <f t="shared" si="277"/>
        <v>0</v>
      </c>
      <c r="LN224" s="12">
        <f t="shared" si="278"/>
        <v>0</v>
      </c>
      <c r="LO224" s="12">
        <f t="shared" si="279"/>
        <v>0</v>
      </c>
      <c r="LP224" s="12">
        <f t="shared" si="280"/>
        <v>0</v>
      </c>
      <c r="LQ224" s="12">
        <f t="shared" si="281"/>
        <v>0</v>
      </c>
      <c r="LR224" s="12">
        <f t="shared" si="282"/>
        <v>0</v>
      </c>
      <c r="LS224" s="12">
        <f t="shared" si="283"/>
        <v>0</v>
      </c>
      <c r="LT224" s="13">
        <f t="shared" si="284"/>
        <v>0</v>
      </c>
      <c r="LU224" s="13">
        <f t="shared" si="285"/>
        <v>0</v>
      </c>
      <c r="LV224" s="13">
        <f t="shared" si="286"/>
        <v>0</v>
      </c>
      <c r="LW224" s="13">
        <f t="shared" si="287"/>
        <v>0</v>
      </c>
      <c r="LX224" s="13">
        <f t="shared" si="288"/>
        <v>0</v>
      </c>
      <c r="LY224" s="13">
        <f t="shared" si="289"/>
        <v>0</v>
      </c>
      <c r="LZ224" s="13">
        <f t="shared" si="290"/>
        <v>0</v>
      </c>
      <c r="MA224" s="13">
        <f t="shared" si="291"/>
        <v>0</v>
      </c>
      <c r="MB224" s="13">
        <f t="shared" si="292"/>
        <v>0</v>
      </c>
      <c r="MC224" s="13">
        <f t="shared" si="293"/>
        <v>0</v>
      </c>
      <c r="MD224" s="13">
        <f t="shared" si="294"/>
        <v>0</v>
      </c>
      <c r="ME224" s="13">
        <f t="shared" si="295"/>
        <v>0</v>
      </c>
      <c r="MF224" s="13">
        <f t="shared" si="296"/>
        <v>0</v>
      </c>
      <c r="MG224" s="13">
        <f t="shared" si="297"/>
        <v>0</v>
      </c>
      <c r="MH224" s="13">
        <f t="shared" si="298"/>
        <v>0</v>
      </c>
      <c r="MI224" s="13">
        <f t="shared" si="299"/>
        <v>0</v>
      </c>
      <c r="MJ224" s="13">
        <f t="shared" si="300"/>
        <v>0</v>
      </c>
      <c r="MK224" s="13">
        <f t="shared" si="301"/>
        <v>0</v>
      </c>
      <c r="ML224" s="14">
        <f t="shared" si="302"/>
        <v>0</v>
      </c>
      <c r="MM224" s="14">
        <f t="shared" si="303"/>
        <v>0</v>
      </c>
      <c r="MN224" s="14">
        <f t="shared" si="304"/>
        <v>0</v>
      </c>
      <c r="MO224" s="14">
        <f t="shared" si="305"/>
        <v>0</v>
      </c>
      <c r="MP224" s="14">
        <f t="shared" si="306"/>
        <v>0</v>
      </c>
      <c r="MQ224" s="14">
        <f t="shared" si="307"/>
        <v>0</v>
      </c>
      <c r="MR224" s="14">
        <f t="shared" si="308"/>
        <v>0</v>
      </c>
      <c r="MS224" s="14">
        <f t="shared" si="309"/>
        <v>0</v>
      </c>
      <c r="MT224" s="14">
        <f t="shared" si="310"/>
        <v>0</v>
      </c>
      <c r="MU224" s="14">
        <f t="shared" si="311"/>
        <v>0</v>
      </c>
      <c r="MV224" s="14">
        <f t="shared" si="312"/>
        <v>0</v>
      </c>
      <c r="MW224" s="14">
        <f t="shared" si="313"/>
        <v>0</v>
      </c>
      <c r="MX224" s="14">
        <f t="shared" si="314"/>
        <v>0</v>
      </c>
      <c r="MY224" s="14">
        <f t="shared" si="315"/>
        <v>0</v>
      </c>
      <c r="MZ224" s="14">
        <f t="shared" si="316"/>
        <v>0</v>
      </c>
      <c r="NA224" s="14">
        <f t="shared" si="317"/>
        <v>0</v>
      </c>
      <c r="NB224" s="14">
        <f t="shared" si="318"/>
        <v>0</v>
      </c>
    </row>
    <row r="225" ht="15.75" customHeight="1">
      <c r="A225" s="2">
        <v>578.0</v>
      </c>
      <c r="B225" s="2" t="s">
        <v>4087</v>
      </c>
      <c r="C225" s="2" t="s">
        <v>4088</v>
      </c>
      <c r="D225" s="2" t="s">
        <v>4089</v>
      </c>
      <c r="E225" s="2">
        <v>2022.0</v>
      </c>
      <c r="F225" s="2" t="s">
        <v>4090</v>
      </c>
      <c r="G225" s="2">
        <v>22.0</v>
      </c>
      <c r="H225" s="2" t="s">
        <v>392</v>
      </c>
      <c r="I225" s="2" t="s">
        <v>4091</v>
      </c>
      <c r="N225" s="2" t="s">
        <v>4092</v>
      </c>
      <c r="O225" s="2" t="s">
        <v>4093</v>
      </c>
      <c r="P225" s="2" t="s">
        <v>4094</v>
      </c>
      <c r="Q225" s="2" t="s">
        <v>4095</v>
      </c>
      <c r="R225" s="2" t="s">
        <v>4096</v>
      </c>
      <c r="S225" s="2" t="s">
        <v>4097</v>
      </c>
      <c r="T225" s="2" t="s">
        <v>4098</v>
      </c>
      <c r="Y225" s="2" t="s">
        <v>4099</v>
      </c>
      <c r="AB225" s="2" t="s">
        <v>1829</v>
      </c>
      <c r="AG225" s="2" t="s">
        <v>4100</v>
      </c>
      <c r="AJ225" s="2">
        <v>3.5249538E7</v>
      </c>
      <c r="AK225" s="2" t="s">
        <v>4101</v>
      </c>
      <c r="AL225" s="2" t="s">
        <v>384</v>
      </c>
      <c r="AM225" s="2" t="s">
        <v>484</v>
      </c>
      <c r="AN225" s="2" t="s">
        <v>386</v>
      </c>
      <c r="AO225" s="2" t="s">
        <v>4102</v>
      </c>
      <c r="AP225" s="2" t="s">
        <v>386</v>
      </c>
      <c r="AQ225" s="2">
        <v>2223.0</v>
      </c>
      <c r="AR225" s="2" t="s">
        <v>4089</v>
      </c>
      <c r="AS225" s="2" t="b">
        <v>0</v>
      </c>
      <c r="AT225" s="3">
        <v>0.0</v>
      </c>
      <c r="AU225" s="4"/>
      <c r="AV225" s="4"/>
      <c r="AW225" s="5">
        <f t="shared" si="432"/>
        <v>0</v>
      </c>
      <c r="AX225" s="5">
        <f t="shared" si="4"/>
        <v>0</v>
      </c>
      <c r="AY225" s="5">
        <f t="shared" si="5"/>
        <v>0</v>
      </c>
      <c r="AZ225" s="5">
        <f t="shared" si="6"/>
        <v>0</v>
      </c>
      <c r="BA225" s="5">
        <f t="shared" si="7"/>
        <v>0</v>
      </c>
      <c r="BB225" s="5">
        <f t="shared" si="8"/>
        <v>0</v>
      </c>
      <c r="BC225" s="5">
        <f t="shared" si="9"/>
        <v>0</v>
      </c>
      <c r="BD225" s="5">
        <f t="shared" si="10"/>
        <v>0</v>
      </c>
      <c r="BE225" s="5">
        <f t="shared" si="11"/>
        <v>0</v>
      </c>
      <c r="BF225" s="5">
        <f t="shared" si="12"/>
        <v>0</v>
      </c>
      <c r="BG225" s="5">
        <f t="shared" si="13"/>
        <v>0</v>
      </c>
      <c r="BH225" s="5">
        <f t="shared" si="14"/>
        <v>0</v>
      </c>
      <c r="BI225" s="5">
        <f t="shared" si="15"/>
        <v>0</v>
      </c>
      <c r="BJ225" s="5">
        <f t="shared" si="16"/>
        <v>0</v>
      </c>
      <c r="BK225" s="5">
        <f t="shared" si="17"/>
        <v>0</v>
      </c>
      <c r="BL225" s="5">
        <f t="shared" si="18"/>
        <v>0</v>
      </c>
      <c r="BM225" s="5">
        <f t="shared" si="19"/>
        <v>0</v>
      </c>
      <c r="BN225" s="5">
        <f t="shared" si="20"/>
        <v>0</v>
      </c>
      <c r="BO225" s="5">
        <f t="shared" si="21"/>
        <v>0</v>
      </c>
      <c r="BP225" s="5">
        <f t="shared" si="22"/>
        <v>0</v>
      </c>
      <c r="BQ225" s="5">
        <f t="shared" si="23"/>
        <v>0</v>
      </c>
      <c r="BR225" s="5">
        <f t="shared" si="24"/>
        <v>0</v>
      </c>
      <c r="BS225" s="5">
        <f t="shared" si="25"/>
        <v>0</v>
      </c>
      <c r="BT225" s="5">
        <f t="shared" si="26"/>
        <v>0</v>
      </c>
      <c r="BU225" s="5">
        <f t="shared" si="27"/>
        <v>1</v>
      </c>
      <c r="BV225" s="5">
        <f t="shared" ref="BV225:BW225" si="811">IF(OR(ISNUMBER(SEARCH("grit",$D225)),ISNUMBER(SEARCH("grit",$T225)),ISNUMBER(SEARCH("grit",$R225)),ISNUMBER(SEARCH("grit",$S225)),
ISNUMBER(SEARCH("determination",$D225)),ISNUMBER(SEARCH("determination",$T225)),ISNUMBER(SEARCH("determination",$R225)),ISNUMBER(SEARCH("determination",$S225)),
ISNUMBER(SEARCH("tenacity",$D225)),ISNUMBER(SEARCH("tenacity",$T225)),ISNUMBER(SEARCH("tenacity",$R225)),ISNUMBER(SEARCH("tenacity",$S225)),
ISNUMBER(SEARCH("endurance",$D225)),ISNUMBER(SEARCH("endurance",$T225)),ISNUMBER(SEARCH("endurance",$R225)),ISNUMBER(SEARCH("endurance",$S225)),
ISNUMBER(SEARCH("fortitude",$D225)),ISNUMBER(SEARCH("fortitude",$T225)),ISNUMBER(SEARCH("fortitude",$R225)),ISNUMBER(SEARCH("fortitude",$S225)),
ISNUMBER(SEARCH("resolve",$D225)),ISNUMBER(SEARCH("resolve",$T225)),ISNUMBER(SEARCH("resolve",$R225)),ISNUMBER(SEARCH("resolve",$S225)),
ISNUMBER(SEARCH("stamina",$D225)),ISNUMBER(SEARCH("stamina",$T225)),ISNUMBER(SEARCH("stamina",$R225)),ISNUMBER(SEARCH("stamina",$S225)),
ISNUMBER(SEARCH("guts",$D225)),ISNUMBER(SEARCH("guts",$T225)),ISNUMBER(SEARCH("guts",$R225)),ISNUMBER(SEARCH("guts",$S225)),
ISNUMBER(SEARCH("spunk",$D225)),ISNUMBER(SEARCH("spunk",$T225)),ISNUMBER(SEARCH("spunk",$R225)),ISNUMBER(SEARCH("spunk",$S225))), 1, 0)</f>
        <v>0</v>
      </c>
      <c r="BW225" s="5">
        <f t="shared" si="811"/>
        <v>0</v>
      </c>
      <c r="BX225" s="5">
        <f t="shared" si="29"/>
        <v>0</v>
      </c>
      <c r="BY225" s="5">
        <f t="shared" si="30"/>
        <v>0</v>
      </c>
      <c r="BZ225" s="5">
        <f t="shared" si="31"/>
        <v>0</v>
      </c>
      <c r="CA225" s="5">
        <f t="shared" si="32"/>
        <v>0</v>
      </c>
      <c r="CB225" s="5">
        <f t="shared" si="33"/>
        <v>0</v>
      </c>
      <c r="CC225" s="5">
        <f t="shared" si="34"/>
        <v>0</v>
      </c>
      <c r="CD225" s="5">
        <f t="shared" si="35"/>
        <v>0</v>
      </c>
      <c r="CE225" s="5">
        <f t="shared" si="36"/>
        <v>0</v>
      </c>
      <c r="CF225" s="5">
        <f t="shared" si="37"/>
        <v>0</v>
      </c>
      <c r="CG225" s="5">
        <f t="shared" si="38"/>
        <v>0</v>
      </c>
      <c r="CH225" s="5">
        <f t="shared" si="39"/>
        <v>0</v>
      </c>
      <c r="CI225" s="5">
        <f t="shared" si="40"/>
        <v>0</v>
      </c>
      <c r="CJ225" s="5">
        <f t="shared" si="41"/>
        <v>0</v>
      </c>
      <c r="CK225" s="5">
        <f t="shared" si="42"/>
        <v>0</v>
      </c>
      <c r="CL225" s="5">
        <f t="shared" si="43"/>
        <v>0</v>
      </c>
      <c r="CM225" s="5">
        <f t="shared" si="44"/>
        <v>0</v>
      </c>
      <c r="CN225" s="5">
        <f t="shared" si="45"/>
        <v>0</v>
      </c>
      <c r="CO225" s="5">
        <f t="shared" si="46"/>
        <v>0</v>
      </c>
      <c r="CP225" s="6">
        <f t="shared" si="47"/>
        <v>0</v>
      </c>
      <c r="CQ225" s="6">
        <f t="shared" si="48"/>
        <v>0</v>
      </c>
      <c r="CR225" s="6">
        <f t="shared" si="49"/>
        <v>0</v>
      </c>
      <c r="CS225" s="6">
        <f t="shared" si="50"/>
        <v>0</v>
      </c>
      <c r="CT225" s="6">
        <f t="shared" si="584"/>
        <v>0</v>
      </c>
      <c r="CU225" s="6">
        <f t="shared" si="52"/>
        <v>0</v>
      </c>
      <c r="CV225" s="6">
        <f t="shared" si="53"/>
        <v>0</v>
      </c>
      <c r="CW225" s="6">
        <f t="shared" si="54"/>
        <v>0</v>
      </c>
      <c r="CX225" s="6">
        <f t="shared" si="55"/>
        <v>0</v>
      </c>
      <c r="CY225" s="6">
        <f t="shared" si="56"/>
        <v>0</v>
      </c>
      <c r="CZ225" s="6">
        <f t="shared" si="57"/>
        <v>0</v>
      </c>
      <c r="DA225" s="6">
        <f t="shared" si="58"/>
        <v>0</v>
      </c>
      <c r="DB225" s="6">
        <f t="shared" si="59"/>
        <v>0</v>
      </c>
      <c r="DC225" s="6">
        <f t="shared" si="60"/>
        <v>1</v>
      </c>
      <c r="DD225" s="6">
        <f t="shared" si="61"/>
        <v>0</v>
      </c>
      <c r="DE225" s="6">
        <f t="shared" si="62"/>
        <v>0</v>
      </c>
      <c r="DF225" s="6">
        <f t="shared" si="63"/>
        <v>0</v>
      </c>
      <c r="DG225" s="6">
        <f t="shared" si="64"/>
        <v>0</v>
      </c>
      <c r="DH225" s="6">
        <f t="shared" si="697"/>
        <v>0</v>
      </c>
      <c r="DI225" s="6">
        <f t="shared" si="66"/>
        <v>0</v>
      </c>
      <c r="DJ225" s="6">
        <f t="shared" si="653"/>
        <v>0</v>
      </c>
      <c r="DK225" s="7">
        <f t="shared" si="68"/>
        <v>0</v>
      </c>
      <c r="DL225" s="7">
        <f t="shared" si="498"/>
        <v>0</v>
      </c>
      <c r="DM225" s="7">
        <f t="shared" si="70"/>
        <v>0</v>
      </c>
      <c r="DN225" s="7">
        <f t="shared" si="71"/>
        <v>0</v>
      </c>
      <c r="DO225" s="7">
        <f t="shared" si="72"/>
        <v>1</v>
      </c>
      <c r="DP225" s="8">
        <f t="shared" si="73"/>
        <v>0</v>
      </c>
      <c r="DQ225" s="8">
        <f t="shared" si="74"/>
        <v>1</v>
      </c>
      <c r="DR225" s="7">
        <f t="shared" si="75"/>
        <v>0</v>
      </c>
      <c r="DS225" s="7">
        <f t="shared" si="76"/>
        <v>0</v>
      </c>
      <c r="DT225" s="7">
        <f t="shared" si="77"/>
        <v>0</v>
      </c>
      <c r="DU225" s="9">
        <f t="shared" si="78"/>
        <v>0</v>
      </c>
      <c r="DV225" s="9">
        <f t="shared" si="79"/>
        <v>0</v>
      </c>
      <c r="DW225" s="9">
        <f t="shared" si="80"/>
        <v>0</v>
      </c>
      <c r="DX225" s="9">
        <f t="shared" si="81"/>
        <v>0</v>
      </c>
      <c r="DY225" s="9">
        <f t="shared" si="82"/>
        <v>0</v>
      </c>
      <c r="DZ225" s="9">
        <f t="shared" si="83"/>
        <v>0</v>
      </c>
      <c r="EA225" s="9">
        <f t="shared" si="84"/>
        <v>0</v>
      </c>
      <c r="EB225" s="9">
        <f t="shared" si="85"/>
        <v>0</v>
      </c>
      <c r="EC225" s="9">
        <f t="shared" si="86"/>
        <v>0</v>
      </c>
      <c r="ED225" s="9">
        <f t="shared" si="87"/>
        <v>0</v>
      </c>
      <c r="EE225" s="9">
        <f t="shared" si="88"/>
        <v>0</v>
      </c>
      <c r="EF225" s="9">
        <f t="shared" si="89"/>
        <v>0</v>
      </c>
      <c r="EG225" s="9">
        <f t="shared" si="90"/>
        <v>0</v>
      </c>
      <c r="EH225" s="9">
        <f t="shared" si="91"/>
        <v>0</v>
      </c>
      <c r="EI225" s="9">
        <f t="shared" si="92"/>
        <v>0</v>
      </c>
      <c r="EJ225" s="10">
        <f t="shared" si="93"/>
        <v>0</v>
      </c>
      <c r="EK225" s="10">
        <f t="shared" si="94"/>
        <v>0</v>
      </c>
      <c r="EL225" s="10">
        <f t="shared" ref="EL225:EM225" si="812">IF(OR(ISNUMBER(SEARCH("ai software toolkit", $D225)), ISNUMBER(SEARCH("ai software toolkit", $T225)), ISNUMBER(SEARCH("ai software toolkit", $R225)), ISNUMBER(SEARCH("ai software toolkit", $S225))), 1, 0)</f>
        <v>0</v>
      </c>
      <c r="EM225" s="10">
        <f t="shared" si="812"/>
        <v>0</v>
      </c>
      <c r="EN225" s="10">
        <f t="shared" si="96"/>
        <v>0</v>
      </c>
      <c r="EO225" s="10">
        <f t="shared" si="97"/>
        <v>0</v>
      </c>
      <c r="EP225" s="10">
        <f t="shared" si="98"/>
        <v>0</v>
      </c>
      <c r="EQ225" s="10">
        <f t="shared" si="99"/>
        <v>0</v>
      </c>
      <c r="ER225" s="10">
        <f t="shared" si="100"/>
        <v>0</v>
      </c>
      <c r="ES225" s="10">
        <f t="shared" si="101"/>
        <v>0</v>
      </c>
      <c r="ET225" s="10">
        <f t="shared" si="102"/>
        <v>0</v>
      </c>
      <c r="EU225" s="10">
        <f t="shared" si="103"/>
        <v>0</v>
      </c>
      <c r="EV225" s="10">
        <f t="shared" si="104"/>
        <v>0</v>
      </c>
      <c r="EW225" s="10">
        <f t="shared" si="105"/>
        <v>0</v>
      </c>
      <c r="EX225" s="10">
        <f t="shared" si="106"/>
        <v>0</v>
      </c>
      <c r="EY225" s="10">
        <f t="shared" si="107"/>
        <v>0</v>
      </c>
      <c r="EZ225" s="10">
        <f t="shared" si="108"/>
        <v>0</v>
      </c>
      <c r="FA225" s="10">
        <f t="shared" si="109"/>
        <v>0</v>
      </c>
      <c r="FB225" s="10">
        <f t="shared" si="110"/>
        <v>0</v>
      </c>
      <c r="FC225" s="10">
        <f t="shared" si="111"/>
        <v>0</v>
      </c>
      <c r="FD225" s="10">
        <f t="shared" si="112"/>
        <v>0</v>
      </c>
      <c r="FE225" s="10">
        <f t="shared" si="782"/>
        <v>0</v>
      </c>
      <c r="FF225" s="10">
        <f t="shared" si="114"/>
        <v>0</v>
      </c>
      <c r="FG225" s="10">
        <f t="shared" si="115"/>
        <v>0</v>
      </c>
      <c r="FH225" s="10">
        <f t="shared" si="116"/>
        <v>0</v>
      </c>
      <c r="FI225" s="10">
        <f t="shared" si="117"/>
        <v>0</v>
      </c>
      <c r="FJ225" s="10">
        <f t="shared" si="118"/>
        <v>0</v>
      </c>
      <c r="FK225" s="10">
        <f t="shared" si="119"/>
        <v>0</v>
      </c>
      <c r="FL225" s="10">
        <f t="shared" si="120"/>
        <v>0</v>
      </c>
      <c r="FM225" s="10">
        <f t="shared" si="121"/>
        <v>0</v>
      </c>
      <c r="FN225" s="10">
        <f t="shared" si="122"/>
        <v>0</v>
      </c>
      <c r="FO225" s="10">
        <f t="shared" si="123"/>
        <v>0</v>
      </c>
      <c r="FP225" s="10">
        <f t="shared" si="124"/>
        <v>0</v>
      </c>
      <c r="FQ225" s="10">
        <f t="shared" si="125"/>
        <v>0</v>
      </c>
      <c r="FR225" s="11">
        <f t="shared" si="804"/>
        <v>0</v>
      </c>
      <c r="FS225" s="11">
        <f t="shared" si="127"/>
        <v>0</v>
      </c>
      <c r="FT225" s="11">
        <f t="shared" si="128"/>
        <v>0</v>
      </c>
      <c r="FU225" s="11">
        <f t="shared" si="129"/>
        <v>0</v>
      </c>
      <c r="FV225" s="11">
        <f t="shared" si="130"/>
        <v>0</v>
      </c>
      <c r="FW225" s="11">
        <f t="shared" si="131"/>
        <v>0</v>
      </c>
      <c r="FX225" s="11">
        <f t="shared" si="132"/>
        <v>0</v>
      </c>
      <c r="FY225" s="11">
        <f t="shared" si="133"/>
        <v>0</v>
      </c>
      <c r="FZ225" s="11">
        <f t="shared" si="134"/>
        <v>0</v>
      </c>
      <c r="GA225" s="11">
        <f t="shared" si="135"/>
        <v>0</v>
      </c>
      <c r="GB225" s="11">
        <f t="shared" si="136"/>
        <v>0</v>
      </c>
      <c r="GC225" s="11">
        <f t="shared" si="137"/>
        <v>0</v>
      </c>
      <c r="GD225" s="11">
        <f t="shared" si="138"/>
        <v>0</v>
      </c>
      <c r="GE225" s="11">
        <f t="shared" si="139"/>
        <v>0</v>
      </c>
      <c r="GF225" s="11">
        <f t="shared" si="140"/>
        <v>0</v>
      </c>
      <c r="GG225" s="11">
        <f t="shared" si="141"/>
        <v>0</v>
      </c>
      <c r="GH225" s="11">
        <f t="shared" si="142"/>
        <v>0</v>
      </c>
      <c r="GI225" s="11">
        <f t="shared" si="143"/>
        <v>0</v>
      </c>
      <c r="GJ225" s="11">
        <f t="shared" si="144"/>
        <v>0</v>
      </c>
      <c r="GK225" s="11">
        <f t="shared" si="145"/>
        <v>0</v>
      </c>
      <c r="GL225" s="11">
        <f t="shared" si="146"/>
        <v>0</v>
      </c>
      <c r="GM225" s="11">
        <f t="shared" si="147"/>
        <v>0</v>
      </c>
      <c r="GN225" s="11">
        <f t="shared" si="148"/>
        <v>0</v>
      </c>
      <c r="GO225" s="11">
        <f t="shared" si="149"/>
        <v>0</v>
      </c>
      <c r="GP225" s="11">
        <f t="shared" si="150"/>
        <v>0</v>
      </c>
      <c r="GQ225" s="11">
        <f t="shared" si="151"/>
        <v>0</v>
      </c>
      <c r="GR225" s="11">
        <f t="shared" si="152"/>
        <v>0</v>
      </c>
      <c r="GS225" s="11">
        <f t="shared" si="153"/>
        <v>0</v>
      </c>
      <c r="GT225" s="11">
        <f t="shared" si="154"/>
        <v>0</v>
      </c>
      <c r="GU225" s="12">
        <f t="shared" si="155"/>
        <v>0</v>
      </c>
      <c r="GV225" s="12">
        <f t="shared" si="156"/>
        <v>0</v>
      </c>
      <c r="GW225" s="12">
        <f t="shared" si="157"/>
        <v>0</v>
      </c>
      <c r="GX225" s="12">
        <f t="shared" si="158"/>
        <v>0</v>
      </c>
      <c r="GY225" s="12">
        <f t="shared" si="159"/>
        <v>0</v>
      </c>
      <c r="GZ225" s="12">
        <f t="shared" si="160"/>
        <v>0</v>
      </c>
      <c r="HA225" s="12">
        <f t="shared" si="161"/>
        <v>0</v>
      </c>
      <c r="HB225" s="12">
        <f t="shared" si="162"/>
        <v>0</v>
      </c>
      <c r="HC225" s="12">
        <f t="shared" si="163"/>
        <v>0</v>
      </c>
      <c r="HD225" s="12">
        <f t="shared" si="164"/>
        <v>0</v>
      </c>
      <c r="HE225" s="12">
        <f t="shared" si="165"/>
        <v>0</v>
      </c>
      <c r="HF225" s="12">
        <f t="shared" si="166"/>
        <v>0</v>
      </c>
      <c r="HG225" s="12">
        <f t="shared" si="167"/>
        <v>0</v>
      </c>
      <c r="HH225" s="12">
        <f t="shared" si="168"/>
        <v>0</v>
      </c>
      <c r="HI225" s="12">
        <f t="shared" si="169"/>
        <v>0</v>
      </c>
      <c r="HJ225" s="12">
        <f t="shared" si="170"/>
        <v>0</v>
      </c>
      <c r="HK225" s="12">
        <f t="shared" si="171"/>
        <v>0</v>
      </c>
      <c r="HL225" s="12">
        <f t="shared" si="172"/>
        <v>0</v>
      </c>
      <c r="HM225" s="12">
        <f t="shared" si="173"/>
        <v>0</v>
      </c>
      <c r="HN225" s="12">
        <f t="shared" si="174"/>
        <v>0</v>
      </c>
      <c r="HO225" s="12">
        <f t="shared" si="175"/>
        <v>0</v>
      </c>
      <c r="HP225" s="12">
        <f t="shared" si="176"/>
        <v>0</v>
      </c>
      <c r="HQ225" s="12">
        <f t="shared" si="177"/>
        <v>0</v>
      </c>
      <c r="HR225" s="12">
        <f t="shared" si="178"/>
        <v>0</v>
      </c>
      <c r="HS225" s="12">
        <f t="shared" si="179"/>
        <v>0</v>
      </c>
      <c r="HT225" s="12">
        <f t="shared" si="180"/>
        <v>0</v>
      </c>
      <c r="HU225" s="12">
        <f t="shared" si="181"/>
        <v>0</v>
      </c>
      <c r="HV225" s="12">
        <f t="shared" si="182"/>
        <v>0</v>
      </c>
      <c r="HW225" s="12">
        <f t="shared" si="183"/>
        <v>0</v>
      </c>
      <c r="HX225" s="12">
        <f t="shared" si="184"/>
        <v>0</v>
      </c>
      <c r="HY225" s="12">
        <f t="shared" si="185"/>
        <v>0</v>
      </c>
      <c r="HZ225" s="12">
        <f t="shared" si="186"/>
        <v>0</v>
      </c>
      <c r="IA225" s="12">
        <f t="shared" si="187"/>
        <v>0</v>
      </c>
      <c r="IB225" s="12">
        <f t="shared" si="188"/>
        <v>0</v>
      </c>
      <c r="IC225" s="12">
        <f t="shared" si="189"/>
        <v>0</v>
      </c>
      <c r="ID225" s="12">
        <f t="shared" si="190"/>
        <v>0</v>
      </c>
      <c r="IE225" s="12">
        <f t="shared" si="191"/>
        <v>0</v>
      </c>
      <c r="IF225" s="12">
        <f t="shared" si="192"/>
        <v>0</v>
      </c>
      <c r="IG225" s="12">
        <f t="shared" si="193"/>
        <v>0</v>
      </c>
      <c r="IH225" s="12">
        <f t="shared" si="194"/>
        <v>0</v>
      </c>
      <c r="II225" s="12">
        <f t="shared" si="195"/>
        <v>0</v>
      </c>
      <c r="IJ225" s="12">
        <f t="shared" si="196"/>
        <v>0</v>
      </c>
      <c r="IK225" s="12">
        <f t="shared" si="197"/>
        <v>0</v>
      </c>
      <c r="IL225" s="12">
        <f t="shared" si="198"/>
        <v>0</v>
      </c>
      <c r="IM225" s="12">
        <f t="shared" si="199"/>
        <v>0</v>
      </c>
      <c r="IN225" s="12">
        <f t="shared" si="200"/>
        <v>0</v>
      </c>
      <c r="IO225" s="12">
        <f t="shared" si="201"/>
        <v>0</v>
      </c>
      <c r="IP225" s="12">
        <f t="shared" si="202"/>
        <v>0</v>
      </c>
      <c r="IQ225" s="12">
        <f t="shared" si="203"/>
        <v>0</v>
      </c>
      <c r="IR225" s="12">
        <f t="shared" si="204"/>
        <v>0</v>
      </c>
      <c r="IS225" s="12">
        <f t="shared" si="205"/>
        <v>0</v>
      </c>
      <c r="IT225" s="12">
        <f t="shared" si="206"/>
        <v>0</v>
      </c>
      <c r="IU225" s="12">
        <f t="shared" si="207"/>
        <v>0</v>
      </c>
      <c r="IV225" s="12">
        <f t="shared" si="208"/>
        <v>0</v>
      </c>
      <c r="IW225" s="12">
        <f t="shared" si="209"/>
        <v>0</v>
      </c>
      <c r="IX225" s="12">
        <f t="shared" si="210"/>
        <v>0</v>
      </c>
      <c r="IY225" s="12">
        <f t="shared" si="211"/>
        <v>0</v>
      </c>
      <c r="IZ225" s="12">
        <f t="shared" si="212"/>
        <v>1</v>
      </c>
      <c r="JA225" s="13">
        <f t="shared" si="213"/>
        <v>0</v>
      </c>
      <c r="JB225" s="13">
        <f t="shared" si="214"/>
        <v>0</v>
      </c>
      <c r="JC225" s="13">
        <f t="shared" si="215"/>
        <v>0</v>
      </c>
      <c r="JD225" s="13">
        <f t="shared" si="216"/>
        <v>0</v>
      </c>
      <c r="JE225" s="13">
        <f t="shared" si="217"/>
        <v>0</v>
      </c>
      <c r="JF225" s="13">
        <f t="shared" si="218"/>
        <v>0</v>
      </c>
      <c r="JG225" s="13">
        <f t="shared" si="219"/>
        <v>0</v>
      </c>
      <c r="JH225" s="13">
        <f t="shared" si="220"/>
        <v>0</v>
      </c>
      <c r="JI225" s="13">
        <f t="shared" si="221"/>
        <v>0</v>
      </c>
      <c r="JJ225" s="13">
        <f t="shared" si="222"/>
        <v>0</v>
      </c>
      <c r="JK225" s="13">
        <f t="shared" si="223"/>
        <v>0</v>
      </c>
      <c r="JL225" s="13">
        <f t="shared" si="224"/>
        <v>0</v>
      </c>
      <c r="JM225" s="13">
        <f t="shared" si="225"/>
        <v>0</v>
      </c>
      <c r="JN225" s="13">
        <f t="shared" si="226"/>
        <v>0</v>
      </c>
      <c r="JO225" s="13">
        <f t="shared" si="227"/>
        <v>0</v>
      </c>
      <c r="JP225" s="13">
        <f t="shared" si="228"/>
        <v>0</v>
      </c>
      <c r="JQ225" s="13">
        <f t="shared" si="229"/>
        <v>0</v>
      </c>
      <c r="JR225" s="13">
        <f t="shared" si="230"/>
        <v>0</v>
      </c>
      <c r="JS225" s="13">
        <f t="shared" si="231"/>
        <v>0</v>
      </c>
      <c r="JT225" s="13">
        <f t="shared" si="232"/>
        <v>0</v>
      </c>
      <c r="JU225" s="13">
        <f t="shared" si="233"/>
        <v>0</v>
      </c>
      <c r="JV225" s="12">
        <f t="shared" si="234"/>
        <v>0</v>
      </c>
      <c r="JW225" s="12">
        <f t="shared" si="235"/>
        <v>0</v>
      </c>
      <c r="JX225" s="12">
        <f t="shared" si="236"/>
        <v>0</v>
      </c>
      <c r="JY225" s="12">
        <f t="shared" si="237"/>
        <v>0</v>
      </c>
      <c r="JZ225" s="12">
        <f t="shared" si="238"/>
        <v>0</v>
      </c>
      <c r="KA225" s="12">
        <f t="shared" si="239"/>
        <v>0</v>
      </c>
      <c r="KB225" s="12">
        <f t="shared" si="240"/>
        <v>0</v>
      </c>
      <c r="KC225" s="12">
        <f t="shared" si="241"/>
        <v>0</v>
      </c>
      <c r="KD225" s="12">
        <f t="shared" si="797"/>
        <v>0</v>
      </c>
      <c r="KE225" s="12">
        <f t="shared" si="243"/>
        <v>0</v>
      </c>
      <c r="KF225" s="12">
        <f t="shared" si="244"/>
        <v>0</v>
      </c>
      <c r="KG225" s="12">
        <f t="shared" si="245"/>
        <v>0</v>
      </c>
      <c r="KH225" s="12">
        <f t="shared" si="246"/>
        <v>0</v>
      </c>
      <c r="KI225" s="12">
        <f t="shared" si="247"/>
        <v>0</v>
      </c>
      <c r="KJ225" s="12">
        <f t="shared" si="248"/>
        <v>0</v>
      </c>
      <c r="KK225" s="12">
        <f t="shared" si="249"/>
        <v>0</v>
      </c>
      <c r="KL225" s="12">
        <f t="shared" si="250"/>
        <v>0</v>
      </c>
      <c r="KM225" s="12">
        <f t="shared" si="251"/>
        <v>0</v>
      </c>
      <c r="KN225" s="12">
        <f t="shared" si="252"/>
        <v>0</v>
      </c>
      <c r="KO225" s="12">
        <f t="shared" si="253"/>
        <v>0</v>
      </c>
      <c r="KP225" s="12">
        <f t="shared" si="254"/>
        <v>0</v>
      </c>
      <c r="KQ225" s="12">
        <f t="shared" si="255"/>
        <v>0</v>
      </c>
      <c r="KR225" s="12">
        <f t="shared" si="256"/>
        <v>0</v>
      </c>
      <c r="KS225" s="12">
        <f t="shared" si="257"/>
        <v>0</v>
      </c>
      <c r="KT225" s="12">
        <f t="shared" si="258"/>
        <v>0</v>
      </c>
      <c r="KU225" s="12">
        <f t="shared" si="259"/>
        <v>0</v>
      </c>
      <c r="KV225" s="12">
        <f t="shared" si="260"/>
        <v>0</v>
      </c>
      <c r="KW225" s="12">
        <f t="shared" si="261"/>
        <v>0</v>
      </c>
      <c r="KX225" s="12">
        <f t="shared" si="262"/>
        <v>0</v>
      </c>
      <c r="KY225" s="12">
        <f t="shared" si="263"/>
        <v>0</v>
      </c>
      <c r="KZ225" s="12">
        <f t="shared" si="264"/>
        <v>0</v>
      </c>
      <c r="LA225" s="12">
        <f t="shared" si="265"/>
        <v>0</v>
      </c>
      <c r="LB225" s="12">
        <f t="shared" si="266"/>
        <v>0</v>
      </c>
      <c r="LC225" s="12">
        <f t="shared" si="267"/>
        <v>0</v>
      </c>
      <c r="LD225" s="12">
        <f t="shared" si="268"/>
        <v>0</v>
      </c>
      <c r="LE225" s="12">
        <f t="shared" si="269"/>
        <v>0</v>
      </c>
      <c r="LF225" s="12">
        <f t="shared" si="270"/>
        <v>0</v>
      </c>
      <c r="LG225" s="12">
        <f t="shared" si="271"/>
        <v>0</v>
      </c>
      <c r="LH225" s="12">
        <f t="shared" si="272"/>
        <v>0</v>
      </c>
      <c r="LI225" s="12">
        <f t="shared" si="273"/>
        <v>0</v>
      </c>
      <c r="LJ225" s="12">
        <f t="shared" si="274"/>
        <v>0</v>
      </c>
      <c r="LK225" s="12">
        <f t="shared" si="275"/>
        <v>0</v>
      </c>
      <c r="LL225" s="12">
        <f t="shared" si="276"/>
        <v>0</v>
      </c>
      <c r="LM225" s="12">
        <f t="shared" si="277"/>
        <v>0</v>
      </c>
      <c r="LN225" s="12">
        <f t="shared" si="278"/>
        <v>0</v>
      </c>
      <c r="LO225" s="12">
        <f t="shared" si="279"/>
        <v>0</v>
      </c>
      <c r="LP225" s="12">
        <f t="shared" si="280"/>
        <v>0</v>
      </c>
      <c r="LQ225" s="12">
        <f t="shared" si="281"/>
        <v>0</v>
      </c>
      <c r="LR225" s="12">
        <f t="shared" si="282"/>
        <v>0</v>
      </c>
      <c r="LS225" s="12">
        <f t="shared" si="283"/>
        <v>0</v>
      </c>
      <c r="LT225" s="13">
        <f t="shared" si="284"/>
        <v>0</v>
      </c>
      <c r="LU225" s="13">
        <f t="shared" si="285"/>
        <v>0</v>
      </c>
      <c r="LV225" s="13">
        <f t="shared" si="286"/>
        <v>0</v>
      </c>
      <c r="LW225" s="13">
        <f t="shared" si="287"/>
        <v>0</v>
      </c>
      <c r="LX225" s="13">
        <f t="shared" si="288"/>
        <v>0</v>
      </c>
      <c r="LY225" s="13">
        <f t="shared" si="289"/>
        <v>0</v>
      </c>
      <c r="LZ225" s="13">
        <f t="shared" si="290"/>
        <v>0</v>
      </c>
      <c r="MA225" s="13">
        <f t="shared" si="291"/>
        <v>0</v>
      </c>
      <c r="MB225" s="13">
        <f t="shared" si="292"/>
        <v>0</v>
      </c>
      <c r="MC225" s="13">
        <f t="shared" si="293"/>
        <v>0</v>
      </c>
      <c r="MD225" s="13">
        <f t="shared" si="294"/>
        <v>0</v>
      </c>
      <c r="ME225" s="13">
        <f t="shared" si="295"/>
        <v>0</v>
      </c>
      <c r="MF225" s="13">
        <f t="shared" si="296"/>
        <v>0</v>
      </c>
      <c r="MG225" s="13">
        <f t="shared" si="297"/>
        <v>0</v>
      </c>
      <c r="MH225" s="13">
        <f t="shared" si="298"/>
        <v>0</v>
      </c>
      <c r="MI225" s="13">
        <f t="shared" si="299"/>
        <v>0</v>
      </c>
      <c r="MJ225" s="13">
        <f t="shared" si="300"/>
        <v>0</v>
      </c>
      <c r="MK225" s="13">
        <f t="shared" si="301"/>
        <v>0</v>
      </c>
      <c r="ML225" s="14">
        <f t="shared" si="302"/>
        <v>0</v>
      </c>
      <c r="MM225" s="14">
        <f t="shared" si="303"/>
        <v>0</v>
      </c>
      <c r="MN225" s="14">
        <f t="shared" si="304"/>
        <v>0</v>
      </c>
      <c r="MO225" s="14">
        <f t="shared" si="305"/>
        <v>0</v>
      </c>
      <c r="MP225" s="14">
        <f t="shared" si="306"/>
        <v>0</v>
      </c>
      <c r="MQ225" s="14">
        <f t="shared" si="307"/>
        <v>0</v>
      </c>
      <c r="MR225" s="14">
        <f t="shared" si="308"/>
        <v>0</v>
      </c>
      <c r="MS225" s="14">
        <f t="shared" si="309"/>
        <v>0</v>
      </c>
      <c r="MT225" s="14">
        <f t="shared" si="310"/>
        <v>0</v>
      </c>
      <c r="MU225" s="14">
        <f t="shared" si="311"/>
        <v>0</v>
      </c>
      <c r="MV225" s="14">
        <f t="shared" si="312"/>
        <v>0</v>
      </c>
      <c r="MW225" s="14">
        <f t="shared" si="313"/>
        <v>0</v>
      </c>
      <c r="MX225" s="14">
        <f t="shared" si="314"/>
        <v>0</v>
      </c>
      <c r="MY225" s="14">
        <f t="shared" si="315"/>
        <v>0</v>
      </c>
      <c r="MZ225" s="14">
        <f t="shared" si="316"/>
        <v>0</v>
      </c>
      <c r="NA225" s="14">
        <f t="shared" si="317"/>
        <v>0</v>
      </c>
      <c r="NB225" s="14">
        <f t="shared" si="318"/>
        <v>0</v>
      </c>
    </row>
    <row r="226" ht="15.75" customHeight="1">
      <c r="A226" s="2">
        <v>473.0</v>
      </c>
      <c r="B226" s="2" t="s">
        <v>4103</v>
      </c>
      <c r="C226" s="2" t="s">
        <v>4104</v>
      </c>
      <c r="D226" s="2" t="s">
        <v>4105</v>
      </c>
      <c r="E226" s="2">
        <v>2023.0</v>
      </c>
      <c r="F226" s="2" t="s">
        <v>4106</v>
      </c>
      <c r="G226" s="2">
        <v>73.0</v>
      </c>
      <c r="I226" s="2" t="s">
        <v>4107</v>
      </c>
      <c r="N226" s="2" t="s">
        <v>4108</v>
      </c>
      <c r="O226" s="2" t="s">
        <v>4109</v>
      </c>
      <c r="P226" s="2" t="s">
        <v>4110</v>
      </c>
      <c r="Q226" s="2" t="s">
        <v>4111</v>
      </c>
      <c r="R226" s="2" t="s">
        <v>4112</v>
      </c>
      <c r="S226" s="2" t="s">
        <v>4113</v>
      </c>
      <c r="T226" s="2" t="s">
        <v>4114</v>
      </c>
      <c r="Y226" s="2" t="s">
        <v>4115</v>
      </c>
      <c r="AB226" s="2" t="s">
        <v>646</v>
      </c>
      <c r="AG226" s="2" t="s">
        <v>4116</v>
      </c>
      <c r="AK226" s="2" t="s">
        <v>4117</v>
      </c>
      <c r="AL226" s="2" t="s">
        <v>384</v>
      </c>
      <c r="AM226" s="2" t="s">
        <v>2613</v>
      </c>
      <c r="AN226" s="2" t="s">
        <v>386</v>
      </c>
      <c r="AO226" s="2" t="s">
        <v>4118</v>
      </c>
      <c r="AP226" s="2" t="s">
        <v>386</v>
      </c>
      <c r="AQ226" s="2">
        <v>1824.0</v>
      </c>
      <c r="AR226" s="2" t="s">
        <v>4119</v>
      </c>
      <c r="AS226" s="2" t="b">
        <v>1</v>
      </c>
      <c r="AT226" s="3">
        <v>0.0</v>
      </c>
      <c r="AU226" s="4"/>
      <c r="AV226" s="4"/>
      <c r="AW226" s="5">
        <f t="shared" si="432"/>
        <v>0</v>
      </c>
      <c r="AX226" s="5">
        <f t="shared" si="4"/>
        <v>0</v>
      </c>
      <c r="AY226" s="5">
        <f t="shared" si="5"/>
        <v>0</v>
      </c>
      <c r="AZ226" s="5">
        <f t="shared" si="6"/>
        <v>0</v>
      </c>
      <c r="BA226" s="5">
        <f t="shared" si="7"/>
        <v>0</v>
      </c>
      <c r="BB226" s="5">
        <f t="shared" si="8"/>
        <v>0</v>
      </c>
      <c r="BC226" s="5">
        <f t="shared" si="9"/>
        <v>0</v>
      </c>
      <c r="BD226" s="5">
        <f t="shared" si="10"/>
        <v>0</v>
      </c>
      <c r="BE226" s="5">
        <f t="shared" si="11"/>
        <v>0</v>
      </c>
      <c r="BF226" s="5">
        <f t="shared" si="12"/>
        <v>0</v>
      </c>
      <c r="BG226" s="5">
        <f t="shared" si="13"/>
        <v>0</v>
      </c>
      <c r="BH226" s="5">
        <f t="shared" si="14"/>
        <v>0</v>
      </c>
      <c r="BI226" s="5">
        <f t="shared" si="15"/>
        <v>0</v>
      </c>
      <c r="BJ226" s="5">
        <f t="shared" si="16"/>
        <v>0</v>
      </c>
      <c r="BK226" s="5">
        <f t="shared" si="17"/>
        <v>0</v>
      </c>
      <c r="BL226" s="5">
        <f t="shared" si="18"/>
        <v>0</v>
      </c>
      <c r="BM226" s="5">
        <f t="shared" si="19"/>
        <v>0</v>
      </c>
      <c r="BN226" s="5">
        <f t="shared" si="20"/>
        <v>0</v>
      </c>
      <c r="BO226" s="5">
        <f t="shared" si="21"/>
        <v>0</v>
      </c>
      <c r="BP226" s="5">
        <f t="shared" si="22"/>
        <v>0</v>
      </c>
      <c r="BQ226" s="5">
        <f t="shared" si="23"/>
        <v>0</v>
      </c>
      <c r="BR226" s="5">
        <f t="shared" si="24"/>
        <v>0</v>
      </c>
      <c r="BS226" s="5">
        <f t="shared" si="25"/>
        <v>0</v>
      </c>
      <c r="BT226" s="5">
        <f t="shared" si="26"/>
        <v>0</v>
      </c>
      <c r="BU226" s="5">
        <f t="shared" si="27"/>
        <v>0</v>
      </c>
      <c r="BV226" s="5">
        <f t="shared" ref="BV226:BW226" si="813">IF(OR(ISNUMBER(SEARCH("grit",$D226)),ISNUMBER(SEARCH("grit",$T226)),ISNUMBER(SEARCH("grit",$R226)),ISNUMBER(SEARCH("grit",$S226)),
ISNUMBER(SEARCH("determination",$D226)),ISNUMBER(SEARCH("determination",$T226)),ISNUMBER(SEARCH("determination",$R226)),ISNUMBER(SEARCH("determination",$S226)),
ISNUMBER(SEARCH("tenacity",$D226)),ISNUMBER(SEARCH("tenacity",$T226)),ISNUMBER(SEARCH("tenacity",$R226)),ISNUMBER(SEARCH("tenacity",$S226)),
ISNUMBER(SEARCH("endurance",$D226)),ISNUMBER(SEARCH("endurance",$T226)),ISNUMBER(SEARCH("endurance",$R226)),ISNUMBER(SEARCH("endurance",$S226)),
ISNUMBER(SEARCH("fortitude",$D226)),ISNUMBER(SEARCH("fortitude",$T226)),ISNUMBER(SEARCH("fortitude",$R226)),ISNUMBER(SEARCH("fortitude",$S226)),
ISNUMBER(SEARCH("resolve",$D226)),ISNUMBER(SEARCH("resolve",$T226)),ISNUMBER(SEARCH("resolve",$R226)),ISNUMBER(SEARCH("resolve",$S226)),
ISNUMBER(SEARCH("stamina",$D226)),ISNUMBER(SEARCH("stamina",$T226)),ISNUMBER(SEARCH("stamina",$R226)),ISNUMBER(SEARCH("stamina",$S226)),
ISNUMBER(SEARCH("guts",$D226)),ISNUMBER(SEARCH("guts",$T226)),ISNUMBER(SEARCH("guts",$R226)),ISNUMBER(SEARCH("guts",$S226)),
ISNUMBER(SEARCH("spunk",$D226)),ISNUMBER(SEARCH("spunk",$T226)),ISNUMBER(SEARCH("spunk",$R226)),ISNUMBER(SEARCH("spunk",$S226))), 1, 0)</f>
        <v>0</v>
      </c>
      <c r="BW226" s="5">
        <f t="shared" si="813"/>
        <v>0</v>
      </c>
      <c r="BX226" s="5">
        <f t="shared" si="29"/>
        <v>0</v>
      </c>
      <c r="BY226" s="5">
        <f t="shared" si="30"/>
        <v>0</v>
      </c>
      <c r="BZ226" s="5">
        <f t="shared" si="31"/>
        <v>0</v>
      </c>
      <c r="CA226" s="5">
        <f t="shared" si="32"/>
        <v>0</v>
      </c>
      <c r="CB226" s="5">
        <f t="shared" si="33"/>
        <v>0</v>
      </c>
      <c r="CC226" s="5">
        <f t="shared" si="34"/>
        <v>0</v>
      </c>
      <c r="CD226" s="5">
        <f t="shared" si="35"/>
        <v>0</v>
      </c>
      <c r="CE226" s="5">
        <f t="shared" si="36"/>
        <v>0</v>
      </c>
      <c r="CF226" s="5">
        <f t="shared" si="37"/>
        <v>0</v>
      </c>
      <c r="CG226" s="5">
        <f t="shared" si="38"/>
        <v>0</v>
      </c>
      <c r="CH226" s="5">
        <f t="shared" si="39"/>
        <v>0</v>
      </c>
      <c r="CI226" s="5">
        <f t="shared" si="40"/>
        <v>0</v>
      </c>
      <c r="CJ226" s="5">
        <f t="shared" si="41"/>
        <v>0</v>
      </c>
      <c r="CK226" s="5">
        <f t="shared" si="42"/>
        <v>1</v>
      </c>
      <c r="CL226" s="5">
        <f t="shared" si="43"/>
        <v>0</v>
      </c>
      <c r="CM226" s="5">
        <f t="shared" si="44"/>
        <v>0</v>
      </c>
      <c r="CN226" s="5">
        <f t="shared" si="45"/>
        <v>0</v>
      </c>
      <c r="CO226" s="5">
        <f t="shared" si="46"/>
        <v>0</v>
      </c>
      <c r="CP226" s="6">
        <f t="shared" si="47"/>
        <v>0</v>
      </c>
      <c r="CQ226" s="6">
        <f t="shared" si="48"/>
        <v>0</v>
      </c>
      <c r="CR226" s="6">
        <f t="shared" si="49"/>
        <v>0</v>
      </c>
      <c r="CS226" s="6">
        <f t="shared" si="50"/>
        <v>0</v>
      </c>
      <c r="CT226" s="6">
        <f t="shared" si="584"/>
        <v>0</v>
      </c>
      <c r="CU226" s="6">
        <f t="shared" si="52"/>
        <v>0</v>
      </c>
      <c r="CV226" s="6">
        <f t="shared" si="53"/>
        <v>0</v>
      </c>
      <c r="CW226" s="6">
        <f t="shared" si="54"/>
        <v>0</v>
      </c>
      <c r="CX226" s="6">
        <f t="shared" si="55"/>
        <v>0</v>
      </c>
      <c r="CY226" s="6">
        <f t="shared" si="56"/>
        <v>0</v>
      </c>
      <c r="CZ226" s="6">
        <f t="shared" si="57"/>
        <v>0</v>
      </c>
      <c r="DA226" s="6">
        <f t="shared" si="58"/>
        <v>0</v>
      </c>
      <c r="DB226" s="6">
        <f t="shared" si="59"/>
        <v>0</v>
      </c>
      <c r="DC226" s="6">
        <f t="shared" si="60"/>
        <v>0</v>
      </c>
      <c r="DD226" s="6">
        <f t="shared" si="61"/>
        <v>0</v>
      </c>
      <c r="DE226" s="6">
        <f t="shared" si="62"/>
        <v>0</v>
      </c>
      <c r="DF226" s="6">
        <f t="shared" si="63"/>
        <v>0</v>
      </c>
      <c r="DG226" s="6">
        <f t="shared" si="64"/>
        <v>0</v>
      </c>
      <c r="DH226" s="6">
        <f t="shared" si="697"/>
        <v>0</v>
      </c>
      <c r="DI226" s="6">
        <f t="shared" si="66"/>
        <v>0</v>
      </c>
      <c r="DJ226" s="6">
        <f t="shared" si="653"/>
        <v>0</v>
      </c>
      <c r="DK226" s="7">
        <f t="shared" si="68"/>
        <v>0</v>
      </c>
      <c r="DL226" s="7">
        <f t="shared" si="498"/>
        <v>0</v>
      </c>
      <c r="DM226" s="7">
        <f t="shared" si="70"/>
        <v>0</v>
      </c>
      <c r="DN226" s="7">
        <f t="shared" si="71"/>
        <v>0</v>
      </c>
      <c r="DO226" s="7">
        <f t="shared" si="72"/>
        <v>0</v>
      </c>
      <c r="DP226" s="8">
        <f t="shared" si="73"/>
        <v>0</v>
      </c>
      <c r="DQ226" s="8">
        <f t="shared" si="74"/>
        <v>1</v>
      </c>
      <c r="DR226" s="7">
        <f t="shared" si="75"/>
        <v>0</v>
      </c>
      <c r="DS226" s="7">
        <f t="shared" si="76"/>
        <v>0</v>
      </c>
      <c r="DT226" s="7">
        <f t="shared" si="77"/>
        <v>0</v>
      </c>
      <c r="DU226" s="9">
        <f t="shared" si="78"/>
        <v>0</v>
      </c>
      <c r="DV226" s="9">
        <f t="shared" si="79"/>
        <v>0</v>
      </c>
      <c r="DW226" s="9">
        <f t="shared" si="80"/>
        <v>0</v>
      </c>
      <c r="DX226" s="9">
        <f t="shared" si="81"/>
        <v>0</v>
      </c>
      <c r="DY226" s="9">
        <f t="shared" si="82"/>
        <v>0</v>
      </c>
      <c r="DZ226" s="9">
        <f t="shared" si="83"/>
        <v>0</v>
      </c>
      <c r="EA226" s="9">
        <f t="shared" si="84"/>
        <v>0</v>
      </c>
      <c r="EB226" s="9">
        <f t="shared" si="85"/>
        <v>0</v>
      </c>
      <c r="EC226" s="9">
        <f t="shared" si="86"/>
        <v>0</v>
      </c>
      <c r="ED226" s="9">
        <f t="shared" si="87"/>
        <v>0</v>
      </c>
      <c r="EE226" s="9">
        <f t="shared" si="88"/>
        <v>0</v>
      </c>
      <c r="EF226" s="9">
        <f t="shared" si="89"/>
        <v>0</v>
      </c>
      <c r="EG226" s="9">
        <f t="shared" si="90"/>
        <v>0</v>
      </c>
      <c r="EH226" s="9">
        <f t="shared" si="91"/>
        <v>0</v>
      </c>
      <c r="EI226" s="9">
        <f t="shared" si="92"/>
        <v>0</v>
      </c>
      <c r="EJ226" s="10">
        <f t="shared" si="93"/>
        <v>0</v>
      </c>
      <c r="EK226" s="10">
        <f t="shared" si="94"/>
        <v>0</v>
      </c>
      <c r="EL226" s="10">
        <f t="shared" ref="EL226:EM226" si="814">IF(OR(ISNUMBER(SEARCH("ai software toolkit", $D226)), ISNUMBER(SEARCH("ai software toolkit", $T226)), ISNUMBER(SEARCH("ai software toolkit", $R226)), ISNUMBER(SEARCH("ai software toolkit", $S226))), 1, 0)</f>
        <v>0</v>
      </c>
      <c r="EM226" s="10">
        <f t="shared" si="814"/>
        <v>0</v>
      </c>
      <c r="EN226" s="10">
        <f t="shared" si="96"/>
        <v>0</v>
      </c>
      <c r="EO226" s="10">
        <f t="shared" si="97"/>
        <v>0</v>
      </c>
      <c r="EP226" s="10">
        <f t="shared" si="98"/>
        <v>0</v>
      </c>
      <c r="EQ226" s="10">
        <f t="shared" si="99"/>
        <v>0</v>
      </c>
      <c r="ER226" s="10">
        <f t="shared" si="100"/>
        <v>0</v>
      </c>
      <c r="ES226" s="10">
        <f t="shared" si="101"/>
        <v>0</v>
      </c>
      <c r="ET226" s="10">
        <f t="shared" si="102"/>
        <v>0</v>
      </c>
      <c r="EU226" s="10">
        <f t="shared" si="103"/>
        <v>0</v>
      </c>
      <c r="EV226" s="10">
        <f t="shared" si="104"/>
        <v>0</v>
      </c>
      <c r="EW226" s="10">
        <f t="shared" si="105"/>
        <v>0</v>
      </c>
      <c r="EX226" s="10">
        <f t="shared" si="106"/>
        <v>0</v>
      </c>
      <c r="EY226" s="10">
        <f t="shared" si="107"/>
        <v>0</v>
      </c>
      <c r="EZ226" s="10">
        <f t="shared" si="108"/>
        <v>0</v>
      </c>
      <c r="FA226" s="10">
        <f t="shared" si="109"/>
        <v>0</v>
      </c>
      <c r="FB226" s="10">
        <f t="shared" si="110"/>
        <v>0</v>
      </c>
      <c r="FC226" s="10">
        <f t="shared" si="111"/>
        <v>0</v>
      </c>
      <c r="FD226" s="10">
        <f t="shared" si="112"/>
        <v>0</v>
      </c>
      <c r="FE226" s="10">
        <f t="shared" si="782"/>
        <v>0</v>
      </c>
      <c r="FF226" s="10">
        <f t="shared" si="114"/>
        <v>0</v>
      </c>
      <c r="FG226" s="10">
        <f t="shared" si="115"/>
        <v>0</v>
      </c>
      <c r="FH226" s="10">
        <f t="shared" si="116"/>
        <v>0</v>
      </c>
      <c r="FI226" s="10">
        <f t="shared" si="117"/>
        <v>0</v>
      </c>
      <c r="FJ226" s="10">
        <f t="shared" si="118"/>
        <v>0</v>
      </c>
      <c r="FK226" s="10">
        <f t="shared" si="119"/>
        <v>0</v>
      </c>
      <c r="FL226" s="10">
        <f t="shared" si="120"/>
        <v>0</v>
      </c>
      <c r="FM226" s="10">
        <f t="shared" si="121"/>
        <v>0</v>
      </c>
      <c r="FN226" s="10">
        <f t="shared" si="122"/>
        <v>0</v>
      </c>
      <c r="FO226" s="10">
        <f t="shared" si="123"/>
        <v>0</v>
      </c>
      <c r="FP226" s="10">
        <f t="shared" si="124"/>
        <v>0</v>
      </c>
      <c r="FQ226" s="10">
        <f t="shared" si="125"/>
        <v>0</v>
      </c>
      <c r="FR226" s="11">
        <f t="shared" si="804"/>
        <v>0</v>
      </c>
      <c r="FS226" s="11">
        <f t="shared" si="127"/>
        <v>0</v>
      </c>
      <c r="FT226" s="11">
        <f t="shared" si="128"/>
        <v>0</v>
      </c>
      <c r="FU226" s="11">
        <f t="shared" si="129"/>
        <v>0</v>
      </c>
      <c r="FV226" s="11">
        <f t="shared" si="130"/>
        <v>0</v>
      </c>
      <c r="FW226" s="11">
        <f t="shared" si="131"/>
        <v>0</v>
      </c>
      <c r="FX226" s="11">
        <f t="shared" si="132"/>
        <v>0</v>
      </c>
      <c r="FY226" s="11">
        <f t="shared" si="133"/>
        <v>0</v>
      </c>
      <c r="FZ226" s="11">
        <f t="shared" si="134"/>
        <v>0</v>
      </c>
      <c r="GA226" s="11">
        <f t="shared" si="135"/>
        <v>0</v>
      </c>
      <c r="GB226" s="11">
        <f t="shared" si="136"/>
        <v>0</v>
      </c>
      <c r="GC226" s="11">
        <f t="shared" si="137"/>
        <v>0</v>
      </c>
      <c r="GD226" s="11">
        <f t="shared" si="138"/>
        <v>0</v>
      </c>
      <c r="GE226" s="11">
        <f t="shared" si="139"/>
        <v>0</v>
      </c>
      <c r="GF226" s="11">
        <f t="shared" si="140"/>
        <v>0</v>
      </c>
      <c r="GG226" s="11">
        <f t="shared" si="141"/>
        <v>0</v>
      </c>
      <c r="GH226" s="11">
        <f t="shared" si="142"/>
        <v>0</v>
      </c>
      <c r="GI226" s="11">
        <f t="shared" si="143"/>
        <v>0</v>
      </c>
      <c r="GJ226" s="11">
        <f t="shared" si="144"/>
        <v>0</v>
      </c>
      <c r="GK226" s="11">
        <f t="shared" si="145"/>
        <v>0</v>
      </c>
      <c r="GL226" s="11">
        <f t="shared" si="146"/>
        <v>0</v>
      </c>
      <c r="GM226" s="11">
        <f t="shared" si="147"/>
        <v>0</v>
      </c>
      <c r="GN226" s="11">
        <f t="shared" si="148"/>
        <v>0</v>
      </c>
      <c r="GO226" s="11">
        <f t="shared" si="149"/>
        <v>0</v>
      </c>
      <c r="GP226" s="11">
        <f t="shared" si="150"/>
        <v>0</v>
      </c>
      <c r="GQ226" s="11">
        <f t="shared" si="151"/>
        <v>0</v>
      </c>
      <c r="GR226" s="11">
        <f t="shared" si="152"/>
        <v>0</v>
      </c>
      <c r="GS226" s="11">
        <f t="shared" si="153"/>
        <v>0</v>
      </c>
      <c r="GT226" s="11">
        <f t="shared" si="154"/>
        <v>0</v>
      </c>
      <c r="GU226" s="12">
        <f t="shared" si="155"/>
        <v>0</v>
      </c>
      <c r="GV226" s="12">
        <f t="shared" si="156"/>
        <v>0</v>
      </c>
      <c r="GW226" s="12">
        <f t="shared" si="157"/>
        <v>0</v>
      </c>
      <c r="GX226" s="12">
        <f t="shared" si="158"/>
        <v>0</v>
      </c>
      <c r="GY226" s="12">
        <f t="shared" si="159"/>
        <v>0</v>
      </c>
      <c r="GZ226" s="12">
        <f t="shared" si="160"/>
        <v>0</v>
      </c>
      <c r="HA226" s="12">
        <f t="shared" si="161"/>
        <v>0</v>
      </c>
      <c r="HB226" s="12">
        <f t="shared" si="162"/>
        <v>0</v>
      </c>
      <c r="HC226" s="12">
        <f t="shared" si="163"/>
        <v>0</v>
      </c>
      <c r="HD226" s="12">
        <f t="shared" si="164"/>
        <v>0</v>
      </c>
      <c r="HE226" s="12">
        <f t="shared" si="165"/>
        <v>0</v>
      </c>
      <c r="HF226" s="12">
        <f t="shared" si="166"/>
        <v>0</v>
      </c>
      <c r="HG226" s="12">
        <f t="shared" si="167"/>
        <v>0</v>
      </c>
      <c r="HH226" s="12">
        <f t="shared" si="168"/>
        <v>0</v>
      </c>
      <c r="HI226" s="12">
        <f t="shared" si="169"/>
        <v>0</v>
      </c>
      <c r="HJ226" s="12">
        <f t="shared" si="170"/>
        <v>0</v>
      </c>
      <c r="HK226" s="12">
        <f t="shared" si="171"/>
        <v>0</v>
      </c>
      <c r="HL226" s="12">
        <f t="shared" si="172"/>
        <v>0</v>
      </c>
      <c r="HM226" s="12">
        <f t="shared" si="173"/>
        <v>0</v>
      </c>
      <c r="HN226" s="12">
        <f t="shared" si="174"/>
        <v>0</v>
      </c>
      <c r="HO226" s="12">
        <f t="shared" si="175"/>
        <v>0</v>
      </c>
      <c r="HP226" s="12">
        <f t="shared" si="176"/>
        <v>0</v>
      </c>
      <c r="HQ226" s="12">
        <f t="shared" si="177"/>
        <v>0</v>
      </c>
      <c r="HR226" s="12">
        <f t="shared" si="178"/>
        <v>0</v>
      </c>
      <c r="HS226" s="12">
        <f t="shared" si="179"/>
        <v>0</v>
      </c>
      <c r="HT226" s="12">
        <f t="shared" si="180"/>
        <v>0</v>
      </c>
      <c r="HU226" s="12">
        <f t="shared" si="181"/>
        <v>0</v>
      </c>
      <c r="HV226" s="12">
        <f t="shared" si="182"/>
        <v>0</v>
      </c>
      <c r="HW226" s="12">
        <f t="shared" si="183"/>
        <v>0</v>
      </c>
      <c r="HX226" s="12">
        <f t="shared" si="184"/>
        <v>0</v>
      </c>
      <c r="HY226" s="12">
        <f t="shared" si="185"/>
        <v>0</v>
      </c>
      <c r="HZ226" s="12">
        <f t="shared" si="186"/>
        <v>0</v>
      </c>
      <c r="IA226" s="12">
        <f t="shared" si="187"/>
        <v>0</v>
      </c>
      <c r="IB226" s="12">
        <f t="shared" si="188"/>
        <v>0</v>
      </c>
      <c r="IC226" s="12">
        <f t="shared" si="189"/>
        <v>0</v>
      </c>
      <c r="ID226" s="12">
        <f t="shared" si="190"/>
        <v>0</v>
      </c>
      <c r="IE226" s="12">
        <f t="shared" si="191"/>
        <v>0</v>
      </c>
      <c r="IF226" s="12">
        <f t="shared" si="192"/>
        <v>0</v>
      </c>
      <c r="IG226" s="12">
        <f t="shared" si="193"/>
        <v>0</v>
      </c>
      <c r="IH226" s="12">
        <f t="shared" si="194"/>
        <v>0</v>
      </c>
      <c r="II226" s="12">
        <f t="shared" si="195"/>
        <v>0</v>
      </c>
      <c r="IJ226" s="12">
        <f t="shared" si="196"/>
        <v>0</v>
      </c>
      <c r="IK226" s="12">
        <f t="shared" si="197"/>
        <v>0</v>
      </c>
      <c r="IL226" s="12">
        <f t="shared" si="198"/>
        <v>0</v>
      </c>
      <c r="IM226" s="12">
        <f t="shared" si="199"/>
        <v>0</v>
      </c>
      <c r="IN226" s="12">
        <f t="shared" si="200"/>
        <v>0</v>
      </c>
      <c r="IO226" s="12">
        <f t="shared" si="201"/>
        <v>0</v>
      </c>
      <c r="IP226" s="12">
        <f t="shared" si="202"/>
        <v>0</v>
      </c>
      <c r="IQ226" s="12">
        <f t="shared" si="203"/>
        <v>0</v>
      </c>
      <c r="IR226" s="12">
        <f t="shared" si="204"/>
        <v>0</v>
      </c>
      <c r="IS226" s="12">
        <f t="shared" si="205"/>
        <v>0</v>
      </c>
      <c r="IT226" s="12">
        <f t="shared" si="206"/>
        <v>0</v>
      </c>
      <c r="IU226" s="12">
        <f t="shared" si="207"/>
        <v>0</v>
      </c>
      <c r="IV226" s="12">
        <f t="shared" si="208"/>
        <v>0</v>
      </c>
      <c r="IW226" s="12">
        <f t="shared" si="209"/>
        <v>0</v>
      </c>
      <c r="IX226" s="12">
        <f t="shared" si="210"/>
        <v>0</v>
      </c>
      <c r="IY226" s="12">
        <f t="shared" si="211"/>
        <v>0</v>
      </c>
      <c r="IZ226" s="12">
        <f t="shared" si="212"/>
        <v>0</v>
      </c>
      <c r="JA226" s="13">
        <f t="shared" si="213"/>
        <v>0</v>
      </c>
      <c r="JB226" s="13">
        <f t="shared" si="214"/>
        <v>0</v>
      </c>
      <c r="JC226" s="13">
        <f t="shared" si="215"/>
        <v>0</v>
      </c>
      <c r="JD226" s="13">
        <f t="shared" si="216"/>
        <v>0</v>
      </c>
      <c r="JE226" s="13">
        <f t="shared" si="217"/>
        <v>0</v>
      </c>
      <c r="JF226" s="13">
        <f t="shared" si="218"/>
        <v>0</v>
      </c>
      <c r="JG226" s="13">
        <f t="shared" si="219"/>
        <v>0</v>
      </c>
      <c r="JH226" s="13">
        <f t="shared" si="220"/>
        <v>0</v>
      </c>
      <c r="JI226" s="13">
        <f t="shared" si="221"/>
        <v>0</v>
      </c>
      <c r="JJ226" s="13">
        <f t="shared" si="222"/>
        <v>0</v>
      </c>
      <c r="JK226" s="13">
        <f t="shared" si="223"/>
        <v>0</v>
      </c>
      <c r="JL226" s="13">
        <f t="shared" si="224"/>
        <v>0</v>
      </c>
      <c r="JM226" s="13">
        <f t="shared" si="225"/>
        <v>0</v>
      </c>
      <c r="JN226" s="13">
        <f t="shared" si="226"/>
        <v>0</v>
      </c>
      <c r="JO226" s="13">
        <f t="shared" si="227"/>
        <v>0</v>
      </c>
      <c r="JP226" s="13">
        <f t="shared" si="228"/>
        <v>0</v>
      </c>
      <c r="JQ226" s="13">
        <f t="shared" si="229"/>
        <v>0</v>
      </c>
      <c r="JR226" s="13">
        <f t="shared" si="230"/>
        <v>0</v>
      </c>
      <c r="JS226" s="13">
        <f t="shared" si="231"/>
        <v>0</v>
      </c>
      <c r="JT226" s="13">
        <f t="shared" si="232"/>
        <v>0</v>
      </c>
      <c r="JU226" s="13">
        <f t="shared" si="233"/>
        <v>0</v>
      </c>
      <c r="JV226" s="12">
        <f t="shared" si="234"/>
        <v>0</v>
      </c>
      <c r="JW226" s="12">
        <f t="shared" si="235"/>
        <v>0</v>
      </c>
      <c r="JX226" s="12">
        <f t="shared" si="236"/>
        <v>0</v>
      </c>
      <c r="JY226" s="12">
        <f t="shared" si="237"/>
        <v>0</v>
      </c>
      <c r="JZ226" s="12">
        <f t="shared" si="238"/>
        <v>0</v>
      </c>
      <c r="KA226" s="12">
        <f t="shared" si="239"/>
        <v>0</v>
      </c>
      <c r="KB226" s="12">
        <f t="shared" si="240"/>
        <v>0</v>
      </c>
      <c r="KC226" s="12">
        <f t="shared" si="241"/>
        <v>0</v>
      </c>
      <c r="KD226" s="12">
        <f t="shared" si="797"/>
        <v>0</v>
      </c>
      <c r="KE226" s="12">
        <f t="shared" si="243"/>
        <v>0</v>
      </c>
      <c r="KF226" s="12">
        <f t="shared" si="244"/>
        <v>0</v>
      </c>
      <c r="KG226" s="12">
        <f t="shared" si="245"/>
        <v>0</v>
      </c>
      <c r="KH226" s="12">
        <f t="shared" si="246"/>
        <v>0</v>
      </c>
      <c r="KI226" s="12">
        <f t="shared" si="247"/>
        <v>0</v>
      </c>
      <c r="KJ226" s="12">
        <f t="shared" si="248"/>
        <v>0</v>
      </c>
      <c r="KK226" s="12">
        <f t="shared" si="249"/>
        <v>0</v>
      </c>
      <c r="KL226" s="12">
        <f t="shared" si="250"/>
        <v>0</v>
      </c>
      <c r="KM226" s="12">
        <f t="shared" si="251"/>
        <v>0</v>
      </c>
      <c r="KN226" s="12">
        <f t="shared" si="252"/>
        <v>0</v>
      </c>
      <c r="KO226" s="12">
        <f t="shared" si="253"/>
        <v>0</v>
      </c>
      <c r="KP226" s="12">
        <f t="shared" si="254"/>
        <v>0</v>
      </c>
      <c r="KQ226" s="12">
        <f t="shared" si="255"/>
        <v>0</v>
      </c>
      <c r="KR226" s="12">
        <f t="shared" si="256"/>
        <v>0</v>
      </c>
      <c r="KS226" s="12">
        <f t="shared" si="257"/>
        <v>0</v>
      </c>
      <c r="KT226" s="12">
        <f t="shared" si="258"/>
        <v>0</v>
      </c>
      <c r="KU226" s="12">
        <f t="shared" si="259"/>
        <v>0</v>
      </c>
      <c r="KV226" s="12">
        <f t="shared" si="260"/>
        <v>0</v>
      </c>
      <c r="KW226" s="12">
        <f t="shared" si="261"/>
        <v>0</v>
      </c>
      <c r="KX226" s="12">
        <f t="shared" si="262"/>
        <v>0</v>
      </c>
      <c r="KY226" s="12">
        <f t="shared" si="263"/>
        <v>0</v>
      </c>
      <c r="KZ226" s="12">
        <f t="shared" si="264"/>
        <v>0</v>
      </c>
      <c r="LA226" s="12">
        <f t="shared" si="265"/>
        <v>0</v>
      </c>
      <c r="LB226" s="12">
        <f t="shared" si="266"/>
        <v>0</v>
      </c>
      <c r="LC226" s="12">
        <f t="shared" si="267"/>
        <v>0</v>
      </c>
      <c r="LD226" s="12">
        <f t="shared" si="268"/>
        <v>0</v>
      </c>
      <c r="LE226" s="12">
        <f t="shared" si="269"/>
        <v>0</v>
      </c>
      <c r="LF226" s="12">
        <f t="shared" si="270"/>
        <v>0</v>
      </c>
      <c r="LG226" s="12">
        <f t="shared" si="271"/>
        <v>0</v>
      </c>
      <c r="LH226" s="12">
        <f t="shared" si="272"/>
        <v>0</v>
      </c>
      <c r="LI226" s="12">
        <f t="shared" si="273"/>
        <v>0</v>
      </c>
      <c r="LJ226" s="12">
        <f t="shared" si="274"/>
        <v>0</v>
      </c>
      <c r="LK226" s="12">
        <f t="shared" si="275"/>
        <v>0</v>
      </c>
      <c r="LL226" s="12">
        <f t="shared" si="276"/>
        <v>0</v>
      </c>
      <c r="LM226" s="12">
        <f t="shared" si="277"/>
        <v>0</v>
      </c>
      <c r="LN226" s="12">
        <f t="shared" si="278"/>
        <v>0</v>
      </c>
      <c r="LO226" s="12">
        <f t="shared" si="279"/>
        <v>0</v>
      </c>
      <c r="LP226" s="12">
        <f t="shared" si="280"/>
        <v>0</v>
      </c>
      <c r="LQ226" s="12">
        <f t="shared" si="281"/>
        <v>0</v>
      </c>
      <c r="LR226" s="12">
        <f t="shared" si="282"/>
        <v>0</v>
      </c>
      <c r="LS226" s="12">
        <f t="shared" si="283"/>
        <v>0</v>
      </c>
      <c r="LT226" s="13">
        <f t="shared" si="284"/>
        <v>0</v>
      </c>
      <c r="LU226" s="13">
        <f t="shared" si="285"/>
        <v>0</v>
      </c>
      <c r="LV226" s="13">
        <f t="shared" si="286"/>
        <v>0</v>
      </c>
      <c r="LW226" s="13">
        <f t="shared" si="287"/>
        <v>0</v>
      </c>
      <c r="LX226" s="13">
        <f t="shared" si="288"/>
        <v>0</v>
      </c>
      <c r="LY226" s="13">
        <f t="shared" si="289"/>
        <v>0</v>
      </c>
      <c r="LZ226" s="13">
        <f t="shared" si="290"/>
        <v>0</v>
      </c>
      <c r="MA226" s="13">
        <f t="shared" si="291"/>
        <v>0</v>
      </c>
      <c r="MB226" s="13">
        <f t="shared" si="292"/>
        <v>0</v>
      </c>
      <c r="MC226" s="13">
        <f t="shared" si="293"/>
        <v>0</v>
      </c>
      <c r="MD226" s="13">
        <f t="shared" si="294"/>
        <v>0</v>
      </c>
      <c r="ME226" s="13">
        <f t="shared" si="295"/>
        <v>0</v>
      </c>
      <c r="MF226" s="13">
        <f t="shared" si="296"/>
        <v>0</v>
      </c>
      <c r="MG226" s="13">
        <f t="shared" si="297"/>
        <v>0</v>
      </c>
      <c r="MH226" s="13">
        <f t="shared" si="298"/>
        <v>0</v>
      </c>
      <c r="MI226" s="13">
        <f t="shared" si="299"/>
        <v>0</v>
      </c>
      <c r="MJ226" s="13">
        <f t="shared" si="300"/>
        <v>0</v>
      </c>
      <c r="MK226" s="13">
        <f t="shared" si="301"/>
        <v>0</v>
      </c>
      <c r="ML226" s="14">
        <f t="shared" si="302"/>
        <v>0</v>
      </c>
      <c r="MM226" s="14">
        <f t="shared" si="303"/>
        <v>0</v>
      </c>
      <c r="MN226" s="14">
        <f t="shared" si="304"/>
        <v>0</v>
      </c>
      <c r="MO226" s="14">
        <f t="shared" si="305"/>
        <v>1</v>
      </c>
      <c r="MP226" s="14">
        <f t="shared" si="306"/>
        <v>0</v>
      </c>
      <c r="MQ226" s="14">
        <f t="shared" si="307"/>
        <v>0</v>
      </c>
      <c r="MR226" s="14">
        <f t="shared" si="308"/>
        <v>0</v>
      </c>
      <c r="MS226" s="14">
        <f t="shared" si="309"/>
        <v>0</v>
      </c>
      <c r="MT226" s="14">
        <f t="shared" si="310"/>
        <v>0</v>
      </c>
      <c r="MU226" s="14">
        <f t="shared" si="311"/>
        <v>0</v>
      </c>
      <c r="MV226" s="14">
        <f t="shared" si="312"/>
        <v>0</v>
      </c>
      <c r="MW226" s="14">
        <f t="shared" si="313"/>
        <v>0</v>
      </c>
      <c r="MX226" s="14">
        <f t="shared" si="314"/>
        <v>0</v>
      </c>
      <c r="MY226" s="14">
        <f t="shared" si="315"/>
        <v>0</v>
      </c>
      <c r="MZ226" s="14">
        <f t="shared" si="316"/>
        <v>0</v>
      </c>
      <c r="NA226" s="14">
        <f t="shared" si="317"/>
        <v>0</v>
      </c>
      <c r="NB226" s="14">
        <f t="shared" si="318"/>
        <v>0</v>
      </c>
    </row>
    <row r="227" ht="15.75" customHeight="1">
      <c r="A227" s="2">
        <v>528.0</v>
      </c>
      <c r="B227" s="2" t="s">
        <v>4120</v>
      </c>
      <c r="C227" s="2" t="s">
        <v>4121</v>
      </c>
      <c r="D227" s="2" t="s">
        <v>4122</v>
      </c>
      <c r="E227" s="2">
        <v>2023.0</v>
      </c>
      <c r="F227" s="2" t="s">
        <v>4123</v>
      </c>
      <c r="J227" s="2" t="s">
        <v>392</v>
      </c>
      <c r="K227" s="2" t="s">
        <v>564</v>
      </c>
      <c r="N227" s="2" t="s">
        <v>4124</v>
      </c>
      <c r="O227" s="2" t="s">
        <v>4125</v>
      </c>
      <c r="P227" s="2" t="s">
        <v>4126</v>
      </c>
      <c r="Q227" s="2" t="s">
        <v>4127</v>
      </c>
      <c r="R227" s="2" t="s">
        <v>4128</v>
      </c>
      <c r="S227" s="2" t="s">
        <v>4129</v>
      </c>
      <c r="T227" s="2" t="s">
        <v>4130</v>
      </c>
      <c r="AB227" s="2" t="s">
        <v>668</v>
      </c>
      <c r="AG227" s="2" t="s">
        <v>4131</v>
      </c>
      <c r="AK227" s="2" t="s">
        <v>4132</v>
      </c>
      <c r="AL227" s="2" t="s">
        <v>2966</v>
      </c>
      <c r="AN227" s="2" t="s">
        <v>386</v>
      </c>
      <c r="AO227" s="2" t="s">
        <v>4133</v>
      </c>
      <c r="AP227" s="2" t="s">
        <v>386</v>
      </c>
      <c r="AQ227" s="2">
        <v>2054.0</v>
      </c>
      <c r="AR227" s="2" t="s">
        <v>4134</v>
      </c>
      <c r="AS227" s="2" t="b">
        <v>1</v>
      </c>
      <c r="AT227" s="3">
        <v>0.0</v>
      </c>
      <c r="AU227" s="4"/>
      <c r="AV227" s="4"/>
      <c r="AW227" s="5">
        <f t="shared" si="432"/>
        <v>0</v>
      </c>
      <c r="AX227" s="5">
        <f t="shared" si="4"/>
        <v>0</v>
      </c>
      <c r="AY227" s="5">
        <f t="shared" si="5"/>
        <v>0</v>
      </c>
      <c r="AZ227" s="5">
        <f t="shared" si="6"/>
        <v>0</v>
      </c>
      <c r="BA227" s="5">
        <f t="shared" si="7"/>
        <v>0</v>
      </c>
      <c r="BB227" s="5">
        <f t="shared" si="8"/>
        <v>0</v>
      </c>
      <c r="BC227" s="5">
        <f t="shared" si="9"/>
        <v>0</v>
      </c>
      <c r="BD227" s="5">
        <f t="shared" si="10"/>
        <v>0</v>
      </c>
      <c r="BE227" s="5">
        <f t="shared" si="11"/>
        <v>0</v>
      </c>
      <c r="BF227" s="5">
        <f t="shared" si="12"/>
        <v>0</v>
      </c>
      <c r="BG227" s="5">
        <f t="shared" si="13"/>
        <v>0</v>
      </c>
      <c r="BH227" s="5">
        <f t="shared" si="14"/>
        <v>0</v>
      </c>
      <c r="BI227" s="5">
        <f t="shared" si="15"/>
        <v>0</v>
      </c>
      <c r="BJ227" s="5">
        <f t="shared" si="16"/>
        <v>0</v>
      </c>
      <c r="BK227" s="5">
        <f t="shared" si="17"/>
        <v>0</v>
      </c>
      <c r="BL227" s="5">
        <f t="shared" si="18"/>
        <v>0</v>
      </c>
      <c r="BM227" s="5">
        <f t="shared" si="19"/>
        <v>0</v>
      </c>
      <c r="BN227" s="5">
        <f t="shared" si="20"/>
        <v>0</v>
      </c>
      <c r="BO227" s="5">
        <f t="shared" si="21"/>
        <v>0</v>
      </c>
      <c r="BP227" s="5">
        <f t="shared" si="22"/>
        <v>0</v>
      </c>
      <c r="BQ227" s="5">
        <f t="shared" si="23"/>
        <v>0</v>
      </c>
      <c r="BR227" s="5">
        <f t="shared" si="24"/>
        <v>0</v>
      </c>
      <c r="BS227" s="5">
        <f t="shared" si="25"/>
        <v>1</v>
      </c>
      <c r="BT227" s="5">
        <f t="shared" si="26"/>
        <v>0</v>
      </c>
      <c r="BU227" s="5">
        <f t="shared" si="27"/>
        <v>0</v>
      </c>
      <c r="BV227" s="5">
        <f t="shared" ref="BV227:BW227" si="815">IF(OR(ISNUMBER(SEARCH("grit",$D227)),ISNUMBER(SEARCH("grit",$T227)),ISNUMBER(SEARCH("grit",$R227)),ISNUMBER(SEARCH("grit",$S227)),
ISNUMBER(SEARCH("determination",$D227)),ISNUMBER(SEARCH("determination",$T227)),ISNUMBER(SEARCH("determination",$R227)),ISNUMBER(SEARCH("determination",$S227)),
ISNUMBER(SEARCH("tenacity",$D227)),ISNUMBER(SEARCH("tenacity",$T227)),ISNUMBER(SEARCH("tenacity",$R227)),ISNUMBER(SEARCH("tenacity",$S227)),
ISNUMBER(SEARCH("endurance",$D227)),ISNUMBER(SEARCH("endurance",$T227)),ISNUMBER(SEARCH("endurance",$R227)),ISNUMBER(SEARCH("endurance",$S227)),
ISNUMBER(SEARCH("fortitude",$D227)),ISNUMBER(SEARCH("fortitude",$T227)),ISNUMBER(SEARCH("fortitude",$R227)),ISNUMBER(SEARCH("fortitude",$S227)),
ISNUMBER(SEARCH("resolve",$D227)),ISNUMBER(SEARCH("resolve",$T227)),ISNUMBER(SEARCH("resolve",$R227)),ISNUMBER(SEARCH("resolve",$S227)),
ISNUMBER(SEARCH("stamina",$D227)),ISNUMBER(SEARCH("stamina",$T227)),ISNUMBER(SEARCH("stamina",$R227)),ISNUMBER(SEARCH("stamina",$S227)),
ISNUMBER(SEARCH("guts",$D227)),ISNUMBER(SEARCH("guts",$T227)),ISNUMBER(SEARCH("guts",$R227)),ISNUMBER(SEARCH("guts",$S227)),
ISNUMBER(SEARCH("spunk",$D227)),ISNUMBER(SEARCH("spunk",$T227)),ISNUMBER(SEARCH("spunk",$R227)),ISNUMBER(SEARCH("spunk",$S227))), 1, 0)</f>
        <v>0</v>
      </c>
      <c r="BW227" s="5">
        <f t="shared" si="815"/>
        <v>0</v>
      </c>
      <c r="BX227" s="5">
        <f t="shared" si="29"/>
        <v>0</v>
      </c>
      <c r="BY227" s="5">
        <f t="shared" si="30"/>
        <v>0</v>
      </c>
      <c r="BZ227" s="5">
        <f t="shared" si="31"/>
        <v>0</v>
      </c>
      <c r="CA227" s="5">
        <f t="shared" si="32"/>
        <v>0</v>
      </c>
      <c r="CB227" s="5">
        <f t="shared" si="33"/>
        <v>0</v>
      </c>
      <c r="CC227" s="5">
        <f t="shared" si="34"/>
        <v>0</v>
      </c>
      <c r="CD227" s="5">
        <f t="shared" si="35"/>
        <v>0</v>
      </c>
      <c r="CE227" s="5">
        <f t="shared" si="36"/>
        <v>0</v>
      </c>
      <c r="CF227" s="5">
        <f t="shared" si="37"/>
        <v>0</v>
      </c>
      <c r="CG227" s="5">
        <f t="shared" si="38"/>
        <v>0</v>
      </c>
      <c r="CH227" s="5">
        <f t="shared" si="39"/>
        <v>0</v>
      </c>
      <c r="CI227" s="5">
        <f t="shared" si="40"/>
        <v>0</v>
      </c>
      <c r="CJ227" s="5">
        <f t="shared" si="41"/>
        <v>0</v>
      </c>
      <c r="CK227" s="5">
        <f t="shared" si="42"/>
        <v>0</v>
      </c>
      <c r="CL227" s="5">
        <f t="shared" si="43"/>
        <v>0</v>
      </c>
      <c r="CM227" s="5">
        <f t="shared" si="44"/>
        <v>0</v>
      </c>
      <c r="CN227" s="5">
        <f t="shared" si="45"/>
        <v>0</v>
      </c>
      <c r="CO227" s="5">
        <f t="shared" si="46"/>
        <v>0</v>
      </c>
      <c r="CP227" s="6">
        <f t="shared" si="47"/>
        <v>0</v>
      </c>
      <c r="CQ227" s="6">
        <f t="shared" si="48"/>
        <v>0</v>
      </c>
      <c r="CR227" s="6">
        <f t="shared" si="49"/>
        <v>0</v>
      </c>
      <c r="CS227" s="6">
        <f t="shared" si="50"/>
        <v>0</v>
      </c>
      <c r="CT227" s="6">
        <f t="shared" si="584"/>
        <v>0</v>
      </c>
      <c r="CU227" s="6">
        <f t="shared" si="52"/>
        <v>0</v>
      </c>
      <c r="CV227" s="6">
        <f t="shared" si="53"/>
        <v>0</v>
      </c>
      <c r="CW227" s="6">
        <f t="shared" si="54"/>
        <v>0</v>
      </c>
      <c r="CX227" s="6">
        <f t="shared" si="55"/>
        <v>0</v>
      </c>
      <c r="CY227" s="6">
        <f t="shared" si="56"/>
        <v>0</v>
      </c>
      <c r="CZ227" s="6">
        <f t="shared" si="57"/>
        <v>0</v>
      </c>
      <c r="DA227" s="6">
        <f t="shared" si="58"/>
        <v>0</v>
      </c>
      <c r="DB227" s="6">
        <f t="shared" si="59"/>
        <v>0</v>
      </c>
      <c r="DC227" s="6">
        <f t="shared" si="60"/>
        <v>0</v>
      </c>
      <c r="DD227" s="6">
        <f t="shared" si="61"/>
        <v>0</v>
      </c>
      <c r="DE227" s="6">
        <f t="shared" si="62"/>
        <v>0</v>
      </c>
      <c r="DF227" s="6">
        <f t="shared" si="63"/>
        <v>0</v>
      </c>
      <c r="DG227" s="6">
        <f t="shared" si="64"/>
        <v>0</v>
      </c>
      <c r="DH227" s="6">
        <f t="shared" si="697"/>
        <v>0</v>
      </c>
      <c r="DI227" s="6">
        <f t="shared" si="66"/>
        <v>0</v>
      </c>
      <c r="DJ227" s="6">
        <f t="shared" si="653"/>
        <v>0</v>
      </c>
      <c r="DK227" s="7">
        <f t="shared" si="68"/>
        <v>0</v>
      </c>
      <c r="DL227" s="7">
        <f t="shared" si="498"/>
        <v>0</v>
      </c>
      <c r="DM227" s="7">
        <f t="shared" si="70"/>
        <v>0</v>
      </c>
      <c r="DN227" s="7">
        <f t="shared" si="71"/>
        <v>0</v>
      </c>
      <c r="DO227" s="7">
        <f t="shared" si="72"/>
        <v>0</v>
      </c>
      <c r="DP227" s="8">
        <f t="shared" si="73"/>
        <v>0</v>
      </c>
      <c r="DQ227" s="8">
        <f t="shared" si="74"/>
        <v>1</v>
      </c>
      <c r="DR227" s="7">
        <f t="shared" si="75"/>
        <v>0</v>
      </c>
      <c r="DS227" s="7">
        <f t="shared" si="76"/>
        <v>0</v>
      </c>
      <c r="DT227" s="7">
        <f t="shared" si="77"/>
        <v>1</v>
      </c>
      <c r="DU227" s="9">
        <f t="shared" si="78"/>
        <v>0</v>
      </c>
      <c r="DV227" s="9">
        <f t="shared" si="79"/>
        <v>0</v>
      </c>
      <c r="DW227" s="9">
        <f t="shared" si="80"/>
        <v>0</v>
      </c>
      <c r="DX227" s="9">
        <f t="shared" si="81"/>
        <v>0</v>
      </c>
      <c r="DY227" s="9">
        <f t="shared" si="82"/>
        <v>0</v>
      </c>
      <c r="DZ227" s="9">
        <f t="shared" si="83"/>
        <v>0</v>
      </c>
      <c r="EA227" s="9">
        <f t="shared" si="84"/>
        <v>0</v>
      </c>
      <c r="EB227" s="9">
        <f t="shared" si="85"/>
        <v>0</v>
      </c>
      <c r="EC227" s="9">
        <f t="shared" si="86"/>
        <v>0</v>
      </c>
      <c r="ED227" s="9">
        <f t="shared" si="87"/>
        <v>0</v>
      </c>
      <c r="EE227" s="9">
        <f t="shared" si="88"/>
        <v>0</v>
      </c>
      <c r="EF227" s="9">
        <f t="shared" si="89"/>
        <v>0</v>
      </c>
      <c r="EG227" s="9">
        <f t="shared" si="90"/>
        <v>0</v>
      </c>
      <c r="EH227" s="9">
        <f t="shared" si="91"/>
        <v>0</v>
      </c>
      <c r="EI227" s="9">
        <f t="shared" si="92"/>
        <v>0</v>
      </c>
      <c r="EJ227" s="10">
        <f t="shared" si="93"/>
        <v>0</v>
      </c>
      <c r="EK227" s="10">
        <f t="shared" si="94"/>
        <v>0</v>
      </c>
      <c r="EL227" s="10">
        <f t="shared" ref="EL227:EM227" si="816">IF(OR(ISNUMBER(SEARCH("ai software toolkit", $D227)), ISNUMBER(SEARCH("ai software toolkit", $T227)), ISNUMBER(SEARCH("ai software toolkit", $R227)), ISNUMBER(SEARCH("ai software toolkit", $S227))), 1, 0)</f>
        <v>0</v>
      </c>
      <c r="EM227" s="10">
        <f t="shared" si="816"/>
        <v>0</v>
      </c>
      <c r="EN227" s="10">
        <f t="shared" si="96"/>
        <v>0</v>
      </c>
      <c r="EO227" s="10">
        <f t="shared" si="97"/>
        <v>0</v>
      </c>
      <c r="EP227" s="10">
        <f t="shared" si="98"/>
        <v>0</v>
      </c>
      <c r="EQ227" s="10">
        <f t="shared" si="99"/>
        <v>0</v>
      </c>
      <c r="ER227" s="10">
        <f t="shared" si="100"/>
        <v>0</v>
      </c>
      <c r="ES227" s="10">
        <f t="shared" si="101"/>
        <v>0</v>
      </c>
      <c r="ET227" s="10">
        <f t="shared" si="102"/>
        <v>0</v>
      </c>
      <c r="EU227" s="10">
        <f t="shared" si="103"/>
        <v>0</v>
      </c>
      <c r="EV227" s="10">
        <f t="shared" si="104"/>
        <v>0</v>
      </c>
      <c r="EW227" s="10">
        <f t="shared" si="105"/>
        <v>0</v>
      </c>
      <c r="EX227" s="10">
        <f t="shared" si="106"/>
        <v>0</v>
      </c>
      <c r="EY227" s="10">
        <f t="shared" si="107"/>
        <v>0</v>
      </c>
      <c r="EZ227" s="10">
        <f t="shared" si="108"/>
        <v>0</v>
      </c>
      <c r="FA227" s="10">
        <f t="shared" si="109"/>
        <v>0</v>
      </c>
      <c r="FB227" s="10">
        <f t="shared" si="110"/>
        <v>0</v>
      </c>
      <c r="FC227" s="10">
        <f t="shared" si="111"/>
        <v>0</v>
      </c>
      <c r="FD227" s="10">
        <f t="shared" si="112"/>
        <v>0</v>
      </c>
      <c r="FE227" s="10">
        <f t="shared" si="782"/>
        <v>0</v>
      </c>
      <c r="FF227" s="10">
        <f t="shared" si="114"/>
        <v>0</v>
      </c>
      <c r="FG227" s="10">
        <f t="shared" si="115"/>
        <v>0</v>
      </c>
      <c r="FH227" s="10">
        <f t="shared" si="116"/>
        <v>0</v>
      </c>
      <c r="FI227" s="10">
        <f t="shared" si="117"/>
        <v>0</v>
      </c>
      <c r="FJ227" s="10">
        <f t="shared" si="118"/>
        <v>0</v>
      </c>
      <c r="FK227" s="10">
        <f t="shared" si="119"/>
        <v>0</v>
      </c>
      <c r="FL227" s="10">
        <f t="shared" si="120"/>
        <v>0</v>
      </c>
      <c r="FM227" s="10">
        <f t="shared" si="121"/>
        <v>0</v>
      </c>
      <c r="FN227" s="10">
        <f t="shared" si="122"/>
        <v>0</v>
      </c>
      <c r="FO227" s="10">
        <f t="shared" si="123"/>
        <v>0</v>
      </c>
      <c r="FP227" s="10">
        <f t="shared" si="124"/>
        <v>0</v>
      </c>
      <c r="FQ227" s="10">
        <f t="shared" si="125"/>
        <v>0</v>
      </c>
      <c r="FR227" s="11">
        <f t="shared" si="804"/>
        <v>0</v>
      </c>
      <c r="FS227" s="11">
        <f t="shared" si="127"/>
        <v>0</v>
      </c>
      <c r="FT227" s="11">
        <f t="shared" si="128"/>
        <v>0</v>
      </c>
      <c r="FU227" s="11">
        <f t="shared" si="129"/>
        <v>0</v>
      </c>
      <c r="FV227" s="11">
        <f t="shared" si="130"/>
        <v>0</v>
      </c>
      <c r="FW227" s="11">
        <f t="shared" si="131"/>
        <v>0</v>
      </c>
      <c r="FX227" s="11">
        <f t="shared" si="132"/>
        <v>0</v>
      </c>
      <c r="FY227" s="11">
        <f t="shared" si="133"/>
        <v>0</v>
      </c>
      <c r="FZ227" s="11">
        <f t="shared" si="134"/>
        <v>1</v>
      </c>
      <c r="GA227" s="11">
        <f t="shared" si="135"/>
        <v>0</v>
      </c>
      <c r="GB227" s="11">
        <f t="shared" si="136"/>
        <v>0</v>
      </c>
      <c r="GC227" s="11">
        <f t="shared" si="137"/>
        <v>0</v>
      </c>
      <c r="GD227" s="11">
        <f t="shared" si="138"/>
        <v>0</v>
      </c>
      <c r="GE227" s="11">
        <f t="shared" si="139"/>
        <v>0</v>
      </c>
      <c r="GF227" s="11">
        <f t="shared" si="140"/>
        <v>0</v>
      </c>
      <c r="GG227" s="11">
        <f t="shared" si="141"/>
        <v>0</v>
      </c>
      <c r="GH227" s="11">
        <f t="shared" si="142"/>
        <v>0</v>
      </c>
      <c r="GI227" s="11">
        <f t="shared" si="143"/>
        <v>0</v>
      </c>
      <c r="GJ227" s="11">
        <f t="shared" si="144"/>
        <v>0</v>
      </c>
      <c r="GK227" s="11">
        <f t="shared" si="145"/>
        <v>0</v>
      </c>
      <c r="GL227" s="11">
        <f t="shared" si="146"/>
        <v>0</v>
      </c>
      <c r="GM227" s="11">
        <f t="shared" si="147"/>
        <v>0</v>
      </c>
      <c r="GN227" s="11">
        <f t="shared" si="148"/>
        <v>0</v>
      </c>
      <c r="GO227" s="11">
        <f t="shared" si="149"/>
        <v>0</v>
      </c>
      <c r="GP227" s="11">
        <f t="shared" si="150"/>
        <v>0</v>
      </c>
      <c r="GQ227" s="11">
        <f t="shared" si="151"/>
        <v>0</v>
      </c>
      <c r="GR227" s="11">
        <f t="shared" si="152"/>
        <v>0</v>
      </c>
      <c r="GS227" s="11">
        <f t="shared" si="153"/>
        <v>0</v>
      </c>
      <c r="GT227" s="11">
        <f t="shared" si="154"/>
        <v>0</v>
      </c>
      <c r="GU227" s="12">
        <f t="shared" si="155"/>
        <v>0</v>
      </c>
      <c r="GV227" s="12">
        <f t="shared" si="156"/>
        <v>0</v>
      </c>
      <c r="GW227" s="12">
        <f t="shared" si="157"/>
        <v>0</v>
      </c>
      <c r="GX227" s="12">
        <f t="shared" si="158"/>
        <v>0</v>
      </c>
      <c r="GY227" s="12">
        <f t="shared" si="159"/>
        <v>0</v>
      </c>
      <c r="GZ227" s="12">
        <f t="shared" si="160"/>
        <v>0</v>
      </c>
      <c r="HA227" s="12">
        <f t="shared" si="161"/>
        <v>0</v>
      </c>
      <c r="HB227" s="12">
        <f t="shared" si="162"/>
        <v>0</v>
      </c>
      <c r="HC227" s="12">
        <f t="shared" si="163"/>
        <v>0</v>
      </c>
      <c r="HD227" s="12">
        <f t="shared" si="164"/>
        <v>0</v>
      </c>
      <c r="HE227" s="12">
        <f t="shared" si="165"/>
        <v>0</v>
      </c>
      <c r="HF227" s="12">
        <f t="shared" si="166"/>
        <v>0</v>
      </c>
      <c r="HG227" s="12">
        <f t="shared" si="167"/>
        <v>0</v>
      </c>
      <c r="HH227" s="12">
        <f t="shared" si="168"/>
        <v>0</v>
      </c>
      <c r="HI227" s="12">
        <f t="shared" si="169"/>
        <v>0</v>
      </c>
      <c r="HJ227" s="12">
        <f t="shared" si="170"/>
        <v>0</v>
      </c>
      <c r="HK227" s="12">
        <f t="shared" si="171"/>
        <v>0</v>
      </c>
      <c r="HL227" s="12">
        <f t="shared" si="172"/>
        <v>0</v>
      </c>
      <c r="HM227" s="12">
        <f t="shared" si="173"/>
        <v>0</v>
      </c>
      <c r="HN227" s="12">
        <f t="shared" si="174"/>
        <v>0</v>
      </c>
      <c r="HO227" s="12">
        <f t="shared" si="175"/>
        <v>0</v>
      </c>
      <c r="HP227" s="12">
        <f t="shared" si="176"/>
        <v>0</v>
      </c>
      <c r="HQ227" s="12">
        <f t="shared" si="177"/>
        <v>0</v>
      </c>
      <c r="HR227" s="12">
        <f t="shared" si="178"/>
        <v>0</v>
      </c>
      <c r="HS227" s="12">
        <f t="shared" si="179"/>
        <v>0</v>
      </c>
      <c r="HT227" s="12">
        <f t="shared" si="180"/>
        <v>0</v>
      </c>
      <c r="HU227" s="12">
        <f t="shared" si="181"/>
        <v>0</v>
      </c>
      <c r="HV227" s="12">
        <f t="shared" si="182"/>
        <v>1</v>
      </c>
      <c r="HW227" s="12">
        <f t="shared" si="183"/>
        <v>0</v>
      </c>
      <c r="HX227" s="12">
        <f t="shared" si="184"/>
        <v>0</v>
      </c>
      <c r="HY227" s="12">
        <f t="shared" si="185"/>
        <v>0</v>
      </c>
      <c r="HZ227" s="12">
        <f t="shared" si="186"/>
        <v>0</v>
      </c>
      <c r="IA227" s="12">
        <f t="shared" si="187"/>
        <v>0</v>
      </c>
      <c r="IB227" s="12">
        <f t="shared" si="188"/>
        <v>0</v>
      </c>
      <c r="IC227" s="12">
        <f t="shared" si="189"/>
        <v>0</v>
      </c>
      <c r="ID227" s="12">
        <f t="shared" si="190"/>
        <v>0</v>
      </c>
      <c r="IE227" s="12">
        <f t="shared" si="191"/>
        <v>0</v>
      </c>
      <c r="IF227" s="12">
        <f t="shared" si="192"/>
        <v>0</v>
      </c>
      <c r="IG227" s="12">
        <f t="shared" si="193"/>
        <v>0</v>
      </c>
      <c r="IH227" s="12">
        <f t="shared" si="194"/>
        <v>0</v>
      </c>
      <c r="II227" s="12">
        <f t="shared" si="195"/>
        <v>0</v>
      </c>
      <c r="IJ227" s="12">
        <f t="shared" si="196"/>
        <v>0</v>
      </c>
      <c r="IK227" s="12">
        <f t="shared" si="197"/>
        <v>0</v>
      </c>
      <c r="IL227" s="12">
        <f t="shared" si="198"/>
        <v>0</v>
      </c>
      <c r="IM227" s="12">
        <f t="shared" si="199"/>
        <v>0</v>
      </c>
      <c r="IN227" s="12">
        <f t="shared" si="200"/>
        <v>0</v>
      </c>
      <c r="IO227" s="12">
        <f t="shared" si="201"/>
        <v>0</v>
      </c>
      <c r="IP227" s="12">
        <f t="shared" si="202"/>
        <v>0</v>
      </c>
      <c r="IQ227" s="12">
        <f t="shared" si="203"/>
        <v>0</v>
      </c>
      <c r="IR227" s="12">
        <f t="shared" si="204"/>
        <v>0</v>
      </c>
      <c r="IS227" s="12">
        <f t="shared" si="205"/>
        <v>0</v>
      </c>
      <c r="IT227" s="12">
        <f t="shared" si="206"/>
        <v>0</v>
      </c>
      <c r="IU227" s="12">
        <f t="shared" si="207"/>
        <v>0</v>
      </c>
      <c r="IV227" s="12">
        <f t="shared" si="208"/>
        <v>0</v>
      </c>
      <c r="IW227" s="12">
        <f t="shared" si="209"/>
        <v>0</v>
      </c>
      <c r="IX227" s="12">
        <f t="shared" si="210"/>
        <v>0</v>
      </c>
      <c r="IY227" s="12">
        <f t="shared" si="211"/>
        <v>0</v>
      </c>
      <c r="IZ227" s="12">
        <f t="shared" si="212"/>
        <v>0</v>
      </c>
      <c r="JA227" s="13">
        <f t="shared" si="213"/>
        <v>0</v>
      </c>
      <c r="JB227" s="13">
        <f t="shared" si="214"/>
        <v>0</v>
      </c>
      <c r="JC227" s="13">
        <f t="shared" si="215"/>
        <v>1</v>
      </c>
      <c r="JD227" s="13">
        <f t="shared" si="216"/>
        <v>0</v>
      </c>
      <c r="JE227" s="13">
        <f t="shared" si="217"/>
        <v>0</v>
      </c>
      <c r="JF227" s="13">
        <f t="shared" si="218"/>
        <v>0</v>
      </c>
      <c r="JG227" s="13">
        <f t="shared" si="219"/>
        <v>0</v>
      </c>
      <c r="JH227" s="13">
        <f t="shared" si="220"/>
        <v>0</v>
      </c>
      <c r="JI227" s="13">
        <f t="shared" si="221"/>
        <v>0</v>
      </c>
      <c r="JJ227" s="13">
        <f t="shared" si="222"/>
        <v>0</v>
      </c>
      <c r="JK227" s="13">
        <f t="shared" si="223"/>
        <v>0</v>
      </c>
      <c r="JL227" s="13">
        <f t="shared" si="224"/>
        <v>0</v>
      </c>
      <c r="JM227" s="13">
        <f t="shared" si="225"/>
        <v>0</v>
      </c>
      <c r="JN227" s="13">
        <f t="shared" si="226"/>
        <v>0</v>
      </c>
      <c r="JO227" s="13">
        <f t="shared" si="227"/>
        <v>0</v>
      </c>
      <c r="JP227" s="13">
        <f t="shared" si="228"/>
        <v>0</v>
      </c>
      <c r="JQ227" s="13">
        <f t="shared" si="229"/>
        <v>0</v>
      </c>
      <c r="JR227" s="13">
        <f t="shared" si="230"/>
        <v>0</v>
      </c>
      <c r="JS227" s="13">
        <f t="shared" si="231"/>
        <v>0</v>
      </c>
      <c r="JT227" s="13">
        <f t="shared" si="232"/>
        <v>0</v>
      </c>
      <c r="JU227" s="13">
        <f t="shared" si="233"/>
        <v>0</v>
      </c>
      <c r="JV227" s="12">
        <f t="shared" si="234"/>
        <v>0</v>
      </c>
      <c r="JW227" s="12">
        <f t="shared" si="235"/>
        <v>0</v>
      </c>
      <c r="JX227" s="12">
        <f t="shared" si="236"/>
        <v>0</v>
      </c>
      <c r="JY227" s="12">
        <f t="shared" si="237"/>
        <v>0</v>
      </c>
      <c r="JZ227" s="12">
        <f t="shared" si="238"/>
        <v>0</v>
      </c>
      <c r="KA227" s="12">
        <f t="shared" si="239"/>
        <v>0</v>
      </c>
      <c r="KB227" s="12">
        <f t="shared" si="240"/>
        <v>0</v>
      </c>
      <c r="KC227" s="12">
        <f t="shared" si="241"/>
        <v>0</v>
      </c>
      <c r="KD227" s="12">
        <f t="shared" si="797"/>
        <v>0</v>
      </c>
      <c r="KE227" s="12">
        <f t="shared" si="243"/>
        <v>0</v>
      </c>
      <c r="KF227" s="12">
        <f t="shared" si="244"/>
        <v>0</v>
      </c>
      <c r="KG227" s="12">
        <f t="shared" si="245"/>
        <v>0</v>
      </c>
      <c r="KH227" s="12">
        <f t="shared" si="246"/>
        <v>0</v>
      </c>
      <c r="KI227" s="12">
        <f t="shared" si="247"/>
        <v>0</v>
      </c>
      <c r="KJ227" s="12">
        <f t="shared" si="248"/>
        <v>0</v>
      </c>
      <c r="KK227" s="12">
        <f t="shared" si="249"/>
        <v>0</v>
      </c>
      <c r="KL227" s="12">
        <f t="shared" si="250"/>
        <v>0</v>
      </c>
      <c r="KM227" s="12">
        <f t="shared" si="251"/>
        <v>0</v>
      </c>
      <c r="KN227" s="12">
        <f t="shared" si="252"/>
        <v>0</v>
      </c>
      <c r="KO227" s="12">
        <f t="shared" si="253"/>
        <v>0</v>
      </c>
      <c r="KP227" s="12">
        <f t="shared" si="254"/>
        <v>0</v>
      </c>
      <c r="KQ227" s="12">
        <f t="shared" si="255"/>
        <v>0</v>
      </c>
      <c r="KR227" s="12">
        <f t="shared" si="256"/>
        <v>0</v>
      </c>
      <c r="KS227" s="12">
        <f t="shared" si="257"/>
        <v>0</v>
      </c>
      <c r="KT227" s="12">
        <f t="shared" si="258"/>
        <v>0</v>
      </c>
      <c r="KU227" s="12">
        <f t="shared" si="259"/>
        <v>0</v>
      </c>
      <c r="KV227" s="12">
        <f t="shared" si="260"/>
        <v>0</v>
      </c>
      <c r="KW227" s="12">
        <f t="shared" si="261"/>
        <v>0</v>
      </c>
      <c r="KX227" s="12">
        <f t="shared" si="262"/>
        <v>0</v>
      </c>
      <c r="KY227" s="12">
        <f t="shared" si="263"/>
        <v>0</v>
      </c>
      <c r="KZ227" s="12">
        <f t="shared" si="264"/>
        <v>0</v>
      </c>
      <c r="LA227" s="12">
        <f t="shared" si="265"/>
        <v>0</v>
      </c>
      <c r="LB227" s="12">
        <f t="shared" si="266"/>
        <v>0</v>
      </c>
      <c r="LC227" s="12">
        <f t="shared" si="267"/>
        <v>0</v>
      </c>
      <c r="LD227" s="12">
        <f t="shared" si="268"/>
        <v>0</v>
      </c>
      <c r="LE227" s="12">
        <f t="shared" si="269"/>
        <v>0</v>
      </c>
      <c r="LF227" s="12">
        <f t="shared" si="270"/>
        <v>0</v>
      </c>
      <c r="LG227" s="12">
        <f t="shared" si="271"/>
        <v>0</v>
      </c>
      <c r="LH227" s="12">
        <f t="shared" si="272"/>
        <v>0</v>
      </c>
      <c r="LI227" s="12">
        <f t="shared" si="273"/>
        <v>0</v>
      </c>
      <c r="LJ227" s="12">
        <f t="shared" si="274"/>
        <v>0</v>
      </c>
      <c r="LK227" s="12">
        <f t="shared" si="275"/>
        <v>0</v>
      </c>
      <c r="LL227" s="12">
        <f t="shared" si="276"/>
        <v>0</v>
      </c>
      <c r="LM227" s="12">
        <f t="shared" si="277"/>
        <v>0</v>
      </c>
      <c r="LN227" s="12">
        <f t="shared" si="278"/>
        <v>0</v>
      </c>
      <c r="LO227" s="12">
        <f t="shared" si="279"/>
        <v>0</v>
      </c>
      <c r="LP227" s="12">
        <f t="shared" si="280"/>
        <v>0</v>
      </c>
      <c r="LQ227" s="12">
        <f t="shared" si="281"/>
        <v>0</v>
      </c>
      <c r="LR227" s="12">
        <f t="shared" si="282"/>
        <v>0</v>
      </c>
      <c r="LS227" s="12">
        <f t="shared" si="283"/>
        <v>0</v>
      </c>
      <c r="LT227" s="13">
        <f t="shared" si="284"/>
        <v>0</v>
      </c>
      <c r="LU227" s="13">
        <f t="shared" si="285"/>
        <v>0</v>
      </c>
      <c r="LV227" s="13">
        <f t="shared" si="286"/>
        <v>0</v>
      </c>
      <c r="LW227" s="13">
        <f t="shared" si="287"/>
        <v>0</v>
      </c>
      <c r="LX227" s="13">
        <f t="shared" si="288"/>
        <v>0</v>
      </c>
      <c r="LY227" s="13">
        <f t="shared" si="289"/>
        <v>0</v>
      </c>
      <c r="LZ227" s="13">
        <f t="shared" si="290"/>
        <v>0</v>
      </c>
      <c r="MA227" s="13">
        <f t="shared" si="291"/>
        <v>0</v>
      </c>
      <c r="MB227" s="13">
        <f t="shared" si="292"/>
        <v>0</v>
      </c>
      <c r="MC227" s="13">
        <f t="shared" si="293"/>
        <v>0</v>
      </c>
      <c r="MD227" s="13">
        <f t="shared" si="294"/>
        <v>0</v>
      </c>
      <c r="ME227" s="13">
        <f t="shared" si="295"/>
        <v>0</v>
      </c>
      <c r="MF227" s="13">
        <f t="shared" si="296"/>
        <v>0</v>
      </c>
      <c r="MG227" s="13">
        <f t="shared" si="297"/>
        <v>0</v>
      </c>
      <c r="MH227" s="13">
        <f t="shared" si="298"/>
        <v>0</v>
      </c>
      <c r="MI227" s="13">
        <f t="shared" si="299"/>
        <v>0</v>
      </c>
      <c r="MJ227" s="13">
        <f t="shared" si="300"/>
        <v>0</v>
      </c>
      <c r="MK227" s="13">
        <f t="shared" si="301"/>
        <v>0</v>
      </c>
      <c r="ML227" s="14">
        <f t="shared" si="302"/>
        <v>0</v>
      </c>
      <c r="MM227" s="14">
        <f t="shared" si="303"/>
        <v>0</v>
      </c>
      <c r="MN227" s="14">
        <f t="shared" si="304"/>
        <v>0</v>
      </c>
      <c r="MO227" s="14">
        <f t="shared" si="305"/>
        <v>0</v>
      </c>
      <c r="MP227" s="14">
        <f t="shared" si="306"/>
        <v>0</v>
      </c>
      <c r="MQ227" s="14">
        <f t="shared" si="307"/>
        <v>0</v>
      </c>
      <c r="MR227" s="14">
        <f t="shared" si="308"/>
        <v>0</v>
      </c>
      <c r="MS227" s="14">
        <f t="shared" si="309"/>
        <v>0</v>
      </c>
      <c r="MT227" s="14">
        <f t="shared" si="310"/>
        <v>0</v>
      </c>
      <c r="MU227" s="14">
        <f t="shared" si="311"/>
        <v>0</v>
      </c>
      <c r="MV227" s="14">
        <f t="shared" si="312"/>
        <v>0</v>
      </c>
      <c r="MW227" s="14">
        <f t="shared" si="313"/>
        <v>0</v>
      </c>
      <c r="MX227" s="14">
        <f t="shared" si="314"/>
        <v>0</v>
      </c>
      <c r="MY227" s="14">
        <f t="shared" si="315"/>
        <v>0</v>
      </c>
      <c r="MZ227" s="14">
        <f t="shared" si="316"/>
        <v>0</v>
      </c>
      <c r="NA227" s="14">
        <f t="shared" si="317"/>
        <v>0</v>
      </c>
      <c r="NB227" s="14">
        <f t="shared" si="318"/>
        <v>0</v>
      </c>
    </row>
    <row r="228" ht="15.75" customHeight="1">
      <c r="A228" s="2">
        <v>520.0</v>
      </c>
      <c r="B228" s="2" t="s">
        <v>4135</v>
      </c>
      <c r="C228" s="2" t="s">
        <v>4136</v>
      </c>
      <c r="D228" s="2" t="s">
        <v>4137</v>
      </c>
      <c r="E228" s="2">
        <v>2023.0</v>
      </c>
      <c r="F228" s="2" t="s">
        <v>4138</v>
      </c>
      <c r="G228" s="2">
        <v>15.0</v>
      </c>
      <c r="H228" s="2" t="s">
        <v>392</v>
      </c>
      <c r="J228" s="2" t="s">
        <v>4139</v>
      </c>
      <c r="K228" s="2" t="s">
        <v>1634</v>
      </c>
      <c r="N228" s="2" t="s">
        <v>4140</v>
      </c>
      <c r="O228" s="2" t="s">
        <v>4141</v>
      </c>
      <c r="P228" s="2" t="s">
        <v>4142</v>
      </c>
      <c r="Q228" s="2" t="s">
        <v>4143</v>
      </c>
      <c r="R228" s="2" t="s">
        <v>4144</v>
      </c>
      <c r="S228" s="2" t="s">
        <v>4145</v>
      </c>
      <c r="AB228" s="2" t="s">
        <v>1059</v>
      </c>
      <c r="AG228" s="2" t="s">
        <v>4146</v>
      </c>
      <c r="AK228" s="2" t="s">
        <v>4147</v>
      </c>
      <c r="AL228" s="2" t="s">
        <v>384</v>
      </c>
      <c r="AN228" s="2" t="s">
        <v>386</v>
      </c>
      <c r="AO228" s="2" t="s">
        <v>4148</v>
      </c>
      <c r="AP228" s="2" t="s">
        <v>386</v>
      </c>
      <c r="AQ228" s="2">
        <v>2022.0</v>
      </c>
      <c r="AR228" s="2" t="s">
        <v>4149</v>
      </c>
      <c r="AS228" s="2" t="b">
        <v>0</v>
      </c>
      <c r="AT228" s="3">
        <v>0.0</v>
      </c>
      <c r="AU228" s="4"/>
      <c r="AV228" s="4"/>
      <c r="AW228" s="5">
        <f t="shared" si="432"/>
        <v>0</v>
      </c>
      <c r="AX228" s="5">
        <f t="shared" si="4"/>
        <v>0</v>
      </c>
      <c r="AY228" s="5">
        <f t="shared" si="5"/>
        <v>0</v>
      </c>
      <c r="AZ228" s="5">
        <f t="shared" si="6"/>
        <v>0</v>
      </c>
      <c r="BA228" s="5">
        <f t="shared" si="7"/>
        <v>0</v>
      </c>
      <c r="BB228" s="5">
        <f t="shared" si="8"/>
        <v>0</v>
      </c>
      <c r="BC228" s="5">
        <f t="shared" si="9"/>
        <v>0</v>
      </c>
      <c r="BD228" s="5">
        <f t="shared" si="10"/>
        <v>0</v>
      </c>
      <c r="BE228" s="5">
        <f t="shared" si="11"/>
        <v>0</v>
      </c>
      <c r="BF228" s="5">
        <f t="shared" si="12"/>
        <v>0</v>
      </c>
      <c r="BG228" s="5">
        <f t="shared" si="13"/>
        <v>0</v>
      </c>
      <c r="BH228" s="5">
        <f t="shared" si="14"/>
        <v>0</v>
      </c>
      <c r="BI228" s="5">
        <f t="shared" si="15"/>
        <v>0</v>
      </c>
      <c r="BJ228" s="5">
        <f t="shared" si="16"/>
        <v>0</v>
      </c>
      <c r="BK228" s="5">
        <f t="shared" si="17"/>
        <v>0</v>
      </c>
      <c r="BL228" s="5">
        <f t="shared" si="18"/>
        <v>0</v>
      </c>
      <c r="BM228" s="5">
        <f t="shared" si="19"/>
        <v>0</v>
      </c>
      <c r="BN228" s="5">
        <f t="shared" si="20"/>
        <v>0</v>
      </c>
      <c r="BO228" s="5">
        <f t="shared" si="21"/>
        <v>0</v>
      </c>
      <c r="BP228" s="5">
        <f t="shared" si="22"/>
        <v>0</v>
      </c>
      <c r="BQ228" s="5">
        <f t="shared" si="23"/>
        <v>0</v>
      </c>
      <c r="BR228" s="5">
        <f t="shared" si="24"/>
        <v>0</v>
      </c>
      <c r="BS228" s="5">
        <f t="shared" si="25"/>
        <v>0</v>
      </c>
      <c r="BT228" s="5">
        <f t="shared" si="26"/>
        <v>0</v>
      </c>
      <c r="BU228" s="5">
        <f t="shared" si="27"/>
        <v>0</v>
      </c>
      <c r="BV228" s="5">
        <f t="shared" ref="BV228:BW228" si="817">IF(OR(ISNUMBER(SEARCH("grit",$D228)),ISNUMBER(SEARCH("grit",$T228)),ISNUMBER(SEARCH("grit",$R228)),ISNUMBER(SEARCH("grit",$S228)),
ISNUMBER(SEARCH("determination",$D228)),ISNUMBER(SEARCH("determination",$T228)),ISNUMBER(SEARCH("determination",$R228)),ISNUMBER(SEARCH("determination",$S228)),
ISNUMBER(SEARCH("tenacity",$D228)),ISNUMBER(SEARCH("tenacity",$T228)),ISNUMBER(SEARCH("tenacity",$R228)),ISNUMBER(SEARCH("tenacity",$S228)),
ISNUMBER(SEARCH("endurance",$D228)),ISNUMBER(SEARCH("endurance",$T228)),ISNUMBER(SEARCH("endurance",$R228)),ISNUMBER(SEARCH("endurance",$S228)),
ISNUMBER(SEARCH("fortitude",$D228)),ISNUMBER(SEARCH("fortitude",$T228)),ISNUMBER(SEARCH("fortitude",$R228)),ISNUMBER(SEARCH("fortitude",$S228)),
ISNUMBER(SEARCH("resolve",$D228)),ISNUMBER(SEARCH("resolve",$T228)),ISNUMBER(SEARCH("resolve",$R228)),ISNUMBER(SEARCH("resolve",$S228)),
ISNUMBER(SEARCH("stamina",$D228)),ISNUMBER(SEARCH("stamina",$T228)),ISNUMBER(SEARCH("stamina",$R228)),ISNUMBER(SEARCH("stamina",$S228)),
ISNUMBER(SEARCH("guts",$D228)),ISNUMBER(SEARCH("guts",$T228)),ISNUMBER(SEARCH("guts",$R228)),ISNUMBER(SEARCH("guts",$S228)),
ISNUMBER(SEARCH("spunk",$D228)),ISNUMBER(SEARCH("spunk",$T228)),ISNUMBER(SEARCH("spunk",$R228)),ISNUMBER(SEARCH("spunk",$S228))), 1, 0)</f>
        <v>1</v>
      </c>
      <c r="BW228" s="5">
        <f t="shared" si="817"/>
        <v>1</v>
      </c>
      <c r="BX228" s="5">
        <f t="shared" si="29"/>
        <v>0</v>
      </c>
      <c r="BY228" s="5">
        <f t="shared" si="30"/>
        <v>0</v>
      </c>
      <c r="BZ228" s="5">
        <f t="shared" si="31"/>
        <v>0</v>
      </c>
      <c r="CA228" s="5">
        <f t="shared" si="32"/>
        <v>0</v>
      </c>
      <c r="CB228" s="5">
        <f t="shared" si="33"/>
        <v>0</v>
      </c>
      <c r="CC228" s="5">
        <f t="shared" si="34"/>
        <v>0</v>
      </c>
      <c r="CD228" s="5">
        <f t="shared" si="35"/>
        <v>0</v>
      </c>
      <c r="CE228" s="5">
        <f t="shared" si="36"/>
        <v>0</v>
      </c>
      <c r="CF228" s="5">
        <f t="shared" si="37"/>
        <v>0</v>
      </c>
      <c r="CG228" s="5">
        <f t="shared" si="38"/>
        <v>0</v>
      </c>
      <c r="CH228" s="5">
        <f t="shared" si="39"/>
        <v>0</v>
      </c>
      <c r="CI228" s="5">
        <f t="shared" si="40"/>
        <v>0</v>
      </c>
      <c r="CJ228" s="5">
        <f t="shared" si="41"/>
        <v>0</v>
      </c>
      <c r="CK228" s="5">
        <f t="shared" si="42"/>
        <v>0</v>
      </c>
      <c r="CL228" s="5">
        <f t="shared" si="43"/>
        <v>0</v>
      </c>
      <c r="CM228" s="5">
        <f t="shared" si="44"/>
        <v>0</v>
      </c>
      <c r="CN228" s="5">
        <f t="shared" si="45"/>
        <v>0</v>
      </c>
      <c r="CO228" s="5">
        <f t="shared" si="46"/>
        <v>0</v>
      </c>
      <c r="CP228" s="6">
        <f t="shared" si="47"/>
        <v>0</v>
      </c>
      <c r="CQ228" s="6">
        <f t="shared" si="48"/>
        <v>0</v>
      </c>
      <c r="CR228" s="6">
        <f t="shared" si="49"/>
        <v>0</v>
      </c>
      <c r="CS228" s="6">
        <f t="shared" si="50"/>
        <v>0</v>
      </c>
      <c r="CT228" s="6">
        <f t="shared" si="584"/>
        <v>0</v>
      </c>
      <c r="CU228" s="6">
        <f t="shared" si="52"/>
        <v>0</v>
      </c>
      <c r="CV228" s="6">
        <f t="shared" si="53"/>
        <v>0</v>
      </c>
      <c r="CW228" s="6">
        <f t="shared" si="54"/>
        <v>0</v>
      </c>
      <c r="CX228" s="6">
        <f t="shared" si="55"/>
        <v>0</v>
      </c>
      <c r="CY228" s="6">
        <f t="shared" si="56"/>
        <v>0</v>
      </c>
      <c r="CZ228" s="6">
        <f t="shared" si="57"/>
        <v>0</v>
      </c>
      <c r="DA228" s="6">
        <f t="shared" si="58"/>
        <v>0</v>
      </c>
      <c r="DB228" s="6">
        <f t="shared" si="59"/>
        <v>0</v>
      </c>
      <c r="DC228" s="6">
        <f t="shared" si="60"/>
        <v>0</v>
      </c>
      <c r="DD228" s="6">
        <f t="shared" si="61"/>
        <v>0</v>
      </c>
      <c r="DE228" s="6">
        <f t="shared" si="62"/>
        <v>0</v>
      </c>
      <c r="DF228" s="6">
        <f t="shared" si="63"/>
        <v>0</v>
      </c>
      <c r="DG228" s="6">
        <f t="shared" si="64"/>
        <v>0</v>
      </c>
      <c r="DH228" s="6">
        <f t="shared" si="697"/>
        <v>0</v>
      </c>
      <c r="DI228" s="6">
        <f t="shared" si="66"/>
        <v>0</v>
      </c>
      <c r="DJ228" s="6">
        <f t="shared" si="653"/>
        <v>0</v>
      </c>
      <c r="DK228" s="7">
        <f t="shared" si="68"/>
        <v>0</v>
      </c>
      <c r="DL228" s="7">
        <f t="shared" si="498"/>
        <v>0</v>
      </c>
      <c r="DM228" s="7">
        <f t="shared" si="70"/>
        <v>0</v>
      </c>
      <c r="DN228" s="7">
        <f t="shared" si="71"/>
        <v>0</v>
      </c>
      <c r="DO228" s="7">
        <f t="shared" si="72"/>
        <v>0</v>
      </c>
      <c r="DP228" s="8">
        <f t="shared" si="73"/>
        <v>0</v>
      </c>
      <c r="DQ228" s="8">
        <f t="shared" si="74"/>
        <v>1</v>
      </c>
      <c r="DR228" s="7">
        <f t="shared" si="75"/>
        <v>0</v>
      </c>
      <c r="DS228" s="7">
        <f t="shared" si="76"/>
        <v>0</v>
      </c>
      <c r="DT228" s="7">
        <f t="shared" si="77"/>
        <v>0</v>
      </c>
      <c r="DU228" s="9">
        <f t="shared" si="78"/>
        <v>0</v>
      </c>
      <c r="DV228" s="9">
        <f t="shared" si="79"/>
        <v>0</v>
      </c>
      <c r="DW228" s="9">
        <f t="shared" si="80"/>
        <v>0</v>
      </c>
      <c r="DX228" s="9">
        <f t="shared" si="81"/>
        <v>0</v>
      </c>
      <c r="DY228" s="9">
        <f t="shared" si="82"/>
        <v>0</v>
      </c>
      <c r="DZ228" s="9">
        <f t="shared" si="83"/>
        <v>0</v>
      </c>
      <c r="EA228" s="9">
        <f t="shared" si="84"/>
        <v>0</v>
      </c>
      <c r="EB228" s="9">
        <f t="shared" si="85"/>
        <v>0</v>
      </c>
      <c r="EC228" s="9">
        <f t="shared" si="86"/>
        <v>0</v>
      </c>
      <c r="ED228" s="9">
        <f t="shared" si="87"/>
        <v>0</v>
      </c>
      <c r="EE228" s="9">
        <f t="shared" si="88"/>
        <v>0</v>
      </c>
      <c r="EF228" s="9">
        <f t="shared" si="89"/>
        <v>0</v>
      </c>
      <c r="EG228" s="9">
        <f t="shared" si="90"/>
        <v>0</v>
      </c>
      <c r="EH228" s="9">
        <f t="shared" si="91"/>
        <v>0</v>
      </c>
      <c r="EI228" s="9">
        <f t="shared" si="92"/>
        <v>0</v>
      </c>
      <c r="EJ228" s="10">
        <f t="shared" si="93"/>
        <v>0</v>
      </c>
      <c r="EK228" s="10">
        <f t="shared" si="94"/>
        <v>0</v>
      </c>
      <c r="EL228" s="10">
        <f t="shared" ref="EL228:EM228" si="818">IF(OR(ISNUMBER(SEARCH("ai software toolkit", $D228)), ISNUMBER(SEARCH("ai software toolkit", $T228)), ISNUMBER(SEARCH("ai software toolkit", $R228)), ISNUMBER(SEARCH("ai software toolkit", $S228))), 1, 0)</f>
        <v>0</v>
      </c>
      <c r="EM228" s="10">
        <f t="shared" si="818"/>
        <v>0</v>
      </c>
      <c r="EN228" s="10">
        <f t="shared" si="96"/>
        <v>0</v>
      </c>
      <c r="EO228" s="10">
        <f t="shared" si="97"/>
        <v>0</v>
      </c>
      <c r="EP228" s="10">
        <f t="shared" si="98"/>
        <v>0</v>
      </c>
      <c r="EQ228" s="10">
        <f t="shared" si="99"/>
        <v>0</v>
      </c>
      <c r="ER228" s="10">
        <f t="shared" si="100"/>
        <v>0</v>
      </c>
      <c r="ES228" s="10">
        <f t="shared" si="101"/>
        <v>0</v>
      </c>
      <c r="ET228" s="10">
        <f t="shared" si="102"/>
        <v>0</v>
      </c>
      <c r="EU228" s="10">
        <f t="shared" si="103"/>
        <v>0</v>
      </c>
      <c r="EV228" s="10">
        <f t="shared" si="104"/>
        <v>0</v>
      </c>
      <c r="EW228" s="10">
        <f t="shared" si="105"/>
        <v>0</v>
      </c>
      <c r="EX228" s="10">
        <f t="shared" si="106"/>
        <v>0</v>
      </c>
      <c r="EY228" s="10">
        <f t="shared" si="107"/>
        <v>0</v>
      </c>
      <c r="EZ228" s="10">
        <f t="shared" si="108"/>
        <v>0</v>
      </c>
      <c r="FA228" s="10">
        <f t="shared" si="109"/>
        <v>0</v>
      </c>
      <c r="FB228" s="10">
        <f t="shared" si="110"/>
        <v>0</v>
      </c>
      <c r="FC228" s="10">
        <f t="shared" si="111"/>
        <v>0</v>
      </c>
      <c r="FD228" s="10">
        <f t="shared" si="112"/>
        <v>0</v>
      </c>
      <c r="FE228" s="10">
        <f t="shared" si="782"/>
        <v>0</v>
      </c>
      <c r="FF228" s="10">
        <f t="shared" si="114"/>
        <v>0</v>
      </c>
      <c r="FG228" s="10">
        <f t="shared" si="115"/>
        <v>0</v>
      </c>
      <c r="FH228" s="10">
        <f t="shared" si="116"/>
        <v>0</v>
      </c>
      <c r="FI228" s="10">
        <f t="shared" si="117"/>
        <v>0</v>
      </c>
      <c r="FJ228" s="10">
        <f t="shared" si="118"/>
        <v>0</v>
      </c>
      <c r="FK228" s="10">
        <f t="shared" si="119"/>
        <v>0</v>
      </c>
      <c r="FL228" s="10">
        <f t="shared" si="120"/>
        <v>0</v>
      </c>
      <c r="FM228" s="10">
        <f t="shared" si="121"/>
        <v>0</v>
      </c>
      <c r="FN228" s="10">
        <f t="shared" si="122"/>
        <v>0</v>
      </c>
      <c r="FO228" s="10">
        <f t="shared" si="123"/>
        <v>0</v>
      </c>
      <c r="FP228" s="10">
        <f t="shared" si="124"/>
        <v>0</v>
      </c>
      <c r="FQ228" s="10">
        <f t="shared" si="125"/>
        <v>0</v>
      </c>
      <c r="FR228" s="11">
        <f t="shared" si="804"/>
        <v>0</v>
      </c>
      <c r="FS228" s="11">
        <f t="shared" si="127"/>
        <v>0</v>
      </c>
      <c r="FT228" s="11">
        <f t="shared" si="128"/>
        <v>0</v>
      </c>
      <c r="FU228" s="11">
        <f t="shared" si="129"/>
        <v>0</v>
      </c>
      <c r="FV228" s="11">
        <f t="shared" si="130"/>
        <v>0</v>
      </c>
      <c r="FW228" s="11">
        <f t="shared" si="131"/>
        <v>0</v>
      </c>
      <c r="FX228" s="11">
        <f t="shared" si="132"/>
        <v>0</v>
      </c>
      <c r="FY228" s="11">
        <f t="shared" si="133"/>
        <v>0</v>
      </c>
      <c r="FZ228" s="11">
        <f t="shared" si="134"/>
        <v>0</v>
      </c>
      <c r="GA228" s="11">
        <f t="shared" si="135"/>
        <v>0</v>
      </c>
      <c r="GB228" s="11">
        <f t="shared" si="136"/>
        <v>0</v>
      </c>
      <c r="GC228" s="11">
        <f t="shared" si="137"/>
        <v>0</v>
      </c>
      <c r="GD228" s="11">
        <f t="shared" si="138"/>
        <v>0</v>
      </c>
      <c r="GE228" s="11">
        <f t="shared" si="139"/>
        <v>0</v>
      </c>
      <c r="GF228" s="11">
        <f t="shared" si="140"/>
        <v>0</v>
      </c>
      <c r="GG228" s="11">
        <f t="shared" si="141"/>
        <v>0</v>
      </c>
      <c r="GH228" s="11">
        <f t="shared" si="142"/>
        <v>0</v>
      </c>
      <c r="GI228" s="11">
        <f t="shared" si="143"/>
        <v>0</v>
      </c>
      <c r="GJ228" s="11">
        <f t="shared" si="144"/>
        <v>0</v>
      </c>
      <c r="GK228" s="11">
        <f t="shared" si="145"/>
        <v>0</v>
      </c>
      <c r="GL228" s="11">
        <f t="shared" si="146"/>
        <v>0</v>
      </c>
      <c r="GM228" s="11">
        <f t="shared" si="147"/>
        <v>0</v>
      </c>
      <c r="GN228" s="11">
        <f t="shared" si="148"/>
        <v>0</v>
      </c>
      <c r="GO228" s="11">
        <f t="shared" si="149"/>
        <v>0</v>
      </c>
      <c r="GP228" s="11">
        <f t="shared" si="150"/>
        <v>0</v>
      </c>
      <c r="GQ228" s="11">
        <f t="shared" si="151"/>
        <v>0</v>
      </c>
      <c r="GR228" s="11">
        <f t="shared" si="152"/>
        <v>0</v>
      </c>
      <c r="GS228" s="11">
        <f t="shared" si="153"/>
        <v>1</v>
      </c>
      <c r="GT228" s="11">
        <f t="shared" si="154"/>
        <v>0</v>
      </c>
      <c r="GU228" s="12">
        <f t="shared" si="155"/>
        <v>0</v>
      </c>
      <c r="GV228" s="12">
        <f t="shared" si="156"/>
        <v>0</v>
      </c>
      <c r="GW228" s="12">
        <f t="shared" si="157"/>
        <v>0</v>
      </c>
      <c r="GX228" s="12">
        <f t="shared" si="158"/>
        <v>0</v>
      </c>
      <c r="GY228" s="12">
        <f t="shared" si="159"/>
        <v>0</v>
      </c>
      <c r="GZ228" s="12">
        <f t="shared" si="160"/>
        <v>0</v>
      </c>
      <c r="HA228" s="12">
        <f t="shared" si="161"/>
        <v>0</v>
      </c>
      <c r="HB228" s="12">
        <f t="shared" si="162"/>
        <v>0</v>
      </c>
      <c r="HC228" s="12">
        <f t="shared" si="163"/>
        <v>0</v>
      </c>
      <c r="HD228" s="12">
        <f t="shared" si="164"/>
        <v>0</v>
      </c>
      <c r="HE228" s="12">
        <f t="shared" si="165"/>
        <v>0</v>
      </c>
      <c r="HF228" s="12">
        <f t="shared" si="166"/>
        <v>0</v>
      </c>
      <c r="HG228" s="12">
        <f t="shared" si="167"/>
        <v>0</v>
      </c>
      <c r="HH228" s="12">
        <f t="shared" si="168"/>
        <v>0</v>
      </c>
      <c r="HI228" s="12">
        <f t="shared" si="169"/>
        <v>0</v>
      </c>
      <c r="HJ228" s="12">
        <f t="shared" si="170"/>
        <v>0</v>
      </c>
      <c r="HK228" s="12">
        <f t="shared" si="171"/>
        <v>0</v>
      </c>
      <c r="HL228" s="12">
        <f t="shared" si="172"/>
        <v>0</v>
      </c>
      <c r="HM228" s="12">
        <f t="shared" si="173"/>
        <v>0</v>
      </c>
      <c r="HN228" s="12">
        <f t="shared" si="174"/>
        <v>0</v>
      </c>
      <c r="HO228" s="12">
        <f t="shared" si="175"/>
        <v>0</v>
      </c>
      <c r="HP228" s="12">
        <f t="shared" si="176"/>
        <v>0</v>
      </c>
      <c r="HQ228" s="12">
        <f t="shared" si="177"/>
        <v>0</v>
      </c>
      <c r="HR228" s="12">
        <f t="shared" si="178"/>
        <v>0</v>
      </c>
      <c r="HS228" s="12">
        <f t="shared" si="179"/>
        <v>0</v>
      </c>
      <c r="HT228" s="12">
        <f t="shared" si="180"/>
        <v>0</v>
      </c>
      <c r="HU228" s="12">
        <f t="shared" si="181"/>
        <v>0</v>
      </c>
      <c r="HV228" s="12">
        <f t="shared" si="182"/>
        <v>0</v>
      </c>
      <c r="HW228" s="12">
        <f t="shared" si="183"/>
        <v>0</v>
      </c>
      <c r="HX228" s="12">
        <f t="shared" si="184"/>
        <v>0</v>
      </c>
      <c r="HY228" s="12">
        <f t="shared" si="185"/>
        <v>0</v>
      </c>
      <c r="HZ228" s="12">
        <f t="shared" si="186"/>
        <v>0</v>
      </c>
      <c r="IA228" s="12">
        <f t="shared" si="187"/>
        <v>0</v>
      </c>
      <c r="IB228" s="12">
        <f t="shared" si="188"/>
        <v>0</v>
      </c>
      <c r="IC228" s="12">
        <f t="shared" si="189"/>
        <v>0</v>
      </c>
      <c r="ID228" s="12">
        <f t="shared" si="190"/>
        <v>0</v>
      </c>
      <c r="IE228" s="12">
        <f t="shared" si="191"/>
        <v>0</v>
      </c>
      <c r="IF228" s="12">
        <f t="shared" si="192"/>
        <v>0</v>
      </c>
      <c r="IG228" s="12">
        <f t="shared" si="193"/>
        <v>0</v>
      </c>
      <c r="IH228" s="12">
        <f t="shared" si="194"/>
        <v>0</v>
      </c>
      <c r="II228" s="12">
        <f t="shared" si="195"/>
        <v>0</v>
      </c>
      <c r="IJ228" s="12">
        <f t="shared" si="196"/>
        <v>0</v>
      </c>
      <c r="IK228" s="12">
        <f t="shared" si="197"/>
        <v>0</v>
      </c>
      <c r="IL228" s="12">
        <f t="shared" si="198"/>
        <v>0</v>
      </c>
      <c r="IM228" s="12">
        <f t="shared" si="199"/>
        <v>0</v>
      </c>
      <c r="IN228" s="12">
        <f t="shared" si="200"/>
        <v>0</v>
      </c>
      <c r="IO228" s="12">
        <f t="shared" si="201"/>
        <v>0</v>
      </c>
      <c r="IP228" s="12">
        <f t="shared" si="202"/>
        <v>0</v>
      </c>
      <c r="IQ228" s="12">
        <f t="shared" si="203"/>
        <v>0</v>
      </c>
      <c r="IR228" s="12">
        <f t="shared" si="204"/>
        <v>0</v>
      </c>
      <c r="IS228" s="12">
        <f t="shared" si="205"/>
        <v>0</v>
      </c>
      <c r="IT228" s="12">
        <f t="shared" si="206"/>
        <v>0</v>
      </c>
      <c r="IU228" s="12">
        <f t="shared" si="207"/>
        <v>0</v>
      </c>
      <c r="IV228" s="12">
        <f t="shared" si="208"/>
        <v>0</v>
      </c>
      <c r="IW228" s="12">
        <f t="shared" si="209"/>
        <v>0</v>
      </c>
      <c r="IX228" s="12">
        <f t="shared" si="210"/>
        <v>0</v>
      </c>
      <c r="IY228" s="12">
        <f t="shared" si="211"/>
        <v>0</v>
      </c>
      <c r="IZ228" s="12">
        <f t="shared" si="212"/>
        <v>0</v>
      </c>
      <c r="JA228" s="13">
        <f t="shared" si="213"/>
        <v>0</v>
      </c>
      <c r="JB228" s="13">
        <f t="shared" si="214"/>
        <v>0</v>
      </c>
      <c r="JC228" s="13">
        <f t="shared" si="215"/>
        <v>0</v>
      </c>
      <c r="JD228" s="13">
        <f t="shared" si="216"/>
        <v>0</v>
      </c>
      <c r="JE228" s="13">
        <f t="shared" si="217"/>
        <v>0</v>
      </c>
      <c r="JF228" s="13">
        <f t="shared" si="218"/>
        <v>0</v>
      </c>
      <c r="JG228" s="13">
        <f t="shared" si="219"/>
        <v>0</v>
      </c>
      <c r="JH228" s="13">
        <f t="shared" si="220"/>
        <v>0</v>
      </c>
      <c r="JI228" s="13">
        <f t="shared" si="221"/>
        <v>0</v>
      </c>
      <c r="JJ228" s="13">
        <f t="shared" si="222"/>
        <v>0</v>
      </c>
      <c r="JK228" s="13">
        <f t="shared" si="223"/>
        <v>0</v>
      </c>
      <c r="JL228" s="13">
        <f t="shared" si="224"/>
        <v>0</v>
      </c>
      <c r="JM228" s="13">
        <f t="shared" si="225"/>
        <v>0</v>
      </c>
      <c r="JN228" s="13">
        <f t="shared" si="226"/>
        <v>0</v>
      </c>
      <c r="JO228" s="13">
        <f t="shared" si="227"/>
        <v>0</v>
      </c>
      <c r="JP228" s="13">
        <f t="shared" si="228"/>
        <v>0</v>
      </c>
      <c r="JQ228" s="13">
        <f t="shared" si="229"/>
        <v>0</v>
      </c>
      <c r="JR228" s="13">
        <f t="shared" si="230"/>
        <v>0</v>
      </c>
      <c r="JS228" s="13">
        <f t="shared" si="231"/>
        <v>0</v>
      </c>
      <c r="JT228" s="13">
        <f t="shared" si="232"/>
        <v>0</v>
      </c>
      <c r="JU228" s="13">
        <f t="shared" si="233"/>
        <v>0</v>
      </c>
      <c r="JV228" s="12">
        <f t="shared" si="234"/>
        <v>0</v>
      </c>
      <c r="JW228" s="12">
        <f t="shared" si="235"/>
        <v>0</v>
      </c>
      <c r="JX228" s="12">
        <f t="shared" si="236"/>
        <v>0</v>
      </c>
      <c r="JY228" s="12">
        <f t="shared" si="237"/>
        <v>0</v>
      </c>
      <c r="JZ228" s="12">
        <f t="shared" si="238"/>
        <v>0</v>
      </c>
      <c r="KA228" s="12">
        <f t="shared" si="239"/>
        <v>0</v>
      </c>
      <c r="KB228" s="12">
        <f t="shared" si="240"/>
        <v>0</v>
      </c>
      <c r="KC228" s="12">
        <f t="shared" si="241"/>
        <v>0</v>
      </c>
      <c r="KD228" s="12">
        <f t="shared" si="797"/>
        <v>0</v>
      </c>
      <c r="KE228" s="12">
        <f t="shared" si="243"/>
        <v>0</v>
      </c>
      <c r="KF228" s="12">
        <f t="shared" si="244"/>
        <v>0</v>
      </c>
      <c r="KG228" s="12">
        <f t="shared" si="245"/>
        <v>0</v>
      </c>
      <c r="KH228" s="12">
        <f t="shared" si="246"/>
        <v>0</v>
      </c>
      <c r="KI228" s="12">
        <f t="shared" si="247"/>
        <v>0</v>
      </c>
      <c r="KJ228" s="12">
        <f t="shared" si="248"/>
        <v>0</v>
      </c>
      <c r="KK228" s="12">
        <f t="shared" si="249"/>
        <v>0</v>
      </c>
      <c r="KL228" s="12">
        <f t="shared" si="250"/>
        <v>0</v>
      </c>
      <c r="KM228" s="12">
        <f t="shared" si="251"/>
        <v>0</v>
      </c>
      <c r="KN228" s="12">
        <f t="shared" si="252"/>
        <v>0</v>
      </c>
      <c r="KO228" s="12">
        <f t="shared" si="253"/>
        <v>0</v>
      </c>
      <c r="KP228" s="12">
        <f t="shared" si="254"/>
        <v>0</v>
      </c>
      <c r="KQ228" s="12">
        <f t="shared" si="255"/>
        <v>0</v>
      </c>
      <c r="KR228" s="12">
        <f t="shared" si="256"/>
        <v>0</v>
      </c>
      <c r="KS228" s="12">
        <f t="shared" si="257"/>
        <v>0</v>
      </c>
      <c r="KT228" s="12">
        <f t="shared" si="258"/>
        <v>0</v>
      </c>
      <c r="KU228" s="12">
        <f t="shared" si="259"/>
        <v>0</v>
      </c>
      <c r="KV228" s="12">
        <f t="shared" si="260"/>
        <v>0</v>
      </c>
      <c r="KW228" s="12">
        <f t="shared" si="261"/>
        <v>0</v>
      </c>
      <c r="KX228" s="12">
        <f t="shared" si="262"/>
        <v>0</v>
      </c>
      <c r="KY228" s="12">
        <f t="shared" si="263"/>
        <v>0</v>
      </c>
      <c r="KZ228" s="12">
        <f t="shared" si="264"/>
        <v>0</v>
      </c>
      <c r="LA228" s="12">
        <f t="shared" si="265"/>
        <v>0</v>
      </c>
      <c r="LB228" s="12">
        <f t="shared" si="266"/>
        <v>0</v>
      </c>
      <c r="LC228" s="12">
        <f t="shared" si="267"/>
        <v>0</v>
      </c>
      <c r="LD228" s="12">
        <f t="shared" si="268"/>
        <v>0</v>
      </c>
      <c r="LE228" s="12">
        <f t="shared" si="269"/>
        <v>0</v>
      </c>
      <c r="LF228" s="12">
        <f t="shared" si="270"/>
        <v>0</v>
      </c>
      <c r="LG228" s="12">
        <f t="shared" si="271"/>
        <v>0</v>
      </c>
      <c r="LH228" s="12">
        <f t="shared" si="272"/>
        <v>0</v>
      </c>
      <c r="LI228" s="12">
        <f t="shared" si="273"/>
        <v>0</v>
      </c>
      <c r="LJ228" s="12">
        <f t="shared" si="274"/>
        <v>0</v>
      </c>
      <c r="LK228" s="12">
        <f t="shared" si="275"/>
        <v>0</v>
      </c>
      <c r="LL228" s="12">
        <f t="shared" si="276"/>
        <v>0</v>
      </c>
      <c r="LM228" s="12">
        <f t="shared" si="277"/>
        <v>0</v>
      </c>
      <c r="LN228" s="12">
        <f t="shared" si="278"/>
        <v>0</v>
      </c>
      <c r="LO228" s="12">
        <f t="shared" si="279"/>
        <v>0</v>
      </c>
      <c r="LP228" s="12">
        <f t="shared" si="280"/>
        <v>0</v>
      </c>
      <c r="LQ228" s="12">
        <f t="shared" si="281"/>
        <v>0</v>
      </c>
      <c r="LR228" s="12">
        <f t="shared" si="282"/>
        <v>0</v>
      </c>
      <c r="LS228" s="12">
        <f t="shared" si="283"/>
        <v>0</v>
      </c>
      <c r="LT228" s="13">
        <f t="shared" si="284"/>
        <v>0</v>
      </c>
      <c r="LU228" s="13">
        <f t="shared" si="285"/>
        <v>0</v>
      </c>
      <c r="LV228" s="13">
        <f t="shared" si="286"/>
        <v>0</v>
      </c>
      <c r="LW228" s="13">
        <f t="shared" si="287"/>
        <v>0</v>
      </c>
      <c r="LX228" s="13">
        <f t="shared" si="288"/>
        <v>0</v>
      </c>
      <c r="LY228" s="13">
        <f t="shared" si="289"/>
        <v>0</v>
      </c>
      <c r="LZ228" s="13">
        <f t="shared" si="290"/>
        <v>0</v>
      </c>
      <c r="MA228" s="13">
        <f t="shared" si="291"/>
        <v>0</v>
      </c>
      <c r="MB228" s="13">
        <f t="shared" si="292"/>
        <v>0</v>
      </c>
      <c r="MC228" s="13">
        <f t="shared" si="293"/>
        <v>0</v>
      </c>
      <c r="MD228" s="13">
        <f t="shared" si="294"/>
        <v>0</v>
      </c>
      <c r="ME228" s="13">
        <f t="shared" si="295"/>
        <v>0</v>
      </c>
      <c r="MF228" s="13">
        <f t="shared" si="296"/>
        <v>0</v>
      </c>
      <c r="MG228" s="13">
        <f t="shared" si="297"/>
        <v>0</v>
      </c>
      <c r="MH228" s="13">
        <f t="shared" si="298"/>
        <v>0</v>
      </c>
      <c r="MI228" s="13">
        <f t="shared" si="299"/>
        <v>0</v>
      </c>
      <c r="MJ228" s="13">
        <f t="shared" si="300"/>
        <v>0</v>
      </c>
      <c r="MK228" s="13">
        <f t="shared" si="301"/>
        <v>0</v>
      </c>
      <c r="ML228" s="14">
        <f t="shared" si="302"/>
        <v>0</v>
      </c>
      <c r="MM228" s="14">
        <f t="shared" si="303"/>
        <v>0</v>
      </c>
      <c r="MN228" s="14">
        <f t="shared" si="304"/>
        <v>0</v>
      </c>
      <c r="MO228" s="14">
        <f t="shared" si="305"/>
        <v>0</v>
      </c>
      <c r="MP228" s="14">
        <f t="shared" si="306"/>
        <v>0</v>
      </c>
      <c r="MQ228" s="14">
        <f t="shared" si="307"/>
        <v>0</v>
      </c>
      <c r="MR228" s="14">
        <f t="shared" si="308"/>
        <v>0</v>
      </c>
      <c r="MS228" s="14">
        <f t="shared" si="309"/>
        <v>0</v>
      </c>
      <c r="MT228" s="14">
        <f t="shared" si="310"/>
        <v>0</v>
      </c>
      <c r="MU228" s="14">
        <f t="shared" si="311"/>
        <v>0</v>
      </c>
      <c r="MV228" s="14">
        <f t="shared" si="312"/>
        <v>0</v>
      </c>
      <c r="MW228" s="14">
        <f t="shared" si="313"/>
        <v>0</v>
      </c>
      <c r="MX228" s="14">
        <f t="shared" si="314"/>
        <v>0</v>
      </c>
      <c r="MY228" s="14">
        <f t="shared" si="315"/>
        <v>0</v>
      </c>
      <c r="MZ228" s="14">
        <f t="shared" si="316"/>
        <v>0</v>
      </c>
      <c r="NA228" s="14">
        <f t="shared" si="317"/>
        <v>0</v>
      </c>
      <c r="NB228" s="14">
        <f t="shared" si="318"/>
        <v>0</v>
      </c>
    </row>
    <row r="229" ht="15.75" customHeight="1">
      <c r="A229" s="2">
        <v>514.0</v>
      </c>
      <c r="B229" s="2" t="s">
        <v>4150</v>
      </c>
      <c r="C229" s="2" t="s">
        <v>4151</v>
      </c>
      <c r="D229" s="2" t="s">
        <v>4152</v>
      </c>
      <c r="E229" s="2">
        <v>2023.0</v>
      </c>
      <c r="F229" s="2" t="s">
        <v>4153</v>
      </c>
      <c r="N229" s="2" t="s">
        <v>4154</v>
      </c>
      <c r="O229" s="2" t="s">
        <v>4155</v>
      </c>
      <c r="P229" s="2" t="s">
        <v>4156</v>
      </c>
      <c r="Q229" s="2" t="s">
        <v>4157</v>
      </c>
      <c r="R229" s="2" t="s">
        <v>4158</v>
      </c>
      <c r="S229" s="2" t="s">
        <v>4159</v>
      </c>
      <c r="T229" s="2" t="s">
        <v>4160</v>
      </c>
      <c r="Y229" s="2" t="s">
        <v>4161</v>
      </c>
      <c r="AB229" s="2" t="s">
        <v>554</v>
      </c>
      <c r="AG229" s="2" t="s">
        <v>4162</v>
      </c>
      <c r="AI229" s="2" t="s">
        <v>4163</v>
      </c>
      <c r="AK229" s="2" t="s">
        <v>4164</v>
      </c>
      <c r="AL229" s="2" t="s">
        <v>2966</v>
      </c>
      <c r="AN229" s="2" t="s">
        <v>386</v>
      </c>
      <c r="AO229" s="2" t="s">
        <v>4165</v>
      </c>
      <c r="AP229" s="2" t="s">
        <v>386</v>
      </c>
      <c r="AQ229" s="2">
        <v>1985.0</v>
      </c>
      <c r="AR229" s="2" t="s">
        <v>4166</v>
      </c>
      <c r="AS229" s="2" t="b">
        <v>1</v>
      </c>
      <c r="AT229" s="3">
        <v>0.0</v>
      </c>
      <c r="AU229" s="4"/>
      <c r="AV229" s="4">
        <v>1.0</v>
      </c>
      <c r="AW229" s="5">
        <f t="shared" si="432"/>
        <v>0</v>
      </c>
      <c r="AX229" s="5">
        <f t="shared" si="4"/>
        <v>0</v>
      </c>
      <c r="AY229" s="5">
        <f t="shared" si="5"/>
        <v>0</v>
      </c>
      <c r="AZ229" s="5">
        <f t="shared" si="6"/>
        <v>0</v>
      </c>
      <c r="BA229" s="5">
        <f t="shared" si="7"/>
        <v>0</v>
      </c>
      <c r="BB229" s="5">
        <f t="shared" si="8"/>
        <v>0</v>
      </c>
      <c r="BC229" s="5">
        <f t="shared" si="9"/>
        <v>0</v>
      </c>
      <c r="BD229" s="5">
        <f t="shared" si="10"/>
        <v>0</v>
      </c>
      <c r="BE229" s="5">
        <f t="shared" si="11"/>
        <v>0</v>
      </c>
      <c r="BF229" s="5">
        <f t="shared" si="12"/>
        <v>0</v>
      </c>
      <c r="BG229" s="5">
        <f t="shared" si="13"/>
        <v>0</v>
      </c>
      <c r="BH229" s="5">
        <f t="shared" si="14"/>
        <v>0</v>
      </c>
      <c r="BI229" s="5">
        <f t="shared" si="15"/>
        <v>0</v>
      </c>
      <c r="BJ229" s="5">
        <f t="shared" si="16"/>
        <v>0</v>
      </c>
      <c r="BK229" s="5">
        <f t="shared" si="17"/>
        <v>0</v>
      </c>
      <c r="BL229" s="5">
        <f t="shared" si="18"/>
        <v>0</v>
      </c>
      <c r="BM229" s="5">
        <f t="shared" si="19"/>
        <v>0</v>
      </c>
      <c r="BN229" s="5">
        <f t="shared" si="20"/>
        <v>0</v>
      </c>
      <c r="BO229" s="5">
        <f t="shared" si="21"/>
        <v>0</v>
      </c>
      <c r="BP229" s="5">
        <f t="shared" si="22"/>
        <v>0</v>
      </c>
      <c r="BQ229" s="5">
        <f t="shared" si="23"/>
        <v>0</v>
      </c>
      <c r="BR229" s="5">
        <f t="shared" si="24"/>
        <v>0</v>
      </c>
      <c r="BS229" s="5">
        <f t="shared" si="25"/>
        <v>1</v>
      </c>
      <c r="BT229" s="5">
        <f t="shared" si="26"/>
        <v>0</v>
      </c>
      <c r="BU229" s="5">
        <f t="shared" si="27"/>
        <v>0</v>
      </c>
      <c r="BV229" s="5">
        <f t="shared" ref="BV229:BW229" si="819">IF(OR(ISNUMBER(SEARCH("grit",$D229)),ISNUMBER(SEARCH("grit",$T229)),ISNUMBER(SEARCH("grit",$R229)),ISNUMBER(SEARCH("grit",$S229)),
ISNUMBER(SEARCH("determination",$D229)),ISNUMBER(SEARCH("determination",$T229)),ISNUMBER(SEARCH("determination",$R229)),ISNUMBER(SEARCH("determination",$S229)),
ISNUMBER(SEARCH("tenacity",$D229)),ISNUMBER(SEARCH("tenacity",$T229)),ISNUMBER(SEARCH("tenacity",$R229)),ISNUMBER(SEARCH("tenacity",$S229)),
ISNUMBER(SEARCH("endurance",$D229)),ISNUMBER(SEARCH("endurance",$T229)),ISNUMBER(SEARCH("endurance",$R229)),ISNUMBER(SEARCH("endurance",$S229)),
ISNUMBER(SEARCH("fortitude",$D229)),ISNUMBER(SEARCH("fortitude",$T229)),ISNUMBER(SEARCH("fortitude",$R229)),ISNUMBER(SEARCH("fortitude",$S229)),
ISNUMBER(SEARCH("resolve",$D229)),ISNUMBER(SEARCH("resolve",$T229)),ISNUMBER(SEARCH("resolve",$R229)),ISNUMBER(SEARCH("resolve",$S229)),
ISNUMBER(SEARCH("stamina",$D229)),ISNUMBER(SEARCH("stamina",$T229)),ISNUMBER(SEARCH("stamina",$R229)),ISNUMBER(SEARCH("stamina",$S229)),
ISNUMBER(SEARCH("guts",$D229)),ISNUMBER(SEARCH("guts",$T229)),ISNUMBER(SEARCH("guts",$R229)),ISNUMBER(SEARCH("guts",$S229)),
ISNUMBER(SEARCH("spunk",$D229)),ISNUMBER(SEARCH("spunk",$T229)),ISNUMBER(SEARCH("spunk",$R229)),ISNUMBER(SEARCH("spunk",$S229))), 1, 0)</f>
        <v>0</v>
      </c>
      <c r="BW229" s="5">
        <f t="shared" si="819"/>
        <v>0</v>
      </c>
      <c r="BX229" s="5">
        <f t="shared" si="29"/>
        <v>0</v>
      </c>
      <c r="BY229" s="5">
        <f t="shared" si="30"/>
        <v>0</v>
      </c>
      <c r="BZ229" s="5">
        <f t="shared" si="31"/>
        <v>0</v>
      </c>
      <c r="CA229" s="5">
        <f t="shared" si="32"/>
        <v>0</v>
      </c>
      <c r="CB229" s="5">
        <f t="shared" si="33"/>
        <v>0</v>
      </c>
      <c r="CC229" s="5">
        <f t="shared" si="34"/>
        <v>0</v>
      </c>
      <c r="CD229" s="5">
        <f t="shared" si="35"/>
        <v>0</v>
      </c>
      <c r="CE229" s="5">
        <f t="shared" si="36"/>
        <v>0</v>
      </c>
      <c r="CF229" s="5">
        <f t="shared" si="37"/>
        <v>0</v>
      </c>
      <c r="CG229" s="5">
        <f t="shared" si="38"/>
        <v>0</v>
      </c>
      <c r="CH229" s="5">
        <f t="shared" si="39"/>
        <v>0</v>
      </c>
      <c r="CI229" s="5">
        <f t="shared" si="40"/>
        <v>0</v>
      </c>
      <c r="CJ229" s="5">
        <f t="shared" si="41"/>
        <v>0</v>
      </c>
      <c r="CK229" s="5">
        <f t="shared" si="42"/>
        <v>1</v>
      </c>
      <c r="CL229" s="5">
        <f t="shared" si="43"/>
        <v>0</v>
      </c>
      <c r="CM229" s="5">
        <f t="shared" si="44"/>
        <v>0</v>
      </c>
      <c r="CN229" s="5">
        <f t="shared" si="45"/>
        <v>0</v>
      </c>
      <c r="CO229" s="5">
        <f t="shared" si="46"/>
        <v>0</v>
      </c>
      <c r="CP229" s="6">
        <f t="shared" si="47"/>
        <v>0</v>
      </c>
      <c r="CQ229" s="6">
        <f t="shared" si="48"/>
        <v>0</v>
      </c>
      <c r="CR229" s="6">
        <f t="shared" si="49"/>
        <v>0</v>
      </c>
      <c r="CS229" s="6">
        <f t="shared" si="50"/>
        <v>0</v>
      </c>
      <c r="CT229" s="6">
        <f t="shared" si="584"/>
        <v>0</v>
      </c>
      <c r="CU229" s="6">
        <f t="shared" si="52"/>
        <v>0</v>
      </c>
      <c r="CV229" s="6">
        <f t="shared" si="53"/>
        <v>0</v>
      </c>
      <c r="CW229" s="6">
        <f t="shared" si="54"/>
        <v>0</v>
      </c>
      <c r="CX229" s="6">
        <f t="shared" si="55"/>
        <v>0</v>
      </c>
      <c r="CY229" s="6">
        <f t="shared" si="56"/>
        <v>0</v>
      </c>
      <c r="CZ229" s="6">
        <f t="shared" si="57"/>
        <v>0</v>
      </c>
      <c r="DA229" s="6">
        <f t="shared" si="58"/>
        <v>0</v>
      </c>
      <c r="DB229" s="6">
        <f t="shared" si="59"/>
        <v>0</v>
      </c>
      <c r="DC229" s="6">
        <f t="shared" si="60"/>
        <v>0</v>
      </c>
      <c r="DD229" s="6">
        <f t="shared" si="61"/>
        <v>0</v>
      </c>
      <c r="DE229" s="6">
        <f t="shared" si="62"/>
        <v>0</v>
      </c>
      <c r="DF229" s="6">
        <f t="shared" si="63"/>
        <v>0</v>
      </c>
      <c r="DG229" s="6">
        <f t="shared" si="64"/>
        <v>0</v>
      </c>
      <c r="DH229" s="6">
        <f t="shared" si="697"/>
        <v>0</v>
      </c>
      <c r="DI229" s="6">
        <f t="shared" si="66"/>
        <v>0</v>
      </c>
      <c r="DJ229" s="6">
        <f t="shared" si="653"/>
        <v>0</v>
      </c>
      <c r="DK229" s="7">
        <f t="shared" si="68"/>
        <v>0</v>
      </c>
      <c r="DL229" s="7">
        <f t="shared" si="498"/>
        <v>0</v>
      </c>
      <c r="DM229" s="7">
        <f t="shared" si="70"/>
        <v>0</v>
      </c>
      <c r="DN229" s="7">
        <f t="shared" si="71"/>
        <v>0</v>
      </c>
      <c r="DO229" s="7">
        <f t="shared" si="72"/>
        <v>1</v>
      </c>
      <c r="DP229" s="8">
        <f t="shared" si="73"/>
        <v>0</v>
      </c>
      <c r="DQ229" s="8">
        <f t="shared" si="74"/>
        <v>0</v>
      </c>
      <c r="DR229" s="7">
        <f t="shared" si="75"/>
        <v>1</v>
      </c>
      <c r="DS229" s="7">
        <f t="shared" si="76"/>
        <v>0</v>
      </c>
      <c r="DT229" s="7">
        <f t="shared" si="77"/>
        <v>0</v>
      </c>
      <c r="DU229" s="9">
        <f t="shared" si="78"/>
        <v>0</v>
      </c>
      <c r="DV229" s="9">
        <f t="shared" si="79"/>
        <v>0</v>
      </c>
      <c r="DW229" s="9">
        <f t="shared" si="80"/>
        <v>0</v>
      </c>
      <c r="DX229" s="9">
        <f t="shared" si="81"/>
        <v>0</v>
      </c>
      <c r="DY229" s="9">
        <f t="shared" si="82"/>
        <v>0</v>
      </c>
      <c r="DZ229" s="9">
        <f t="shared" si="83"/>
        <v>0</v>
      </c>
      <c r="EA229" s="9">
        <f t="shared" si="84"/>
        <v>0</v>
      </c>
      <c r="EB229" s="9">
        <f t="shared" si="85"/>
        <v>0</v>
      </c>
      <c r="EC229" s="9">
        <f t="shared" si="86"/>
        <v>0</v>
      </c>
      <c r="ED229" s="9">
        <f t="shared" si="87"/>
        <v>0</v>
      </c>
      <c r="EE229" s="9">
        <f t="shared" si="88"/>
        <v>0</v>
      </c>
      <c r="EF229" s="9">
        <f t="shared" si="89"/>
        <v>0</v>
      </c>
      <c r="EG229" s="9">
        <f t="shared" si="90"/>
        <v>0</v>
      </c>
      <c r="EH229" s="9">
        <f t="shared" si="91"/>
        <v>0</v>
      </c>
      <c r="EI229" s="9">
        <f t="shared" si="92"/>
        <v>0</v>
      </c>
      <c r="EJ229" s="10">
        <f t="shared" si="93"/>
        <v>0</v>
      </c>
      <c r="EK229" s="10">
        <f t="shared" si="94"/>
        <v>0</v>
      </c>
      <c r="EL229" s="10">
        <f t="shared" ref="EL229:EM229" si="820">IF(OR(ISNUMBER(SEARCH("ai software toolkit", $D229)), ISNUMBER(SEARCH("ai software toolkit", $T229)), ISNUMBER(SEARCH("ai software toolkit", $R229)), ISNUMBER(SEARCH("ai software toolkit", $S229))), 1, 0)</f>
        <v>0</v>
      </c>
      <c r="EM229" s="10">
        <f t="shared" si="820"/>
        <v>0</v>
      </c>
      <c r="EN229" s="10">
        <f t="shared" si="96"/>
        <v>0</v>
      </c>
      <c r="EO229" s="10">
        <f t="shared" si="97"/>
        <v>0</v>
      </c>
      <c r="EP229" s="10">
        <f t="shared" si="98"/>
        <v>0</v>
      </c>
      <c r="EQ229" s="10">
        <f t="shared" si="99"/>
        <v>0</v>
      </c>
      <c r="ER229" s="10">
        <f t="shared" si="100"/>
        <v>0</v>
      </c>
      <c r="ES229" s="10">
        <f t="shared" si="101"/>
        <v>0</v>
      </c>
      <c r="ET229" s="10">
        <f t="shared" si="102"/>
        <v>0</v>
      </c>
      <c r="EU229" s="10">
        <f t="shared" si="103"/>
        <v>0</v>
      </c>
      <c r="EV229" s="10">
        <f t="shared" si="104"/>
        <v>0</v>
      </c>
      <c r="EW229" s="10">
        <f t="shared" si="105"/>
        <v>0</v>
      </c>
      <c r="EX229" s="10">
        <f t="shared" si="106"/>
        <v>0</v>
      </c>
      <c r="EY229" s="10">
        <f t="shared" si="107"/>
        <v>0</v>
      </c>
      <c r="EZ229" s="10">
        <f t="shared" si="108"/>
        <v>0</v>
      </c>
      <c r="FA229" s="10">
        <f t="shared" si="109"/>
        <v>0</v>
      </c>
      <c r="FB229" s="10">
        <f t="shared" si="110"/>
        <v>0</v>
      </c>
      <c r="FC229" s="10">
        <f t="shared" si="111"/>
        <v>0</v>
      </c>
      <c r="FD229" s="10">
        <f t="shared" si="112"/>
        <v>0</v>
      </c>
      <c r="FE229" s="10">
        <f t="shared" si="782"/>
        <v>0</v>
      </c>
      <c r="FF229" s="10">
        <f t="shared" si="114"/>
        <v>0</v>
      </c>
      <c r="FG229" s="10">
        <f t="shared" si="115"/>
        <v>0</v>
      </c>
      <c r="FH229" s="10">
        <f t="shared" si="116"/>
        <v>0</v>
      </c>
      <c r="FI229" s="10">
        <f t="shared" si="117"/>
        <v>0</v>
      </c>
      <c r="FJ229" s="10">
        <f t="shared" si="118"/>
        <v>0</v>
      </c>
      <c r="FK229" s="10">
        <f t="shared" si="119"/>
        <v>0</v>
      </c>
      <c r="FL229" s="10">
        <f t="shared" si="120"/>
        <v>0</v>
      </c>
      <c r="FM229" s="10">
        <f t="shared" si="121"/>
        <v>0</v>
      </c>
      <c r="FN229" s="10">
        <f t="shared" si="122"/>
        <v>1</v>
      </c>
      <c r="FO229" s="10">
        <f t="shared" si="123"/>
        <v>0</v>
      </c>
      <c r="FP229" s="10">
        <f t="shared" si="124"/>
        <v>0</v>
      </c>
      <c r="FQ229" s="10">
        <f t="shared" si="125"/>
        <v>0</v>
      </c>
      <c r="FR229" s="11">
        <f t="shared" si="804"/>
        <v>1</v>
      </c>
      <c r="FS229" s="11">
        <f t="shared" si="127"/>
        <v>0</v>
      </c>
      <c r="FT229" s="11">
        <f t="shared" si="128"/>
        <v>0</v>
      </c>
      <c r="FU229" s="11">
        <f t="shared" si="129"/>
        <v>0</v>
      </c>
      <c r="FV229" s="11">
        <f t="shared" si="130"/>
        <v>0</v>
      </c>
      <c r="FW229" s="11">
        <f t="shared" si="131"/>
        <v>0</v>
      </c>
      <c r="FX229" s="11">
        <f t="shared" si="132"/>
        <v>0</v>
      </c>
      <c r="FY229" s="11">
        <f t="shared" si="133"/>
        <v>0</v>
      </c>
      <c r="FZ229" s="11">
        <f t="shared" si="134"/>
        <v>0</v>
      </c>
      <c r="GA229" s="11">
        <f t="shared" si="135"/>
        <v>0</v>
      </c>
      <c r="GB229" s="11">
        <f t="shared" si="136"/>
        <v>0</v>
      </c>
      <c r="GC229" s="11">
        <f t="shared" si="137"/>
        <v>0</v>
      </c>
      <c r="GD229" s="11">
        <f t="shared" si="138"/>
        <v>0</v>
      </c>
      <c r="GE229" s="11">
        <f t="shared" si="139"/>
        <v>0</v>
      </c>
      <c r="GF229" s="11">
        <f t="shared" si="140"/>
        <v>0</v>
      </c>
      <c r="GG229" s="11">
        <f t="shared" si="141"/>
        <v>0</v>
      </c>
      <c r="GH229" s="11">
        <f t="shared" si="142"/>
        <v>0</v>
      </c>
      <c r="GI229" s="11">
        <f t="shared" si="143"/>
        <v>0</v>
      </c>
      <c r="GJ229" s="11">
        <f t="shared" si="144"/>
        <v>0</v>
      </c>
      <c r="GK229" s="11">
        <f t="shared" si="145"/>
        <v>0</v>
      </c>
      <c r="GL229" s="11">
        <f t="shared" si="146"/>
        <v>0</v>
      </c>
      <c r="GM229" s="11">
        <f t="shared" si="147"/>
        <v>0</v>
      </c>
      <c r="GN229" s="11">
        <f t="shared" si="148"/>
        <v>0</v>
      </c>
      <c r="GO229" s="11">
        <f t="shared" si="149"/>
        <v>1</v>
      </c>
      <c r="GP229" s="11">
        <f t="shared" si="150"/>
        <v>0</v>
      </c>
      <c r="GQ229" s="11">
        <f t="shared" si="151"/>
        <v>0</v>
      </c>
      <c r="GR229" s="11">
        <f t="shared" si="152"/>
        <v>0</v>
      </c>
      <c r="GS229" s="11">
        <f t="shared" si="153"/>
        <v>0</v>
      </c>
      <c r="GT229" s="11">
        <f t="shared" si="154"/>
        <v>0</v>
      </c>
      <c r="GU229" s="12">
        <f t="shared" si="155"/>
        <v>0</v>
      </c>
      <c r="GV229" s="12">
        <f t="shared" si="156"/>
        <v>0</v>
      </c>
      <c r="GW229" s="12">
        <f t="shared" si="157"/>
        <v>0</v>
      </c>
      <c r="GX229" s="12">
        <f t="shared" si="158"/>
        <v>0</v>
      </c>
      <c r="GY229" s="12">
        <f t="shared" si="159"/>
        <v>0</v>
      </c>
      <c r="GZ229" s="12">
        <f t="shared" si="160"/>
        <v>0</v>
      </c>
      <c r="HA229" s="12">
        <f t="shared" si="161"/>
        <v>0</v>
      </c>
      <c r="HB229" s="12">
        <f t="shared" si="162"/>
        <v>0</v>
      </c>
      <c r="HC229" s="12">
        <f t="shared" si="163"/>
        <v>0</v>
      </c>
      <c r="HD229" s="12">
        <f t="shared" si="164"/>
        <v>0</v>
      </c>
      <c r="HE229" s="12">
        <f t="shared" si="165"/>
        <v>0</v>
      </c>
      <c r="HF229" s="12">
        <f t="shared" si="166"/>
        <v>0</v>
      </c>
      <c r="HG229" s="12">
        <f t="shared" si="167"/>
        <v>0</v>
      </c>
      <c r="HH229" s="12">
        <f t="shared" si="168"/>
        <v>0</v>
      </c>
      <c r="HI229" s="12">
        <f t="shared" si="169"/>
        <v>0</v>
      </c>
      <c r="HJ229" s="12">
        <f t="shared" si="170"/>
        <v>0</v>
      </c>
      <c r="HK229" s="12">
        <f t="shared" si="171"/>
        <v>0</v>
      </c>
      <c r="HL229" s="12">
        <f t="shared" si="172"/>
        <v>0</v>
      </c>
      <c r="HM229" s="12">
        <f t="shared" si="173"/>
        <v>0</v>
      </c>
      <c r="HN229" s="12">
        <f t="shared" si="174"/>
        <v>0</v>
      </c>
      <c r="HO229" s="12">
        <f t="shared" si="175"/>
        <v>0</v>
      </c>
      <c r="HP229" s="12">
        <f t="shared" si="176"/>
        <v>0</v>
      </c>
      <c r="HQ229" s="12">
        <f t="shared" si="177"/>
        <v>0</v>
      </c>
      <c r="HR229" s="12">
        <f t="shared" si="178"/>
        <v>0</v>
      </c>
      <c r="HS229" s="12">
        <f t="shared" si="179"/>
        <v>0</v>
      </c>
      <c r="HT229" s="12">
        <f t="shared" si="180"/>
        <v>0</v>
      </c>
      <c r="HU229" s="12">
        <f t="shared" si="181"/>
        <v>0</v>
      </c>
      <c r="HV229" s="12">
        <f t="shared" si="182"/>
        <v>1</v>
      </c>
      <c r="HW229" s="12">
        <f t="shared" si="183"/>
        <v>0</v>
      </c>
      <c r="HX229" s="12">
        <f t="shared" si="184"/>
        <v>0</v>
      </c>
      <c r="HY229" s="12">
        <f t="shared" si="185"/>
        <v>0</v>
      </c>
      <c r="HZ229" s="12">
        <f t="shared" si="186"/>
        <v>0</v>
      </c>
      <c r="IA229" s="12">
        <f t="shared" si="187"/>
        <v>0</v>
      </c>
      <c r="IB229" s="12">
        <f t="shared" si="188"/>
        <v>0</v>
      </c>
      <c r="IC229" s="12">
        <f t="shared" si="189"/>
        <v>0</v>
      </c>
      <c r="ID229" s="12">
        <f t="shared" si="190"/>
        <v>0</v>
      </c>
      <c r="IE229" s="12">
        <f t="shared" si="191"/>
        <v>0</v>
      </c>
      <c r="IF229" s="12">
        <f t="shared" si="192"/>
        <v>0</v>
      </c>
      <c r="IG229" s="12">
        <f t="shared" si="193"/>
        <v>0</v>
      </c>
      <c r="IH229" s="12">
        <f t="shared" si="194"/>
        <v>0</v>
      </c>
      <c r="II229" s="12">
        <f t="shared" si="195"/>
        <v>0</v>
      </c>
      <c r="IJ229" s="12">
        <f t="shared" si="196"/>
        <v>0</v>
      </c>
      <c r="IK229" s="12">
        <f t="shared" si="197"/>
        <v>0</v>
      </c>
      <c r="IL229" s="12">
        <f t="shared" si="198"/>
        <v>0</v>
      </c>
      <c r="IM229" s="12">
        <f t="shared" si="199"/>
        <v>0</v>
      </c>
      <c r="IN229" s="12">
        <f t="shared" si="200"/>
        <v>0</v>
      </c>
      <c r="IO229" s="12">
        <f t="shared" si="201"/>
        <v>0</v>
      </c>
      <c r="IP229" s="12">
        <f t="shared" si="202"/>
        <v>0</v>
      </c>
      <c r="IQ229" s="12">
        <f t="shared" si="203"/>
        <v>0</v>
      </c>
      <c r="IR229" s="12">
        <f t="shared" si="204"/>
        <v>0</v>
      </c>
      <c r="IS229" s="12">
        <f t="shared" si="205"/>
        <v>0</v>
      </c>
      <c r="IT229" s="12">
        <f t="shared" si="206"/>
        <v>0</v>
      </c>
      <c r="IU229" s="12">
        <f t="shared" si="207"/>
        <v>0</v>
      </c>
      <c r="IV229" s="12">
        <f t="shared" si="208"/>
        <v>0</v>
      </c>
      <c r="IW229" s="12">
        <f t="shared" si="209"/>
        <v>0</v>
      </c>
      <c r="IX229" s="12">
        <f t="shared" si="210"/>
        <v>0</v>
      </c>
      <c r="IY229" s="12">
        <f t="shared" si="211"/>
        <v>0</v>
      </c>
      <c r="IZ229" s="12">
        <f t="shared" si="212"/>
        <v>0</v>
      </c>
      <c r="JA229" s="13">
        <f t="shared" si="213"/>
        <v>0</v>
      </c>
      <c r="JB229" s="13">
        <f t="shared" si="214"/>
        <v>0</v>
      </c>
      <c r="JC229" s="13">
        <f t="shared" si="215"/>
        <v>0</v>
      </c>
      <c r="JD229" s="13">
        <f t="shared" si="216"/>
        <v>0</v>
      </c>
      <c r="JE229" s="13">
        <f t="shared" si="217"/>
        <v>0</v>
      </c>
      <c r="JF229" s="13">
        <f t="shared" si="218"/>
        <v>0</v>
      </c>
      <c r="JG229" s="13">
        <f t="shared" si="219"/>
        <v>0</v>
      </c>
      <c r="JH229" s="13">
        <f t="shared" si="220"/>
        <v>0</v>
      </c>
      <c r="JI229" s="13">
        <f t="shared" si="221"/>
        <v>0</v>
      </c>
      <c r="JJ229" s="13">
        <f t="shared" si="222"/>
        <v>0</v>
      </c>
      <c r="JK229" s="13">
        <f t="shared" si="223"/>
        <v>0</v>
      </c>
      <c r="JL229" s="13">
        <f t="shared" si="224"/>
        <v>0</v>
      </c>
      <c r="JM229" s="13">
        <f t="shared" si="225"/>
        <v>0</v>
      </c>
      <c r="JN229" s="13">
        <f t="shared" si="226"/>
        <v>0</v>
      </c>
      <c r="JO229" s="13">
        <f t="shared" si="227"/>
        <v>0</v>
      </c>
      <c r="JP229" s="13">
        <f t="shared" si="228"/>
        <v>0</v>
      </c>
      <c r="JQ229" s="13">
        <f t="shared" si="229"/>
        <v>0</v>
      </c>
      <c r="JR229" s="13">
        <f t="shared" si="230"/>
        <v>0</v>
      </c>
      <c r="JS229" s="13">
        <f t="shared" si="231"/>
        <v>0</v>
      </c>
      <c r="JT229" s="13">
        <f t="shared" si="232"/>
        <v>0</v>
      </c>
      <c r="JU229" s="13">
        <f t="shared" si="233"/>
        <v>0</v>
      </c>
      <c r="JV229" s="12">
        <f t="shared" si="234"/>
        <v>0</v>
      </c>
      <c r="JW229" s="12">
        <f t="shared" si="235"/>
        <v>0</v>
      </c>
      <c r="JX229" s="12">
        <f t="shared" si="236"/>
        <v>0</v>
      </c>
      <c r="JY229" s="12">
        <f t="shared" si="237"/>
        <v>0</v>
      </c>
      <c r="JZ229" s="12">
        <f t="shared" si="238"/>
        <v>0</v>
      </c>
      <c r="KA229" s="12">
        <f t="shared" si="239"/>
        <v>0</v>
      </c>
      <c r="KB229" s="12">
        <f t="shared" si="240"/>
        <v>0</v>
      </c>
      <c r="KC229" s="12">
        <f t="shared" si="241"/>
        <v>0</v>
      </c>
      <c r="KD229" s="12">
        <f t="shared" si="797"/>
        <v>0</v>
      </c>
      <c r="KE229" s="12">
        <f t="shared" si="243"/>
        <v>0</v>
      </c>
      <c r="KF229" s="12">
        <f t="shared" si="244"/>
        <v>0</v>
      </c>
      <c r="KG229" s="12">
        <f t="shared" si="245"/>
        <v>0</v>
      </c>
      <c r="KH229" s="12">
        <f t="shared" si="246"/>
        <v>0</v>
      </c>
      <c r="KI229" s="12">
        <f t="shared" si="247"/>
        <v>0</v>
      </c>
      <c r="KJ229" s="12">
        <f t="shared" si="248"/>
        <v>0</v>
      </c>
      <c r="KK229" s="12">
        <f t="shared" si="249"/>
        <v>0</v>
      </c>
      <c r="KL229" s="12">
        <f t="shared" si="250"/>
        <v>0</v>
      </c>
      <c r="KM229" s="12">
        <f t="shared" si="251"/>
        <v>0</v>
      </c>
      <c r="KN229" s="12">
        <f t="shared" si="252"/>
        <v>0</v>
      </c>
      <c r="KO229" s="12">
        <f t="shared" si="253"/>
        <v>0</v>
      </c>
      <c r="KP229" s="12">
        <f t="shared" si="254"/>
        <v>0</v>
      </c>
      <c r="KQ229" s="12">
        <f t="shared" si="255"/>
        <v>0</v>
      </c>
      <c r="KR229" s="12">
        <f t="shared" si="256"/>
        <v>0</v>
      </c>
      <c r="KS229" s="12">
        <f t="shared" si="257"/>
        <v>0</v>
      </c>
      <c r="KT229" s="12">
        <f t="shared" si="258"/>
        <v>0</v>
      </c>
      <c r="KU229" s="12">
        <f t="shared" si="259"/>
        <v>0</v>
      </c>
      <c r="KV229" s="12">
        <f t="shared" si="260"/>
        <v>0</v>
      </c>
      <c r="KW229" s="12">
        <f t="shared" si="261"/>
        <v>0</v>
      </c>
      <c r="KX229" s="12">
        <f t="shared" si="262"/>
        <v>0</v>
      </c>
      <c r="KY229" s="12">
        <f t="shared" si="263"/>
        <v>0</v>
      </c>
      <c r="KZ229" s="12">
        <f t="shared" si="264"/>
        <v>0</v>
      </c>
      <c r="LA229" s="12">
        <f t="shared" si="265"/>
        <v>0</v>
      </c>
      <c r="LB229" s="12">
        <f t="shared" si="266"/>
        <v>0</v>
      </c>
      <c r="LC229" s="12">
        <f t="shared" si="267"/>
        <v>0</v>
      </c>
      <c r="LD229" s="12">
        <f t="shared" si="268"/>
        <v>0</v>
      </c>
      <c r="LE229" s="12">
        <f t="shared" si="269"/>
        <v>0</v>
      </c>
      <c r="LF229" s="12">
        <f t="shared" si="270"/>
        <v>0</v>
      </c>
      <c r="LG229" s="12">
        <f t="shared" si="271"/>
        <v>0</v>
      </c>
      <c r="LH229" s="12">
        <f t="shared" si="272"/>
        <v>0</v>
      </c>
      <c r="LI229" s="12">
        <f t="shared" si="273"/>
        <v>0</v>
      </c>
      <c r="LJ229" s="12">
        <f t="shared" si="274"/>
        <v>0</v>
      </c>
      <c r="LK229" s="12">
        <f t="shared" si="275"/>
        <v>0</v>
      </c>
      <c r="LL229" s="12">
        <f t="shared" si="276"/>
        <v>0</v>
      </c>
      <c r="LM229" s="12">
        <f t="shared" si="277"/>
        <v>0</v>
      </c>
      <c r="LN229" s="12">
        <f t="shared" si="278"/>
        <v>0</v>
      </c>
      <c r="LO229" s="12">
        <f t="shared" si="279"/>
        <v>0</v>
      </c>
      <c r="LP229" s="12">
        <f t="shared" si="280"/>
        <v>0</v>
      </c>
      <c r="LQ229" s="12">
        <f t="shared" si="281"/>
        <v>0</v>
      </c>
      <c r="LR229" s="12">
        <f t="shared" si="282"/>
        <v>0</v>
      </c>
      <c r="LS229" s="12">
        <f t="shared" si="283"/>
        <v>0</v>
      </c>
      <c r="LT229" s="13">
        <f t="shared" si="284"/>
        <v>0</v>
      </c>
      <c r="LU229" s="13">
        <f t="shared" si="285"/>
        <v>0</v>
      </c>
      <c r="LV229" s="13">
        <f t="shared" si="286"/>
        <v>0</v>
      </c>
      <c r="LW229" s="13">
        <f t="shared" si="287"/>
        <v>0</v>
      </c>
      <c r="LX229" s="13">
        <f t="shared" si="288"/>
        <v>0</v>
      </c>
      <c r="LY229" s="13">
        <f t="shared" si="289"/>
        <v>0</v>
      </c>
      <c r="LZ229" s="13">
        <f t="shared" si="290"/>
        <v>0</v>
      </c>
      <c r="MA229" s="13">
        <f t="shared" si="291"/>
        <v>0</v>
      </c>
      <c r="MB229" s="13">
        <f t="shared" si="292"/>
        <v>0</v>
      </c>
      <c r="MC229" s="13">
        <f t="shared" si="293"/>
        <v>0</v>
      </c>
      <c r="MD229" s="13">
        <f t="shared" si="294"/>
        <v>0</v>
      </c>
      <c r="ME229" s="13">
        <f t="shared" si="295"/>
        <v>0</v>
      </c>
      <c r="MF229" s="13">
        <f t="shared" si="296"/>
        <v>0</v>
      </c>
      <c r="MG229" s="13">
        <f t="shared" si="297"/>
        <v>0</v>
      </c>
      <c r="MH229" s="13">
        <f t="shared" si="298"/>
        <v>0</v>
      </c>
      <c r="MI229" s="13">
        <f t="shared" si="299"/>
        <v>0</v>
      </c>
      <c r="MJ229" s="13">
        <f t="shared" si="300"/>
        <v>0</v>
      </c>
      <c r="MK229" s="13">
        <f t="shared" si="301"/>
        <v>0</v>
      </c>
      <c r="ML229" s="14">
        <f t="shared" si="302"/>
        <v>0</v>
      </c>
      <c r="MM229" s="14">
        <f t="shared" si="303"/>
        <v>0</v>
      </c>
      <c r="MN229" s="14">
        <f t="shared" si="304"/>
        <v>0</v>
      </c>
      <c r="MO229" s="14">
        <f t="shared" si="305"/>
        <v>0</v>
      </c>
      <c r="MP229" s="14">
        <f t="shared" si="306"/>
        <v>0</v>
      </c>
      <c r="MQ229" s="14">
        <f t="shared" si="307"/>
        <v>0</v>
      </c>
      <c r="MR229" s="14">
        <f t="shared" si="308"/>
        <v>0</v>
      </c>
      <c r="MS229" s="14">
        <f t="shared" si="309"/>
        <v>0</v>
      </c>
      <c r="MT229" s="14">
        <f t="shared" si="310"/>
        <v>0</v>
      </c>
      <c r="MU229" s="14">
        <f t="shared" si="311"/>
        <v>0</v>
      </c>
      <c r="MV229" s="14">
        <f t="shared" si="312"/>
        <v>0</v>
      </c>
      <c r="MW229" s="14">
        <f t="shared" si="313"/>
        <v>0</v>
      </c>
      <c r="MX229" s="14">
        <f t="shared" si="314"/>
        <v>0</v>
      </c>
      <c r="MY229" s="14">
        <f t="shared" si="315"/>
        <v>0</v>
      </c>
      <c r="MZ229" s="14">
        <f t="shared" si="316"/>
        <v>0</v>
      </c>
      <c r="NA229" s="14">
        <f t="shared" si="317"/>
        <v>0</v>
      </c>
      <c r="NB229" s="14">
        <f t="shared" si="318"/>
        <v>0</v>
      </c>
    </row>
    <row r="230" ht="15.75" customHeight="1">
      <c r="A230" s="2">
        <v>475.0</v>
      </c>
      <c r="B230" s="2" t="s">
        <v>4167</v>
      </c>
      <c r="C230" s="2" t="s">
        <v>4168</v>
      </c>
      <c r="D230" s="2" t="s">
        <v>4169</v>
      </c>
      <c r="E230" s="2">
        <v>2023.0</v>
      </c>
      <c r="F230" s="2" t="s">
        <v>2669</v>
      </c>
      <c r="G230" s="2">
        <v>83.0</v>
      </c>
      <c r="I230" s="2" t="s">
        <v>4170</v>
      </c>
      <c r="N230" s="2" t="s">
        <v>4171</v>
      </c>
      <c r="O230" s="2" t="s">
        <v>4172</v>
      </c>
      <c r="P230" s="2" t="s">
        <v>4173</v>
      </c>
      <c r="Q230" s="2" t="s">
        <v>4174</v>
      </c>
      <c r="R230" s="2" t="s">
        <v>4175</v>
      </c>
      <c r="S230" s="2" t="s">
        <v>4176</v>
      </c>
      <c r="T230" s="2" t="s">
        <v>4177</v>
      </c>
      <c r="Y230" s="2" t="s">
        <v>4178</v>
      </c>
      <c r="AB230" s="2" t="s">
        <v>646</v>
      </c>
      <c r="AG230" s="2" t="s">
        <v>2682</v>
      </c>
      <c r="AK230" s="2" t="s">
        <v>2683</v>
      </c>
      <c r="AL230" s="2" t="s">
        <v>384</v>
      </c>
      <c r="AN230" s="2" t="s">
        <v>386</v>
      </c>
      <c r="AO230" s="2" t="s">
        <v>4179</v>
      </c>
      <c r="AP230" s="2" t="s">
        <v>386</v>
      </c>
      <c r="AQ230" s="2">
        <v>1827.0</v>
      </c>
      <c r="AR230" s="2" t="s">
        <v>4180</v>
      </c>
      <c r="AS230" s="2" t="b">
        <v>1</v>
      </c>
      <c r="AT230" s="3">
        <v>0.0</v>
      </c>
      <c r="AU230" s="4"/>
      <c r="AV230" s="4">
        <v>1.0</v>
      </c>
      <c r="AW230" s="5">
        <f t="shared" si="432"/>
        <v>0</v>
      </c>
      <c r="AX230" s="5">
        <f t="shared" si="4"/>
        <v>0</v>
      </c>
      <c r="AY230" s="5">
        <f t="shared" si="5"/>
        <v>0</v>
      </c>
      <c r="AZ230" s="5">
        <f t="shared" si="6"/>
        <v>0</v>
      </c>
      <c r="BA230" s="5">
        <f t="shared" si="7"/>
        <v>0</v>
      </c>
      <c r="BB230" s="5">
        <f t="shared" si="8"/>
        <v>0</v>
      </c>
      <c r="BC230" s="5">
        <f t="shared" si="9"/>
        <v>0</v>
      </c>
      <c r="BD230" s="5">
        <f t="shared" si="10"/>
        <v>0</v>
      </c>
      <c r="BE230" s="5">
        <f t="shared" si="11"/>
        <v>0</v>
      </c>
      <c r="BF230" s="5">
        <f t="shared" si="12"/>
        <v>0</v>
      </c>
      <c r="BG230" s="5">
        <f t="shared" si="13"/>
        <v>0</v>
      </c>
      <c r="BH230" s="5">
        <f t="shared" si="14"/>
        <v>0</v>
      </c>
      <c r="BI230" s="5">
        <f t="shared" si="15"/>
        <v>0</v>
      </c>
      <c r="BJ230" s="5">
        <f t="shared" si="16"/>
        <v>0</v>
      </c>
      <c r="BK230" s="5">
        <f t="shared" si="17"/>
        <v>0</v>
      </c>
      <c r="BL230" s="5">
        <f t="shared" si="18"/>
        <v>0</v>
      </c>
      <c r="BM230" s="5">
        <f t="shared" si="19"/>
        <v>0</v>
      </c>
      <c r="BN230" s="5">
        <f t="shared" si="20"/>
        <v>0</v>
      </c>
      <c r="BO230" s="5">
        <f t="shared" si="21"/>
        <v>0</v>
      </c>
      <c r="BP230" s="5">
        <f t="shared" si="22"/>
        <v>0</v>
      </c>
      <c r="BQ230" s="5">
        <f t="shared" si="23"/>
        <v>0</v>
      </c>
      <c r="BR230" s="5">
        <f t="shared" si="24"/>
        <v>0</v>
      </c>
      <c r="BS230" s="5">
        <f t="shared" si="25"/>
        <v>0</v>
      </c>
      <c r="BT230" s="5">
        <f t="shared" si="26"/>
        <v>0</v>
      </c>
      <c r="BU230" s="5">
        <f t="shared" si="27"/>
        <v>0</v>
      </c>
      <c r="BV230" s="5">
        <f t="shared" ref="BV230:BW230" si="821">IF(OR(ISNUMBER(SEARCH("grit",$D230)),ISNUMBER(SEARCH("grit",$T230)),ISNUMBER(SEARCH("grit",$R230)),ISNUMBER(SEARCH("grit",$S230)),
ISNUMBER(SEARCH("determination",$D230)),ISNUMBER(SEARCH("determination",$T230)),ISNUMBER(SEARCH("determination",$R230)),ISNUMBER(SEARCH("determination",$S230)),
ISNUMBER(SEARCH("tenacity",$D230)),ISNUMBER(SEARCH("tenacity",$T230)),ISNUMBER(SEARCH("tenacity",$R230)),ISNUMBER(SEARCH("tenacity",$S230)),
ISNUMBER(SEARCH("endurance",$D230)),ISNUMBER(SEARCH("endurance",$T230)),ISNUMBER(SEARCH("endurance",$R230)),ISNUMBER(SEARCH("endurance",$S230)),
ISNUMBER(SEARCH("fortitude",$D230)),ISNUMBER(SEARCH("fortitude",$T230)),ISNUMBER(SEARCH("fortitude",$R230)),ISNUMBER(SEARCH("fortitude",$S230)),
ISNUMBER(SEARCH("resolve",$D230)),ISNUMBER(SEARCH("resolve",$T230)),ISNUMBER(SEARCH("resolve",$R230)),ISNUMBER(SEARCH("resolve",$S230)),
ISNUMBER(SEARCH("stamina",$D230)),ISNUMBER(SEARCH("stamina",$T230)),ISNUMBER(SEARCH("stamina",$R230)),ISNUMBER(SEARCH("stamina",$S230)),
ISNUMBER(SEARCH("guts",$D230)),ISNUMBER(SEARCH("guts",$T230)),ISNUMBER(SEARCH("guts",$R230)),ISNUMBER(SEARCH("guts",$S230)),
ISNUMBER(SEARCH("spunk",$D230)),ISNUMBER(SEARCH("spunk",$T230)),ISNUMBER(SEARCH("spunk",$R230)),ISNUMBER(SEARCH("spunk",$S230))), 1, 0)</f>
        <v>0</v>
      </c>
      <c r="BW230" s="5">
        <f t="shared" si="821"/>
        <v>0</v>
      </c>
      <c r="BX230" s="5">
        <f t="shared" si="29"/>
        <v>0</v>
      </c>
      <c r="BY230" s="5">
        <f t="shared" si="30"/>
        <v>0</v>
      </c>
      <c r="BZ230" s="5">
        <f t="shared" si="31"/>
        <v>0</v>
      </c>
      <c r="CA230" s="5">
        <f t="shared" si="32"/>
        <v>0</v>
      </c>
      <c r="CB230" s="5">
        <f t="shared" si="33"/>
        <v>0</v>
      </c>
      <c r="CC230" s="5">
        <f t="shared" si="34"/>
        <v>0</v>
      </c>
      <c r="CD230" s="5">
        <f t="shared" si="35"/>
        <v>0</v>
      </c>
      <c r="CE230" s="5">
        <f t="shared" si="36"/>
        <v>0</v>
      </c>
      <c r="CF230" s="5">
        <f t="shared" si="37"/>
        <v>0</v>
      </c>
      <c r="CG230" s="5">
        <f t="shared" si="38"/>
        <v>0</v>
      </c>
      <c r="CH230" s="5">
        <f t="shared" si="39"/>
        <v>0</v>
      </c>
      <c r="CI230" s="5">
        <f t="shared" si="40"/>
        <v>0</v>
      </c>
      <c r="CJ230" s="5">
        <f t="shared" si="41"/>
        <v>0</v>
      </c>
      <c r="CK230" s="5">
        <f t="shared" si="42"/>
        <v>1</v>
      </c>
      <c r="CL230" s="5">
        <f t="shared" si="43"/>
        <v>0</v>
      </c>
      <c r="CM230" s="5">
        <f t="shared" si="44"/>
        <v>0</v>
      </c>
      <c r="CN230" s="5">
        <f t="shared" si="45"/>
        <v>0</v>
      </c>
      <c r="CO230" s="5">
        <f t="shared" si="46"/>
        <v>0</v>
      </c>
      <c r="CP230" s="6">
        <f t="shared" si="47"/>
        <v>0</v>
      </c>
      <c r="CQ230" s="6">
        <f t="shared" si="48"/>
        <v>0</v>
      </c>
      <c r="CR230" s="6">
        <f t="shared" si="49"/>
        <v>0</v>
      </c>
      <c r="CS230" s="6">
        <f t="shared" si="50"/>
        <v>0</v>
      </c>
      <c r="CT230" s="6">
        <f t="shared" si="584"/>
        <v>0</v>
      </c>
      <c r="CU230" s="6">
        <f t="shared" si="52"/>
        <v>0</v>
      </c>
      <c r="CV230" s="6">
        <f t="shared" si="53"/>
        <v>0</v>
      </c>
      <c r="CW230" s="6">
        <f t="shared" si="54"/>
        <v>0</v>
      </c>
      <c r="CX230" s="6">
        <f t="shared" si="55"/>
        <v>0</v>
      </c>
      <c r="CY230" s="6">
        <f t="shared" si="56"/>
        <v>0</v>
      </c>
      <c r="CZ230" s="6">
        <f t="shared" si="57"/>
        <v>0</v>
      </c>
      <c r="DA230" s="6">
        <f t="shared" si="58"/>
        <v>0</v>
      </c>
      <c r="DB230" s="6">
        <f t="shared" si="59"/>
        <v>0</v>
      </c>
      <c r="DC230" s="6">
        <f t="shared" si="60"/>
        <v>0</v>
      </c>
      <c r="DD230" s="6">
        <f t="shared" si="61"/>
        <v>0</v>
      </c>
      <c r="DE230" s="6">
        <f t="shared" si="62"/>
        <v>0</v>
      </c>
      <c r="DF230" s="6">
        <f t="shared" si="63"/>
        <v>0</v>
      </c>
      <c r="DG230" s="6">
        <f t="shared" si="64"/>
        <v>0</v>
      </c>
      <c r="DH230" s="6">
        <f t="shared" si="697"/>
        <v>0</v>
      </c>
      <c r="DI230" s="6">
        <f t="shared" si="66"/>
        <v>1</v>
      </c>
      <c r="DJ230" s="6">
        <f t="shared" si="653"/>
        <v>0</v>
      </c>
      <c r="DK230" s="7">
        <f t="shared" si="68"/>
        <v>0</v>
      </c>
      <c r="DL230" s="7">
        <f t="shared" si="498"/>
        <v>0</v>
      </c>
      <c r="DM230" s="7">
        <f t="shared" si="70"/>
        <v>0</v>
      </c>
      <c r="DN230" s="7">
        <f t="shared" si="71"/>
        <v>0</v>
      </c>
      <c r="DO230" s="7">
        <f t="shared" si="72"/>
        <v>0</v>
      </c>
      <c r="DP230" s="8">
        <f t="shared" si="73"/>
        <v>0</v>
      </c>
      <c r="DQ230" s="8">
        <f t="shared" si="74"/>
        <v>1</v>
      </c>
      <c r="DR230" s="7">
        <f t="shared" si="75"/>
        <v>0</v>
      </c>
      <c r="DS230" s="7">
        <f t="shared" si="76"/>
        <v>0</v>
      </c>
      <c r="DT230" s="7">
        <f t="shared" si="77"/>
        <v>0</v>
      </c>
      <c r="DU230" s="9">
        <f t="shared" si="78"/>
        <v>0</v>
      </c>
      <c r="DV230" s="9">
        <f t="shared" si="79"/>
        <v>0</v>
      </c>
      <c r="DW230" s="9">
        <f t="shared" si="80"/>
        <v>0</v>
      </c>
      <c r="DX230" s="9">
        <f t="shared" si="81"/>
        <v>0</v>
      </c>
      <c r="DY230" s="9">
        <f t="shared" si="82"/>
        <v>0</v>
      </c>
      <c r="DZ230" s="9">
        <f t="shared" si="83"/>
        <v>0</v>
      </c>
      <c r="EA230" s="9">
        <f t="shared" si="84"/>
        <v>0</v>
      </c>
      <c r="EB230" s="9">
        <f t="shared" si="85"/>
        <v>0</v>
      </c>
      <c r="EC230" s="9">
        <f t="shared" si="86"/>
        <v>0</v>
      </c>
      <c r="ED230" s="9">
        <f t="shared" si="87"/>
        <v>0</v>
      </c>
      <c r="EE230" s="9">
        <f t="shared" si="88"/>
        <v>0</v>
      </c>
      <c r="EF230" s="9">
        <f t="shared" si="89"/>
        <v>0</v>
      </c>
      <c r="EG230" s="9">
        <f t="shared" si="90"/>
        <v>0</v>
      </c>
      <c r="EH230" s="9">
        <f t="shared" si="91"/>
        <v>0</v>
      </c>
      <c r="EI230" s="9">
        <f t="shared" si="92"/>
        <v>0</v>
      </c>
      <c r="EJ230" s="10">
        <f t="shared" si="93"/>
        <v>0</v>
      </c>
      <c r="EK230" s="10">
        <f t="shared" si="94"/>
        <v>0</v>
      </c>
      <c r="EL230" s="10">
        <f t="shared" ref="EL230:EM230" si="822">IF(OR(ISNUMBER(SEARCH("ai software toolkit", $D230)), ISNUMBER(SEARCH("ai software toolkit", $T230)), ISNUMBER(SEARCH("ai software toolkit", $R230)), ISNUMBER(SEARCH("ai software toolkit", $S230))), 1, 0)</f>
        <v>0</v>
      </c>
      <c r="EM230" s="10">
        <f t="shared" si="822"/>
        <v>0</v>
      </c>
      <c r="EN230" s="10">
        <f t="shared" si="96"/>
        <v>0</v>
      </c>
      <c r="EO230" s="10">
        <f t="shared" si="97"/>
        <v>0</v>
      </c>
      <c r="EP230" s="10">
        <f t="shared" si="98"/>
        <v>0</v>
      </c>
      <c r="EQ230" s="10">
        <f t="shared" si="99"/>
        <v>0</v>
      </c>
      <c r="ER230" s="10">
        <f t="shared" si="100"/>
        <v>0</v>
      </c>
      <c r="ES230" s="10">
        <f t="shared" si="101"/>
        <v>0</v>
      </c>
      <c r="ET230" s="10">
        <f t="shared" si="102"/>
        <v>0</v>
      </c>
      <c r="EU230" s="10">
        <f t="shared" si="103"/>
        <v>0</v>
      </c>
      <c r="EV230" s="10">
        <f t="shared" si="104"/>
        <v>0</v>
      </c>
      <c r="EW230" s="10">
        <f t="shared" si="105"/>
        <v>0</v>
      </c>
      <c r="EX230" s="10">
        <f t="shared" si="106"/>
        <v>0</v>
      </c>
      <c r="EY230" s="10">
        <f t="shared" si="107"/>
        <v>0</v>
      </c>
      <c r="EZ230" s="10">
        <f t="shared" si="108"/>
        <v>0</v>
      </c>
      <c r="FA230" s="10">
        <f t="shared" si="109"/>
        <v>0</v>
      </c>
      <c r="FB230" s="10">
        <f t="shared" si="110"/>
        <v>0</v>
      </c>
      <c r="FC230" s="10">
        <f t="shared" si="111"/>
        <v>0</v>
      </c>
      <c r="FD230" s="10">
        <f t="shared" si="112"/>
        <v>0</v>
      </c>
      <c r="FE230" s="10">
        <f t="shared" si="782"/>
        <v>0</v>
      </c>
      <c r="FF230" s="10">
        <f t="shared" si="114"/>
        <v>0</v>
      </c>
      <c r="FG230" s="10">
        <f t="shared" si="115"/>
        <v>0</v>
      </c>
      <c r="FH230" s="10">
        <f t="shared" si="116"/>
        <v>0</v>
      </c>
      <c r="FI230" s="10">
        <f t="shared" si="117"/>
        <v>0</v>
      </c>
      <c r="FJ230" s="10">
        <f t="shared" si="118"/>
        <v>0</v>
      </c>
      <c r="FK230" s="10">
        <f t="shared" si="119"/>
        <v>0</v>
      </c>
      <c r="FL230" s="10">
        <f t="shared" si="120"/>
        <v>0</v>
      </c>
      <c r="FM230" s="10">
        <f t="shared" si="121"/>
        <v>0</v>
      </c>
      <c r="FN230" s="10">
        <f t="shared" si="122"/>
        <v>0</v>
      </c>
      <c r="FO230" s="10">
        <f t="shared" si="123"/>
        <v>0</v>
      </c>
      <c r="FP230" s="10">
        <f t="shared" si="124"/>
        <v>0</v>
      </c>
      <c r="FQ230" s="10">
        <f t="shared" si="125"/>
        <v>0</v>
      </c>
      <c r="FR230" s="11">
        <f t="shared" si="804"/>
        <v>0</v>
      </c>
      <c r="FS230" s="11">
        <f t="shared" si="127"/>
        <v>0</v>
      </c>
      <c r="FT230" s="11">
        <f t="shared" si="128"/>
        <v>0</v>
      </c>
      <c r="FU230" s="11">
        <f t="shared" si="129"/>
        <v>0</v>
      </c>
      <c r="FV230" s="11">
        <f t="shared" si="130"/>
        <v>0</v>
      </c>
      <c r="FW230" s="11">
        <f t="shared" si="131"/>
        <v>0</v>
      </c>
      <c r="FX230" s="11">
        <f t="shared" si="132"/>
        <v>0</v>
      </c>
      <c r="FY230" s="11">
        <f t="shared" si="133"/>
        <v>0</v>
      </c>
      <c r="FZ230" s="11">
        <f t="shared" si="134"/>
        <v>0</v>
      </c>
      <c r="GA230" s="11">
        <f t="shared" si="135"/>
        <v>0</v>
      </c>
      <c r="GB230" s="11">
        <f t="shared" si="136"/>
        <v>0</v>
      </c>
      <c r="GC230" s="11">
        <f t="shared" si="137"/>
        <v>0</v>
      </c>
      <c r="GD230" s="11">
        <f t="shared" si="138"/>
        <v>0</v>
      </c>
      <c r="GE230" s="11">
        <f t="shared" si="139"/>
        <v>0</v>
      </c>
      <c r="GF230" s="11">
        <f t="shared" si="140"/>
        <v>0</v>
      </c>
      <c r="GG230" s="11">
        <f t="shared" si="141"/>
        <v>0</v>
      </c>
      <c r="GH230" s="11">
        <f t="shared" si="142"/>
        <v>0</v>
      </c>
      <c r="GI230" s="11">
        <f t="shared" si="143"/>
        <v>0</v>
      </c>
      <c r="GJ230" s="11">
        <f t="shared" si="144"/>
        <v>0</v>
      </c>
      <c r="GK230" s="11">
        <f t="shared" si="145"/>
        <v>0</v>
      </c>
      <c r="GL230" s="11">
        <f t="shared" si="146"/>
        <v>0</v>
      </c>
      <c r="GM230" s="11">
        <f t="shared" si="147"/>
        <v>0</v>
      </c>
      <c r="GN230" s="11">
        <f t="shared" si="148"/>
        <v>0</v>
      </c>
      <c r="GO230" s="11">
        <f t="shared" si="149"/>
        <v>0</v>
      </c>
      <c r="GP230" s="11">
        <f t="shared" si="150"/>
        <v>0</v>
      </c>
      <c r="GQ230" s="11">
        <f t="shared" si="151"/>
        <v>0</v>
      </c>
      <c r="GR230" s="11">
        <f t="shared" si="152"/>
        <v>0</v>
      </c>
      <c r="GS230" s="11">
        <f t="shared" si="153"/>
        <v>0</v>
      </c>
      <c r="GT230" s="11">
        <f t="shared" si="154"/>
        <v>0</v>
      </c>
      <c r="GU230" s="12">
        <f t="shared" si="155"/>
        <v>0</v>
      </c>
      <c r="GV230" s="12">
        <f t="shared" si="156"/>
        <v>0</v>
      </c>
      <c r="GW230" s="12">
        <f t="shared" si="157"/>
        <v>0</v>
      </c>
      <c r="GX230" s="12">
        <f t="shared" si="158"/>
        <v>0</v>
      </c>
      <c r="GY230" s="12">
        <f t="shared" si="159"/>
        <v>0</v>
      </c>
      <c r="GZ230" s="12">
        <f t="shared" si="160"/>
        <v>0</v>
      </c>
      <c r="HA230" s="12">
        <f t="shared" si="161"/>
        <v>0</v>
      </c>
      <c r="HB230" s="12">
        <f t="shared" si="162"/>
        <v>0</v>
      </c>
      <c r="HC230" s="12">
        <f t="shared" si="163"/>
        <v>0</v>
      </c>
      <c r="HD230" s="12">
        <f t="shared" si="164"/>
        <v>0</v>
      </c>
      <c r="HE230" s="12">
        <f t="shared" si="165"/>
        <v>0</v>
      </c>
      <c r="HF230" s="12">
        <f t="shared" si="166"/>
        <v>0</v>
      </c>
      <c r="HG230" s="12">
        <f t="shared" si="167"/>
        <v>0</v>
      </c>
      <c r="HH230" s="12">
        <f t="shared" si="168"/>
        <v>0</v>
      </c>
      <c r="HI230" s="12">
        <f t="shared" si="169"/>
        <v>0</v>
      </c>
      <c r="HJ230" s="12">
        <f t="shared" si="170"/>
        <v>0</v>
      </c>
      <c r="HK230" s="12">
        <f t="shared" si="171"/>
        <v>0</v>
      </c>
      <c r="HL230" s="12">
        <f t="shared" si="172"/>
        <v>0</v>
      </c>
      <c r="HM230" s="12">
        <f t="shared" si="173"/>
        <v>0</v>
      </c>
      <c r="HN230" s="12">
        <f t="shared" si="174"/>
        <v>0</v>
      </c>
      <c r="HO230" s="12">
        <f t="shared" si="175"/>
        <v>0</v>
      </c>
      <c r="HP230" s="12">
        <f t="shared" si="176"/>
        <v>0</v>
      </c>
      <c r="HQ230" s="12">
        <f t="shared" si="177"/>
        <v>0</v>
      </c>
      <c r="HR230" s="12">
        <f t="shared" si="178"/>
        <v>0</v>
      </c>
      <c r="HS230" s="12">
        <f t="shared" si="179"/>
        <v>0</v>
      </c>
      <c r="HT230" s="12">
        <f t="shared" si="180"/>
        <v>0</v>
      </c>
      <c r="HU230" s="12">
        <f t="shared" si="181"/>
        <v>0</v>
      </c>
      <c r="HV230" s="12">
        <f t="shared" si="182"/>
        <v>0</v>
      </c>
      <c r="HW230" s="12">
        <f t="shared" si="183"/>
        <v>0</v>
      </c>
      <c r="HX230" s="12">
        <f t="shared" si="184"/>
        <v>0</v>
      </c>
      <c r="HY230" s="12">
        <f t="shared" si="185"/>
        <v>0</v>
      </c>
      <c r="HZ230" s="12">
        <f t="shared" si="186"/>
        <v>0</v>
      </c>
      <c r="IA230" s="12">
        <f t="shared" si="187"/>
        <v>0</v>
      </c>
      <c r="IB230" s="12">
        <f t="shared" si="188"/>
        <v>0</v>
      </c>
      <c r="IC230" s="12">
        <f t="shared" si="189"/>
        <v>0</v>
      </c>
      <c r="ID230" s="12">
        <f t="shared" si="190"/>
        <v>0</v>
      </c>
      <c r="IE230" s="12">
        <f t="shared" si="191"/>
        <v>0</v>
      </c>
      <c r="IF230" s="12">
        <f t="shared" si="192"/>
        <v>0</v>
      </c>
      <c r="IG230" s="12">
        <f t="shared" si="193"/>
        <v>0</v>
      </c>
      <c r="IH230" s="12">
        <f t="shared" si="194"/>
        <v>0</v>
      </c>
      <c r="II230" s="12">
        <f t="shared" si="195"/>
        <v>0</v>
      </c>
      <c r="IJ230" s="12">
        <f t="shared" si="196"/>
        <v>0</v>
      </c>
      <c r="IK230" s="12">
        <f t="shared" si="197"/>
        <v>0</v>
      </c>
      <c r="IL230" s="12">
        <f t="shared" si="198"/>
        <v>0</v>
      </c>
      <c r="IM230" s="12">
        <f t="shared" si="199"/>
        <v>0</v>
      </c>
      <c r="IN230" s="12">
        <f t="shared" si="200"/>
        <v>0</v>
      </c>
      <c r="IO230" s="12">
        <f t="shared" si="201"/>
        <v>0</v>
      </c>
      <c r="IP230" s="12">
        <f t="shared" si="202"/>
        <v>0</v>
      </c>
      <c r="IQ230" s="12">
        <f t="shared" si="203"/>
        <v>0</v>
      </c>
      <c r="IR230" s="12">
        <f t="shared" si="204"/>
        <v>0</v>
      </c>
      <c r="IS230" s="12">
        <f t="shared" si="205"/>
        <v>0</v>
      </c>
      <c r="IT230" s="12">
        <f t="shared" si="206"/>
        <v>0</v>
      </c>
      <c r="IU230" s="12">
        <f t="shared" si="207"/>
        <v>0</v>
      </c>
      <c r="IV230" s="12">
        <f t="shared" si="208"/>
        <v>0</v>
      </c>
      <c r="IW230" s="12">
        <f t="shared" si="209"/>
        <v>0</v>
      </c>
      <c r="IX230" s="12">
        <f t="shared" si="210"/>
        <v>0</v>
      </c>
      <c r="IY230" s="12">
        <f t="shared" si="211"/>
        <v>0</v>
      </c>
      <c r="IZ230" s="12">
        <f t="shared" si="212"/>
        <v>0</v>
      </c>
      <c r="JA230" s="13">
        <f t="shared" si="213"/>
        <v>0</v>
      </c>
      <c r="JB230" s="13">
        <f t="shared" si="214"/>
        <v>0</v>
      </c>
      <c r="JC230" s="13">
        <f t="shared" si="215"/>
        <v>1</v>
      </c>
      <c r="JD230" s="13">
        <f t="shared" si="216"/>
        <v>0</v>
      </c>
      <c r="JE230" s="13">
        <f t="shared" si="217"/>
        <v>0</v>
      </c>
      <c r="JF230" s="13">
        <f t="shared" si="218"/>
        <v>0</v>
      </c>
      <c r="JG230" s="13">
        <f t="shared" si="219"/>
        <v>0</v>
      </c>
      <c r="JH230" s="13">
        <f t="shared" si="220"/>
        <v>0</v>
      </c>
      <c r="JI230" s="13">
        <f t="shared" si="221"/>
        <v>0</v>
      </c>
      <c r="JJ230" s="13">
        <f t="shared" si="222"/>
        <v>0</v>
      </c>
      <c r="JK230" s="13">
        <f t="shared" si="223"/>
        <v>0</v>
      </c>
      <c r="JL230" s="13">
        <f t="shared" si="224"/>
        <v>0</v>
      </c>
      <c r="JM230" s="13">
        <f t="shared" si="225"/>
        <v>0</v>
      </c>
      <c r="JN230" s="13">
        <f t="shared" si="226"/>
        <v>0</v>
      </c>
      <c r="JO230" s="13">
        <f t="shared" si="227"/>
        <v>0</v>
      </c>
      <c r="JP230" s="13">
        <f t="shared" si="228"/>
        <v>0</v>
      </c>
      <c r="JQ230" s="13">
        <f t="shared" si="229"/>
        <v>0</v>
      </c>
      <c r="JR230" s="13">
        <f t="shared" si="230"/>
        <v>0</v>
      </c>
      <c r="JS230" s="13">
        <f t="shared" si="231"/>
        <v>0</v>
      </c>
      <c r="JT230" s="13">
        <f t="shared" si="232"/>
        <v>0</v>
      </c>
      <c r="JU230" s="13">
        <f t="shared" si="233"/>
        <v>0</v>
      </c>
      <c r="JV230" s="12">
        <f t="shared" si="234"/>
        <v>0</v>
      </c>
      <c r="JW230" s="12">
        <f t="shared" si="235"/>
        <v>0</v>
      </c>
      <c r="JX230" s="12">
        <f t="shared" si="236"/>
        <v>0</v>
      </c>
      <c r="JY230" s="12">
        <f t="shared" si="237"/>
        <v>0</v>
      </c>
      <c r="JZ230" s="12">
        <f t="shared" si="238"/>
        <v>0</v>
      </c>
      <c r="KA230" s="12">
        <f t="shared" si="239"/>
        <v>0</v>
      </c>
      <c r="KB230" s="12">
        <f t="shared" si="240"/>
        <v>0</v>
      </c>
      <c r="KC230" s="12">
        <f t="shared" si="241"/>
        <v>0</v>
      </c>
      <c r="KD230" s="12">
        <f t="shared" si="797"/>
        <v>0</v>
      </c>
      <c r="KE230" s="12">
        <f t="shared" si="243"/>
        <v>0</v>
      </c>
      <c r="KF230" s="12">
        <f t="shared" si="244"/>
        <v>0</v>
      </c>
      <c r="KG230" s="12">
        <f t="shared" si="245"/>
        <v>0</v>
      </c>
      <c r="KH230" s="12">
        <f t="shared" si="246"/>
        <v>0</v>
      </c>
      <c r="KI230" s="12">
        <f t="shared" si="247"/>
        <v>0</v>
      </c>
      <c r="KJ230" s="12">
        <f t="shared" si="248"/>
        <v>0</v>
      </c>
      <c r="KK230" s="12">
        <f t="shared" si="249"/>
        <v>0</v>
      </c>
      <c r="KL230" s="12">
        <f t="shared" si="250"/>
        <v>0</v>
      </c>
      <c r="KM230" s="12">
        <f t="shared" si="251"/>
        <v>0</v>
      </c>
      <c r="KN230" s="12">
        <f t="shared" si="252"/>
        <v>0</v>
      </c>
      <c r="KO230" s="12">
        <f t="shared" si="253"/>
        <v>0</v>
      </c>
      <c r="KP230" s="12">
        <f t="shared" si="254"/>
        <v>0</v>
      </c>
      <c r="KQ230" s="12">
        <f t="shared" si="255"/>
        <v>0</v>
      </c>
      <c r="KR230" s="12">
        <f t="shared" si="256"/>
        <v>0</v>
      </c>
      <c r="KS230" s="12">
        <f t="shared" si="257"/>
        <v>0</v>
      </c>
      <c r="KT230" s="12">
        <f t="shared" si="258"/>
        <v>0</v>
      </c>
      <c r="KU230" s="12">
        <f t="shared" si="259"/>
        <v>0</v>
      </c>
      <c r="KV230" s="12">
        <f t="shared" si="260"/>
        <v>0</v>
      </c>
      <c r="KW230" s="12">
        <f t="shared" si="261"/>
        <v>0</v>
      </c>
      <c r="KX230" s="12">
        <f t="shared" si="262"/>
        <v>0</v>
      </c>
      <c r="KY230" s="12">
        <f t="shared" si="263"/>
        <v>0</v>
      </c>
      <c r="KZ230" s="12">
        <f t="shared" si="264"/>
        <v>0</v>
      </c>
      <c r="LA230" s="12">
        <f t="shared" si="265"/>
        <v>0</v>
      </c>
      <c r="LB230" s="12">
        <f t="shared" si="266"/>
        <v>0</v>
      </c>
      <c r="LC230" s="12">
        <f t="shared" si="267"/>
        <v>0</v>
      </c>
      <c r="LD230" s="12">
        <f t="shared" si="268"/>
        <v>0</v>
      </c>
      <c r="LE230" s="12">
        <f t="shared" si="269"/>
        <v>0</v>
      </c>
      <c r="LF230" s="12">
        <f t="shared" si="270"/>
        <v>0</v>
      </c>
      <c r="LG230" s="12">
        <f t="shared" si="271"/>
        <v>0</v>
      </c>
      <c r="LH230" s="12">
        <f t="shared" si="272"/>
        <v>0</v>
      </c>
      <c r="LI230" s="12">
        <f t="shared" si="273"/>
        <v>0</v>
      </c>
      <c r="LJ230" s="12">
        <f t="shared" si="274"/>
        <v>0</v>
      </c>
      <c r="LK230" s="12">
        <f t="shared" si="275"/>
        <v>0</v>
      </c>
      <c r="LL230" s="12">
        <f t="shared" si="276"/>
        <v>0</v>
      </c>
      <c r="LM230" s="12">
        <f t="shared" si="277"/>
        <v>0</v>
      </c>
      <c r="LN230" s="12">
        <f t="shared" si="278"/>
        <v>0</v>
      </c>
      <c r="LO230" s="12">
        <f t="shared" si="279"/>
        <v>0</v>
      </c>
      <c r="LP230" s="12">
        <f t="shared" si="280"/>
        <v>0</v>
      </c>
      <c r="LQ230" s="12">
        <f t="shared" si="281"/>
        <v>0</v>
      </c>
      <c r="LR230" s="12">
        <f t="shared" si="282"/>
        <v>0</v>
      </c>
      <c r="LS230" s="12">
        <f t="shared" si="283"/>
        <v>0</v>
      </c>
      <c r="LT230" s="13">
        <f t="shared" si="284"/>
        <v>0</v>
      </c>
      <c r="LU230" s="13">
        <f t="shared" si="285"/>
        <v>0</v>
      </c>
      <c r="LV230" s="13">
        <f t="shared" si="286"/>
        <v>0</v>
      </c>
      <c r="LW230" s="13">
        <f t="shared" si="287"/>
        <v>0</v>
      </c>
      <c r="LX230" s="13">
        <f t="shared" si="288"/>
        <v>0</v>
      </c>
      <c r="LY230" s="13">
        <f t="shared" si="289"/>
        <v>0</v>
      </c>
      <c r="LZ230" s="13">
        <f t="shared" si="290"/>
        <v>0</v>
      </c>
      <c r="MA230" s="13">
        <f t="shared" si="291"/>
        <v>0</v>
      </c>
      <c r="MB230" s="13">
        <f t="shared" si="292"/>
        <v>1</v>
      </c>
      <c r="MC230" s="13">
        <f t="shared" si="293"/>
        <v>0</v>
      </c>
      <c r="MD230" s="13">
        <f t="shared" si="294"/>
        <v>0</v>
      </c>
      <c r="ME230" s="13">
        <f t="shared" si="295"/>
        <v>0</v>
      </c>
      <c r="MF230" s="13">
        <f t="shared" si="296"/>
        <v>0</v>
      </c>
      <c r="MG230" s="13">
        <f t="shared" si="297"/>
        <v>0</v>
      </c>
      <c r="MH230" s="13">
        <f t="shared" si="298"/>
        <v>0</v>
      </c>
      <c r="MI230" s="13">
        <f t="shared" si="299"/>
        <v>0</v>
      </c>
      <c r="MJ230" s="13">
        <f t="shared" si="300"/>
        <v>0</v>
      </c>
      <c r="MK230" s="13">
        <f t="shared" si="301"/>
        <v>0</v>
      </c>
      <c r="ML230" s="14">
        <f t="shared" si="302"/>
        <v>0</v>
      </c>
      <c r="MM230" s="14">
        <f t="shared" si="303"/>
        <v>0</v>
      </c>
      <c r="MN230" s="14">
        <f t="shared" si="304"/>
        <v>0</v>
      </c>
      <c r="MO230" s="14">
        <f t="shared" si="305"/>
        <v>0</v>
      </c>
      <c r="MP230" s="14">
        <f t="shared" si="306"/>
        <v>0</v>
      </c>
      <c r="MQ230" s="14">
        <f t="shared" si="307"/>
        <v>0</v>
      </c>
      <c r="MR230" s="14">
        <f t="shared" si="308"/>
        <v>0</v>
      </c>
      <c r="MS230" s="14">
        <f t="shared" si="309"/>
        <v>0</v>
      </c>
      <c r="MT230" s="14">
        <f t="shared" si="310"/>
        <v>0</v>
      </c>
      <c r="MU230" s="14">
        <f t="shared" si="311"/>
        <v>0</v>
      </c>
      <c r="MV230" s="14">
        <f t="shared" si="312"/>
        <v>0</v>
      </c>
      <c r="MW230" s="14">
        <f t="shared" si="313"/>
        <v>0</v>
      </c>
      <c r="MX230" s="14">
        <f t="shared" si="314"/>
        <v>0</v>
      </c>
      <c r="MY230" s="14">
        <f t="shared" si="315"/>
        <v>0</v>
      </c>
      <c r="MZ230" s="14">
        <f t="shared" si="316"/>
        <v>0</v>
      </c>
      <c r="NA230" s="14">
        <f t="shared" si="317"/>
        <v>0</v>
      </c>
      <c r="NB230" s="14">
        <f t="shared" si="318"/>
        <v>0</v>
      </c>
    </row>
    <row r="231" ht="15.75" customHeight="1">
      <c r="A231" s="16">
        <v>399.0</v>
      </c>
      <c r="B231" s="2" t="s">
        <v>4181</v>
      </c>
      <c r="C231" s="2" t="s">
        <v>4182</v>
      </c>
      <c r="D231" s="2" t="s">
        <v>4183</v>
      </c>
      <c r="E231" s="2">
        <v>2015.0</v>
      </c>
      <c r="F231" s="2" t="s">
        <v>4184</v>
      </c>
      <c r="G231" s="2" t="s">
        <v>1069</v>
      </c>
      <c r="H231" s="2" t="s">
        <v>694</v>
      </c>
      <c r="J231" s="2" t="s">
        <v>4185</v>
      </c>
      <c r="K231" s="2" t="s">
        <v>4186</v>
      </c>
      <c r="O231" s="2" t="s">
        <v>4187</v>
      </c>
      <c r="P231" s="2" t="s">
        <v>4188</v>
      </c>
      <c r="Q231" s="2" t="s">
        <v>4189</v>
      </c>
      <c r="R231" s="2" t="s">
        <v>4190</v>
      </c>
      <c r="S231" s="2" t="s">
        <v>4191</v>
      </c>
      <c r="Y231" s="2" t="s">
        <v>4192</v>
      </c>
      <c r="AB231" s="2" t="s">
        <v>4193</v>
      </c>
      <c r="AG231" s="2" t="s">
        <v>4194</v>
      </c>
      <c r="AK231" s="2" t="s">
        <v>4195</v>
      </c>
      <c r="AL231" s="2" t="s">
        <v>384</v>
      </c>
      <c r="AN231" s="2" t="s">
        <v>386</v>
      </c>
      <c r="AO231" s="2" t="s">
        <v>4196</v>
      </c>
      <c r="AP231" s="2" t="s">
        <v>386</v>
      </c>
      <c r="AQ231" s="2">
        <v>1576.0</v>
      </c>
      <c r="AR231" s="2" t="s">
        <v>4183</v>
      </c>
      <c r="AS231" s="2" t="b">
        <v>0</v>
      </c>
      <c r="AT231" s="3">
        <v>0.0</v>
      </c>
      <c r="AU231" s="4"/>
      <c r="AV231" s="4"/>
      <c r="AW231" s="5">
        <f t="shared" si="432"/>
        <v>0</v>
      </c>
      <c r="AX231" s="5">
        <f t="shared" si="4"/>
        <v>0</v>
      </c>
      <c r="AY231" s="5">
        <f t="shared" si="5"/>
        <v>0</v>
      </c>
      <c r="AZ231" s="5">
        <f t="shared" si="6"/>
        <v>0</v>
      </c>
      <c r="BA231" s="5">
        <f t="shared" si="7"/>
        <v>0</v>
      </c>
      <c r="BB231" s="5">
        <f t="shared" si="8"/>
        <v>0</v>
      </c>
      <c r="BC231" s="5">
        <f t="shared" si="9"/>
        <v>0</v>
      </c>
      <c r="BD231" s="5">
        <f t="shared" si="10"/>
        <v>0</v>
      </c>
      <c r="BE231" s="5">
        <f t="shared" si="11"/>
        <v>0</v>
      </c>
      <c r="BF231" s="5">
        <f t="shared" si="12"/>
        <v>0</v>
      </c>
      <c r="BG231" s="5">
        <f t="shared" si="13"/>
        <v>0</v>
      </c>
      <c r="BH231" s="5">
        <f t="shared" si="14"/>
        <v>0</v>
      </c>
      <c r="BI231" s="5">
        <f t="shared" si="15"/>
        <v>0</v>
      </c>
      <c r="BJ231" s="5">
        <f t="shared" si="16"/>
        <v>0</v>
      </c>
      <c r="BK231" s="5">
        <f t="shared" si="17"/>
        <v>0</v>
      </c>
      <c r="BL231" s="5">
        <f t="shared" si="18"/>
        <v>0</v>
      </c>
      <c r="BM231" s="5">
        <f t="shared" si="19"/>
        <v>0</v>
      </c>
      <c r="BN231" s="5">
        <f t="shared" si="20"/>
        <v>0</v>
      </c>
      <c r="BO231" s="5">
        <f t="shared" si="21"/>
        <v>0</v>
      </c>
      <c r="BP231" s="5">
        <f t="shared" si="22"/>
        <v>0</v>
      </c>
      <c r="BQ231" s="5">
        <f t="shared" si="23"/>
        <v>0</v>
      </c>
      <c r="BR231" s="5">
        <f t="shared" si="24"/>
        <v>0</v>
      </c>
      <c r="BS231" s="5">
        <f t="shared" si="25"/>
        <v>1</v>
      </c>
      <c r="BT231" s="5">
        <f t="shared" si="26"/>
        <v>0</v>
      </c>
      <c r="BU231" s="5">
        <f t="shared" si="27"/>
        <v>0</v>
      </c>
      <c r="BV231" s="5">
        <f t="shared" ref="BV231:BW231" si="823">IF(OR(ISNUMBER(SEARCH("grit",$D231)),ISNUMBER(SEARCH("grit",$T231)),ISNUMBER(SEARCH("grit",$R231)),ISNUMBER(SEARCH("grit",$S231)),
ISNUMBER(SEARCH("determination",$D231)),ISNUMBER(SEARCH("determination",$T231)),ISNUMBER(SEARCH("determination",$R231)),ISNUMBER(SEARCH("determination",$S231)),
ISNUMBER(SEARCH("tenacity",$D231)),ISNUMBER(SEARCH("tenacity",$T231)),ISNUMBER(SEARCH("tenacity",$R231)),ISNUMBER(SEARCH("tenacity",$S231)),
ISNUMBER(SEARCH("endurance",$D231)),ISNUMBER(SEARCH("endurance",$T231)),ISNUMBER(SEARCH("endurance",$R231)),ISNUMBER(SEARCH("endurance",$S231)),
ISNUMBER(SEARCH("fortitude",$D231)),ISNUMBER(SEARCH("fortitude",$T231)),ISNUMBER(SEARCH("fortitude",$R231)),ISNUMBER(SEARCH("fortitude",$S231)),
ISNUMBER(SEARCH("resolve",$D231)),ISNUMBER(SEARCH("resolve",$T231)),ISNUMBER(SEARCH("resolve",$R231)),ISNUMBER(SEARCH("resolve",$S231)),
ISNUMBER(SEARCH("stamina",$D231)),ISNUMBER(SEARCH("stamina",$T231)),ISNUMBER(SEARCH("stamina",$R231)),ISNUMBER(SEARCH("stamina",$S231)),
ISNUMBER(SEARCH("guts",$D231)),ISNUMBER(SEARCH("guts",$T231)),ISNUMBER(SEARCH("guts",$R231)),ISNUMBER(SEARCH("guts",$S231)),
ISNUMBER(SEARCH("spunk",$D231)),ISNUMBER(SEARCH("spunk",$T231)),ISNUMBER(SEARCH("spunk",$R231)),ISNUMBER(SEARCH("spunk",$S231))), 1, 0)</f>
        <v>0</v>
      </c>
      <c r="BW231" s="5">
        <f t="shared" si="823"/>
        <v>0</v>
      </c>
      <c r="BX231" s="5">
        <f t="shared" si="29"/>
        <v>0</v>
      </c>
      <c r="BY231" s="5">
        <f t="shared" si="30"/>
        <v>0</v>
      </c>
      <c r="BZ231" s="5">
        <f t="shared" si="31"/>
        <v>1</v>
      </c>
      <c r="CA231" s="5">
        <f t="shared" si="32"/>
        <v>1</v>
      </c>
      <c r="CB231" s="5">
        <f t="shared" si="33"/>
        <v>0</v>
      </c>
      <c r="CC231" s="5">
        <f t="shared" si="34"/>
        <v>0</v>
      </c>
      <c r="CD231" s="5">
        <f t="shared" si="35"/>
        <v>0</v>
      </c>
      <c r="CE231" s="5">
        <f t="shared" si="36"/>
        <v>0</v>
      </c>
      <c r="CF231" s="5">
        <f t="shared" si="37"/>
        <v>0</v>
      </c>
      <c r="CG231" s="5">
        <f t="shared" si="38"/>
        <v>0</v>
      </c>
      <c r="CH231" s="5">
        <f t="shared" si="39"/>
        <v>0</v>
      </c>
      <c r="CI231" s="5">
        <f t="shared" si="40"/>
        <v>0</v>
      </c>
      <c r="CJ231" s="5">
        <f t="shared" si="41"/>
        <v>0</v>
      </c>
      <c r="CK231" s="5">
        <f t="shared" si="42"/>
        <v>0</v>
      </c>
      <c r="CL231" s="5">
        <f t="shared" si="43"/>
        <v>0</v>
      </c>
      <c r="CM231" s="5">
        <f t="shared" si="44"/>
        <v>0</v>
      </c>
      <c r="CN231" s="5">
        <f t="shared" si="45"/>
        <v>0</v>
      </c>
      <c r="CO231" s="5">
        <f t="shared" si="46"/>
        <v>0</v>
      </c>
      <c r="CP231" s="6">
        <f t="shared" si="47"/>
        <v>0</v>
      </c>
      <c r="CQ231" s="6">
        <f t="shared" si="48"/>
        <v>0</v>
      </c>
      <c r="CR231" s="6">
        <f t="shared" si="49"/>
        <v>0</v>
      </c>
      <c r="CS231" s="6">
        <f t="shared" si="50"/>
        <v>0</v>
      </c>
      <c r="CT231" s="6">
        <f t="shared" si="584"/>
        <v>0</v>
      </c>
      <c r="CU231" s="6">
        <f t="shared" si="52"/>
        <v>0</v>
      </c>
      <c r="CV231" s="6">
        <f t="shared" si="53"/>
        <v>0</v>
      </c>
      <c r="CW231" s="6">
        <f t="shared" si="54"/>
        <v>0</v>
      </c>
      <c r="CX231" s="6">
        <f t="shared" si="55"/>
        <v>0</v>
      </c>
      <c r="CY231" s="6">
        <f t="shared" si="56"/>
        <v>0</v>
      </c>
      <c r="CZ231" s="6">
        <f t="shared" si="57"/>
        <v>0</v>
      </c>
      <c r="DA231" s="6">
        <f t="shared" si="58"/>
        <v>0</v>
      </c>
      <c r="DB231" s="6">
        <f t="shared" si="59"/>
        <v>0</v>
      </c>
      <c r="DC231" s="6">
        <f t="shared" si="60"/>
        <v>0</v>
      </c>
      <c r="DD231" s="6">
        <f t="shared" si="61"/>
        <v>0</v>
      </c>
      <c r="DE231" s="6">
        <f t="shared" si="62"/>
        <v>0</v>
      </c>
      <c r="DF231" s="6">
        <f t="shared" si="63"/>
        <v>0</v>
      </c>
      <c r="DG231" s="6">
        <f t="shared" si="64"/>
        <v>1</v>
      </c>
      <c r="DH231" s="6">
        <f t="shared" si="697"/>
        <v>0</v>
      </c>
      <c r="DI231" s="6">
        <f t="shared" si="66"/>
        <v>0</v>
      </c>
      <c r="DJ231" s="6">
        <f t="shared" si="653"/>
        <v>0</v>
      </c>
      <c r="DK231" s="7">
        <f t="shared" si="68"/>
        <v>0</v>
      </c>
      <c r="DL231" s="7">
        <f t="shared" si="498"/>
        <v>0</v>
      </c>
      <c r="DM231" s="7">
        <f t="shared" si="70"/>
        <v>0</v>
      </c>
      <c r="DN231" s="7">
        <f t="shared" si="71"/>
        <v>0</v>
      </c>
      <c r="DO231" s="7">
        <f t="shared" si="72"/>
        <v>0</v>
      </c>
      <c r="DP231" s="8">
        <f t="shared" si="73"/>
        <v>0</v>
      </c>
      <c r="DQ231" s="8">
        <f t="shared" si="74"/>
        <v>0</v>
      </c>
      <c r="DR231" s="7">
        <f t="shared" si="75"/>
        <v>0</v>
      </c>
      <c r="DS231" s="7">
        <f t="shared" si="76"/>
        <v>0</v>
      </c>
      <c r="DT231" s="7">
        <f t="shared" si="77"/>
        <v>0</v>
      </c>
      <c r="DU231" s="9">
        <f t="shared" si="78"/>
        <v>0</v>
      </c>
      <c r="DV231" s="9">
        <f t="shared" si="79"/>
        <v>0</v>
      </c>
      <c r="DW231" s="9">
        <f t="shared" si="80"/>
        <v>0</v>
      </c>
      <c r="DX231" s="9">
        <f t="shared" si="81"/>
        <v>0</v>
      </c>
      <c r="DY231" s="9">
        <f t="shared" si="82"/>
        <v>0</v>
      </c>
      <c r="DZ231" s="9">
        <f t="shared" si="83"/>
        <v>0</v>
      </c>
      <c r="EA231" s="9">
        <f t="shared" si="84"/>
        <v>0</v>
      </c>
      <c r="EB231" s="9">
        <f t="shared" si="85"/>
        <v>0</v>
      </c>
      <c r="EC231" s="9">
        <f t="shared" si="86"/>
        <v>0</v>
      </c>
      <c r="ED231" s="9">
        <f t="shared" si="87"/>
        <v>0</v>
      </c>
      <c r="EE231" s="9">
        <f t="shared" si="88"/>
        <v>0</v>
      </c>
      <c r="EF231" s="9">
        <f t="shared" si="89"/>
        <v>0</v>
      </c>
      <c r="EG231" s="9">
        <f t="shared" si="90"/>
        <v>0</v>
      </c>
      <c r="EH231" s="9">
        <f t="shared" si="91"/>
        <v>0</v>
      </c>
      <c r="EI231" s="9">
        <f t="shared" si="92"/>
        <v>0</v>
      </c>
      <c r="EJ231" s="10">
        <f t="shared" si="93"/>
        <v>0</v>
      </c>
      <c r="EK231" s="10">
        <f t="shared" si="94"/>
        <v>0</v>
      </c>
      <c r="EL231" s="10">
        <f t="shared" ref="EL231:EM231" si="824">IF(OR(ISNUMBER(SEARCH("ai software toolkit", $D231)), ISNUMBER(SEARCH("ai software toolkit", $T231)), ISNUMBER(SEARCH("ai software toolkit", $R231)), ISNUMBER(SEARCH("ai software toolkit", $S231))), 1, 0)</f>
        <v>0</v>
      </c>
      <c r="EM231" s="10">
        <f t="shared" si="824"/>
        <v>0</v>
      </c>
      <c r="EN231" s="10">
        <f t="shared" si="96"/>
        <v>0</v>
      </c>
      <c r="EO231" s="10">
        <f t="shared" si="97"/>
        <v>0</v>
      </c>
      <c r="EP231" s="10">
        <f t="shared" si="98"/>
        <v>0</v>
      </c>
      <c r="EQ231" s="10">
        <f t="shared" si="99"/>
        <v>0</v>
      </c>
      <c r="ER231" s="10">
        <f t="shared" si="100"/>
        <v>0</v>
      </c>
      <c r="ES231" s="10">
        <f t="shared" si="101"/>
        <v>0</v>
      </c>
      <c r="ET231" s="10">
        <f t="shared" si="102"/>
        <v>0</v>
      </c>
      <c r="EU231" s="10">
        <f t="shared" si="103"/>
        <v>0</v>
      </c>
      <c r="EV231" s="10">
        <f t="shared" si="104"/>
        <v>0</v>
      </c>
      <c r="EW231" s="10">
        <f t="shared" si="105"/>
        <v>0</v>
      </c>
      <c r="EX231" s="10">
        <f t="shared" si="106"/>
        <v>0</v>
      </c>
      <c r="EY231" s="10">
        <f t="shared" si="107"/>
        <v>0</v>
      </c>
      <c r="EZ231" s="10">
        <f t="shared" si="108"/>
        <v>0</v>
      </c>
      <c r="FA231" s="10">
        <f t="shared" si="109"/>
        <v>0</v>
      </c>
      <c r="FB231" s="10">
        <f t="shared" si="110"/>
        <v>0</v>
      </c>
      <c r="FC231" s="10">
        <f t="shared" si="111"/>
        <v>0</v>
      </c>
      <c r="FD231" s="10">
        <f t="shared" si="112"/>
        <v>0</v>
      </c>
      <c r="FE231" s="10">
        <f t="shared" si="782"/>
        <v>0</v>
      </c>
      <c r="FF231" s="10">
        <f t="shared" si="114"/>
        <v>0</v>
      </c>
      <c r="FG231" s="10">
        <f t="shared" si="115"/>
        <v>0</v>
      </c>
      <c r="FH231" s="10">
        <f t="shared" si="116"/>
        <v>0</v>
      </c>
      <c r="FI231" s="10">
        <f t="shared" si="117"/>
        <v>0</v>
      </c>
      <c r="FJ231" s="10">
        <f t="shared" si="118"/>
        <v>0</v>
      </c>
      <c r="FK231" s="10">
        <f t="shared" si="119"/>
        <v>0</v>
      </c>
      <c r="FL231" s="10">
        <f t="shared" si="120"/>
        <v>0</v>
      </c>
      <c r="FM231" s="10">
        <f t="shared" si="121"/>
        <v>0</v>
      </c>
      <c r="FN231" s="10">
        <f t="shared" si="122"/>
        <v>0</v>
      </c>
      <c r="FO231" s="10">
        <f t="shared" si="123"/>
        <v>0</v>
      </c>
      <c r="FP231" s="10">
        <f t="shared" si="124"/>
        <v>1</v>
      </c>
      <c r="FQ231" s="10">
        <f t="shared" si="125"/>
        <v>0</v>
      </c>
      <c r="FR231" s="11">
        <f t="shared" si="804"/>
        <v>0</v>
      </c>
      <c r="FS231" s="11">
        <f t="shared" si="127"/>
        <v>0</v>
      </c>
      <c r="FT231" s="11">
        <f t="shared" si="128"/>
        <v>0</v>
      </c>
      <c r="FU231" s="11">
        <f t="shared" si="129"/>
        <v>0</v>
      </c>
      <c r="FV231" s="11">
        <f t="shared" si="130"/>
        <v>0</v>
      </c>
      <c r="FW231" s="11">
        <f t="shared" si="131"/>
        <v>0</v>
      </c>
      <c r="FX231" s="11">
        <f t="shared" si="132"/>
        <v>0</v>
      </c>
      <c r="FY231" s="11">
        <f t="shared" si="133"/>
        <v>0</v>
      </c>
      <c r="FZ231" s="11">
        <f t="shared" si="134"/>
        <v>0</v>
      </c>
      <c r="GA231" s="11">
        <f t="shared" si="135"/>
        <v>0</v>
      </c>
      <c r="GB231" s="11">
        <f t="shared" si="136"/>
        <v>0</v>
      </c>
      <c r="GC231" s="11">
        <f t="shared" si="137"/>
        <v>0</v>
      </c>
      <c r="GD231" s="11">
        <f t="shared" si="138"/>
        <v>0</v>
      </c>
      <c r="GE231" s="11">
        <f t="shared" si="139"/>
        <v>0</v>
      </c>
      <c r="GF231" s="11">
        <f t="shared" si="140"/>
        <v>0</v>
      </c>
      <c r="GG231" s="11">
        <f t="shared" si="141"/>
        <v>0</v>
      </c>
      <c r="GH231" s="11">
        <f t="shared" si="142"/>
        <v>0</v>
      </c>
      <c r="GI231" s="11">
        <f t="shared" si="143"/>
        <v>0</v>
      </c>
      <c r="GJ231" s="11">
        <f t="shared" si="144"/>
        <v>0</v>
      </c>
      <c r="GK231" s="11">
        <f t="shared" si="145"/>
        <v>0</v>
      </c>
      <c r="GL231" s="11">
        <f t="shared" si="146"/>
        <v>0</v>
      </c>
      <c r="GM231" s="11">
        <f t="shared" si="147"/>
        <v>0</v>
      </c>
      <c r="GN231" s="11">
        <f t="shared" si="148"/>
        <v>0</v>
      </c>
      <c r="GO231" s="11">
        <f t="shared" si="149"/>
        <v>0</v>
      </c>
      <c r="GP231" s="11">
        <f t="shared" si="150"/>
        <v>0</v>
      </c>
      <c r="GQ231" s="11">
        <f t="shared" si="151"/>
        <v>1</v>
      </c>
      <c r="GR231" s="11">
        <f t="shared" si="152"/>
        <v>0</v>
      </c>
      <c r="GS231" s="11">
        <f t="shared" si="153"/>
        <v>0</v>
      </c>
      <c r="GT231" s="11">
        <f t="shared" si="154"/>
        <v>0</v>
      </c>
      <c r="GU231" s="12">
        <f t="shared" si="155"/>
        <v>0</v>
      </c>
      <c r="GV231" s="12">
        <f t="shared" si="156"/>
        <v>0</v>
      </c>
      <c r="GW231" s="12">
        <f t="shared" si="157"/>
        <v>0</v>
      </c>
      <c r="GX231" s="12">
        <f t="shared" si="158"/>
        <v>0</v>
      </c>
      <c r="GY231" s="12">
        <f t="shared" si="159"/>
        <v>0</v>
      </c>
      <c r="GZ231" s="12">
        <f t="shared" si="160"/>
        <v>0</v>
      </c>
      <c r="HA231" s="12">
        <f t="shared" si="161"/>
        <v>0</v>
      </c>
      <c r="HB231" s="12">
        <f t="shared" si="162"/>
        <v>0</v>
      </c>
      <c r="HC231" s="12">
        <f t="shared" si="163"/>
        <v>0</v>
      </c>
      <c r="HD231" s="12">
        <f t="shared" si="164"/>
        <v>0</v>
      </c>
      <c r="HE231" s="12">
        <f t="shared" si="165"/>
        <v>0</v>
      </c>
      <c r="HF231" s="12">
        <f t="shared" si="166"/>
        <v>0</v>
      </c>
      <c r="HG231" s="12">
        <f t="shared" si="167"/>
        <v>0</v>
      </c>
      <c r="HH231" s="12">
        <f t="shared" si="168"/>
        <v>0</v>
      </c>
      <c r="HI231" s="12">
        <f t="shared" si="169"/>
        <v>0</v>
      </c>
      <c r="HJ231" s="12">
        <f t="shared" si="170"/>
        <v>0</v>
      </c>
      <c r="HK231" s="12">
        <f t="shared" si="171"/>
        <v>0</v>
      </c>
      <c r="HL231" s="12">
        <f t="shared" si="172"/>
        <v>0</v>
      </c>
      <c r="HM231" s="12">
        <f t="shared" si="173"/>
        <v>0</v>
      </c>
      <c r="HN231" s="12">
        <f t="shared" si="174"/>
        <v>0</v>
      </c>
      <c r="HO231" s="12">
        <f t="shared" si="175"/>
        <v>0</v>
      </c>
      <c r="HP231" s="12">
        <f t="shared" si="176"/>
        <v>0</v>
      </c>
      <c r="HQ231" s="12">
        <f t="shared" si="177"/>
        <v>0</v>
      </c>
      <c r="HR231" s="12">
        <f t="shared" si="178"/>
        <v>0</v>
      </c>
      <c r="HS231" s="12">
        <f t="shared" si="179"/>
        <v>0</v>
      </c>
      <c r="HT231" s="12">
        <f t="shared" si="180"/>
        <v>0</v>
      </c>
      <c r="HU231" s="12">
        <f t="shared" si="181"/>
        <v>0</v>
      </c>
      <c r="HV231" s="12">
        <f t="shared" si="182"/>
        <v>1</v>
      </c>
      <c r="HW231" s="12">
        <f t="shared" si="183"/>
        <v>0</v>
      </c>
      <c r="HX231" s="12">
        <f t="shared" si="184"/>
        <v>0</v>
      </c>
      <c r="HY231" s="12">
        <f t="shared" si="185"/>
        <v>0</v>
      </c>
      <c r="HZ231" s="12">
        <f t="shared" si="186"/>
        <v>0</v>
      </c>
      <c r="IA231" s="12">
        <f t="shared" si="187"/>
        <v>0</v>
      </c>
      <c r="IB231" s="12">
        <f t="shared" si="188"/>
        <v>0</v>
      </c>
      <c r="IC231" s="12">
        <f t="shared" si="189"/>
        <v>0</v>
      </c>
      <c r="ID231" s="12">
        <f t="shared" si="190"/>
        <v>0</v>
      </c>
      <c r="IE231" s="12">
        <f t="shared" si="191"/>
        <v>0</v>
      </c>
      <c r="IF231" s="12">
        <f t="shared" si="192"/>
        <v>0</v>
      </c>
      <c r="IG231" s="12">
        <f t="shared" si="193"/>
        <v>0</v>
      </c>
      <c r="IH231" s="12">
        <f t="shared" si="194"/>
        <v>0</v>
      </c>
      <c r="II231" s="12">
        <f t="shared" si="195"/>
        <v>0</v>
      </c>
      <c r="IJ231" s="12">
        <f t="shared" si="196"/>
        <v>0</v>
      </c>
      <c r="IK231" s="12">
        <f t="shared" si="197"/>
        <v>0</v>
      </c>
      <c r="IL231" s="12">
        <f t="shared" si="198"/>
        <v>0</v>
      </c>
      <c r="IM231" s="12">
        <f t="shared" si="199"/>
        <v>0</v>
      </c>
      <c r="IN231" s="12">
        <f t="shared" si="200"/>
        <v>0</v>
      </c>
      <c r="IO231" s="12">
        <f t="shared" si="201"/>
        <v>0</v>
      </c>
      <c r="IP231" s="12">
        <f t="shared" si="202"/>
        <v>0</v>
      </c>
      <c r="IQ231" s="12">
        <f t="shared" si="203"/>
        <v>0</v>
      </c>
      <c r="IR231" s="12">
        <f t="shared" si="204"/>
        <v>0</v>
      </c>
      <c r="IS231" s="12">
        <f t="shared" si="205"/>
        <v>0</v>
      </c>
      <c r="IT231" s="12">
        <f t="shared" si="206"/>
        <v>0</v>
      </c>
      <c r="IU231" s="12">
        <f t="shared" si="207"/>
        <v>0</v>
      </c>
      <c r="IV231" s="12">
        <f t="shared" si="208"/>
        <v>0</v>
      </c>
      <c r="IW231" s="12">
        <f t="shared" si="209"/>
        <v>0</v>
      </c>
      <c r="IX231" s="12">
        <f t="shared" si="210"/>
        <v>0</v>
      </c>
      <c r="IY231" s="12">
        <f t="shared" si="211"/>
        <v>0</v>
      </c>
      <c r="IZ231" s="12">
        <f t="shared" si="212"/>
        <v>0</v>
      </c>
      <c r="JA231" s="13">
        <f t="shared" si="213"/>
        <v>0</v>
      </c>
      <c r="JB231" s="13">
        <f t="shared" si="214"/>
        <v>0</v>
      </c>
      <c r="JC231" s="13">
        <f t="shared" si="215"/>
        <v>0</v>
      </c>
      <c r="JD231" s="13">
        <f t="shared" si="216"/>
        <v>0</v>
      </c>
      <c r="JE231" s="13">
        <f t="shared" si="217"/>
        <v>0</v>
      </c>
      <c r="JF231" s="13">
        <f t="shared" si="218"/>
        <v>0</v>
      </c>
      <c r="JG231" s="13">
        <f t="shared" si="219"/>
        <v>0</v>
      </c>
      <c r="JH231" s="13">
        <f t="shared" si="220"/>
        <v>0</v>
      </c>
      <c r="JI231" s="13">
        <f t="shared" si="221"/>
        <v>0</v>
      </c>
      <c r="JJ231" s="13">
        <f t="shared" si="222"/>
        <v>0</v>
      </c>
      <c r="JK231" s="13">
        <f t="shared" si="223"/>
        <v>0</v>
      </c>
      <c r="JL231" s="13">
        <f t="shared" si="224"/>
        <v>0</v>
      </c>
      <c r="JM231" s="13">
        <f t="shared" si="225"/>
        <v>0</v>
      </c>
      <c r="JN231" s="13">
        <f t="shared" si="226"/>
        <v>0</v>
      </c>
      <c r="JO231" s="13">
        <f t="shared" si="227"/>
        <v>0</v>
      </c>
      <c r="JP231" s="13">
        <f t="shared" si="228"/>
        <v>0</v>
      </c>
      <c r="JQ231" s="13">
        <f t="shared" si="229"/>
        <v>0</v>
      </c>
      <c r="JR231" s="13">
        <f t="shared" si="230"/>
        <v>0</v>
      </c>
      <c r="JS231" s="13">
        <f t="shared" si="231"/>
        <v>0</v>
      </c>
      <c r="JT231" s="13">
        <f t="shared" si="232"/>
        <v>0</v>
      </c>
      <c r="JU231" s="13">
        <f t="shared" si="233"/>
        <v>0</v>
      </c>
      <c r="JV231" s="12">
        <f t="shared" si="234"/>
        <v>0</v>
      </c>
      <c r="JW231" s="12">
        <f t="shared" si="235"/>
        <v>0</v>
      </c>
      <c r="JX231" s="12">
        <f t="shared" si="236"/>
        <v>0</v>
      </c>
      <c r="JY231" s="12">
        <f t="shared" si="237"/>
        <v>0</v>
      </c>
      <c r="JZ231" s="12">
        <f t="shared" si="238"/>
        <v>0</v>
      </c>
      <c r="KA231" s="12">
        <f t="shared" si="239"/>
        <v>0</v>
      </c>
      <c r="KB231" s="12">
        <f t="shared" si="240"/>
        <v>0</v>
      </c>
      <c r="KC231" s="12">
        <f t="shared" si="241"/>
        <v>0</v>
      </c>
      <c r="KD231" s="12">
        <f t="shared" si="797"/>
        <v>0</v>
      </c>
      <c r="KE231" s="12">
        <f t="shared" si="243"/>
        <v>0</v>
      </c>
      <c r="KF231" s="12">
        <f t="shared" si="244"/>
        <v>0</v>
      </c>
      <c r="KG231" s="12">
        <f t="shared" si="245"/>
        <v>0</v>
      </c>
      <c r="KH231" s="12">
        <f t="shared" si="246"/>
        <v>0</v>
      </c>
      <c r="KI231" s="12">
        <f t="shared" si="247"/>
        <v>0</v>
      </c>
      <c r="KJ231" s="12">
        <f t="shared" si="248"/>
        <v>0</v>
      </c>
      <c r="KK231" s="12">
        <f t="shared" si="249"/>
        <v>0</v>
      </c>
      <c r="KL231" s="12">
        <f t="shared" si="250"/>
        <v>0</v>
      </c>
      <c r="KM231" s="12">
        <f t="shared" si="251"/>
        <v>0</v>
      </c>
      <c r="KN231" s="12">
        <f t="shared" si="252"/>
        <v>0</v>
      </c>
      <c r="KO231" s="12">
        <f t="shared" si="253"/>
        <v>0</v>
      </c>
      <c r="KP231" s="12">
        <f t="shared" si="254"/>
        <v>0</v>
      </c>
      <c r="KQ231" s="12">
        <f t="shared" si="255"/>
        <v>0</v>
      </c>
      <c r="KR231" s="12">
        <f t="shared" si="256"/>
        <v>0</v>
      </c>
      <c r="KS231" s="12">
        <f t="shared" si="257"/>
        <v>0</v>
      </c>
      <c r="KT231" s="12">
        <f t="shared" si="258"/>
        <v>0</v>
      </c>
      <c r="KU231" s="12">
        <f t="shared" si="259"/>
        <v>0</v>
      </c>
      <c r="KV231" s="12">
        <f t="shared" si="260"/>
        <v>0</v>
      </c>
      <c r="KW231" s="12">
        <f t="shared" si="261"/>
        <v>0</v>
      </c>
      <c r="KX231" s="12">
        <f t="shared" si="262"/>
        <v>0</v>
      </c>
      <c r="KY231" s="12">
        <f t="shared" si="263"/>
        <v>0</v>
      </c>
      <c r="KZ231" s="12">
        <f t="shared" si="264"/>
        <v>0</v>
      </c>
      <c r="LA231" s="12">
        <f t="shared" si="265"/>
        <v>0</v>
      </c>
      <c r="LB231" s="12">
        <f t="shared" si="266"/>
        <v>0</v>
      </c>
      <c r="LC231" s="12">
        <f t="shared" si="267"/>
        <v>0</v>
      </c>
      <c r="LD231" s="12">
        <f t="shared" si="268"/>
        <v>0</v>
      </c>
      <c r="LE231" s="12">
        <f t="shared" si="269"/>
        <v>0</v>
      </c>
      <c r="LF231" s="12">
        <f t="shared" si="270"/>
        <v>0</v>
      </c>
      <c r="LG231" s="12">
        <f t="shared" si="271"/>
        <v>0</v>
      </c>
      <c r="LH231" s="12">
        <f t="shared" si="272"/>
        <v>0</v>
      </c>
      <c r="LI231" s="12">
        <f t="shared" si="273"/>
        <v>0</v>
      </c>
      <c r="LJ231" s="12">
        <f t="shared" si="274"/>
        <v>0</v>
      </c>
      <c r="LK231" s="12">
        <f t="shared" si="275"/>
        <v>0</v>
      </c>
      <c r="LL231" s="12">
        <f t="shared" si="276"/>
        <v>0</v>
      </c>
      <c r="LM231" s="12">
        <f t="shared" si="277"/>
        <v>0</v>
      </c>
      <c r="LN231" s="12">
        <f t="shared" si="278"/>
        <v>0</v>
      </c>
      <c r="LO231" s="12">
        <f t="shared" si="279"/>
        <v>0</v>
      </c>
      <c r="LP231" s="12">
        <f t="shared" si="280"/>
        <v>0</v>
      </c>
      <c r="LQ231" s="12">
        <f t="shared" si="281"/>
        <v>0</v>
      </c>
      <c r="LR231" s="12">
        <f t="shared" si="282"/>
        <v>0</v>
      </c>
      <c r="LS231" s="12">
        <f t="shared" si="283"/>
        <v>0</v>
      </c>
      <c r="LT231" s="13">
        <f t="shared" si="284"/>
        <v>0</v>
      </c>
      <c r="LU231" s="13">
        <f t="shared" si="285"/>
        <v>0</v>
      </c>
      <c r="LV231" s="13">
        <f t="shared" si="286"/>
        <v>0</v>
      </c>
      <c r="LW231" s="13">
        <f t="shared" si="287"/>
        <v>0</v>
      </c>
      <c r="LX231" s="13">
        <f t="shared" si="288"/>
        <v>0</v>
      </c>
      <c r="LY231" s="13">
        <f t="shared" si="289"/>
        <v>0</v>
      </c>
      <c r="LZ231" s="13">
        <f t="shared" si="290"/>
        <v>0</v>
      </c>
      <c r="MA231" s="13">
        <f t="shared" si="291"/>
        <v>0</v>
      </c>
      <c r="MB231" s="13">
        <f t="shared" si="292"/>
        <v>0</v>
      </c>
      <c r="MC231" s="13">
        <f t="shared" si="293"/>
        <v>0</v>
      </c>
      <c r="MD231" s="13">
        <f t="shared" si="294"/>
        <v>0</v>
      </c>
      <c r="ME231" s="13">
        <f t="shared" si="295"/>
        <v>0</v>
      </c>
      <c r="MF231" s="13">
        <f t="shared" si="296"/>
        <v>0</v>
      </c>
      <c r="MG231" s="13">
        <f t="shared" si="297"/>
        <v>0</v>
      </c>
      <c r="MH231" s="13">
        <f t="shared" si="298"/>
        <v>0</v>
      </c>
      <c r="MI231" s="13">
        <f t="shared" si="299"/>
        <v>0</v>
      </c>
      <c r="MJ231" s="13">
        <f t="shared" si="300"/>
        <v>0</v>
      </c>
      <c r="MK231" s="13">
        <f t="shared" si="301"/>
        <v>0</v>
      </c>
      <c r="ML231" s="14">
        <f t="shared" si="302"/>
        <v>0</v>
      </c>
      <c r="MM231" s="14">
        <f t="shared" si="303"/>
        <v>0</v>
      </c>
      <c r="MN231" s="14">
        <f t="shared" si="304"/>
        <v>0</v>
      </c>
      <c r="MO231" s="14">
        <f t="shared" si="305"/>
        <v>0</v>
      </c>
      <c r="MP231" s="14">
        <f t="shared" si="306"/>
        <v>0</v>
      </c>
      <c r="MQ231" s="14">
        <f t="shared" si="307"/>
        <v>0</v>
      </c>
      <c r="MR231" s="14">
        <f t="shared" si="308"/>
        <v>0</v>
      </c>
      <c r="MS231" s="14">
        <f t="shared" si="309"/>
        <v>0</v>
      </c>
      <c r="MT231" s="14">
        <f t="shared" si="310"/>
        <v>0</v>
      </c>
      <c r="MU231" s="14">
        <f t="shared" si="311"/>
        <v>0</v>
      </c>
      <c r="MV231" s="14">
        <f t="shared" si="312"/>
        <v>0</v>
      </c>
      <c r="MW231" s="14">
        <f t="shared" si="313"/>
        <v>0</v>
      </c>
      <c r="MX231" s="14">
        <f t="shared" si="314"/>
        <v>0</v>
      </c>
      <c r="MY231" s="14">
        <f t="shared" si="315"/>
        <v>0</v>
      </c>
      <c r="MZ231" s="14">
        <f t="shared" si="316"/>
        <v>0</v>
      </c>
      <c r="NA231" s="14">
        <f t="shared" si="317"/>
        <v>0</v>
      </c>
      <c r="NB231" s="14">
        <f t="shared" si="318"/>
        <v>0</v>
      </c>
    </row>
    <row r="232" ht="15.75" customHeight="1">
      <c r="A232" s="2">
        <v>625.0</v>
      </c>
      <c r="B232" s="2" t="s">
        <v>4197</v>
      </c>
      <c r="C232" s="2" t="s">
        <v>4198</v>
      </c>
      <c r="D232" s="2" t="s">
        <v>4199</v>
      </c>
      <c r="E232" s="2">
        <v>2022.0</v>
      </c>
      <c r="F232" s="2" t="s">
        <v>4200</v>
      </c>
      <c r="G232" s="2">
        <v>13.0</v>
      </c>
      <c r="H232" s="2" t="s">
        <v>656</v>
      </c>
      <c r="J232" s="2" t="s">
        <v>4201</v>
      </c>
      <c r="K232" s="2" t="s">
        <v>4202</v>
      </c>
      <c r="N232" s="2" t="s">
        <v>4203</v>
      </c>
      <c r="O232" s="2" t="s">
        <v>4204</v>
      </c>
      <c r="P232" s="2" t="s">
        <v>4205</v>
      </c>
      <c r="Q232" s="2" t="s">
        <v>4206</v>
      </c>
      <c r="R232" s="2" t="s">
        <v>4207</v>
      </c>
      <c r="S232" s="2" t="s">
        <v>4208</v>
      </c>
      <c r="T232" s="2" t="s">
        <v>4209</v>
      </c>
      <c r="Y232" s="2" t="s">
        <v>4210</v>
      </c>
      <c r="AB232" s="2" t="s">
        <v>2311</v>
      </c>
      <c r="AG232" s="2" t="s">
        <v>4211</v>
      </c>
      <c r="AK232" s="2" t="s">
        <v>4212</v>
      </c>
      <c r="AL232" s="2" t="s">
        <v>384</v>
      </c>
      <c r="AN232" s="2" t="s">
        <v>386</v>
      </c>
      <c r="AO232" s="2" t="s">
        <v>4213</v>
      </c>
      <c r="AP232" s="2" t="s">
        <v>386</v>
      </c>
      <c r="AQ232" s="2">
        <v>2452.0</v>
      </c>
      <c r="AR232" s="2" t="s">
        <v>4199</v>
      </c>
      <c r="AS232" s="2" t="b">
        <v>1</v>
      </c>
      <c r="AT232" s="3">
        <v>0.0</v>
      </c>
      <c r="AU232" s="4"/>
      <c r="AV232" s="4"/>
      <c r="AW232" s="5">
        <f t="shared" si="432"/>
        <v>0</v>
      </c>
      <c r="AX232" s="5">
        <f t="shared" si="4"/>
        <v>0</v>
      </c>
      <c r="AY232" s="5">
        <f t="shared" si="5"/>
        <v>0</v>
      </c>
      <c r="AZ232" s="5">
        <f t="shared" si="6"/>
        <v>0</v>
      </c>
      <c r="BA232" s="5">
        <f t="shared" si="7"/>
        <v>0</v>
      </c>
      <c r="BB232" s="5">
        <f t="shared" si="8"/>
        <v>0</v>
      </c>
      <c r="BC232" s="5">
        <f t="shared" si="9"/>
        <v>0</v>
      </c>
      <c r="BD232" s="5">
        <f t="shared" si="10"/>
        <v>0</v>
      </c>
      <c r="BE232" s="5">
        <f t="shared" si="11"/>
        <v>0</v>
      </c>
      <c r="BF232" s="5">
        <f t="shared" si="12"/>
        <v>0</v>
      </c>
      <c r="BG232" s="5">
        <f t="shared" si="13"/>
        <v>0</v>
      </c>
      <c r="BH232" s="5">
        <f t="shared" si="14"/>
        <v>0</v>
      </c>
      <c r="BI232" s="5">
        <f t="shared" si="15"/>
        <v>0</v>
      </c>
      <c r="BJ232" s="5">
        <f t="shared" si="16"/>
        <v>0</v>
      </c>
      <c r="BK232" s="5">
        <f t="shared" si="17"/>
        <v>0</v>
      </c>
      <c r="BL232" s="5">
        <f t="shared" si="18"/>
        <v>0</v>
      </c>
      <c r="BM232" s="5">
        <f t="shared" si="19"/>
        <v>0</v>
      </c>
      <c r="BN232" s="5">
        <f t="shared" si="20"/>
        <v>0</v>
      </c>
      <c r="BO232" s="5">
        <f t="shared" si="21"/>
        <v>0</v>
      </c>
      <c r="BP232" s="5">
        <f t="shared" si="22"/>
        <v>0</v>
      </c>
      <c r="BQ232" s="5">
        <f t="shared" si="23"/>
        <v>0</v>
      </c>
      <c r="BR232" s="5">
        <f t="shared" si="24"/>
        <v>0</v>
      </c>
      <c r="BS232" s="5">
        <f t="shared" si="25"/>
        <v>0</v>
      </c>
      <c r="BT232" s="5">
        <f t="shared" si="26"/>
        <v>0</v>
      </c>
      <c r="BU232" s="5">
        <f t="shared" si="27"/>
        <v>0</v>
      </c>
      <c r="BV232" s="5">
        <f t="shared" ref="BV232:BW232" si="825">IF(OR(ISNUMBER(SEARCH("grit",$D232)),ISNUMBER(SEARCH("grit",$T232)),ISNUMBER(SEARCH("grit",$R232)),ISNUMBER(SEARCH("grit",$S232)),
ISNUMBER(SEARCH("determination",$D232)),ISNUMBER(SEARCH("determination",$T232)),ISNUMBER(SEARCH("determination",$R232)),ISNUMBER(SEARCH("determination",$S232)),
ISNUMBER(SEARCH("tenacity",$D232)),ISNUMBER(SEARCH("tenacity",$T232)),ISNUMBER(SEARCH("tenacity",$R232)),ISNUMBER(SEARCH("tenacity",$S232)),
ISNUMBER(SEARCH("endurance",$D232)),ISNUMBER(SEARCH("endurance",$T232)),ISNUMBER(SEARCH("endurance",$R232)),ISNUMBER(SEARCH("endurance",$S232)),
ISNUMBER(SEARCH("fortitude",$D232)),ISNUMBER(SEARCH("fortitude",$T232)),ISNUMBER(SEARCH("fortitude",$R232)),ISNUMBER(SEARCH("fortitude",$S232)),
ISNUMBER(SEARCH("resolve",$D232)),ISNUMBER(SEARCH("resolve",$T232)),ISNUMBER(SEARCH("resolve",$R232)),ISNUMBER(SEARCH("resolve",$S232)),
ISNUMBER(SEARCH("stamina",$D232)),ISNUMBER(SEARCH("stamina",$T232)),ISNUMBER(SEARCH("stamina",$R232)),ISNUMBER(SEARCH("stamina",$S232)),
ISNUMBER(SEARCH("guts",$D232)),ISNUMBER(SEARCH("guts",$T232)),ISNUMBER(SEARCH("guts",$R232)),ISNUMBER(SEARCH("guts",$S232)),
ISNUMBER(SEARCH("spunk",$D232)),ISNUMBER(SEARCH("spunk",$T232)),ISNUMBER(SEARCH("spunk",$R232)),ISNUMBER(SEARCH("spunk",$S232))), 1, 0)</f>
        <v>0</v>
      </c>
      <c r="BW232" s="5">
        <f t="shared" si="825"/>
        <v>0</v>
      </c>
      <c r="BX232" s="5">
        <f t="shared" si="29"/>
        <v>0</v>
      </c>
      <c r="BY232" s="5">
        <f t="shared" si="30"/>
        <v>0</v>
      </c>
      <c r="BZ232" s="5">
        <f t="shared" si="31"/>
        <v>0</v>
      </c>
      <c r="CA232" s="5">
        <f t="shared" si="32"/>
        <v>0</v>
      </c>
      <c r="CB232" s="5">
        <f t="shared" si="33"/>
        <v>0</v>
      </c>
      <c r="CC232" s="5">
        <f t="shared" si="34"/>
        <v>0</v>
      </c>
      <c r="CD232" s="5">
        <f t="shared" si="35"/>
        <v>0</v>
      </c>
      <c r="CE232" s="5">
        <f t="shared" si="36"/>
        <v>0</v>
      </c>
      <c r="CF232" s="5">
        <f t="shared" si="37"/>
        <v>0</v>
      </c>
      <c r="CG232" s="5">
        <f t="shared" si="38"/>
        <v>0</v>
      </c>
      <c r="CH232" s="5">
        <f t="shared" si="39"/>
        <v>0</v>
      </c>
      <c r="CI232" s="5">
        <f t="shared" si="40"/>
        <v>0</v>
      </c>
      <c r="CJ232" s="5">
        <f t="shared" si="41"/>
        <v>0</v>
      </c>
      <c r="CK232" s="5">
        <f t="shared" si="42"/>
        <v>0</v>
      </c>
      <c r="CL232" s="5">
        <f t="shared" si="43"/>
        <v>0</v>
      </c>
      <c r="CM232" s="5">
        <f t="shared" si="44"/>
        <v>0</v>
      </c>
      <c r="CN232" s="5">
        <f t="shared" si="45"/>
        <v>0</v>
      </c>
      <c r="CO232" s="5">
        <f t="shared" si="46"/>
        <v>0</v>
      </c>
      <c r="CP232" s="6">
        <f t="shared" si="47"/>
        <v>0</v>
      </c>
      <c r="CQ232" s="6">
        <f t="shared" si="48"/>
        <v>0</v>
      </c>
      <c r="CR232" s="6">
        <f t="shared" si="49"/>
        <v>0</v>
      </c>
      <c r="CS232" s="6">
        <f t="shared" si="50"/>
        <v>0</v>
      </c>
      <c r="CT232" s="6">
        <f t="shared" si="584"/>
        <v>0</v>
      </c>
      <c r="CU232" s="6">
        <f t="shared" si="52"/>
        <v>0</v>
      </c>
      <c r="CV232" s="6">
        <f t="shared" si="53"/>
        <v>0</v>
      </c>
      <c r="CW232" s="6">
        <f t="shared" si="54"/>
        <v>0</v>
      </c>
      <c r="CX232" s="6">
        <f t="shared" si="55"/>
        <v>0</v>
      </c>
      <c r="CY232" s="6">
        <f t="shared" si="56"/>
        <v>0</v>
      </c>
      <c r="CZ232" s="6">
        <f t="shared" si="57"/>
        <v>0</v>
      </c>
      <c r="DA232" s="6">
        <f t="shared" si="58"/>
        <v>0</v>
      </c>
      <c r="DB232" s="6">
        <f t="shared" si="59"/>
        <v>0</v>
      </c>
      <c r="DC232" s="6">
        <f t="shared" si="60"/>
        <v>0</v>
      </c>
      <c r="DD232" s="6">
        <f t="shared" si="61"/>
        <v>0</v>
      </c>
      <c r="DE232" s="6">
        <f t="shared" si="62"/>
        <v>0</v>
      </c>
      <c r="DF232" s="6">
        <f t="shared" si="63"/>
        <v>0</v>
      </c>
      <c r="DG232" s="6">
        <f t="shared" si="64"/>
        <v>0</v>
      </c>
      <c r="DH232" s="6">
        <f t="shared" si="697"/>
        <v>0</v>
      </c>
      <c r="DI232" s="6">
        <f t="shared" si="66"/>
        <v>0</v>
      </c>
      <c r="DJ232" s="6">
        <f t="shared" si="653"/>
        <v>0</v>
      </c>
      <c r="DK232" s="7">
        <f t="shared" si="68"/>
        <v>0</v>
      </c>
      <c r="DL232" s="7">
        <f t="shared" si="498"/>
        <v>0</v>
      </c>
      <c r="DM232" s="7">
        <f t="shared" si="70"/>
        <v>0</v>
      </c>
      <c r="DN232" s="7">
        <f t="shared" si="71"/>
        <v>0</v>
      </c>
      <c r="DO232" s="7">
        <f t="shared" si="72"/>
        <v>1</v>
      </c>
      <c r="DP232" s="8">
        <f t="shared" si="73"/>
        <v>0</v>
      </c>
      <c r="DQ232" s="8">
        <f t="shared" si="74"/>
        <v>1</v>
      </c>
      <c r="DR232" s="7">
        <f t="shared" si="75"/>
        <v>0</v>
      </c>
      <c r="DS232" s="7">
        <f t="shared" si="76"/>
        <v>0</v>
      </c>
      <c r="DT232" s="7">
        <f t="shared" si="77"/>
        <v>0</v>
      </c>
      <c r="DU232" s="9">
        <f t="shared" si="78"/>
        <v>0</v>
      </c>
      <c r="DV232" s="9">
        <f t="shared" si="79"/>
        <v>0</v>
      </c>
      <c r="DW232" s="9">
        <f t="shared" si="80"/>
        <v>0</v>
      </c>
      <c r="DX232" s="9">
        <f t="shared" si="81"/>
        <v>0</v>
      </c>
      <c r="DY232" s="9">
        <f t="shared" si="82"/>
        <v>0</v>
      </c>
      <c r="DZ232" s="9">
        <f t="shared" si="83"/>
        <v>0</v>
      </c>
      <c r="EA232" s="9">
        <f t="shared" si="84"/>
        <v>0</v>
      </c>
      <c r="EB232" s="9">
        <f t="shared" si="85"/>
        <v>0</v>
      </c>
      <c r="EC232" s="9">
        <f t="shared" si="86"/>
        <v>0</v>
      </c>
      <c r="ED232" s="9">
        <f t="shared" si="87"/>
        <v>0</v>
      </c>
      <c r="EE232" s="9">
        <f t="shared" si="88"/>
        <v>0</v>
      </c>
      <c r="EF232" s="9">
        <f t="shared" si="89"/>
        <v>0</v>
      </c>
      <c r="EG232" s="9">
        <f t="shared" si="90"/>
        <v>0</v>
      </c>
      <c r="EH232" s="9">
        <f t="shared" si="91"/>
        <v>0</v>
      </c>
      <c r="EI232" s="9">
        <f t="shared" si="92"/>
        <v>0</v>
      </c>
      <c r="EJ232" s="10">
        <f t="shared" si="93"/>
        <v>0</v>
      </c>
      <c r="EK232" s="10">
        <f t="shared" si="94"/>
        <v>0</v>
      </c>
      <c r="EL232" s="10">
        <f t="shared" ref="EL232:EM232" si="826">IF(OR(ISNUMBER(SEARCH("ai software toolkit", $D232)), ISNUMBER(SEARCH("ai software toolkit", $T232)), ISNUMBER(SEARCH("ai software toolkit", $R232)), ISNUMBER(SEARCH("ai software toolkit", $S232))), 1, 0)</f>
        <v>0</v>
      </c>
      <c r="EM232" s="10">
        <f t="shared" si="826"/>
        <v>0</v>
      </c>
      <c r="EN232" s="10">
        <f t="shared" si="96"/>
        <v>0</v>
      </c>
      <c r="EO232" s="10">
        <f t="shared" si="97"/>
        <v>0</v>
      </c>
      <c r="EP232" s="10">
        <f t="shared" si="98"/>
        <v>0</v>
      </c>
      <c r="EQ232" s="10">
        <f t="shared" si="99"/>
        <v>0</v>
      </c>
      <c r="ER232" s="10">
        <f t="shared" si="100"/>
        <v>0</v>
      </c>
      <c r="ES232" s="10">
        <f t="shared" si="101"/>
        <v>0</v>
      </c>
      <c r="ET232" s="10">
        <f t="shared" si="102"/>
        <v>0</v>
      </c>
      <c r="EU232" s="10">
        <f t="shared" si="103"/>
        <v>0</v>
      </c>
      <c r="EV232" s="10">
        <f t="shared" si="104"/>
        <v>0</v>
      </c>
      <c r="EW232" s="10">
        <f t="shared" si="105"/>
        <v>0</v>
      </c>
      <c r="EX232" s="10">
        <f t="shared" si="106"/>
        <v>0</v>
      </c>
      <c r="EY232" s="10">
        <f t="shared" si="107"/>
        <v>0</v>
      </c>
      <c r="EZ232" s="10">
        <f t="shared" si="108"/>
        <v>0</v>
      </c>
      <c r="FA232" s="10">
        <f t="shared" si="109"/>
        <v>0</v>
      </c>
      <c r="FB232" s="10">
        <f t="shared" si="110"/>
        <v>0</v>
      </c>
      <c r="FC232" s="10">
        <f t="shared" si="111"/>
        <v>0</v>
      </c>
      <c r="FD232" s="10">
        <f t="shared" si="112"/>
        <v>0</v>
      </c>
      <c r="FE232" s="10">
        <f t="shared" si="782"/>
        <v>0</v>
      </c>
      <c r="FF232" s="10">
        <f t="shared" si="114"/>
        <v>0</v>
      </c>
      <c r="FG232" s="10">
        <f t="shared" si="115"/>
        <v>0</v>
      </c>
      <c r="FH232" s="10">
        <f t="shared" si="116"/>
        <v>0</v>
      </c>
      <c r="FI232" s="10">
        <f t="shared" si="117"/>
        <v>0</v>
      </c>
      <c r="FJ232" s="10">
        <f t="shared" si="118"/>
        <v>0</v>
      </c>
      <c r="FK232" s="10">
        <f t="shared" si="119"/>
        <v>0</v>
      </c>
      <c r="FL232" s="10">
        <f t="shared" si="120"/>
        <v>0</v>
      </c>
      <c r="FM232" s="10">
        <f t="shared" si="121"/>
        <v>0</v>
      </c>
      <c r="FN232" s="10">
        <f t="shared" si="122"/>
        <v>0</v>
      </c>
      <c r="FO232" s="10">
        <f t="shared" si="123"/>
        <v>0</v>
      </c>
      <c r="FP232" s="10">
        <f t="shared" si="124"/>
        <v>0</v>
      </c>
      <c r="FQ232" s="10">
        <f t="shared" si="125"/>
        <v>0</v>
      </c>
      <c r="FR232" s="11">
        <f t="shared" si="804"/>
        <v>0</v>
      </c>
      <c r="FS232" s="11">
        <f t="shared" si="127"/>
        <v>0</v>
      </c>
      <c r="FT232" s="11">
        <f t="shared" si="128"/>
        <v>0</v>
      </c>
      <c r="FU232" s="11">
        <f t="shared" si="129"/>
        <v>0</v>
      </c>
      <c r="FV232" s="11">
        <f t="shared" si="130"/>
        <v>0</v>
      </c>
      <c r="FW232" s="11">
        <f t="shared" si="131"/>
        <v>0</v>
      </c>
      <c r="FX232" s="11">
        <f t="shared" si="132"/>
        <v>0</v>
      </c>
      <c r="FY232" s="11">
        <f t="shared" si="133"/>
        <v>0</v>
      </c>
      <c r="FZ232" s="11">
        <f t="shared" si="134"/>
        <v>0</v>
      </c>
      <c r="GA232" s="11">
        <f t="shared" si="135"/>
        <v>0</v>
      </c>
      <c r="GB232" s="11">
        <f t="shared" si="136"/>
        <v>0</v>
      </c>
      <c r="GC232" s="11">
        <f t="shared" si="137"/>
        <v>0</v>
      </c>
      <c r="GD232" s="11">
        <f t="shared" si="138"/>
        <v>0</v>
      </c>
      <c r="GE232" s="11">
        <f t="shared" si="139"/>
        <v>0</v>
      </c>
      <c r="GF232" s="11">
        <f t="shared" si="140"/>
        <v>0</v>
      </c>
      <c r="GG232" s="11">
        <f t="shared" si="141"/>
        <v>0</v>
      </c>
      <c r="GH232" s="11">
        <f t="shared" si="142"/>
        <v>0</v>
      </c>
      <c r="GI232" s="11">
        <f t="shared" si="143"/>
        <v>0</v>
      </c>
      <c r="GJ232" s="11">
        <f t="shared" si="144"/>
        <v>0</v>
      </c>
      <c r="GK232" s="11">
        <f t="shared" si="145"/>
        <v>0</v>
      </c>
      <c r="GL232" s="11">
        <f t="shared" si="146"/>
        <v>0</v>
      </c>
      <c r="GM232" s="11">
        <f t="shared" si="147"/>
        <v>0</v>
      </c>
      <c r="GN232" s="11">
        <f t="shared" si="148"/>
        <v>0</v>
      </c>
      <c r="GO232" s="11">
        <f t="shared" si="149"/>
        <v>0</v>
      </c>
      <c r="GP232" s="11">
        <f t="shared" si="150"/>
        <v>0</v>
      </c>
      <c r="GQ232" s="11">
        <f t="shared" si="151"/>
        <v>0</v>
      </c>
      <c r="GR232" s="11">
        <f t="shared" si="152"/>
        <v>0</v>
      </c>
      <c r="GS232" s="11">
        <f t="shared" si="153"/>
        <v>0</v>
      </c>
      <c r="GT232" s="11">
        <f t="shared" si="154"/>
        <v>0</v>
      </c>
      <c r="GU232" s="12">
        <f t="shared" si="155"/>
        <v>0</v>
      </c>
      <c r="GV232" s="12">
        <f t="shared" si="156"/>
        <v>0</v>
      </c>
      <c r="GW232" s="12">
        <f t="shared" si="157"/>
        <v>0</v>
      </c>
      <c r="GX232" s="12">
        <f t="shared" si="158"/>
        <v>0</v>
      </c>
      <c r="GY232" s="12">
        <f t="shared" si="159"/>
        <v>0</v>
      </c>
      <c r="GZ232" s="12">
        <f t="shared" si="160"/>
        <v>0</v>
      </c>
      <c r="HA232" s="12">
        <f t="shared" si="161"/>
        <v>0</v>
      </c>
      <c r="HB232" s="12">
        <f t="shared" si="162"/>
        <v>0</v>
      </c>
      <c r="HC232" s="12">
        <f t="shared" si="163"/>
        <v>0</v>
      </c>
      <c r="HD232" s="12">
        <f t="shared" si="164"/>
        <v>0</v>
      </c>
      <c r="HE232" s="12">
        <f t="shared" si="165"/>
        <v>0</v>
      </c>
      <c r="HF232" s="12">
        <f t="shared" si="166"/>
        <v>0</v>
      </c>
      <c r="HG232" s="12">
        <f t="shared" si="167"/>
        <v>0</v>
      </c>
      <c r="HH232" s="12">
        <f t="shared" si="168"/>
        <v>0</v>
      </c>
      <c r="HI232" s="12">
        <f t="shared" si="169"/>
        <v>0</v>
      </c>
      <c r="HJ232" s="12">
        <f t="shared" si="170"/>
        <v>0</v>
      </c>
      <c r="HK232" s="12">
        <f t="shared" si="171"/>
        <v>0</v>
      </c>
      <c r="HL232" s="12">
        <f t="shared" si="172"/>
        <v>0</v>
      </c>
      <c r="HM232" s="12">
        <f t="shared" si="173"/>
        <v>0</v>
      </c>
      <c r="HN232" s="12">
        <f t="shared" si="174"/>
        <v>0</v>
      </c>
      <c r="HO232" s="12">
        <f t="shared" si="175"/>
        <v>0</v>
      </c>
      <c r="HP232" s="12">
        <f t="shared" si="176"/>
        <v>0</v>
      </c>
      <c r="HQ232" s="12">
        <f t="shared" si="177"/>
        <v>0</v>
      </c>
      <c r="HR232" s="12">
        <f t="shared" si="178"/>
        <v>0</v>
      </c>
      <c r="HS232" s="12">
        <f t="shared" si="179"/>
        <v>0</v>
      </c>
      <c r="HT232" s="12">
        <f t="shared" si="180"/>
        <v>0</v>
      </c>
      <c r="HU232" s="12">
        <f t="shared" si="181"/>
        <v>0</v>
      </c>
      <c r="HV232" s="12">
        <f t="shared" si="182"/>
        <v>0</v>
      </c>
      <c r="HW232" s="12">
        <f t="shared" si="183"/>
        <v>0</v>
      </c>
      <c r="HX232" s="12">
        <f t="shared" si="184"/>
        <v>0</v>
      </c>
      <c r="HY232" s="12">
        <f t="shared" si="185"/>
        <v>0</v>
      </c>
      <c r="HZ232" s="12">
        <f t="shared" si="186"/>
        <v>0</v>
      </c>
      <c r="IA232" s="12">
        <f t="shared" si="187"/>
        <v>0</v>
      </c>
      <c r="IB232" s="12">
        <f t="shared" si="188"/>
        <v>0</v>
      </c>
      <c r="IC232" s="12">
        <f t="shared" si="189"/>
        <v>0</v>
      </c>
      <c r="ID232" s="12">
        <f t="shared" si="190"/>
        <v>0</v>
      </c>
      <c r="IE232" s="12">
        <f t="shared" si="191"/>
        <v>0</v>
      </c>
      <c r="IF232" s="12">
        <f t="shared" si="192"/>
        <v>0</v>
      </c>
      <c r="IG232" s="12">
        <f t="shared" si="193"/>
        <v>0</v>
      </c>
      <c r="IH232" s="12">
        <f t="shared" si="194"/>
        <v>0</v>
      </c>
      <c r="II232" s="12">
        <f t="shared" si="195"/>
        <v>0</v>
      </c>
      <c r="IJ232" s="12">
        <f t="shared" si="196"/>
        <v>0</v>
      </c>
      <c r="IK232" s="12">
        <f t="shared" si="197"/>
        <v>0</v>
      </c>
      <c r="IL232" s="12">
        <f t="shared" si="198"/>
        <v>0</v>
      </c>
      <c r="IM232" s="12">
        <f t="shared" si="199"/>
        <v>0</v>
      </c>
      <c r="IN232" s="12">
        <f t="shared" si="200"/>
        <v>0</v>
      </c>
      <c r="IO232" s="12">
        <f t="shared" si="201"/>
        <v>0</v>
      </c>
      <c r="IP232" s="12">
        <f t="shared" si="202"/>
        <v>0</v>
      </c>
      <c r="IQ232" s="12">
        <f t="shared" si="203"/>
        <v>0</v>
      </c>
      <c r="IR232" s="12">
        <f t="shared" si="204"/>
        <v>0</v>
      </c>
      <c r="IS232" s="12">
        <f t="shared" si="205"/>
        <v>0</v>
      </c>
      <c r="IT232" s="12">
        <f t="shared" si="206"/>
        <v>0</v>
      </c>
      <c r="IU232" s="12">
        <f t="shared" si="207"/>
        <v>0</v>
      </c>
      <c r="IV232" s="12">
        <f t="shared" si="208"/>
        <v>0</v>
      </c>
      <c r="IW232" s="12">
        <f t="shared" si="209"/>
        <v>0</v>
      </c>
      <c r="IX232" s="12">
        <f t="shared" si="210"/>
        <v>0</v>
      </c>
      <c r="IY232" s="12">
        <f t="shared" si="211"/>
        <v>0</v>
      </c>
      <c r="IZ232" s="12">
        <f t="shared" si="212"/>
        <v>0</v>
      </c>
      <c r="JA232" s="13">
        <f t="shared" si="213"/>
        <v>1</v>
      </c>
      <c r="JB232" s="13">
        <f t="shared" si="214"/>
        <v>0</v>
      </c>
      <c r="JC232" s="13">
        <f t="shared" si="215"/>
        <v>0</v>
      </c>
      <c r="JD232" s="13">
        <f t="shared" si="216"/>
        <v>0</v>
      </c>
      <c r="JE232" s="13">
        <f t="shared" si="217"/>
        <v>0</v>
      </c>
      <c r="JF232" s="13">
        <f t="shared" si="218"/>
        <v>0</v>
      </c>
      <c r="JG232" s="13">
        <f t="shared" si="219"/>
        <v>0</v>
      </c>
      <c r="JH232" s="13">
        <f t="shared" si="220"/>
        <v>0</v>
      </c>
      <c r="JI232" s="13">
        <f t="shared" si="221"/>
        <v>0</v>
      </c>
      <c r="JJ232" s="13">
        <f t="shared" si="222"/>
        <v>0</v>
      </c>
      <c r="JK232" s="13">
        <f t="shared" si="223"/>
        <v>0</v>
      </c>
      <c r="JL232" s="13">
        <f t="shared" si="224"/>
        <v>0</v>
      </c>
      <c r="JM232" s="13">
        <f t="shared" si="225"/>
        <v>0</v>
      </c>
      <c r="JN232" s="13">
        <f t="shared" si="226"/>
        <v>0</v>
      </c>
      <c r="JO232" s="13">
        <f t="shared" si="227"/>
        <v>0</v>
      </c>
      <c r="JP232" s="13">
        <f t="shared" si="228"/>
        <v>0</v>
      </c>
      <c r="JQ232" s="13">
        <f t="shared" si="229"/>
        <v>0</v>
      </c>
      <c r="JR232" s="13">
        <f t="shared" si="230"/>
        <v>0</v>
      </c>
      <c r="JS232" s="13">
        <f t="shared" si="231"/>
        <v>0</v>
      </c>
      <c r="JT232" s="13">
        <f t="shared" si="232"/>
        <v>0</v>
      </c>
      <c r="JU232" s="13">
        <f t="shared" si="233"/>
        <v>0</v>
      </c>
      <c r="JV232" s="12">
        <f t="shared" si="234"/>
        <v>0</v>
      </c>
      <c r="JW232" s="12">
        <f t="shared" si="235"/>
        <v>0</v>
      </c>
      <c r="JX232" s="12">
        <f t="shared" si="236"/>
        <v>0</v>
      </c>
      <c r="JY232" s="12">
        <f t="shared" si="237"/>
        <v>0</v>
      </c>
      <c r="JZ232" s="12">
        <f t="shared" si="238"/>
        <v>0</v>
      </c>
      <c r="KA232" s="12">
        <f t="shared" si="239"/>
        <v>0</v>
      </c>
      <c r="KB232" s="12">
        <f t="shared" si="240"/>
        <v>0</v>
      </c>
      <c r="KC232" s="12">
        <f t="shared" si="241"/>
        <v>0</v>
      </c>
      <c r="KD232" s="12">
        <f t="shared" si="797"/>
        <v>0</v>
      </c>
      <c r="KE232" s="12">
        <f t="shared" si="243"/>
        <v>0</v>
      </c>
      <c r="KF232" s="12">
        <f t="shared" si="244"/>
        <v>0</v>
      </c>
      <c r="KG232" s="12">
        <f t="shared" si="245"/>
        <v>0</v>
      </c>
      <c r="KH232" s="12">
        <f t="shared" si="246"/>
        <v>0</v>
      </c>
      <c r="KI232" s="12">
        <f t="shared" si="247"/>
        <v>0</v>
      </c>
      <c r="KJ232" s="12">
        <f t="shared" si="248"/>
        <v>0</v>
      </c>
      <c r="KK232" s="12">
        <f t="shared" si="249"/>
        <v>0</v>
      </c>
      <c r="KL232" s="12">
        <f t="shared" si="250"/>
        <v>0</v>
      </c>
      <c r="KM232" s="12">
        <f t="shared" si="251"/>
        <v>0</v>
      </c>
      <c r="KN232" s="12">
        <f t="shared" si="252"/>
        <v>0</v>
      </c>
      <c r="KO232" s="12">
        <f t="shared" si="253"/>
        <v>0</v>
      </c>
      <c r="KP232" s="12">
        <f t="shared" si="254"/>
        <v>0</v>
      </c>
      <c r="KQ232" s="12">
        <f t="shared" si="255"/>
        <v>0</v>
      </c>
      <c r="KR232" s="12">
        <f t="shared" si="256"/>
        <v>0</v>
      </c>
      <c r="KS232" s="12">
        <f t="shared" si="257"/>
        <v>0</v>
      </c>
      <c r="KT232" s="12">
        <f t="shared" si="258"/>
        <v>0</v>
      </c>
      <c r="KU232" s="12">
        <f t="shared" si="259"/>
        <v>0</v>
      </c>
      <c r="KV232" s="12">
        <f t="shared" si="260"/>
        <v>0</v>
      </c>
      <c r="KW232" s="12">
        <f t="shared" si="261"/>
        <v>0</v>
      </c>
      <c r="KX232" s="12">
        <f t="shared" si="262"/>
        <v>0</v>
      </c>
      <c r="KY232" s="12">
        <f t="shared" si="263"/>
        <v>0</v>
      </c>
      <c r="KZ232" s="12">
        <f t="shared" si="264"/>
        <v>0</v>
      </c>
      <c r="LA232" s="12">
        <f t="shared" si="265"/>
        <v>0</v>
      </c>
      <c r="LB232" s="12">
        <f t="shared" si="266"/>
        <v>0</v>
      </c>
      <c r="LC232" s="12">
        <f t="shared" si="267"/>
        <v>0</v>
      </c>
      <c r="LD232" s="12">
        <f t="shared" si="268"/>
        <v>0</v>
      </c>
      <c r="LE232" s="12">
        <f t="shared" si="269"/>
        <v>0</v>
      </c>
      <c r="LF232" s="12">
        <f t="shared" si="270"/>
        <v>0</v>
      </c>
      <c r="LG232" s="12">
        <f t="shared" si="271"/>
        <v>0</v>
      </c>
      <c r="LH232" s="12">
        <f t="shared" si="272"/>
        <v>0</v>
      </c>
      <c r="LI232" s="12">
        <f t="shared" si="273"/>
        <v>0</v>
      </c>
      <c r="LJ232" s="12">
        <f t="shared" si="274"/>
        <v>0</v>
      </c>
      <c r="LK232" s="12">
        <f t="shared" si="275"/>
        <v>0</v>
      </c>
      <c r="LL232" s="12">
        <f t="shared" si="276"/>
        <v>0</v>
      </c>
      <c r="LM232" s="12">
        <f t="shared" si="277"/>
        <v>0</v>
      </c>
      <c r="LN232" s="12">
        <f t="shared" si="278"/>
        <v>0</v>
      </c>
      <c r="LO232" s="12">
        <f t="shared" si="279"/>
        <v>0</v>
      </c>
      <c r="LP232" s="12">
        <f t="shared" si="280"/>
        <v>0</v>
      </c>
      <c r="LQ232" s="12">
        <f t="shared" si="281"/>
        <v>0</v>
      </c>
      <c r="LR232" s="12">
        <f t="shared" si="282"/>
        <v>0</v>
      </c>
      <c r="LS232" s="12">
        <f t="shared" si="283"/>
        <v>0</v>
      </c>
      <c r="LT232" s="13">
        <f t="shared" si="284"/>
        <v>0</v>
      </c>
      <c r="LU232" s="13">
        <f t="shared" si="285"/>
        <v>0</v>
      </c>
      <c r="LV232" s="13">
        <f t="shared" si="286"/>
        <v>0</v>
      </c>
      <c r="LW232" s="13">
        <f t="shared" si="287"/>
        <v>0</v>
      </c>
      <c r="LX232" s="13">
        <f t="shared" si="288"/>
        <v>0</v>
      </c>
      <c r="LY232" s="13">
        <f t="shared" si="289"/>
        <v>0</v>
      </c>
      <c r="LZ232" s="13">
        <f t="shared" si="290"/>
        <v>0</v>
      </c>
      <c r="MA232" s="13">
        <f t="shared" si="291"/>
        <v>0</v>
      </c>
      <c r="MB232" s="13">
        <f t="shared" si="292"/>
        <v>0</v>
      </c>
      <c r="MC232" s="13">
        <f t="shared" si="293"/>
        <v>0</v>
      </c>
      <c r="MD232" s="13">
        <f t="shared" si="294"/>
        <v>0</v>
      </c>
      <c r="ME232" s="13">
        <f t="shared" si="295"/>
        <v>0</v>
      </c>
      <c r="MF232" s="13">
        <f t="shared" si="296"/>
        <v>0</v>
      </c>
      <c r="MG232" s="13">
        <f t="shared" si="297"/>
        <v>0</v>
      </c>
      <c r="MH232" s="13">
        <f t="shared" si="298"/>
        <v>0</v>
      </c>
      <c r="MI232" s="13">
        <f t="shared" si="299"/>
        <v>0</v>
      </c>
      <c r="MJ232" s="13">
        <f t="shared" si="300"/>
        <v>0</v>
      </c>
      <c r="MK232" s="13">
        <f t="shared" si="301"/>
        <v>0</v>
      </c>
      <c r="ML232" s="14">
        <f t="shared" si="302"/>
        <v>0</v>
      </c>
      <c r="MM232" s="14">
        <f t="shared" si="303"/>
        <v>0</v>
      </c>
      <c r="MN232" s="14">
        <f t="shared" si="304"/>
        <v>0</v>
      </c>
      <c r="MO232" s="14">
        <f t="shared" si="305"/>
        <v>0</v>
      </c>
      <c r="MP232" s="14">
        <f t="shared" si="306"/>
        <v>0</v>
      </c>
      <c r="MQ232" s="14">
        <f t="shared" si="307"/>
        <v>0</v>
      </c>
      <c r="MR232" s="14">
        <f t="shared" si="308"/>
        <v>0</v>
      </c>
      <c r="MS232" s="14">
        <f t="shared" si="309"/>
        <v>0</v>
      </c>
      <c r="MT232" s="14">
        <f t="shared" si="310"/>
        <v>0</v>
      </c>
      <c r="MU232" s="14">
        <f t="shared" si="311"/>
        <v>0</v>
      </c>
      <c r="MV232" s="14">
        <f t="shared" si="312"/>
        <v>0</v>
      </c>
      <c r="MW232" s="14">
        <f t="shared" si="313"/>
        <v>0</v>
      </c>
      <c r="MX232" s="14">
        <f t="shared" si="314"/>
        <v>0</v>
      </c>
      <c r="MY232" s="14">
        <f t="shared" si="315"/>
        <v>0</v>
      </c>
      <c r="MZ232" s="14">
        <f t="shared" si="316"/>
        <v>0</v>
      </c>
      <c r="NA232" s="14">
        <f t="shared" si="317"/>
        <v>0</v>
      </c>
      <c r="NB232" s="14">
        <f t="shared" si="318"/>
        <v>0</v>
      </c>
    </row>
    <row r="233" ht="15.75" customHeight="1">
      <c r="A233" s="2">
        <v>653.0</v>
      </c>
      <c r="B233" s="2" t="s">
        <v>4214</v>
      </c>
      <c r="C233" s="2" t="s">
        <v>4215</v>
      </c>
      <c r="D233" s="2" t="s">
        <v>4216</v>
      </c>
      <c r="E233" s="2">
        <v>2022.0</v>
      </c>
      <c r="F233" s="2" t="s">
        <v>4217</v>
      </c>
      <c r="G233" s="2">
        <v>16.0</v>
      </c>
      <c r="I233" s="2" t="s">
        <v>4218</v>
      </c>
      <c r="N233" s="2" t="s">
        <v>4219</v>
      </c>
      <c r="O233" s="2" t="s">
        <v>4220</v>
      </c>
      <c r="P233" s="2" t="s">
        <v>4221</v>
      </c>
      <c r="Q233" s="2" t="s">
        <v>4222</v>
      </c>
      <c r="R233" s="2" t="s">
        <v>4223</v>
      </c>
      <c r="S233" s="2" t="s">
        <v>4224</v>
      </c>
      <c r="T233" s="2" t="s">
        <v>4225</v>
      </c>
      <c r="Y233" s="2" t="s">
        <v>4226</v>
      </c>
      <c r="AB233" s="2" t="s">
        <v>1039</v>
      </c>
      <c r="AG233" s="2" t="s">
        <v>4227</v>
      </c>
      <c r="AK233" s="2" t="s">
        <v>4228</v>
      </c>
      <c r="AL233" s="2" t="s">
        <v>384</v>
      </c>
      <c r="AM233" s="2" t="s">
        <v>484</v>
      </c>
      <c r="AN233" s="2" t="s">
        <v>386</v>
      </c>
      <c r="AO233" s="2" t="s">
        <v>4229</v>
      </c>
      <c r="AP233" s="2" t="s">
        <v>386</v>
      </c>
      <c r="AQ233" s="2">
        <v>2571.0</v>
      </c>
      <c r="AR233" s="2" t="s">
        <v>4230</v>
      </c>
      <c r="AS233" s="2" t="b">
        <v>1</v>
      </c>
      <c r="AT233" s="3">
        <v>0.0</v>
      </c>
      <c r="AU233" s="4"/>
      <c r="AV233" s="4"/>
      <c r="AW233" s="5">
        <f t="shared" si="432"/>
        <v>0</v>
      </c>
      <c r="AX233" s="5">
        <f t="shared" si="4"/>
        <v>0</v>
      </c>
      <c r="AY233" s="5">
        <f t="shared" si="5"/>
        <v>0</v>
      </c>
      <c r="AZ233" s="5">
        <f t="shared" si="6"/>
        <v>0</v>
      </c>
      <c r="BA233" s="5">
        <f t="shared" si="7"/>
        <v>0</v>
      </c>
      <c r="BB233" s="5">
        <f t="shared" si="8"/>
        <v>0</v>
      </c>
      <c r="BC233" s="5">
        <f t="shared" si="9"/>
        <v>0</v>
      </c>
      <c r="BD233" s="5">
        <f t="shared" si="10"/>
        <v>0</v>
      </c>
      <c r="BE233" s="5">
        <f t="shared" si="11"/>
        <v>0</v>
      </c>
      <c r="BF233" s="5">
        <f t="shared" si="12"/>
        <v>0</v>
      </c>
      <c r="BG233" s="5">
        <f t="shared" si="13"/>
        <v>0</v>
      </c>
      <c r="BH233" s="5">
        <f t="shared" si="14"/>
        <v>0</v>
      </c>
      <c r="BI233" s="5">
        <f t="shared" si="15"/>
        <v>0</v>
      </c>
      <c r="BJ233" s="5">
        <f t="shared" si="16"/>
        <v>0</v>
      </c>
      <c r="BK233" s="5">
        <f t="shared" si="17"/>
        <v>1</v>
      </c>
      <c r="BL233" s="5">
        <f t="shared" si="18"/>
        <v>0</v>
      </c>
      <c r="BM233" s="5">
        <f t="shared" si="19"/>
        <v>0</v>
      </c>
      <c r="BN233" s="5">
        <f t="shared" si="20"/>
        <v>0</v>
      </c>
      <c r="BO233" s="5">
        <f t="shared" si="21"/>
        <v>0</v>
      </c>
      <c r="BP233" s="5">
        <f t="shared" si="22"/>
        <v>0</v>
      </c>
      <c r="BQ233" s="5">
        <f t="shared" si="23"/>
        <v>0</v>
      </c>
      <c r="BR233" s="5">
        <f t="shared" si="24"/>
        <v>0</v>
      </c>
      <c r="BS233" s="5">
        <f t="shared" si="25"/>
        <v>0</v>
      </c>
      <c r="BT233" s="5">
        <f t="shared" si="26"/>
        <v>0</v>
      </c>
      <c r="BU233" s="5">
        <f t="shared" si="27"/>
        <v>0</v>
      </c>
      <c r="BV233" s="5">
        <f t="shared" ref="BV233:BW233" si="827">IF(OR(ISNUMBER(SEARCH("grit",$D233)),ISNUMBER(SEARCH("grit",$T233)),ISNUMBER(SEARCH("grit",$R233)),ISNUMBER(SEARCH("grit",$S233)),
ISNUMBER(SEARCH("determination",$D233)),ISNUMBER(SEARCH("determination",$T233)),ISNUMBER(SEARCH("determination",$R233)),ISNUMBER(SEARCH("determination",$S233)),
ISNUMBER(SEARCH("tenacity",$D233)),ISNUMBER(SEARCH("tenacity",$T233)),ISNUMBER(SEARCH("tenacity",$R233)),ISNUMBER(SEARCH("tenacity",$S233)),
ISNUMBER(SEARCH("endurance",$D233)),ISNUMBER(SEARCH("endurance",$T233)),ISNUMBER(SEARCH("endurance",$R233)),ISNUMBER(SEARCH("endurance",$S233)),
ISNUMBER(SEARCH("fortitude",$D233)),ISNUMBER(SEARCH("fortitude",$T233)),ISNUMBER(SEARCH("fortitude",$R233)),ISNUMBER(SEARCH("fortitude",$S233)),
ISNUMBER(SEARCH("resolve",$D233)),ISNUMBER(SEARCH("resolve",$T233)),ISNUMBER(SEARCH("resolve",$R233)),ISNUMBER(SEARCH("resolve",$S233)),
ISNUMBER(SEARCH("stamina",$D233)),ISNUMBER(SEARCH("stamina",$T233)),ISNUMBER(SEARCH("stamina",$R233)),ISNUMBER(SEARCH("stamina",$S233)),
ISNUMBER(SEARCH("guts",$D233)),ISNUMBER(SEARCH("guts",$T233)),ISNUMBER(SEARCH("guts",$R233)),ISNUMBER(SEARCH("guts",$S233)),
ISNUMBER(SEARCH("spunk",$D233)),ISNUMBER(SEARCH("spunk",$T233)),ISNUMBER(SEARCH("spunk",$R233)),ISNUMBER(SEARCH("spunk",$S233))), 1, 0)</f>
        <v>0</v>
      </c>
      <c r="BW233" s="5">
        <f t="shared" si="827"/>
        <v>0</v>
      </c>
      <c r="BX233" s="5">
        <f t="shared" si="29"/>
        <v>0</v>
      </c>
      <c r="BY233" s="5">
        <f t="shared" si="30"/>
        <v>0</v>
      </c>
      <c r="BZ233" s="5">
        <f t="shared" si="31"/>
        <v>0</v>
      </c>
      <c r="CA233" s="5">
        <f t="shared" si="32"/>
        <v>0</v>
      </c>
      <c r="CB233" s="5">
        <f t="shared" si="33"/>
        <v>0</v>
      </c>
      <c r="CC233" s="5">
        <f t="shared" si="34"/>
        <v>0</v>
      </c>
      <c r="CD233" s="5">
        <f t="shared" si="35"/>
        <v>0</v>
      </c>
      <c r="CE233" s="5">
        <f t="shared" si="36"/>
        <v>0</v>
      </c>
      <c r="CF233" s="5">
        <f t="shared" si="37"/>
        <v>0</v>
      </c>
      <c r="CG233" s="5">
        <f t="shared" si="38"/>
        <v>0</v>
      </c>
      <c r="CH233" s="5">
        <f t="shared" si="39"/>
        <v>0</v>
      </c>
      <c r="CI233" s="5">
        <f t="shared" si="40"/>
        <v>0</v>
      </c>
      <c r="CJ233" s="5">
        <f t="shared" si="41"/>
        <v>0</v>
      </c>
      <c r="CK233" s="5">
        <f t="shared" si="42"/>
        <v>0</v>
      </c>
      <c r="CL233" s="5">
        <f t="shared" si="43"/>
        <v>0</v>
      </c>
      <c r="CM233" s="5">
        <f t="shared" si="44"/>
        <v>0</v>
      </c>
      <c r="CN233" s="5">
        <f t="shared" si="45"/>
        <v>0</v>
      </c>
      <c r="CO233" s="5">
        <f t="shared" si="46"/>
        <v>0</v>
      </c>
      <c r="CP233" s="6">
        <f t="shared" si="47"/>
        <v>0</v>
      </c>
      <c r="CQ233" s="6">
        <f t="shared" si="48"/>
        <v>0</v>
      </c>
      <c r="CR233" s="6">
        <f t="shared" si="49"/>
        <v>0</v>
      </c>
      <c r="CS233" s="6">
        <f t="shared" si="50"/>
        <v>0</v>
      </c>
      <c r="CT233" s="6">
        <f t="shared" si="584"/>
        <v>0</v>
      </c>
      <c r="CU233" s="6">
        <f t="shared" si="52"/>
        <v>0</v>
      </c>
      <c r="CV233" s="6">
        <f t="shared" si="53"/>
        <v>0</v>
      </c>
      <c r="CW233" s="6">
        <f t="shared" si="54"/>
        <v>0</v>
      </c>
      <c r="CX233" s="6">
        <f t="shared" si="55"/>
        <v>0</v>
      </c>
      <c r="CY233" s="6">
        <f t="shared" si="56"/>
        <v>0</v>
      </c>
      <c r="CZ233" s="6">
        <f t="shared" si="57"/>
        <v>0</v>
      </c>
      <c r="DA233" s="6">
        <f t="shared" si="58"/>
        <v>0</v>
      </c>
      <c r="DB233" s="6">
        <f t="shared" si="59"/>
        <v>0</v>
      </c>
      <c r="DC233" s="6">
        <f t="shared" si="60"/>
        <v>0</v>
      </c>
      <c r="DD233" s="6">
        <f t="shared" si="61"/>
        <v>0</v>
      </c>
      <c r="DE233" s="6">
        <f t="shared" si="62"/>
        <v>1</v>
      </c>
      <c r="DF233" s="6">
        <f t="shared" si="63"/>
        <v>0</v>
      </c>
      <c r="DG233" s="6">
        <f t="shared" si="64"/>
        <v>0</v>
      </c>
      <c r="DH233" s="6">
        <f t="shared" si="697"/>
        <v>0</v>
      </c>
      <c r="DI233" s="6">
        <f t="shared" si="66"/>
        <v>0</v>
      </c>
      <c r="DJ233" s="6">
        <f t="shared" si="653"/>
        <v>0</v>
      </c>
      <c r="DK233" s="7">
        <f t="shared" si="68"/>
        <v>0</v>
      </c>
      <c r="DL233" s="7">
        <f t="shared" si="498"/>
        <v>0</v>
      </c>
      <c r="DM233" s="7">
        <f t="shared" si="70"/>
        <v>0</v>
      </c>
      <c r="DN233" s="7">
        <f t="shared" si="71"/>
        <v>0</v>
      </c>
      <c r="DO233" s="7">
        <f t="shared" si="72"/>
        <v>1</v>
      </c>
      <c r="DP233" s="8">
        <f t="shared" si="73"/>
        <v>0</v>
      </c>
      <c r="DQ233" s="8">
        <f t="shared" si="74"/>
        <v>1</v>
      </c>
      <c r="DR233" s="7">
        <f t="shared" si="75"/>
        <v>0</v>
      </c>
      <c r="DS233" s="7">
        <f t="shared" si="76"/>
        <v>0</v>
      </c>
      <c r="DT233" s="7">
        <f t="shared" si="77"/>
        <v>0</v>
      </c>
      <c r="DU233" s="9">
        <f t="shared" si="78"/>
        <v>0</v>
      </c>
      <c r="DV233" s="9">
        <f t="shared" si="79"/>
        <v>0</v>
      </c>
      <c r="DW233" s="9">
        <f t="shared" si="80"/>
        <v>0</v>
      </c>
      <c r="DX233" s="9">
        <f t="shared" si="81"/>
        <v>0</v>
      </c>
      <c r="DY233" s="9">
        <f t="shared" si="82"/>
        <v>0</v>
      </c>
      <c r="DZ233" s="9">
        <f t="shared" si="83"/>
        <v>0</v>
      </c>
      <c r="EA233" s="9">
        <f t="shared" si="84"/>
        <v>0</v>
      </c>
      <c r="EB233" s="9">
        <f t="shared" si="85"/>
        <v>0</v>
      </c>
      <c r="EC233" s="9">
        <f t="shared" si="86"/>
        <v>0</v>
      </c>
      <c r="ED233" s="9">
        <f t="shared" si="87"/>
        <v>0</v>
      </c>
      <c r="EE233" s="9">
        <f t="shared" si="88"/>
        <v>0</v>
      </c>
      <c r="EF233" s="9">
        <f t="shared" si="89"/>
        <v>0</v>
      </c>
      <c r="EG233" s="9">
        <f t="shared" si="90"/>
        <v>0</v>
      </c>
      <c r="EH233" s="9">
        <f t="shared" si="91"/>
        <v>0</v>
      </c>
      <c r="EI233" s="9">
        <f t="shared" si="92"/>
        <v>0</v>
      </c>
      <c r="EJ233" s="10">
        <f t="shared" si="93"/>
        <v>0</v>
      </c>
      <c r="EK233" s="10">
        <f t="shared" si="94"/>
        <v>0</v>
      </c>
      <c r="EL233" s="10">
        <f t="shared" ref="EL233:EM233" si="828">IF(OR(ISNUMBER(SEARCH("ai software toolkit", $D233)), ISNUMBER(SEARCH("ai software toolkit", $T233)), ISNUMBER(SEARCH("ai software toolkit", $R233)), ISNUMBER(SEARCH("ai software toolkit", $S233))), 1, 0)</f>
        <v>0</v>
      </c>
      <c r="EM233" s="10">
        <f t="shared" si="828"/>
        <v>0</v>
      </c>
      <c r="EN233" s="10">
        <f t="shared" si="96"/>
        <v>0</v>
      </c>
      <c r="EO233" s="10">
        <f t="shared" si="97"/>
        <v>0</v>
      </c>
      <c r="EP233" s="10">
        <f t="shared" si="98"/>
        <v>0</v>
      </c>
      <c r="EQ233" s="10">
        <f t="shared" si="99"/>
        <v>0</v>
      </c>
      <c r="ER233" s="10">
        <f t="shared" si="100"/>
        <v>0</v>
      </c>
      <c r="ES233" s="10">
        <f t="shared" si="101"/>
        <v>0</v>
      </c>
      <c r="ET233" s="10">
        <f t="shared" si="102"/>
        <v>0</v>
      </c>
      <c r="EU233" s="10">
        <f t="shared" si="103"/>
        <v>0</v>
      </c>
      <c r="EV233" s="10">
        <f t="shared" si="104"/>
        <v>0</v>
      </c>
      <c r="EW233" s="10">
        <f t="shared" si="105"/>
        <v>0</v>
      </c>
      <c r="EX233" s="10">
        <f t="shared" si="106"/>
        <v>0</v>
      </c>
      <c r="EY233" s="10">
        <f t="shared" si="107"/>
        <v>0</v>
      </c>
      <c r="EZ233" s="10">
        <f t="shared" si="108"/>
        <v>0</v>
      </c>
      <c r="FA233" s="10">
        <f t="shared" si="109"/>
        <v>0</v>
      </c>
      <c r="FB233" s="10">
        <f t="shared" si="110"/>
        <v>0</v>
      </c>
      <c r="FC233" s="10">
        <f t="shared" si="111"/>
        <v>0</v>
      </c>
      <c r="FD233" s="10">
        <f t="shared" si="112"/>
        <v>0</v>
      </c>
      <c r="FE233" s="10">
        <f t="shared" si="782"/>
        <v>0</v>
      </c>
      <c r="FF233" s="10">
        <f t="shared" si="114"/>
        <v>0</v>
      </c>
      <c r="FG233" s="10">
        <f t="shared" si="115"/>
        <v>0</v>
      </c>
      <c r="FH233" s="10">
        <f t="shared" si="116"/>
        <v>0</v>
      </c>
      <c r="FI233" s="10">
        <f t="shared" si="117"/>
        <v>0</v>
      </c>
      <c r="FJ233" s="10">
        <f t="shared" si="118"/>
        <v>0</v>
      </c>
      <c r="FK233" s="10">
        <f t="shared" si="119"/>
        <v>0</v>
      </c>
      <c r="FL233" s="10">
        <f t="shared" si="120"/>
        <v>0</v>
      </c>
      <c r="FM233" s="10">
        <f t="shared" si="121"/>
        <v>0</v>
      </c>
      <c r="FN233" s="10">
        <f t="shared" si="122"/>
        <v>0</v>
      </c>
      <c r="FO233" s="10">
        <f t="shared" si="123"/>
        <v>0</v>
      </c>
      <c r="FP233" s="10">
        <f t="shared" si="124"/>
        <v>0</v>
      </c>
      <c r="FQ233" s="10">
        <f t="shared" si="125"/>
        <v>0</v>
      </c>
      <c r="FR233" s="11">
        <f t="shared" si="804"/>
        <v>0</v>
      </c>
      <c r="FS233" s="11">
        <f t="shared" si="127"/>
        <v>0</v>
      </c>
      <c r="FT233" s="11">
        <f t="shared" si="128"/>
        <v>0</v>
      </c>
      <c r="FU233" s="11">
        <f t="shared" si="129"/>
        <v>0</v>
      </c>
      <c r="FV233" s="11">
        <f t="shared" si="130"/>
        <v>0</v>
      </c>
      <c r="FW233" s="11">
        <f t="shared" si="131"/>
        <v>0</v>
      </c>
      <c r="FX233" s="11">
        <f t="shared" si="132"/>
        <v>0</v>
      </c>
      <c r="FY233" s="11">
        <f t="shared" si="133"/>
        <v>0</v>
      </c>
      <c r="FZ233" s="11">
        <f t="shared" si="134"/>
        <v>0</v>
      </c>
      <c r="GA233" s="11">
        <f t="shared" si="135"/>
        <v>0</v>
      </c>
      <c r="GB233" s="11">
        <f t="shared" si="136"/>
        <v>0</v>
      </c>
      <c r="GC233" s="11">
        <f t="shared" si="137"/>
        <v>0</v>
      </c>
      <c r="GD233" s="11">
        <f t="shared" si="138"/>
        <v>0</v>
      </c>
      <c r="GE233" s="11">
        <f t="shared" si="139"/>
        <v>0</v>
      </c>
      <c r="GF233" s="11">
        <f t="shared" si="140"/>
        <v>0</v>
      </c>
      <c r="GG233" s="11">
        <f t="shared" si="141"/>
        <v>0</v>
      </c>
      <c r="GH233" s="11">
        <f t="shared" si="142"/>
        <v>0</v>
      </c>
      <c r="GI233" s="11">
        <f t="shared" si="143"/>
        <v>0</v>
      </c>
      <c r="GJ233" s="11">
        <f t="shared" si="144"/>
        <v>0</v>
      </c>
      <c r="GK233" s="11">
        <f t="shared" si="145"/>
        <v>0</v>
      </c>
      <c r="GL233" s="11">
        <f t="shared" si="146"/>
        <v>0</v>
      </c>
      <c r="GM233" s="11">
        <f t="shared" si="147"/>
        <v>0</v>
      </c>
      <c r="GN233" s="11">
        <f t="shared" si="148"/>
        <v>0</v>
      </c>
      <c r="GO233" s="11">
        <f t="shared" si="149"/>
        <v>0</v>
      </c>
      <c r="GP233" s="11">
        <f t="shared" si="150"/>
        <v>0</v>
      </c>
      <c r="GQ233" s="11">
        <f t="shared" si="151"/>
        <v>0</v>
      </c>
      <c r="GR233" s="11">
        <f t="shared" si="152"/>
        <v>0</v>
      </c>
      <c r="GS233" s="11">
        <f t="shared" si="153"/>
        <v>0</v>
      </c>
      <c r="GT233" s="11">
        <f t="shared" si="154"/>
        <v>0</v>
      </c>
      <c r="GU233" s="12">
        <f t="shared" si="155"/>
        <v>0</v>
      </c>
      <c r="GV233" s="12">
        <f t="shared" si="156"/>
        <v>0</v>
      </c>
      <c r="GW233" s="12">
        <f t="shared" si="157"/>
        <v>0</v>
      </c>
      <c r="GX233" s="12">
        <f t="shared" si="158"/>
        <v>0</v>
      </c>
      <c r="GY233" s="12">
        <f t="shared" si="159"/>
        <v>0</v>
      </c>
      <c r="GZ233" s="12">
        <f t="shared" si="160"/>
        <v>0</v>
      </c>
      <c r="HA233" s="12">
        <f t="shared" si="161"/>
        <v>0</v>
      </c>
      <c r="HB233" s="12">
        <f t="shared" si="162"/>
        <v>0</v>
      </c>
      <c r="HC233" s="12">
        <f t="shared" si="163"/>
        <v>0</v>
      </c>
      <c r="HD233" s="12">
        <f t="shared" si="164"/>
        <v>0</v>
      </c>
      <c r="HE233" s="12">
        <f t="shared" si="165"/>
        <v>0</v>
      </c>
      <c r="HF233" s="12">
        <f t="shared" si="166"/>
        <v>0</v>
      </c>
      <c r="HG233" s="12">
        <f t="shared" si="167"/>
        <v>0</v>
      </c>
      <c r="HH233" s="12">
        <f t="shared" si="168"/>
        <v>0</v>
      </c>
      <c r="HI233" s="12">
        <f t="shared" si="169"/>
        <v>0</v>
      </c>
      <c r="HJ233" s="12">
        <f t="shared" si="170"/>
        <v>0</v>
      </c>
      <c r="HK233" s="12">
        <f t="shared" si="171"/>
        <v>0</v>
      </c>
      <c r="HL233" s="12">
        <f t="shared" si="172"/>
        <v>0</v>
      </c>
      <c r="HM233" s="12">
        <f t="shared" si="173"/>
        <v>0</v>
      </c>
      <c r="HN233" s="12">
        <f t="shared" si="174"/>
        <v>0</v>
      </c>
      <c r="HO233" s="12">
        <f t="shared" si="175"/>
        <v>0</v>
      </c>
      <c r="HP233" s="12">
        <f t="shared" si="176"/>
        <v>0</v>
      </c>
      <c r="HQ233" s="12">
        <f t="shared" si="177"/>
        <v>0</v>
      </c>
      <c r="HR233" s="12">
        <f t="shared" si="178"/>
        <v>0</v>
      </c>
      <c r="HS233" s="12">
        <f t="shared" si="179"/>
        <v>0</v>
      </c>
      <c r="HT233" s="12">
        <f t="shared" si="180"/>
        <v>0</v>
      </c>
      <c r="HU233" s="12">
        <f t="shared" si="181"/>
        <v>0</v>
      </c>
      <c r="HV233" s="12">
        <f t="shared" si="182"/>
        <v>0</v>
      </c>
      <c r="HW233" s="12">
        <f t="shared" si="183"/>
        <v>0</v>
      </c>
      <c r="HX233" s="12">
        <f t="shared" si="184"/>
        <v>0</v>
      </c>
      <c r="HY233" s="12">
        <f t="shared" si="185"/>
        <v>0</v>
      </c>
      <c r="HZ233" s="12">
        <f t="shared" si="186"/>
        <v>0</v>
      </c>
      <c r="IA233" s="12">
        <f t="shared" si="187"/>
        <v>0</v>
      </c>
      <c r="IB233" s="12">
        <f t="shared" si="188"/>
        <v>0</v>
      </c>
      <c r="IC233" s="12">
        <f t="shared" si="189"/>
        <v>0</v>
      </c>
      <c r="ID233" s="12">
        <f t="shared" si="190"/>
        <v>0</v>
      </c>
      <c r="IE233" s="12">
        <f t="shared" si="191"/>
        <v>0</v>
      </c>
      <c r="IF233" s="12">
        <f t="shared" si="192"/>
        <v>0</v>
      </c>
      <c r="IG233" s="12">
        <f t="shared" si="193"/>
        <v>0</v>
      </c>
      <c r="IH233" s="12">
        <f t="shared" si="194"/>
        <v>0</v>
      </c>
      <c r="II233" s="12">
        <f t="shared" si="195"/>
        <v>0</v>
      </c>
      <c r="IJ233" s="12">
        <f t="shared" si="196"/>
        <v>0</v>
      </c>
      <c r="IK233" s="12">
        <f t="shared" si="197"/>
        <v>0</v>
      </c>
      <c r="IL233" s="12">
        <f t="shared" si="198"/>
        <v>0</v>
      </c>
      <c r="IM233" s="12">
        <f t="shared" si="199"/>
        <v>0</v>
      </c>
      <c r="IN233" s="12">
        <f t="shared" si="200"/>
        <v>0</v>
      </c>
      <c r="IO233" s="12">
        <f t="shared" si="201"/>
        <v>0</v>
      </c>
      <c r="IP233" s="12">
        <f t="shared" si="202"/>
        <v>0</v>
      </c>
      <c r="IQ233" s="12">
        <f t="shared" si="203"/>
        <v>0</v>
      </c>
      <c r="IR233" s="12">
        <f t="shared" si="204"/>
        <v>0</v>
      </c>
      <c r="IS233" s="12">
        <f t="shared" si="205"/>
        <v>0</v>
      </c>
      <c r="IT233" s="12">
        <f t="shared" si="206"/>
        <v>0</v>
      </c>
      <c r="IU233" s="12">
        <f t="shared" si="207"/>
        <v>0</v>
      </c>
      <c r="IV233" s="12">
        <f t="shared" si="208"/>
        <v>0</v>
      </c>
      <c r="IW233" s="12">
        <f t="shared" si="209"/>
        <v>0</v>
      </c>
      <c r="IX233" s="12">
        <f t="shared" si="210"/>
        <v>0</v>
      </c>
      <c r="IY233" s="12">
        <f t="shared" si="211"/>
        <v>0</v>
      </c>
      <c r="IZ233" s="12">
        <f t="shared" si="212"/>
        <v>0</v>
      </c>
      <c r="JA233" s="13">
        <f t="shared" si="213"/>
        <v>0</v>
      </c>
      <c r="JB233" s="13">
        <f t="shared" si="214"/>
        <v>0</v>
      </c>
      <c r="JC233" s="13">
        <f t="shared" si="215"/>
        <v>0</v>
      </c>
      <c r="JD233" s="13">
        <f t="shared" si="216"/>
        <v>0</v>
      </c>
      <c r="JE233" s="13">
        <f t="shared" si="217"/>
        <v>0</v>
      </c>
      <c r="JF233" s="13">
        <f t="shared" si="218"/>
        <v>1</v>
      </c>
      <c r="JG233" s="13">
        <f t="shared" si="219"/>
        <v>0</v>
      </c>
      <c r="JH233" s="13">
        <f t="shared" si="220"/>
        <v>0</v>
      </c>
      <c r="JI233" s="13">
        <f t="shared" si="221"/>
        <v>0</v>
      </c>
      <c r="JJ233" s="13">
        <f t="shared" si="222"/>
        <v>0</v>
      </c>
      <c r="JK233" s="13">
        <f t="shared" si="223"/>
        <v>0</v>
      </c>
      <c r="JL233" s="13">
        <f t="shared" si="224"/>
        <v>0</v>
      </c>
      <c r="JM233" s="13">
        <f t="shared" si="225"/>
        <v>0</v>
      </c>
      <c r="JN233" s="13">
        <f t="shared" si="226"/>
        <v>0</v>
      </c>
      <c r="JO233" s="13">
        <f t="shared" si="227"/>
        <v>0</v>
      </c>
      <c r="JP233" s="13">
        <f t="shared" si="228"/>
        <v>0</v>
      </c>
      <c r="JQ233" s="13">
        <f t="shared" si="229"/>
        <v>0</v>
      </c>
      <c r="JR233" s="13">
        <f t="shared" si="230"/>
        <v>0</v>
      </c>
      <c r="JS233" s="13">
        <f t="shared" si="231"/>
        <v>0</v>
      </c>
      <c r="JT233" s="13">
        <f t="shared" si="232"/>
        <v>0</v>
      </c>
      <c r="JU233" s="13">
        <f t="shared" si="233"/>
        <v>0</v>
      </c>
      <c r="JV233" s="12">
        <f t="shared" si="234"/>
        <v>0</v>
      </c>
      <c r="JW233" s="12">
        <f t="shared" si="235"/>
        <v>0</v>
      </c>
      <c r="JX233" s="12">
        <f t="shared" si="236"/>
        <v>0</v>
      </c>
      <c r="JY233" s="12">
        <f t="shared" si="237"/>
        <v>0</v>
      </c>
      <c r="JZ233" s="12">
        <f t="shared" si="238"/>
        <v>0</v>
      </c>
      <c r="KA233" s="12">
        <f t="shared" si="239"/>
        <v>0</v>
      </c>
      <c r="KB233" s="12">
        <f t="shared" si="240"/>
        <v>0</v>
      </c>
      <c r="KC233" s="12">
        <f t="shared" si="241"/>
        <v>0</v>
      </c>
      <c r="KD233" s="12">
        <f t="shared" si="797"/>
        <v>0</v>
      </c>
      <c r="KE233" s="12">
        <f t="shared" si="243"/>
        <v>0</v>
      </c>
      <c r="KF233" s="12">
        <f t="shared" si="244"/>
        <v>0</v>
      </c>
      <c r="KG233" s="12">
        <f t="shared" si="245"/>
        <v>0</v>
      </c>
      <c r="KH233" s="12">
        <f t="shared" si="246"/>
        <v>0</v>
      </c>
      <c r="KI233" s="12">
        <f t="shared" si="247"/>
        <v>0</v>
      </c>
      <c r="KJ233" s="12">
        <f t="shared" si="248"/>
        <v>0</v>
      </c>
      <c r="KK233" s="12">
        <f t="shared" si="249"/>
        <v>0</v>
      </c>
      <c r="KL233" s="12">
        <f t="shared" si="250"/>
        <v>0</v>
      </c>
      <c r="KM233" s="12">
        <f t="shared" si="251"/>
        <v>0</v>
      </c>
      <c r="KN233" s="12">
        <f t="shared" si="252"/>
        <v>0</v>
      </c>
      <c r="KO233" s="12">
        <f t="shared" si="253"/>
        <v>0</v>
      </c>
      <c r="KP233" s="12">
        <f t="shared" si="254"/>
        <v>0</v>
      </c>
      <c r="KQ233" s="12">
        <f t="shared" si="255"/>
        <v>0</v>
      </c>
      <c r="KR233" s="12">
        <f t="shared" si="256"/>
        <v>0</v>
      </c>
      <c r="KS233" s="12">
        <f t="shared" si="257"/>
        <v>0</v>
      </c>
      <c r="KT233" s="12">
        <f t="shared" si="258"/>
        <v>0</v>
      </c>
      <c r="KU233" s="12">
        <f t="shared" si="259"/>
        <v>0</v>
      </c>
      <c r="KV233" s="12">
        <f t="shared" si="260"/>
        <v>0</v>
      </c>
      <c r="KW233" s="12">
        <f t="shared" si="261"/>
        <v>0</v>
      </c>
      <c r="KX233" s="12">
        <f t="shared" si="262"/>
        <v>0</v>
      </c>
      <c r="KY233" s="12">
        <f t="shared" si="263"/>
        <v>0</v>
      </c>
      <c r="KZ233" s="12">
        <f t="shared" si="264"/>
        <v>0</v>
      </c>
      <c r="LA233" s="12">
        <f t="shared" si="265"/>
        <v>0</v>
      </c>
      <c r="LB233" s="12">
        <f t="shared" si="266"/>
        <v>0</v>
      </c>
      <c r="LC233" s="12">
        <f t="shared" si="267"/>
        <v>0</v>
      </c>
      <c r="LD233" s="12">
        <f t="shared" si="268"/>
        <v>0</v>
      </c>
      <c r="LE233" s="12">
        <f t="shared" si="269"/>
        <v>0</v>
      </c>
      <c r="LF233" s="12">
        <f t="shared" si="270"/>
        <v>0</v>
      </c>
      <c r="LG233" s="12">
        <f t="shared" si="271"/>
        <v>0</v>
      </c>
      <c r="LH233" s="12">
        <f t="shared" si="272"/>
        <v>0</v>
      </c>
      <c r="LI233" s="12">
        <f t="shared" si="273"/>
        <v>0</v>
      </c>
      <c r="LJ233" s="12">
        <f t="shared" si="274"/>
        <v>0</v>
      </c>
      <c r="LK233" s="12">
        <f t="shared" si="275"/>
        <v>0</v>
      </c>
      <c r="LL233" s="12">
        <f t="shared" si="276"/>
        <v>0</v>
      </c>
      <c r="LM233" s="12">
        <f t="shared" si="277"/>
        <v>0</v>
      </c>
      <c r="LN233" s="12">
        <f t="shared" si="278"/>
        <v>0</v>
      </c>
      <c r="LO233" s="12">
        <f t="shared" si="279"/>
        <v>0</v>
      </c>
      <c r="LP233" s="12">
        <f t="shared" si="280"/>
        <v>0</v>
      </c>
      <c r="LQ233" s="12">
        <f t="shared" si="281"/>
        <v>0</v>
      </c>
      <c r="LR233" s="12">
        <f t="shared" si="282"/>
        <v>0</v>
      </c>
      <c r="LS233" s="12">
        <f t="shared" si="283"/>
        <v>0</v>
      </c>
      <c r="LT233" s="13">
        <f t="shared" si="284"/>
        <v>0</v>
      </c>
      <c r="LU233" s="13">
        <f t="shared" si="285"/>
        <v>0</v>
      </c>
      <c r="LV233" s="13">
        <f t="shared" si="286"/>
        <v>0</v>
      </c>
      <c r="LW233" s="13">
        <f t="shared" si="287"/>
        <v>0</v>
      </c>
      <c r="LX233" s="13">
        <f t="shared" si="288"/>
        <v>0</v>
      </c>
      <c r="LY233" s="13">
        <f t="shared" si="289"/>
        <v>0</v>
      </c>
      <c r="LZ233" s="13">
        <f t="shared" si="290"/>
        <v>0</v>
      </c>
      <c r="MA233" s="13">
        <f t="shared" si="291"/>
        <v>0</v>
      </c>
      <c r="MB233" s="13">
        <f t="shared" si="292"/>
        <v>0</v>
      </c>
      <c r="MC233" s="13">
        <f t="shared" si="293"/>
        <v>0</v>
      </c>
      <c r="MD233" s="13">
        <f t="shared" si="294"/>
        <v>0</v>
      </c>
      <c r="ME233" s="13">
        <f t="shared" si="295"/>
        <v>0</v>
      </c>
      <c r="MF233" s="13">
        <f t="shared" si="296"/>
        <v>0</v>
      </c>
      <c r="MG233" s="13">
        <f t="shared" si="297"/>
        <v>0</v>
      </c>
      <c r="MH233" s="13">
        <f t="shared" si="298"/>
        <v>0</v>
      </c>
      <c r="MI233" s="13">
        <f t="shared" si="299"/>
        <v>0</v>
      </c>
      <c r="MJ233" s="13">
        <f t="shared" si="300"/>
        <v>0</v>
      </c>
      <c r="MK233" s="13">
        <f t="shared" si="301"/>
        <v>0</v>
      </c>
      <c r="ML233" s="14">
        <f t="shared" si="302"/>
        <v>0</v>
      </c>
      <c r="MM233" s="14">
        <f t="shared" si="303"/>
        <v>0</v>
      </c>
      <c r="MN233" s="14">
        <f t="shared" si="304"/>
        <v>0</v>
      </c>
      <c r="MO233" s="14">
        <f t="shared" si="305"/>
        <v>0</v>
      </c>
      <c r="MP233" s="14">
        <f t="shared" si="306"/>
        <v>0</v>
      </c>
      <c r="MQ233" s="14">
        <f t="shared" si="307"/>
        <v>0</v>
      </c>
      <c r="MR233" s="14">
        <f t="shared" si="308"/>
        <v>0</v>
      </c>
      <c r="MS233" s="14">
        <f t="shared" si="309"/>
        <v>0</v>
      </c>
      <c r="MT233" s="14">
        <f t="shared" si="310"/>
        <v>0</v>
      </c>
      <c r="MU233" s="14">
        <f t="shared" si="311"/>
        <v>0</v>
      </c>
      <c r="MV233" s="14">
        <f t="shared" si="312"/>
        <v>0</v>
      </c>
      <c r="MW233" s="14">
        <f t="shared" si="313"/>
        <v>0</v>
      </c>
      <c r="MX233" s="14">
        <f t="shared" si="314"/>
        <v>0</v>
      </c>
      <c r="MY233" s="14">
        <f t="shared" si="315"/>
        <v>0</v>
      </c>
      <c r="MZ233" s="14">
        <f t="shared" si="316"/>
        <v>0</v>
      </c>
      <c r="NA233" s="14">
        <f t="shared" si="317"/>
        <v>0</v>
      </c>
      <c r="NB233" s="14">
        <f t="shared" si="318"/>
        <v>0</v>
      </c>
    </row>
    <row r="234" ht="15.75" customHeight="1">
      <c r="A234" s="2">
        <v>524.0</v>
      </c>
      <c r="B234" s="2" t="s">
        <v>4231</v>
      </c>
      <c r="C234" s="2" t="s">
        <v>4232</v>
      </c>
      <c r="D234" s="2" t="s">
        <v>4233</v>
      </c>
      <c r="E234" s="2">
        <v>2023.0</v>
      </c>
      <c r="F234" s="2" t="s">
        <v>4234</v>
      </c>
      <c r="J234" s="2" t="s">
        <v>392</v>
      </c>
      <c r="K234" s="2" t="s">
        <v>2689</v>
      </c>
      <c r="N234" s="2" t="s">
        <v>4235</v>
      </c>
      <c r="O234" s="2" t="s">
        <v>4236</v>
      </c>
      <c r="P234" s="2" t="s">
        <v>4237</v>
      </c>
      <c r="Q234" s="2" t="s">
        <v>4238</v>
      </c>
      <c r="R234" s="2" t="s">
        <v>4239</v>
      </c>
      <c r="S234" s="2" t="s">
        <v>4240</v>
      </c>
      <c r="T234" s="2" t="s">
        <v>4241</v>
      </c>
      <c r="AB234" s="2" t="s">
        <v>668</v>
      </c>
      <c r="AG234" s="2" t="s">
        <v>4242</v>
      </c>
      <c r="AK234" s="2" t="s">
        <v>4243</v>
      </c>
      <c r="AL234" s="2" t="s">
        <v>2966</v>
      </c>
      <c r="AM234" s="2" t="s">
        <v>579</v>
      </c>
      <c r="AN234" s="2" t="s">
        <v>386</v>
      </c>
      <c r="AO234" s="2" t="s">
        <v>4244</v>
      </c>
      <c r="AP234" s="2" t="s">
        <v>386</v>
      </c>
      <c r="AQ234" s="2">
        <v>2040.0</v>
      </c>
      <c r="AR234" s="2" t="s">
        <v>4245</v>
      </c>
      <c r="AS234" s="2" t="b">
        <v>1</v>
      </c>
      <c r="AT234" s="3">
        <v>0.0</v>
      </c>
      <c r="AU234" s="4"/>
      <c r="AV234" s="4"/>
      <c r="AW234" s="5">
        <f t="shared" si="432"/>
        <v>0</v>
      </c>
      <c r="AX234" s="5">
        <f t="shared" si="4"/>
        <v>0</v>
      </c>
      <c r="AY234" s="5">
        <f t="shared" si="5"/>
        <v>0</v>
      </c>
      <c r="AZ234" s="5">
        <f t="shared" si="6"/>
        <v>0</v>
      </c>
      <c r="BA234" s="5">
        <f t="shared" si="7"/>
        <v>0</v>
      </c>
      <c r="BB234" s="5">
        <f t="shared" si="8"/>
        <v>0</v>
      </c>
      <c r="BC234" s="5">
        <f t="shared" si="9"/>
        <v>0</v>
      </c>
      <c r="BD234" s="5">
        <f t="shared" si="10"/>
        <v>0</v>
      </c>
      <c r="BE234" s="5">
        <f t="shared" si="11"/>
        <v>0</v>
      </c>
      <c r="BF234" s="5">
        <f t="shared" si="12"/>
        <v>0</v>
      </c>
      <c r="BG234" s="5">
        <f t="shared" si="13"/>
        <v>0</v>
      </c>
      <c r="BH234" s="5">
        <f t="shared" si="14"/>
        <v>0</v>
      </c>
      <c r="BI234" s="5">
        <f t="shared" si="15"/>
        <v>0</v>
      </c>
      <c r="BJ234" s="5">
        <f t="shared" si="16"/>
        <v>0</v>
      </c>
      <c r="BK234" s="5">
        <f t="shared" si="17"/>
        <v>0</v>
      </c>
      <c r="BL234" s="5">
        <f t="shared" si="18"/>
        <v>0</v>
      </c>
      <c r="BM234" s="5">
        <f t="shared" si="19"/>
        <v>0</v>
      </c>
      <c r="BN234" s="5">
        <f t="shared" si="20"/>
        <v>0</v>
      </c>
      <c r="BO234" s="5">
        <f t="shared" si="21"/>
        <v>0</v>
      </c>
      <c r="BP234" s="5">
        <f t="shared" si="22"/>
        <v>0</v>
      </c>
      <c r="BQ234" s="5">
        <f t="shared" si="23"/>
        <v>0</v>
      </c>
      <c r="BR234" s="5">
        <f t="shared" si="24"/>
        <v>0</v>
      </c>
      <c r="BS234" s="5">
        <f t="shared" si="25"/>
        <v>0</v>
      </c>
      <c r="BT234" s="5">
        <f t="shared" si="26"/>
        <v>0</v>
      </c>
      <c r="BU234" s="5">
        <f t="shared" si="27"/>
        <v>0</v>
      </c>
      <c r="BV234" s="5">
        <f t="shared" ref="BV234:BW234" si="829">IF(OR(ISNUMBER(SEARCH("grit",$D234)),ISNUMBER(SEARCH("grit",$T234)),ISNUMBER(SEARCH("grit",$R234)),ISNUMBER(SEARCH("grit",$S234)),
ISNUMBER(SEARCH("determination",$D234)),ISNUMBER(SEARCH("determination",$T234)),ISNUMBER(SEARCH("determination",$R234)),ISNUMBER(SEARCH("determination",$S234)),
ISNUMBER(SEARCH("tenacity",$D234)),ISNUMBER(SEARCH("tenacity",$T234)),ISNUMBER(SEARCH("tenacity",$R234)),ISNUMBER(SEARCH("tenacity",$S234)),
ISNUMBER(SEARCH("endurance",$D234)),ISNUMBER(SEARCH("endurance",$T234)),ISNUMBER(SEARCH("endurance",$R234)),ISNUMBER(SEARCH("endurance",$S234)),
ISNUMBER(SEARCH("fortitude",$D234)),ISNUMBER(SEARCH("fortitude",$T234)),ISNUMBER(SEARCH("fortitude",$R234)),ISNUMBER(SEARCH("fortitude",$S234)),
ISNUMBER(SEARCH("resolve",$D234)),ISNUMBER(SEARCH("resolve",$T234)),ISNUMBER(SEARCH("resolve",$R234)),ISNUMBER(SEARCH("resolve",$S234)),
ISNUMBER(SEARCH("stamina",$D234)),ISNUMBER(SEARCH("stamina",$T234)),ISNUMBER(SEARCH("stamina",$R234)),ISNUMBER(SEARCH("stamina",$S234)),
ISNUMBER(SEARCH("guts",$D234)),ISNUMBER(SEARCH("guts",$T234)),ISNUMBER(SEARCH("guts",$R234)),ISNUMBER(SEARCH("guts",$S234)),
ISNUMBER(SEARCH("spunk",$D234)),ISNUMBER(SEARCH("spunk",$T234)),ISNUMBER(SEARCH("spunk",$R234)),ISNUMBER(SEARCH("spunk",$S234))), 1, 0)</f>
        <v>0</v>
      </c>
      <c r="BW234" s="5">
        <f t="shared" si="829"/>
        <v>0</v>
      </c>
      <c r="BX234" s="5">
        <f t="shared" si="29"/>
        <v>0</v>
      </c>
      <c r="BY234" s="5">
        <f t="shared" si="30"/>
        <v>0</v>
      </c>
      <c r="BZ234" s="5">
        <f t="shared" si="31"/>
        <v>0</v>
      </c>
      <c r="CA234" s="5">
        <f t="shared" si="32"/>
        <v>0</v>
      </c>
      <c r="CB234" s="5">
        <f t="shared" si="33"/>
        <v>0</v>
      </c>
      <c r="CC234" s="5">
        <f t="shared" si="34"/>
        <v>0</v>
      </c>
      <c r="CD234" s="5">
        <f t="shared" si="35"/>
        <v>0</v>
      </c>
      <c r="CE234" s="5">
        <f t="shared" si="36"/>
        <v>0</v>
      </c>
      <c r="CF234" s="5">
        <f t="shared" si="37"/>
        <v>0</v>
      </c>
      <c r="CG234" s="5">
        <f t="shared" si="38"/>
        <v>0</v>
      </c>
      <c r="CH234" s="5">
        <f t="shared" si="39"/>
        <v>0</v>
      </c>
      <c r="CI234" s="5">
        <f t="shared" si="40"/>
        <v>0</v>
      </c>
      <c r="CJ234" s="5">
        <f t="shared" si="41"/>
        <v>0</v>
      </c>
      <c r="CK234" s="5">
        <f t="shared" si="42"/>
        <v>0</v>
      </c>
      <c r="CL234" s="5">
        <f t="shared" si="43"/>
        <v>0</v>
      </c>
      <c r="CM234" s="5">
        <f t="shared" si="44"/>
        <v>0</v>
      </c>
      <c r="CN234" s="5">
        <f t="shared" si="45"/>
        <v>0</v>
      </c>
      <c r="CO234" s="5">
        <f t="shared" si="46"/>
        <v>0</v>
      </c>
      <c r="CP234" s="6">
        <f t="shared" si="47"/>
        <v>0</v>
      </c>
      <c r="CQ234" s="6">
        <f t="shared" si="48"/>
        <v>0</v>
      </c>
      <c r="CR234" s="6">
        <f t="shared" si="49"/>
        <v>0</v>
      </c>
      <c r="CS234" s="6">
        <f t="shared" si="50"/>
        <v>0</v>
      </c>
      <c r="CT234" s="6">
        <f t="shared" si="584"/>
        <v>0</v>
      </c>
      <c r="CU234" s="6">
        <f t="shared" si="52"/>
        <v>0</v>
      </c>
      <c r="CV234" s="6">
        <f t="shared" si="53"/>
        <v>0</v>
      </c>
      <c r="CW234" s="6">
        <f t="shared" si="54"/>
        <v>0</v>
      </c>
      <c r="CX234" s="6">
        <f t="shared" si="55"/>
        <v>0</v>
      </c>
      <c r="CY234" s="6">
        <f t="shared" si="56"/>
        <v>0</v>
      </c>
      <c r="CZ234" s="6">
        <f t="shared" si="57"/>
        <v>0</v>
      </c>
      <c r="DA234" s="6">
        <f t="shared" si="58"/>
        <v>0</v>
      </c>
      <c r="DB234" s="6">
        <f t="shared" si="59"/>
        <v>0</v>
      </c>
      <c r="DC234" s="6">
        <f t="shared" si="60"/>
        <v>0</v>
      </c>
      <c r="DD234" s="6">
        <f t="shared" si="61"/>
        <v>0</v>
      </c>
      <c r="DE234" s="6">
        <f t="shared" si="62"/>
        <v>0</v>
      </c>
      <c r="DF234" s="6">
        <f t="shared" si="63"/>
        <v>0</v>
      </c>
      <c r="DG234" s="6">
        <f t="shared" si="64"/>
        <v>0</v>
      </c>
      <c r="DH234" s="6">
        <f t="shared" si="697"/>
        <v>0</v>
      </c>
      <c r="DI234" s="6">
        <f t="shared" si="66"/>
        <v>0</v>
      </c>
      <c r="DJ234" s="6">
        <f t="shared" si="653"/>
        <v>0</v>
      </c>
      <c r="DK234" s="7">
        <f t="shared" si="68"/>
        <v>0</v>
      </c>
      <c r="DL234" s="7">
        <f t="shared" si="498"/>
        <v>0</v>
      </c>
      <c r="DM234" s="7">
        <f t="shared" si="70"/>
        <v>0</v>
      </c>
      <c r="DN234" s="7">
        <f t="shared" si="71"/>
        <v>0</v>
      </c>
      <c r="DO234" s="7">
        <f t="shared" si="72"/>
        <v>0</v>
      </c>
      <c r="DP234" s="8">
        <f t="shared" si="73"/>
        <v>0</v>
      </c>
      <c r="DQ234" s="8">
        <f t="shared" si="74"/>
        <v>0</v>
      </c>
      <c r="DR234" s="7">
        <f t="shared" si="75"/>
        <v>0</v>
      </c>
      <c r="DS234" s="7">
        <f t="shared" si="76"/>
        <v>0</v>
      </c>
      <c r="DT234" s="7">
        <f t="shared" si="77"/>
        <v>0</v>
      </c>
      <c r="DU234" s="9">
        <f t="shared" si="78"/>
        <v>0</v>
      </c>
      <c r="DV234" s="9">
        <f t="shared" si="79"/>
        <v>0</v>
      </c>
      <c r="DW234" s="9">
        <f t="shared" si="80"/>
        <v>0</v>
      </c>
      <c r="DX234" s="9">
        <f t="shared" si="81"/>
        <v>0</v>
      </c>
      <c r="DY234" s="9">
        <f t="shared" si="82"/>
        <v>0</v>
      </c>
      <c r="DZ234" s="9">
        <f t="shared" si="83"/>
        <v>0</v>
      </c>
      <c r="EA234" s="9">
        <f t="shared" si="84"/>
        <v>0</v>
      </c>
      <c r="EB234" s="9">
        <f t="shared" si="85"/>
        <v>0</v>
      </c>
      <c r="EC234" s="9">
        <f t="shared" si="86"/>
        <v>0</v>
      </c>
      <c r="ED234" s="9">
        <f t="shared" si="87"/>
        <v>0</v>
      </c>
      <c r="EE234" s="9">
        <f t="shared" si="88"/>
        <v>0</v>
      </c>
      <c r="EF234" s="9">
        <f t="shared" si="89"/>
        <v>0</v>
      </c>
      <c r="EG234" s="9">
        <f t="shared" si="90"/>
        <v>0</v>
      </c>
      <c r="EH234" s="9">
        <f t="shared" si="91"/>
        <v>0</v>
      </c>
      <c r="EI234" s="9">
        <f t="shared" si="92"/>
        <v>0</v>
      </c>
      <c r="EJ234" s="10">
        <f t="shared" si="93"/>
        <v>0</v>
      </c>
      <c r="EK234" s="10">
        <f t="shared" si="94"/>
        <v>0</v>
      </c>
      <c r="EL234" s="10">
        <f t="shared" ref="EL234:EM234" si="830">IF(OR(ISNUMBER(SEARCH("ai software toolkit", $D234)), ISNUMBER(SEARCH("ai software toolkit", $T234)), ISNUMBER(SEARCH("ai software toolkit", $R234)), ISNUMBER(SEARCH("ai software toolkit", $S234))), 1, 0)</f>
        <v>0</v>
      </c>
      <c r="EM234" s="10">
        <f t="shared" si="830"/>
        <v>0</v>
      </c>
      <c r="EN234" s="10">
        <f t="shared" si="96"/>
        <v>0</v>
      </c>
      <c r="EO234" s="10">
        <f t="shared" si="97"/>
        <v>0</v>
      </c>
      <c r="EP234" s="10">
        <f t="shared" si="98"/>
        <v>0</v>
      </c>
      <c r="EQ234" s="10">
        <f t="shared" si="99"/>
        <v>0</v>
      </c>
      <c r="ER234" s="10">
        <f t="shared" si="100"/>
        <v>0</v>
      </c>
      <c r="ES234" s="10">
        <f t="shared" si="101"/>
        <v>0</v>
      </c>
      <c r="ET234" s="10">
        <f t="shared" si="102"/>
        <v>0</v>
      </c>
      <c r="EU234" s="10">
        <f t="shared" si="103"/>
        <v>0</v>
      </c>
      <c r="EV234" s="10">
        <f t="shared" si="104"/>
        <v>0</v>
      </c>
      <c r="EW234" s="10">
        <f t="shared" si="105"/>
        <v>0</v>
      </c>
      <c r="EX234" s="10">
        <f t="shared" si="106"/>
        <v>0</v>
      </c>
      <c r="EY234" s="10">
        <f t="shared" si="107"/>
        <v>0</v>
      </c>
      <c r="EZ234" s="10">
        <f t="shared" si="108"/>
        <v>0</v>
      </c>
      <c r="FA234" s="10">
        <f t="shared" si="109"/>
        <v>0</v>
      </c>
      <c r="FB234" s="10">
        <f t="shared" si="110"/>
        <v>0</v>
      </c>
      <c r="FC234" s="10">
        <f t="shared" si="111"/>
        <v>0</v>
      </c>
      <c r="FD234" s="10">
        <f t="shared" si="112"/>
        <v>0</v>
      </c>
      <c r="FE234" s="10">
        <f t="shared" si="782"/>
        <v>0</v>
      </c>
      <c r="FF234" s="10">
        <f t="shared" si="114"/>
        <v>0</v>
      </c>
      <c r="FG234" s="10">
        <f t="shared" si="115"/>
        <v>0</v>
      </c>
      <c r="FH234" s="10">
        <f t="shared" si="116"/>
        <v>0</v>
      </c>
      <c r="FI234" s="10">
        <f t="shared" si="117"/>
        <v>0</v>
      </c>
      <c r="FJ234" s="10">
        <f t="shared" si="118"/>
        <v>0</v>
      </c>
      <c r="FK234" s="10">
        <f t="shared" si="119"/>
        <v>0</v>
      </c>
      <c r="FL234" s="10">
        <f t="shared" si="120"/>
        <v>0</v>
      </c>
      <c r="FM234" s="10">
        <f t="shared" si="121"/>
        <v>0</v>
      </c>
      <c r="FN234" s="10">
        <f t="shared" si="122"/>
        <v>0</v>
      </c>
      <c r="FO234" s="10">
        <f t="shared" si="123"/>
        <v>0</v>
      </c>
      <c r="FP234" s="10">
        <f t="shared" si="124"/>
        <v>0</v>
      </c>
      <c r="FQ234" s="10">
        <f t="shared" si="125"/>
        <v>0</v>
      </c>
      <c r="FR234" s="11">
        <f t="shared" si="804"/>
        <v>0</v>
      </c>
      <c r="FS234" s="11">
        <f t="shared" si="127"/>
        <v>0</v>
      </c>
      <c r="FT234" s="11">
        <f t="shared" si="128"/>
        <v>0</v>
      </c>
      <c r="FU234" s="11">
        <f t="shared" si="129"/>
        <v>0</v>
      </c>
      <c r="FV234" s="11">
        <f t="shared" si="130"/>
        <v>0</v>
      </c>
      <c r="FW234" s="11">
        <f t="shared" si="131"/>
        <v>0</v>
      </c>
      <c r="FX234" s="11">
        <f t="shared" si="132"/>
        <v>0</v>
      </c>
      <c r="FY234" s="11">
        <f t="shared" si="133"/>
        <v>0</v>
      </c>
      <c r="FZ234" s="11">
        <f t="shared" si="134"/>
        <v>0</v>
      </c>
      <c r="GA234" s="11">
        <f t="shared" si="135"/>
        <v>0</v>
      </c>
      <c r="GB234" s="11">
        <f t="shared" si="136"/>
        <v>0</v>
      </c>
      <c r="GC234" s="11">
        <f t="shared" si="137"/>
        <v>0</v>
      </c>
      <c r="GD234" s="11">
        <f t="shared" si="138"/>
        <v>0</v>
      </c>
      <c r="GE234" s="11">
        <f t="shared" si="139"/>
        <v>0</v>
      </c>
      <c r="GF234" s="11">
        <f t="shared" si="140"/>
        <v>0</v>
      </c>
      <c r="GG234" s="11">
        <f t="shared" si="141"/>
        <v>0</v>
      </c>
      <c r="GH234" s="11">
        <f t="shared" si="142"/>
        <v>0</v>
      </c>
      <c r="GI234" s="11">
        <f t="shared" si="143"/>
        <v>0</v>
      </c>
      <c r="GJ234" s="11">
        <f t="shared" si="144"/>
        <v>0</v>
      </c>
      <c r="GK234" s="11">
        <f t="shared" si="145"/>
        <v>0</v>
      </c>
      <c r="GL234" s="11">
        <f t="shared" si="146"/>
        <v>0</v>
      </c>
      <c r="GM234" s="11">
        <f t="shared" si="147"/>
        <v>0</v>
      </c>
      <c r="GN234" s="11">
        <f t="shared" si="148"/>
        <v>0</v>
      </c>
      <c r="GO234" s="11">
        <f t="shared" si="149"/>
        <v>0</v>
      </c>
      <c r="GP234" s="11">
        <f t="shared" si="150"/>
        <v>0</v>
      </c>
      <c r="GQ234" s="11">
        <f t="shared" si="151"/>
        <v>0</v>
      </c>
      <c r="GR234" s="11">
        <f t="shared" si="152"/>
        <v>0</v>
      </c>
      <c r="GS234" s="11">
        <f t="shared" si="153"/>
        <v>0</v>
      </c>
      <c r="GT234" s="11">
        <f t="shared" si="154"/>
        <v>0</v>
      </c>
      <c r="GU234" s="12">
        <f t="shared" si="155"/>
        <v>0</v>
      </c>
      <c r="GV234" s="12">
        <f t="shared" si="156"/>
        <v>0</v>
      </c>
      <c r="GW234" s="12">
        <f t="shared" si="157"/>
        <v>0</v>
      </c>
      <c r="GX234" s="12">
        <f t="shared" si="158"/>
        <v>0</v>
      </c>
      <c r="GY234" s="12">
        <f t="shared" si="159"/>
        <v>0</v>
      </c>
      <c r="GZ234" s="12">
        <f t="shared" si="160"/>
        <v>0</v>
      </c>
      <c r="HA234" s="12">
        <f t="shared" si="161"/>
        <v>0</v>
      </c>
      <c r="HB234" s="12">
        <f t="shared" si="162"/>
        <v>0</v>
      </c>
      <c r="HC234" s="12">
        <f t="shared" si="163"/>
        <v>0</v>
      </c>
      <c r="HD234" s="12">
        <f t="shared" si="164"/>
        <v>0</v>
      </c>
      <c r="HE234" s="12">
        <f t="shared" si="165"/>
        <v>0</v>
      </c>
      <c r="HF234" s="12">
        <f t="shared" si="166"/>
        <v>0</v>
      </c>
      <c r="HG234" s="12">
        <f t="shared" si="167"/>
        <v>0</v>
      </c>
      <c r="HH234" s="12">
        <f t="shared" si="168"/>
        <v>0</v>
      </c>
      <c r="HI234" s="12">
        <f t="shared" si="169"/>
        <v>0</v>
      </c>
      <c r="HJ234" s="12">
        <f t="shared" si="170"/>
        <v>0</v>
      </c>
      <c r="HK234" s="12">
        <f t="shared" si="171"/>
        <v>0</v>
      </c>
      <c r="HL234" s="12">
        <f t="shared" si="172"/>
        <v>0</v>
      </c>
      <c r="HM234" s="12">
        <f t="shared" si="173"/>
        <v>0</v>
      </c>
      <c r="HN234" s="12">
        <f t="shared" si="174"/>
        <v>0</v>
      </c>
      <c r="HO234" s="12">
        <f t="shared" si="175"/>
        <v>0</v>
      </c>
      <c r="HP234" s="12">
        <f t="shared" si="176"/>
        <v>0</v>
      </c>
      <c r="HQ234" s="12">
        <f t="shared" si="177"/>
        <v>0</v>
      </c>
      <c r="HR234" s="12">
        <f t="shared" si="178"/>
        <v>0</v>
      </c>
      <c r="HS234" s="12">
        <f t="shared" si="179"/>
        <v>0</v>
      </c>
      <c r="HT234" s="12">
        <f t="shared" si="180"/>
        <v>0</v>
      </c>
      <c r="HU234" s="12">
        <f t="shared" si="181"/>
        <v>0</v>
      </c>
      <c r="HV234" s="12">
        <f t="shared" si="182"/>
        <v>0</v>
      </c>
      <c r="HW234" s="12">
        <f t="shared" si="183"/>
        <v>0</v>
      </c>
      <c r="HX234" s="12">
        <f t="shared" si="184"/>
        <v>0</v>
      </c>
      <c r="HY234" s="12">
        <f t="shared" si="185"/>
        <v>0</v>
      </c>
      <c r="HZ234" s="12">
        <f t="shared" si="186"/>
        <v>0</v>
      </c>
      <c r="IA234" s="12">
        <f t="shared" si="187"/>
        <v>0</v>
      </c>
      <c r="IB234" s="12">
        <f t="shared" si="188"/>
        <v>0</v>
      </c>
      <c r="IC234" s="12">
        <f t="shared" si="189"/>
        <v>0</v>
      </c>
      <c r="ID234" s="12">
        <f t="shared" si="190"/>
        <v>0</v>
      </c>
      <c r="IE234" s="12">
        <f t="shared" si="191"/>
        <v>0</v>
      </c>
      <c r="IF234" s="12">
        <f t="shared" si="192"/>
        <v>0</v>
      </c>
      <c r="IG234" s="12">
        <f t="shared" si="193"/>
        <v>0</v>
      </c>
      <c r="IH234" s="12">
        <f t="shared" si="194"/>
        <v>0</v>
      </c>
      <c r="II234" s="12">
        <f t="shared" si="195"/>
        <v>0</v>
      </c>
      <c r="IJ234" s="12">
        <f t="shared" si="196"/>
        <v>0</v>
      </c>
      <c r="IK234" s="12">
        <f t="shared" si="197"/>
        <v>0</v>
      </c>
      <c r="IL234" s="12">
        <f t="shared" si="198"/>
        <v>0</v>
      </c>
      <c r="IM234" s="12">
        <f t="shared" si="199"/>
        <v>0</v>
      </c>
      <c r="IN234" s="12">
        <f t="shared" si="200"/>
        <v>0</v>
      </c>
      <c r="IO234" s="12">
        <f t="shared" si="201"/>
        <v>0</v>
      </c>
      <c r="IP234" s="12">
        <f t="shared" si="202"/>
        <v>0</v>
      </c>
      <c r="IQ234" s="12">
        <f t="shared" si="203"/>
        <v>0</v>
      </c>
      <c r="IR234" s="12">
        <f t="shared" si="204"/>
        <v>0</v>
      </c>
      <c r="IS234" s="12">
        <f t="shared" si="205"/>
        <v>0</v>
      </c>
      <c r="IT234" s="12">
        <f t="shared" si="206"/>
        <v>0</v>
      </c>
      <c r="IU234" s="12">
        <f t="shared" si="207"/>
        <v>0</v>
      </c>
      <c r="IV234" s="12">
        <f t="shared" si="208"/>
        <v>0</v>
      </c>
      <c r="IW234" s="12">
        <f t="shared" si="209"/>
        <v>0</v>
      </c>
      <c r="IX234" s="12">
        <f t="shared" si="210"/>
        <v>0</v>
      </c>
      <c r="IY234" s="12">
        <f t="shared" si="211"/>
        <v>0</v>
      </c>
      <c r="IZ234" s="12">
        <f t="shared" si="212"/>
        <v>1</v>
      </c>
      <c r="JA234" s="13">
        <f t="shared" si="213"/>
        <v>0</v>
      </c>
      <c r="JB234" s="13">
        <f t="shared" si="214"/>
        <v>0</v>
      </c>
      <c r="JC234" s="13">
        <f t="shared" si="215"/>
        <v>0</v>
      </c>
      <c r="JD234" s="13">
        <f t="shared" si="216"/>
        <v>0</v>
      </c>
      <c r="JE234" s="13">
        <f t="shared" si="217"/>
        <v>0</v>
      </c>
      <c r="JF234" s="13">
        <f t="shared" si="218"/>
        <v>0</v>
      </c>
      <c r="JG234" s="13">
        <f t="shared" si="219"/>
        <v>0</v>
      </c>
      <c r="JH234" s="13">
        <f t="shared" si="220"/>
        <v>0</v>
      </c>
      <c r="JI234" s="13">
        <f t="shared" si="221"/>
        <v>0</v>
      </c>
      <c r="JJ234" s="13">
        <f t="shared" si="222"/>
        <v>0</v>
      </c>
      <c r="JK234" s="13">
        <f t="shared" si="223"/>
        <v>0</v>
      </c>
      <c r="JL234" s="13">
        <f t="shared" si="224"/>
        <v>0</v>
      </c>
      <c r="JM234" s="13">
        <f t="shared" si="225"/>
        <v>0</v>
      </c>
      <c r="JN234" s="13">
        <f t="shared" si="226"/>
        <v>0</v>
      </c>
      <c r="JO234" s="13">
        <f t="shared" si="227"/>
        <v>0</v>
      </c>
      <c r="JP234" s="13">
        <f t="shared" si="228"/>
        <v>0</v>
      </c>
      <c r="JQ234" s="13">
        <f t="shared" si="229"/>
        <v>0</v>
      </c>
      <c r="JR234" s="13">
        <f t="shared" si="230"/>
        <v>0</v>
      </c>
      <c r="JS234" s="13">
        <f t="shared" si="231"/>
        <v>0</v>
      </c>
      <c r="JT234" s="13">
        <f t="shared" si="232"/>
        <v>0</v>
      </c>
      <c r="JU234" s="13">
        <f t="shared" si="233"/>
        <v>0</v>
      </c>
      <c r="JV234" s="12">
        <f t="shared" si="234"/>
        <v>0</v>
      </c>
      <c r="JW234" s="12">
        <f t="shared" si="235"/>
        <v>0</v>
      </c>
      <c r="JX234" s="12">
        <f t="shared" si="236"/>
        <v>0</v>
      </c>
      <c r="JY234" s="12">
        <f t="shared" si="237"/>
        <v>0</v>
      </c>
      <c r="JZ234" s="12">
        <f t="shared" si="238"/>
        <v>0</v>
      </c>
      <c r="KA234" s="12">
        <f t="shared" si="239"/>
        <v>0</v>
      </c>
      <c r="KB234" s="12">
        <f t="shared" si="240"/>
        <v>0</v>
      </c>
      <c r="KC234" s="12">
        <f t="shared" si="241"/>
        <v>0</v>
      </c>
      <c r="KD234" s="12">
        <f t="shared" si="797"/>
        <v>0</v>
      </c>
      <c r="KE234" s="12">
        <f t="shared" si="243"/>
        <v>0</v>
      </c>
      <c r="KF234" s="12">
        <f t="shared" si="244"/>
        <v>0</v>
      </c>
      <c r="KG234" s="12">
        <f t="shared" si="245"/>
        <v>0</v>
      </c>
      <c r="KH234" s="12">
        <f t="shared" si="246"/>
        <v>0</v>
      </c>
      <c r="KI234" s="12">
        <f t="shared" si="247"/>
        <v>0</v>
      </c>
      <c r="KJ234" s="12">
        <f t="shared" si="248"/>
        <v>0</v>
      </c>
      <c r="KK234" s="12">
        <f t="shared" si="249"/>
        <v>0</v>
      </c>
      <c r="KL234" s="12">
        <f t="shared" si="250"/>
        <v>0</v>
      </c>
      <c r="KM234" s="12">
        <f t="shared" si="251"/>
        <v>0</v>
      </c>
      <c r="KN234" s="12">
        <f t="shared" si="252"/>
        <v>0</v>
      </c>
      <c r="KO234" s="12">
        <f t="shared" si="253"/>
        <v>0</v>
      </c>
      <c r="KP234" s="12">
        <f t="shared" si="254"/>
        <v>0</v>
      </c>
      <c r="KQ234" s="12">
        <f t="shared" si="255"/>
        <v>0</v>
      </c>
      <c r="KR234" s="12">
        <f t="shared" si="256"/>
        <v>0</v>
      </c>
      <c r="KS234" s="12">
        <f t="shared" si="257"/>
        <v>0</v>
      </c>
      <c r="KT234" s="12">
        <f t="shared" si="258"/>
        <v>0</v>
      </c>
      <c r="KU234" s="12">
        <f t="shared" si="259"/>
        <v>0</v>
      </c>
      <c r="KV234" s="12">
        <f t="shared" si="260"/>
        <v>0</v>
      </c>
      <c r="KW234" s="12">
        <f t="shared" si="261"/>
        <v>0</v>
      </c>
      <c r="KX234" s="12">
        <f t="shared" si="262"/>
        <v>0</v>
      </c>
      <c r="KY234" s="12">
        <f t="shared" si="263"/>
        <v>0</v>
      </c>
      <c r="KZ234" s="12">
        <f t="shared" si="264"/>
        <v>0</v>
      </c>
      <c r="LA234" s="12">
        <f t="shared" si="265"/>
        <v>0</v>
      </c>
      <c r="LB234" s="12">
        <f t="shared" si="266"/>
        <v>0</v>
      </c>
      <c r="LC234" s="12">
        <f t="shared" si="267"/>
        <v>0</v>
      </c>
      <c r="LD234" s="12">
        <f t="shared" si="268"/>
        <v>0</v>
      </c>
      <c r="LE234" s="12">
        <f t="shared" si="269"/>
        <v>0</v>
      </c>
      <c r="LF234" s="12">
        <f t="shared" si="270"/>
        <v>0</v>
      </c>
      <c r="LG234" s="12">
        <f t="shared" si="271"/>
        <v>0</v>
      </c>
      <c r="LH234" s="12">
        <f t="shared" si="272"/>
        <v>0</v>
      </c>
      <c r="LI234" s="12">
        <f t="shared" si="273"/>
        <v>0</v>
      </c>
      <c r="LJ234" s="12">
        <f t="shared" si="274"/>
        <v>0</v>
      </c>
      <c r="LK234" s="12">
        <f t="shared" si="275"/>
        <v>0</v>
      </c>
      <c r="LL234" s="12">
        <f t="shared" si="276"/>
        <v>0</v>
      </c>
      <c r="LM234" s="12">
        <f t="shared" si="277"/>
        <v>0</v>
      </c>
      <c r="LN234" s="12">
        <f t="shared" si="278"/>
        <v>0</v>
      </c>
      <c r="LO234" s="12">
        <f t="shared" si="279"/>
        <v>0</v>
      </c>
      <c r="LP234" s="12">
        <f t="shared" si="280"/>
        <v>0</v>
      </c>
      <c r="LQ234" s="12">
        <f t="shared" si="281"/>
        <v>0</v>
      </c>
      <c r="LR234" s="12">
        <f t="shared" si="282"/>
        <v>0</v>
      </c>
      <c r="LS234" s="12">
        <f t="shared" si="283"/>
        <v>0</v>
      </c>
      <c r="LT234" s="13">
        <f t="shared" si="284"/>
        <v>0</v>
      </c>
      <c r="LU234" s="13">
        <f t="shared" si="285"/>
        <v>0</v>
      </c>
      <c r="LV234" s="13">
        <f t="shared" si="286"/>
        <v>0</v>
      </c>
      <c r="LW234" s="13">
        <f t="shared" si="287"/>
        <v>0</v>
      </c>
      <c r="LX234" s="13">
        <f t="shared" si="288"/>
        <v>0</v>
      </c>
      <c r="LY234" s="13">
        <f t="shared" si="289"/>
        <v>0</v>
      </c>
      <c r="LZ234" s="13">
        <f t="shared" si="290"/>
        <v>0</v>
      </c>
      <c r="MA234" s="13">
        <f t="shared" si="291"/>
        <v>0</v>
      </c>
      <c r="MB234" s="13">
        <f t="shared" si="292"/>
        <v>0</v>
      </c>
      <c r="MC234" s="13">
        <f t="shared" si="293"/>
        <v>0</v>
      </c>
      <c r="MD234" s="13">
        <f t="shared" si="294"/>
        <v>0</v>
      </c>
      <c r="ME234" s="13">
        <f t="shared" si="295"/>
        <v>0</v>
      </c>
      <c r="MF234" s="13">
        <f t="shared" si="296"/>
        <v>0</v>
      </c>
      <c r="MG234" s="13">
        <f t="shared" si="297"/>
        <v>0</v>
      </c>
      <c r="MH234" s="13">
        <f t="shared" si="298"/>
        <v>0</v>
      </c>
      <c r="MI234" s="13">
        <f t="shared" si="299"/>
        <v>0</v>
      </c>
      <c r="MJ234" s="13">
        <f t="shared" si="300"/>
        <v>0</v>
      </c>
      <c r="MK234" s="13">
        <f t="shared" si="301"/>
        <v>0</v>
      </c>
      <c r="ML234" s="14">
        <f t="shared" si="302"/>
        <v>1</v>
      </c>
      <c r="MM234" s="14">
        <f t="shared" si="303"/>
        <v>1</v>
      </c>
      <c r="MN234" s="14">
        <f t="shared" si="304"/>
        <v>1</v>
      </c>
      <c r="MO234" s="14">
        <f t="shared" si="305"/>
        <v>1</v>
      </c>
      <c r="MP234" s="14">
        <f t="shared" si="306"/>
        <v>1</v>
      </c>
      <c r="MQ234" s="14">
        <f t="shared" si="307"/>
        <v>0</v>
      </c>
      <c r="MR234" s="14">
        <f t="shared" si="308"/>
        <v>0</v>
      </c>
      <c r="MS234" s="14">
        <f t="shared" si="309"/>
        <v>0</v>
      </c>
      <c r="MT234" s="14">
        <f t="shared" si="310"/>
        <v>0</v>
      </c>
      <c r="MU234" s="14">
        <f t="shared" si="311"/>
        <v>0</v>
      </c>
      <c r="MV234" s="14">
        <f t="shared" si="312"/>
        <v>0</v>
      </c>
      <c r="MW234" s="14">
        <f t="shared" si="313"/>
        <v>0</v>
      </c>
      <c r="MX234" s="14">
        <f t="shared" si="314"/>
        <v>0</v>
      </c>
      <c r="MY234" s="14">
        <f t="shared" si="315"/>
        <v>0</v>
      </c>
      <c r="MZ234" s="14">
        <f t="shared" si="316"/>
        <v>0</v>
      </c>
      <c r="NA234" s="14">
        <f t="shared" si="317"/>
        <v>0</v>
      </c>
      <c r="NB234" s="14">
        <f t="shared" si="318"/>
        <v>0</v>
      </c>
    </row>
    <row r="235" ht="15.75" customHeight="1">
      <c r="A235" s="2">
        <v>643.0</v>
      </c>
      <c r="B235" s="2" t="s">
        <v>4246</v>
      </c>
      <c r="C235" s="2" t="s">
        <v>4247</v>
      </c>
      <c r="D235" s="2" t="s">
        <v>4248</v>
      </c>
      <c r="E235" s="2">
        <v>2022.0</v>
      </c>
      <c r="F235" s="2" t="s">
        <v>4249</v>
      </c>
      <c r="G235" s="2">
        <v>12.0</v>
      </c>
      <c r="H235" s="2" t="s">
        <v>471</v>
      </c>
      <c r="I235" s="2" t="s">
        <v>4250</v>
      </c>
      <c r="N235" s="2" t="s">
        <v>4251</v>
      </c>
      <c r="O235" s="2" t="s">
        <v>4252</v>
      </c>
      <c r="P235" s="2" t="s">
        <v>4253</v>
      </c>
      <c r="Q235" s="2" t="s">
        <v>4254</v>
      </c>
      <c r="R235" s="2" t="s">
        <v>4255</v>
      </c>
      <c r="S235" s="2" t="s">
        <v>4256</v>
      </c>
      <c r="T235" s="2" t="s">
        <v>4257</v>
      </c>
      <c r="Y235" s="2" t="s">
        <v>4258</v>
      </c>
      <c r="AB235" s="2" t="s">
        <v>2496</v>
      </c>
      <c r="AG235" s="2" t="s">
        <v>4259</v>
      </c>
      <c r="AJ235" s="2">
        <v>3.5728903E7</v>
      </c>
      <c r="AK235" s="2" t="s">
        <v>4249</v>
      </c>
      <c r="AL235" s="2" t="s">
        <v>384</v>
      </c>
      <c r="AM235" s="2" t="s">
        <v>484</v>
      </c>
      <c r="AN235" s="2" t="s">
        <v>386</v>
      </c>
      <c r="AO235" s="2" t="s">
        <v>4260</v>
      </c>
      <c r="AP235" s="2" t="s">
        <v>386</v>
      </c>
      <c r="AQ235" s="2">
        <v>2539.0</v>
      </c>
      <c r="AR235" s="2" t="s">
        <v>4261</v>
      </c>
      <c r="AS235" s="2" t="b">
        <v>1</v>
      </c>
      <c r="AT235" s="3">
        <v>0.0</v>
      </c>
      <c r="AU235" s="4"/>
      <c r="AV235" s="4"/>
      <c r="AW235" s="5">
        <f t="shared" si="432"/>
        <v>0</v>
      </c>
      <c r="AX235" s="5">
        <f t="shared" si="4"/>
        <v>0</v>
      </c>
      <c r="AY235" s="5">
        <f t="shared" si="5"/>
        <v>0</v>
      </c>
      <c r="AZ235" s="5">
        <f t="shared" si="6"/>
        <v>0</v>
      </c>
      <c r="BA235" s="5">
        <f t="shared" si="7"/>
        <v>0</v>
      </c>
      <c r="BB235" s="5">
        <f t="shared" si="8"/>
        <v>0</v>
      </c>
      <c r="BC235" s="5">
        <f t="shared" si="9"/>
        <v>0</v>
      </c>
      <c r="BD235" s="5">
        <f t="shared" si="10"/>
        <v>0</v>
      </c>
      <c r="BE235" s="5">
        <f t="shared" si="11"/>
        <v>0</v>
      </c>
      <c r="BF235" s="5">
        <f t="shared" si="12"/>
        <v>0</v>
      </c>
      <c r="BG235" s="5">
        <f t="shared" si="13"/>
        <v>0</v>
      </c>
      <c r="BH235" s="5">
        <f t="shared" si="14"/>
        <v>0</v>
      </c>
      <c r="BI235" s="5">
        <f t="shared" si="15"/>
        <v>0</v>
      </c>
      <c r="BJ235" s="5">
        <f t="shared" si="16"/>
        <v>0</v>
      </c>
      <c r="BK235" s="5">
        <f t="shared" si="17"/>
        <v>0</v>
      </c>
      <c r="BL235" s="5">
        <f t="shared" si="18"/>
        <v>0</v>
      </c>
      <c r="BM235" s="5">
        <f t="shared" si="19"/>
        <v>0</v>
      </c>
      <c r="BN235" s="5">
        <f t="shared" si="20"/>
        <v>0</v>
      </c>
      <c r="BO235" s="5">
        <f t="shared" si="21"/>
        <v>0</v>
      </c>
      <c r="BP235" s="5">
        <f t="shared" si="22"/>
        <v>0</v>
      </c>
      <c r="BQ235" s="5">
        <f t="shared" si="23"/>
        <v>0</v>
      </c>
      <c r="BR235" s="5">
        <f t="shared" si="24"/>
        <v>0</v>
      </c>
      <c r="BS235" s="5">
        <f t="shared" si="25"/>
        <v>0</v>
      </c>
      <c r="BT235" s="5">
        <f t="shared" si="26"/>
        <v>0</v>
      </c>
      <c r="BU235" s="5">
        <f t="shared" si="27"/>
        <v>0</v>
      </c>
      <c r="BV235" s="5">
        <f t="shared" ref="BV235:BW235" si="831">IF(OR(ISNUMBER(SEARCH("grit",$D235)),ISNUMBER(SEARCH("grit",$T235)),ISNUMBER(SEARCH("grit",$R235)),ISNUMBER(SEARCH("grit",$S235)),
ISNUMBER(SEARCH("determination",$D235)),ISNUMBER(SEARCH("determination",$T235)),ISNUMBER(SEARCH("determination",$R235)),ISNUMBER(SEARCH("determination",$S235)),
ISNUMBER(SEARCH("tenacity",$D235)),ISNUMBER(SEARCH("tenacity",$T235)),ISNUMBER(SEARCH("tenacity",$R235)),ISNUMBER(SEARCH("tenacity",$S235)),
ISNUMBER(SEARCH("endurance",$D235)),ISNUMBER(SEARCH("endurance",$T235)),ISNUMBER(SEARCH("endurance",$R235)),ISNUMBER(SEARCH("endurance",$S235)),
ISNUMBER(SEARCH("fortitude",$D235)),ISNUMBER(SEARCH("fortitude",$T235)),ISNUMBER(SEARCH("fortitude",$R235)),ISNUMBER(SEARCH("fortitude",$S235)),
ISNUMBER(SEARCH("resolve",$D235)),ISNUMBER(SEARCH("resolve",$T235)),ISNUMBER(SEARCH("resolve",$R235)),ISNUMBER(SEARCH("resolve",$S235)),
ISNUMBER(SEARCH("stamina",$D235)),ISNUMBER(SEARCH("stamina",$T235)),ISNUMBER(SEARCH("stamina",$R235)),ISNUMBER(SEARCH("stamina",$S235)),
ISNUMBER(SEARCH("guts",$D235)),ISNUMBER(SEARCH("guts",$T235)),ISNUMBER(SEARCH("guts",$R235)),ISNUMBER(SEARCH("guts",$S235)),
ISNUMBER(SEARCH("spunk",$D235)),ISNUMBER(SEARCH("spunk",$T235)),ISNUMBER(SEARCH("spunk",$R235)),ISNUMBER(SEARCH("spunk",$S235))), 1, 0)</f>
        <v>0</v>
      </c>
      <c r="BW235" s="5">
        <f t="shared" si="831"/>
        <v>0</v>
      </c>
      <c r="BX235" s="5">
        <f t="shared" si="29"/>
        <v>0</v>
      </c>
      <c r="BY235" s="5">
        <f t="shared" si="30"/>
        <v>0</v>
      </c>
      <c r="BZ235" s="5">
        <f t="shared" si="31"/>
        <v>0</v>
      </c>
      <c r="CA235" s="5">
        <f t="shared" si="32"/>
        <v>0</v>
      </c>
      <c r="CB235" s="5">
        <f t="shared" si="33"/>
        <v>0</v>
      </c>
      <c r="CC235" s="5">
        <f t="shared" si="34"/>
        <v>0</v>
      </c>
      <c r="CD235" s="5">
        <f t="shared" si="35"/>
        <v>0</v>
      </c>
      <c r="CE235" s="5">
        <f t="shared" si="36"/>
        <v>0</v>
      </c>
      <c r="CF235" s="5">
        <f t="shared" si="37"/>
        <v>0</v>
      </c>
      <c r="CG235" s="5">
        <f t="shared" si="38"/>
        <v>0</v>
      </c>
      <c r="CH235" s="5">
        <f t="shared" si="39"/>
        <v>0</v>
      </c>
      <c r="CI235" s="5">
        <f t="shared" si="40"/>
        <v>0</v>
      </c>
      <c r="CJ235" s="5">
        <f t="shared" si="41"/>
        <v>0</v>
      </c>
      <c r="CK235" s="5">
        <f t="shared" si="42"/>
        <v>0</v>
      </c>
      <c r="CL235" s="5">
        <f t="shared" si="43"/>
        <v>0</v>
      </c>
      <c r="CM235" s="5">
        <f t="shared" si="44"/>
        <v>0</v>
      </c>
      <c r="CN235" s="5">
        <f t="shared" si="45"/>
        <v>0</v>
      </c>
      <c r="CO235" s="5">
        <f t="shared" si="46"/>
        <v>0</v>
      </c>
      <c r="CP235" s="6">
        <f t="shared" si="47"/>
        <v>0</v>
      </c>
      <c r="CQ235" s="6">
        <f t="shared" si="48"/>
        <v>0</v>
      </c>
      <c r="CR235" s="6">
        <f t="shared" si="49"/>
        <v>0</v>
      </c>
      <c r="CS235" s="6">
        <f t="shared" si="50"/>
        <v>0</v>
      </c>
      <c r="CT235" s="6">
        <f t="shared" si="584"/>
        <v>0</v>
      </c>
      <c r="CU235" s="6">
        <f t="shared" si="52"/>
        <v>0</v>
      </c>
      <c r="CV235" s="6">
        <f t="shared" si="53"/>
        <v>0</v>
      </c>
      <c r="CW235" s="6">
        <f t="shared" si="54"/>
        <v>0</v>
      </c>
      <c r="CX235" s="6">
        <f t="shared" si="55"/>
        <v>0</v>
      </c>
      <c r="CY235" s="6">
        <f t="shared" si="56"/>
        <v>0</v>
      </c>
      <c r="CZ235" s="6">
        <f t="shared" si="57"/>
        <v>0</v>
      </c>
      <c r="DA235" s="6">
        <f t="shared" si="58"/>
        <v>0</v>
      </c>
      <c r="DB235" s="6">
        <f t="shared" si="59"/>
        <v>0</v>
      </c>
      <c r="DC235" s="6">
        <f t="shared" si="60"/>
        <v>1</v>
      </c>
      <c r="DD235" s="6">
        <f t="shared" si="61"/>
        <v>0</v>
      </c>
      <c r="DE235" s="6">
        <f t="shared" si="62"/>
        <v>0</v>
      </c>
      <c r="DF235" s="6">
        <f t="shared" si="63"/>
        <v>0</v>
      </c>
      <c r="DG235" s="6">
        <f t="shared" si="64"/>
        <v>0</v>
      </c>
      <c r="DH235" s="6">
        <f t="shared" si="697"/>
        <v>0</v>
      </c>
      <c r="DI235" s="6">
        <f t="shared" si="66"/>
        <v>1</v>
      </c>
      <c r="DJ235" s="6">
        <f t="shared" si="653"/>
        <v>0</v>
      </c>
      <c r="DK235" s="7">
        <f t="shared" si="68"/>
        <v>0</v>
      </c>
      <c r="DL235" s="7">
        <f t="shared" si="498"/>
        <v>0</v>
      </c>
      <c r="DM235" s="7">
        <f t="shared" si="70"/>
        <v>0</v>
      </c>
      <c r="DN235" s="7">
        <f t="shared" si="71"/>
        <v>0</v>
      </c>
      <c r="DO235" s="7">
        <f t="shared" si="72"/>
        <v>0</v>
      </c>
      <c r="DP235" s="8">
        <f t="shared" si="73"/>
        <v>0</v>
      </c>
      <c r="DQ235" s="8">
        <f t="shared" si="74"/>
        <v>1</v>
      </c>
      <c r="DR235" s="7">
        <f t="shared" si="75"/>
        <v>0</v>
      </c>
      <c r="DS235" s="7">
        <f t="shared" si="76"/>
        <v>0</v>
      </c>
      <c r="DT235" s="7">
        <f t="shared" si="77"/>
        <v>0</v>
      </c>
      <c r="DU235" s="9">
        <f t="shared" si="78"/>
        <v>0</v>
      </c>
      <c r="DV235" s="9">
        <f t="shared" si="79"/>
        <v>0</v>
      </c>
      <c r="DW235" s="9">
        <f t="shared" si="80"/>
        <v>0</v>
      </c>
      <c r="DX235" s="9">
        <f t="shared" si="81"/>
        <v>0</v>
      </c>
      <c r="DY235" s="9">
        <f t="shared" si="82"/>
        <v>0</v>
      </c>
      <c r="DZ235" s="9">
        <f t="shared" si="83"/>
        <v>0</v>
      </c>
      <c r="EA235" s="9">
        <f t="shared" si="84"/>
        <v>0</v>
      </c>
      <c r="EB235" s="9">
        <f t="shared" si="85"/>
        <v>0</v>
      </c>
      <c r="EC235" s="9">
        <f t="shared" si="86"/>
        <v>0</v>
      </c>
      <c r="ED235" s="9">
        <f t="shared" si="87"/>
        <v>0</v>
      </c>
      <c r="EE235" s="9">
        <f t="shared" si="88"/>
        <v>0</v>
      </c>
      <c r="EF235" s="9">
        <f t="shared" si="89"/>
        <v>0</v>
      </c>
      <c r="EG235" s="9">
        <f t="shared" si="90"/>
        <v>0</v>
      </c>
      <c r="EH235" s="9">
        <f t="shared" si="91"/>
        <v>0</v>
      </c>
      <c r="EI235" s="9">
        <f t="shared" si="92"/>
        <v>0</v>
      </c>
      <c r="EJ235" s="10">
        <f t="shared" si="93"/>
        <v>0</v>
      </c>
      <c r="EK235" s="10">
        <f t="shared" si="94"/>
        <v>0</v>
      </c>
      <c r="EL235" s="10">
        <f t="shared" ref="EL235:EM235" si="832">IF(OR(ISNUMBER(SEARCH("ai software toolkit", $D235)), ISNUMBER(SEARCH("ai software toolkit", $T235)), ISNUMBER(SEARCH("ai software toolkit", $R235)), ISNUMBER(SEARCH("ai software toolkit", $S235))), 1, 0)</f>
        <v>0</v>
      </c>
      <c r="EM235" s="10">
        <f t="shared" si="832"/>
        <v>0</v>
      </c>
      <c r="EN235" s="10">
        <f t="shared" si="96"/>
        <v>0</v>
      </c>
      <c r="EO235" s="10">
        <f t="shared" si="97"/>
        <v>0</v>
      </c>
      <c r="EP235" s="10">
        <f t="shared" si="98"/>
        <v>0</v>
      </c>
      <c r="EQ235" s="10">
        <f t="shared" si="99"/>
        <v>0</v>
      </c>
      <c r="ER235" s="10">
        <f t="shared" si="100"/>
        <v>0</v>
      </c>
      <c r="ES235" s="10">
        <f t="shared" si="101"/>
        <v>0</v>
      </c>
      <c r="ET235" s="10">
        <f t="shared" si="102"/>
        <v>0</v>
      </c>
      <c r="EU235" s="10">
        <f t="shared" si="103"/>
        <v>0</v>
      </c>
      <c r="EV235" s="10">
        <f t="shared" si="104"/>
        <v>0</v>
      </c>
      <c r="EW235" s="10">
        <f t="shared" si="105"/>
        <v>0</v>
      </c>
      <c r="EX235" s="10">
        <f t="shared" si="106"/>
        <v>0</v>
      </c>
      <c r="EY235" s="10">
        <f t="shared" si="107"/>
        <v>0</v>
      </c>
      <c r="EZ235" s="10">
        <f t="shared" si="108"/>
        <v>0</v>
      </c>
      <c r="FA235" s="10">
        <f t="shared" si="109"/>
        <v>0</v>
      </c>
      <c r="FB235" s="10">
        <f t="shared" si="110"/>
        <v>0</v>
      </c>
      <c r="FC235" s="10">
        <f t="shared" si="111"/>
        <v>0</v>
      </c>
      <c r="FD235" s="10">
        <f t="shared" si="112"/>
        <v>0</v>
      </c>
      <c r="FE235" s="10">
        <f t="shared" si="782"/>
        <v>0</v>
      </c>
      <c r="FF235" s="10">
        <f t="shared" si="114"/>
        <v>0</v>
      </c>
      <c r="FG235" s="10">
        <f t="shared" si="115"/>
        <v>0</v>
      </c>
      <c r="FH235" s="10">
        <f t="shared" si="116"/>
        <v>0</v>
      </c>
      <c r="FI235" s="10">
        <f t="shared" si="117"/>
        <v>0</v>
      </c>
      <c r="FJ235" s="10">
        <f t="shared" si="118"/>
        <v>0</v>
      </c>
      <c r="FK235" s="10">
        <f t="shared" si="119"/>
        <v>0</v>
      </c>
      <c r="FL235" s="10">
        <f t="shared" si="120"/>
        <v>0</v>
      </c>
      <c r="FM235" s="10">
        <f t="shared" si="121"/>
        <v>0</v>
      </c>
      <c r="FN235" s="10">
        <f t="shared" si="122"/>
        <v>0</v>
      </c>
      <c r="FO235" s="10">
        <f t="shared" si="123"/>
        <v>0</v>
      </c>
      <c r="FP235" s="10">
        <f t="shared" si="124"/>
        <v>0</v>
      </c>
      <c r="FQ235" s="10">
        <f t="shared" si="125"/>
        <v>0</v>
      </c>
      <c r="FR235" s="11">
        <f t="shared" si="804"/>
        <v>0</v>
      </c>
      <c r="FS235" s="11">
        <f t="shared" si="127"/>
        <v>0</v>
      </c>
      <c r="FT235" s="11">
        <f t="shared" si="128"/>
        <v>0</v>
      </c>
      <c r="FU235" s="11">
        <f t="shared" si="129"/>
        <v>0</v>
      </c>
      <c r="FV235" s="11">
        <f t="shared" si="130"/>
        <v>0</v>
      </c>
      <c r="FW235" s="11">
        <f t="shared" si="131"/>
        <v>0</v>
      </c>
      <c r="FX235" s="11">
        <f t="shared" si="132"/>
        <v>0</v>
      </c>
      <c r="FY235" s="11">
        <f t="shared" si="133"/>
        <v>0</v>
      </c>
      <c r="FZ235" s="11">
        <f t="shared" si="134"/>
        <v>0</v>
      </c>
      <c r="GA235" s="11">
        <f t="shared" si="135"/>
        <v>0</v>
      </c>
      <c r="GB235" s="11">
        <f t="shared" si="136"/>
        <v>0</v>
      </c>
      <c r="GC235" s="11">
        <f t="shared" si="137"/>
        <v>0</v>
      </c>
      <c r="GD235" s="11">
        <f t="shared" si="138"/>
        <v>0</v>
      </c>
      <c r="GE235" s="11">
        <f t="shared" si="139"/>
        <v>0</v>
      </c>
      <c r="GF235" s="11">
        <f t="shared" si="140"/>
        <v>0</v>
      </c>
      <c r="GG235" s="11">
        <f t="shared" si="141"/>
        <v>0</v>
      </c>
      <c r="GH235" s="11">
        <f t="shared" si="142"/>
        <v>0</v>
      </c>
      <c r="GI235" s="11">
        <f t="shared" si="143"/>
        <v>0</v>
      </c>
      <c r="GJ235" s="11">
        <f t="shared" si="144"/>
        <v>0</v>
      </c>
      <c r="GK235" s="11">
        <f t="shared" si="145"/>
        <v>0</v>
      </c>
      <c r="GL235" s="11">
        <f t="shared" si="146"/>
        <v>0</v>
      </c>
      <c r="GM235" s="11">
        <f t="shared" si="147"/>
        <v>0</v>
      </c>
      <c r="GN235" s="11">
        <f t="shared" si="148"/>
        <v>0</v>
      </c>
      <c r="GO235" s="11">
        <f t="shared" si="149"/>
        <v>0</v>
      </c>
      <c r="GP235" s="11">
        <f t="shared" si="150"/>
        <v>0</v>
      </c>
      <c r="GQ235" s="11">
        <f t="shared" si="151"/>
        <v>0</v>
      </c>
      <c r="GR235" s="11">
        <f t="shared" si="152"/>
        <v>0</v>
      </c>
      <c r="GS235" s="11">
        <f t="shared" si="153"/>
        <v>0</v>
      </c>
      <c r="GT235" s="11">
        <f t="shared" si="154"/>
        <v>0</v>
      </c>
      <c r="GU235" s="12">
        <f t="shared" si="155"/>
        <v>0</v>
      </c>
      <c r="GV235" s="12">
        <f t="shared" si="156"/>
        <v>0</v>
      </c>
      <c r="GW235" s="12">
        <f t="shared" si="157"/>
        <v>0</v>
      </c>
      <c r="GX235" s="12">
        <f t="shared" si="158"/>
        <v>0</v>
      </c>
      <c r="GY235" s="12">
        <f t="shared" si="159"/>
        <v>0</v>
      </c>
      <c r="GZ235" s="12">
        <f t="shared" si="160"/>
        <v>0</v>
      </c>
      <c r="HA235" s="12">
        <f t="shared" si="161"/>
        <v>0</v>
      </c>
      <c r="HB235" s="12">
        <f t="shared" si="162"/>
        <v>0</v>
      </c>
      <c r="HC235" s="12">
        <f t="shared" si="163"/>
        <v>0</v>
      </c>
      <c r="HD235" s="12">
        <f t="shared" si="164"/>
        <v>0</v>
      </c>
      <c r="HE235" s="12">
        <f t="shared" si="165"/>
        <v>0</v>
      </c>
      <c r="HF235" s="12">
        <f t="shared" si="166"/>
        <v>0</v>
      </c>
      <c r="HG235" s="12">
        <f t="shared" si="167"/>
        <v>0</v>
      </c>
      <c r="HH235" s="12">
        <f t="shared" si="168"/>
        <v>0</v>
      </c>
      <c r="HI235" s="12">
        <f t="shared" si="169"/>
        <v>0</v>
      </c>
      <c r="HJ235" s="12">
        <f t="shared" si="170"/>
        <v>0</v>
      </c>
      <c r="HK235" s="12">
        <f t="shared" si="171"/>
        <v>0</v>
      </c>
      <c r="HL235" s="12">
        <f t="shared" si="172"/>
        <v>0</v>
      </c>
      <c r="HM235" s="12">
        <f t="shared" si="173"/>
        <v>0</v>
      </c>
      <c r="HN235" s="12">
        <f t="shared" si="174"/>
        <v>0</v>
      </c>
      <c r="HO235" s="12">
        <f t="shared" si="175"/>
        <v>0</v>
      </c>
      <c r="HP235" s="12">
        <f t="shared" si="176"/>
        <v>0</v>
      </c>
      <c r="HQ235" s="12">
        <f t="shared" si="177"/>
        <v>0</v>
      </c>
      <c r="HR235" s="12">
        <f t="shared" si="178"/>
        <v>0</v>
      </c>
      <c r="HS235" s="12">
        <f t="shared" si="179"/>
        <v>0</v>
      </c>
      <c r="HT235" s="12">
        <f t="shared" si="180"/>
        <v>0</v>
      </c>
      <c r="HU235" s="12">
        <f t="shared" si="181"/>
        <v>0</v>
      </c>
      <c r="HV235" s="12">
        <f t="shared" si="182"/>
        <v>0</v>
      </c>
      <c r="HW235" s="12">
        <f t="shared" si="183"/>
        <v>0</v>
      </c>
      <c r="HX235" s="12">
        <f t="shared" si="184"/>
        <v>0</v>
      </c>
      <c r="HY235" s="12">
        <f t="shared" si="185"/>
        <v>0</v>
      </c>
      <c r="HZ235" s="12">
        <f t="shared" si="186"/>
        <v>0</v>
      </c>
      <c r="IA235" s="12">
        <f t="shared" si="187"/>
        <v>0</v>
      </c>
      <c r="IB235" s="12">
        <f t="shared" si="188"/>
        <v>0</v>
      </c>
      <c r="IC235" s="12">
        <f t="shared" si="189"/>
        <v>0</v>
      </c>
      <c r="ID235" s="12">
        <f t="shared" si="190"/>
        <v>0</v>
      </c>
      <c r="IE235" s="12">
        <f t="shared" si="191"/>
        <v>0</v>
      </c>
      <c r="IF235" s="12">
        <f t="shared" si="192"/>
        <v>0</v>
      </c>
      <c r="IG235" s="12">
        <f t="shared" si="193"/>
        <v>0</v>
      </c>
      <c r="IH235" s="12">
        <f t="shared" si="194"/>
        <v>0</v>
      </c>
      <c r="II235" s="12">
        <f t="shared" si="195"/>
        <v>0</v>
      </c>
      <c r="IJ235" s="12">
        <f t="shared" si="196"/>
        <v>0</v>
      </c>
      <c r="IK235" s="12">
        <f t="shared" si="197"/>
        <v>0</v>
      </c>
      <c r="IL235" s="12">
        <f t="shared" si="198"/>
        <v>0</v>
      </c>
      <c r="IM235" s="12">
        <f t="shared" si="199"/>
        <v>0</v>
      </c>
      <c r="IN235" s="12">
        <f t="shared" si="200"/>
        <v>0</v>
      </c>
      <c r="IO235" s="12">
        <f t="shared" si="201"/>
        <v>0</v>
      </c>
      <c r="IP235" s="12">
        <f t="shared" si="202"/>
        <v>0</v>
      </c>
      <c r="IQ235" s="12">
        <f t="shared" si="203"/>
        <v>0</v>
      </c>
      <c r="IR235" s="12">
        <f t="shared" si="204"/>
        <v>0</v>
      </c>
      <c r="IS235" s="12">
        <f t="shared" si="205"/>
        <v>0</v>
      </c>
      <c r="IT235" s="12">
        <f t="shared" si="206"/>
        <v>0</v>
      </c>
      <c r="IU235" s="12">
        <f t="shared" si="207"/>
        <v>0</v>
      </c>
      <c r="IV235" s="12">
        <f t="shared" si="208"/>
        <v>0</v>
      </c>
      <c r="IW235" s="12">
        <f t="shared" si="209"/>
        <v>0</v>
      </c>
      <c r="IX235" s="12">
        <f t="shared" si="210"/>
        <v>0</v>
      </c>
      <c r="IY235" s="12">
        <f t="shared" si="211"/>
        <v>0</v>
      </c>
      <c r="IZ235" s="12">
        <f t="shared" si="212"/>
        <v>0</v>
      </c>
      <c r="JA235" s="13">
        <f t="shared" si="213"/>
        <v>0</v>
      </c>
      <c r="JB235" s="13">
        <f t="shared" si="214"/>
        <v>0</v>
      </c>
      <c r="JC235" s="13">
        <f t="shared" si="215"/>
        <v>0</v>
      </c>
      <c r="JD235" s="13">
        <f t="shared" si="216"/>
        <v>0</v>
      </c>
      <c r="JE235" s="13">
        <f t="shared" si="217"/>
        <v>0</v>
      </c>
      <c r="JF235" s="13">
        <f t="shared" si="218"/>
        <v>0</v>
      </c>
      <c r="JG235" s="13">
        <f t="shared" si="219"/>
        <v>0</v>
      </c>
      <c r="JH235" s="13">
        <f t="shared" si="220"/>
        <v>0</v>
      </c>
      <c r="JI235" s="13">
        <f t="shared" si="221"/>
        <v>0</v>
      </c>
      <c r="JJ235" s="13">
        <f t="shared" si="222"/>
        <v>0</v>
      </c>
      <c r="JK235" s="13">
        <f t="shared" si="223"/>
        <v>0</v>
      </c>
      <c r="JL235" s="13">
        <f t="shared" si="224"/>
        <v>0</v>
      </c>
      <c r="JM235" s="13">
        <f t="shared" si="225"/>
        <v>0</v>
      </c>
      <c r="JN235" s="13">
        <f t="shared" si="226"/>
        <v>0</v>
      </c>
      <c r="JO235" s="13">
        <f t="shared" si="227"/>
        <v>0</v>
      </c>
      <c r="JP235" s="13">
        <f t="shared" si="228"/>
        <v>0</v>
      </c>
      <c r="JQ235" s="13">
        <f t="shared" si="229"/>
        <v>0</v>
      </c>
      <c r="JR235" s="13">
        <f t="shared" si="230"/>
        <v>0</v>
      </c>
      <c r="JS235" s="13">
        <f t="shared" si="231"/>
        <v>0</v>
      </c>
      <c r="JT235" s="13">
        <f t="shared" si="232"/>
        <v>0</v>
      </c>
      <c r="JU235" s="13">
        <f t="shared" si="233"/>
        <v>0</v>
      </c>
      <c r="JV235" s="12">
        <f t="shared" si="234"/>
        <v>0</v>
      </c>
      <c r="JW235" s="12">
        <f t="shared" si="235"/>
        <v>0</v>
      </c>
      <c r="JX235" s="12">
        <f t="shared" si="236"/>
        <v>0</v>
      </c>
      <c r="JY235" s="12">
        <f t="shared" si="237"/>
        <v>0</v>
      </c>
      <c r="JZ235" s="12">
        <f t="shared" si="238"/>
        <v>0</v>
      </c>
      <c r="KA235" s="12">
        <f t="shared" si="239"/>
        <v>0</v>
      </c>
      <c r="KB235" s="12">
        <f t="shared" si="240"/>
        <v>0</v>
      </c>
      <c r="KC235" s="12">
        <f t="shared" si="241"/>
        <v>0</v>
      </c>
      <c r="KD235" s="12">
        <f t="shared" si="797"/>
        <v>0</v>
      </c>
      <c r="KE235" s="12">
        <f t="shared" si="243"/>
        <v>0</v>
      </c>
      <c r="KF235" s="12">
        <f t="shared" si="244"/>
        <v>0</v>
      </c>
      <c r="KG235" s="12">
        <f t="shared" si="245"/>
        <v>0</v>
      </c>
      <c r="KH235" s="12">
        <f t="shared" si="246"/>
        <v>0</v>
      </c>
      <c r="KI235" s="12">
        <f t="shared" si="247"/>
        <v>0</v>
      </c>
      <c r="KJ235" s="12">
        <f t="shared" si="248"/>
        <v>0</v>
      </c>
      <c r="KK235" s="12">
        <f t="shared" si="249"/>
        <v>0</v>
      </c>
      <c r="KL235" s="12">
        <f t="shared" si="250"/>
        <v>0</v>
      </c>
      <c r="KM235" s="12">
        <f t="shared" si="251"/>
        <v>0</v>
      </c>
      <c r="KN235" s="12">
        <f t="shared" si="252"/>
        <v>0</v>
      </c>
      <c r="KO235" s="12">
        <f t="shared" si="253"/>
        <v>0</v>
      </c>
      <c r="KP235" s="12">
        <f t="shared" si="254"/>
        <v>0</v>
      </c>
      <c r="KQ235" s="12">
        <f t="shared" si="255"/>
        <v>0</v>
      </c>
      <c r="KR235" s="12">
        <f t="shared" si="256"/>
        <v>0</v>
      </c>
      <c r="KS235" s="12">
        <f t="shared" si="257"/>
        <v>0</v>
      </c>
      <c r="KT235" s="12">
        <f t="shared" si="258"/>
        <v>0</v>
      </c>
      <c r="KU235" s="12">
        <f t="shared" si="259"/>
        <v>0</v>
      </c>
      <c r="KV235" s="12">
        <f t="shared" si="260"/>
        <v>0</v>
      </c>
      <c r="KW235" s="12">
        <f t="shared" si="261"/>
        <v>0</v>
      </c>
      <c r="KX235" s="12">
        <f t="shared" si="262"/>
        <v>0</v>
      </c>
      <c r="KY235" s="12">
        <f t="shared" si="263"/>
        <v>0</v>
      </c>
      <c r="KZ235" s="12">
        <f t="shared" si="264"/>
        <v>0</v>
      </c>
      <c r="LA235" s="12">
        <f t="shared" si="265"/>
        <v>0</v>
      </c>
      <c r="LB235" s="12">
        <f t="shared" si="266"/>
        <v>0</v>
      </c>
      <c r="LC235" s="12">
        <f t="shared" si="267"/>
        <v>0</v>
      </c>
      <c r="LD235" s="12">
        <f t="shared" si="268"/>
        <v>0</v>
      </c>
      <c r="LE235" s="12">
        <f t="shared" si="269"/>
        <v>0</v>
      </c>
      <c r="LF235" s="12">
        <f t="shared" si="270"/>
        <v>0</v>
      </c>
      <c r="LG235" s="12">
        <f t="shared" si="271"/>
        <v>0</v>
      </c>
      <c r="LH235" s="12">
        <f t="shared" si="272"/>
        <v>0</v>
      </c>
      <c r="LI235" s="12">
        <f t="shared" si="273"/>
        <v>0</v>
      </c>
      <c r="LJ235" s="12">
        <f t="shared" si="274"/>
        <v>0</v>
      </c>
      <c r="LK235" s="12">
        <f t="shared" si="275"/>
        <v>0</v>
      </c>
      <c r="LL235" s="12">
        <f t="shared" si="276"/>
        <v>0</v>
      </c>
      <c r="LM235" s="12">
        <f t="shared" si="277"/>
        <v>0</v>
      </c>
      <c r="LN235" s="12">
        <f t="shared" si="278"/>
        <v>0</v>
      </c>
      <c r="LO235" s="12">
        <f t="shared" si="279"/>
        <v>0</v>
      </c>
      <c r="LP235" s="12">
        <f t="shared" si="280"/>
        <v>0</v>
      </c>
      <c r="LQ235" s="12">
        <f t="shared" si="281"/>
        <v>0</v>
      </c>
      <c r="LR235" s="12">
        <f t="shared" si="282"/>
        <v>0</v>
      </c>
      <c r="LS235" s="12">
        <f t="shared" si="283"/>
        <v>0</v>
      </c>
      <c r="LT235" s="13">
        <f t="shared" si="284"/>
        <v>0</v>
      </c>
      <c r="LU235" s="13">
        <f t="shared" si="285"/>
        <v>0</v>
      </c>
      <c r="LV235" s="13">
        <f t="shared" si="286"/>
        <v>0</v>
      </c>
      <c r="LW235" s="13">
        <f t="shared" si="287"/>
        <v>0</v>
      </c>
      <c r="LX235" s="13">
        <f t="shared" si="288"/>
        <v>0</v>
      </c>
      <c r="LY235" s="13">
        <f t="shared" si="289"/>
        <v>0</v>
      </c>
      <c r="LZ235" s="13">
        <f t="shared" si="290"/>
        <v>0</v>
      </c>
      <c r="MA235" s="13">
        <f t="shared" si="291"/>
        <v>0</v>
      </c>
      <c r="MB235" s="13">
        <f t="shared" si="292"/>
        <v>1</v>
      </c>
      <c r="MC235" s="13">
        <f t="shared" si="293"/>
        <v>0</v>
      </c>
      <c r="MD235" s="13">
        <f t="shared" si="294"/>
        <v>0</v>
      </c>
      <c r="ME235" s="13">
        <f t="shared" si="295"/>
        <v>0</v>
      </c>
      <c r="MF235" s="13">
        <f t="shared" si="296"/>
        <v>0</v>
      </c>
      <c r="MG235" s="13">
        <f t="shared" si="297"/>
        <v>0</v>
      </c>
      <c r="MH235" s="13">
        <f t="shared" si="298"/>
        <v>0</v>
      </c>
      <c r="MI235" s="13">
        <f t="shared" si="299"/>
        <v>0</v>
      </c>
      <c r="MJ235" s="13">
        <f t="shared" si="300"/>
        <v>0</v>
      </c>
      <c r="MK235" s="13">
        <f t="shared" si="301"/>
        <v>0</v>
      </c>
      <c r="ML235" s="14">
        <f t="shared" si="302"/>
        <v>0</v>
      </c>
      <c r="MM235" s="14">
        <f t="shared" si="303"/>
        <v>0</v>
      </c>
      <c r="MN235" s="14">
        <f t="shared" si="304"/>
        <v>0</v>
      </c>
      <c r="MO235" s="14">
        <f t="shared" si="305"/>
        <v>0</v>
      </c>
      <c r="MP235" s="14">
        <f t="shared" si="306"/>
        <v>0</v>
      </c>
      <c r="MQ235" s="14">
        <f t="shared" si="307"/>
        <v>0</v>
      </c>
      <c r="MR235" s="14">
        <f t="shared" si="308"/>
        <v>0</v>
      </c>
      <c r="MS235" s="14">
        <f t="shared" si="309"/>
        <v>0</v>
      </c>
      <c r="MT235" s="14">
        <f t="shared" si="310"/>
        <v>0</v>
      </c>
      <c r="MU235" s="14">
        <f t="shared" si="311"/>
        <v>0</v>
      </c>
      <c r="MV235" s="14">
        <f t="shared" si="312"/>
        <v>0</v>
      </c>
      <c r="MW235" s="14">
        <f t="shared" si="313"/>
        <v>0</v>
      </c>
      <c r="MX235" s="14">
        <f t="shared" si="314"/>
        <v>0</v>
      </c>
      <c r="MY235" s="14">
        <f t="shared" si="315"/>
        <v>0</v>
      </c>
      <c r="MZ235" s="14">
        <f t="shared" si="316"/>
        <v>0</v>
      </c>
      <c r="NA235" s="14">
        <f t="shared" si="317"/>
        <v>0</v>
      </c>
      <c r="NB235" s="14">
        <f t="shared" si="318"/>
        <v>0</v>
      </c>
    </row>
    <row r="236" ht="15.75" customHeight="1">
      <c r="A236" s="2">
        <v>662.0</v>
      </c>
      <c r="B236" s="2" t="s">
        <v>4262</v>
      </c>
      <c r="C236" s="2" t="s">
        <v>4263</v>
      </c>
      <c r="D236" s="2" t="s">
        <v>4264</v>
      </c>
      <c r="E236" s="2">
        <v>2022.0</v>
      </c>
      <c r="F236" s="2" t="s">
        <v>4265</v>
      </c>
      <c r="G236" s="2">
        <v>56.0</v>
      </c>
      <c r="H236" s="2" t="s">
        <v>452</v>
      </c>
      <c r="J236" s="2" t="s">
        <v>4266</v>
      </c>
      <c r="K236" s="2" t="s">
        <v>4267</v>
      </c>
      <c r="N236" s="2" t="s">
        <v>4268</v>
      </c>
      <c r="O236" s="2" t="s">
        <v>4269</v>
      </c>
      <c r="P236" s="2" t="s">
        <v>4270</v>
      </c>
      <c r="Q236" s="2" t="s">
        <v>4271</v>
      </c>
      <c r="R236" s="2" t="s">
        <v>4272</v>
      </c>
      <c r="S236" s="2" t="s">
        <v>4273</v>
      </c>
      <c r="T236" s="2" t="s">
        <v>4274</v>
      </c>
      <c r="Y236" s="2" t="s">
        <v>4275</v>
      </c>
      <c r="AB236" s="2" t="s">
        <v>4276</v>
      </c>
      <c r="AG236" s="2" t="s">
        <v>4277</v>
      </c>
      <c r="AK236" s="2" t="s">
        <v>4278</v>
      </c>
      <c r="AL236" s="2" t="s">
        <v>384</v>
      </c>
      <c r="AM236" s="2" t="s">
        <v>385</v>
      </c>
      <c r="AN236" s="2" t="s">
        <v>386</v>
      </c>
      <c r="AO236" s="2" t="s">
        <v>4279</v>
      </c>
      <c r="AP236" s="2" t="s">
        <v>386</v>
      </c>
      <c r="AQ236" s="2">
        <v>2622.0</v>
      </c>
      <c r="AR236" s="2" t="s">
        <v>4280</v>
      </c>
      <c r="AS236" s="2" t="b">
        <v>1</v>
      </c>
      <c r="AT236" s="3">
        <v>0.0</v>
      </c>
      <c r="AU236" s="4"/>
      <c r="AV236" s="4"/>
      <c r="AW236" s="5">
        <f t="shared" si="432"/>
        <v>0</v>
      </c>
      <c r="AX236" s="5">
        <f t="shared" si="4"/>
        <v>0</v>
      </c>
      <c r="AY236" s="5">
        <f t="shared" si="5"/>
        <v>0</v>
      </c>
      <c r="AZ236" s="5">
        <f t="shared" si="6"/>
        <v>0</v>
      </c>
      <c r="BA236" s="5">
        <f t="shared" si="7"/>
        <v>0</v>
      </c>
      <c r="BB236" s="5">
        <f t="shared" si="8"/>
        <v>0</v>
      </c>
      <c r="BC236" s="5">
        <f t="shared" si="9"/>
        <v>0</v>
      </c>
      <c r="BD236" s="5">
        <f t="shared" si="10"/>
        <v>0</v>
      </c>
      <c r="BE236" s="5">
        <f t="shared" si="11"/>
        <v>0</v>
      </c>
      <c r="BF236" s="5">
        <f t="shared" si="12"/>
        <v>0</v>
      </c>
      <c r="BG236" s="5">
        <f t="shared" si="13"/>
        <v>0</v>
      </c>
      <c r="BH236" s="5">
        <f t="shared" si="14"/>
        <v>0</v>
      </c>
      <c r="BI236" s="5">
        <f t="shared" si="15"/>
        <v>0</v>
      </c>
      <c r="BJ236" s="5">
        <f t="shared" si="16"/>
        <v>0</v>
      </c>
      <c r="BK236" s="5">
        <f t="shared" si="17"/>
        <v>0</v>
      </c>
      <c r="BL236" s="5">
        <f t="shared" si="18"/>
        <v>0</v>
      </c>
      <c r="BM236" s="5">
        <f t="shared" si="19"/>
        <v>0</v>
      </c>
      <c r="BN236" s="5">
        <f t="shared" si="20"/>
        <v>0</v>
      </c>
      <c r="BO236" s="5">
        <f t="shared" si="21"/>
        <v>0</v>
      </c>
      <c r="BP236" s="5">
        <f t="shared" si="22"/>
        <v>0</v>
      </c>
      <c r="BQ236" s="5">
        <f t="shared" si="23"/>
        <v>0</v>
      </c>
      <c r="BR236" s="5">
        <f t="shared" si="24"/>
        <v>0</v>
      </c>
      <c r="BS236" s="5">
        <f t="shared" si="25"/>
        <v>0</v>
      </c>
      <c r="BT236" s="5">
        <f t="shared" si="26"/>
        <v>0</v>
      </c>
      <c r="BU236" s="5">
        <f t="shared" si="27"/>
        <v>0</v>
      </c>
      <c r="BV236" s="5">
        <f t="shared" ref="BV236:BW236" si="833">IF(OR(ISNUMBER(SEARCH("grit",$D236)),ISNUMBER(SEARCH("grit",$T236)),ISNUMBER(SEARCH("grit",$R236)),ISNUMBER(SEARCH("grit",$S236)),
ISNUMBER(SEARCH("determination",$D236)),ISNUMBER(SEARCH("determination",$T236)),ISNUMBER(SEARCH("determination",$R236)),ISNUMBER(SEARCH("determination",$S236)),
ISNUMBER(SEARCH("tenacity",$D236)),ISNUMBER(SEARCH("tenacity",$T236)),ISNUMBER(SEARCH("tenacity",$R236)),ISNUMBER(SEARCH("tenacity",$S236)),
ISNUMBER(SEARCH("endurance",$D236)),ISNUMBER(SEARCH("endurance",$T236)),ISNUMBER(SEARCH("endurance",$R236)),ISNUMBER(SEARCH("endurance",$S236)),
ISNUMBER(SEARCH("fortitude",$D236)),ISNUMBER(SEARCH("fortitude",$T236)),ISNUMBER(SEARCH("fortitude",$R236)),ISNUMBER(SEARCH("fortitude",$S236)),
ISNUMBER(SEARCH("resolve",$D236)),ISNUMBER(SEARCH("resolve",$T236)),ISNUMBER(SEARCH("resolve",$R236)),ISNUMBER(SEARCH("resolve",$S236)),
ISNUMBER(SEARCH("stamina",$D236)),ISNUMBER(SEARCH("stamina",$T236)),ISNUMBER(SEARCH("stamina",$R236)),ISNUMBER(SEARCH("stamina",$S236)),
ISNUMBER(SEARCH("guts",$D236)),ISNUMBER(SEARCH("guts",$T236)),ISNUMBER(SEARCH("guts",$R236)),ISNUMBER(SEARCH("guts",$S236)),
ISNUMBER(SEARCH("spunk",$D236)),ISNUMBER(SEARCH("spunk",$T236)),ISNUMBER(SEARCH("spunk",$R236)),ISNUMBER(SEARCH("spunk",$S236))), 1, 0)</f>
        <v>0</v>
      </c>
      <c r="BW236" s="5">
        <f t="shared" si="833"/>
        <v>0</v>
      </c>
      <c r="BX236" s="5">
        <f t="shared" si="29"/>
        <v>0</v>
      </c>
      <c r="BY236" s="5">
        <f t="shared" si="30"/>
        <v>0</v>
      </c>
      <c r="BZ236" s="5">
        <f t="shared" si="31"/>
        <v>0</v>
      </c>
      <c r="CA236" s="5">
        <f t="shared" si="32"/>
        <v>0</v>
      </c>
      <c r="CB236" s="5">
        <f t="shared" si="33"/>
        <v>0</v>
      </c>
      <c r="CC236" s="5">
        <f t="shared" si="34"/>
        <v>0</v>
      </c>
      <c r="CD236" s="5">
        <f t="shared" si="35"/>
        <v>0</v>
      </c>
      <c r="CE236" s="5">
        <f t="shared" si="36"/>
        <v>0</v>
      </c>
      <c r="CF236" s="5">
        <f t="shared" si="37"/>
        <v>0</v>
      </c>
      <c r="CG236" s="5">
        <f t="shared" si="38"/>
        <v>0</v>
      </c>
      <c r="CH236" s="5">
        <f t="shared" si="39"/>
        <v>0</v>
      </c>
      <c r="CI236" s="5">
        <f t="shared" si="40"/>
        <v>0</v>
      </c>
      <c r="CJ236" s="5">
        <f t="shared" si="41"/>
        <v>0</v>
      </c>
      <c r="CK236" s="5">
        <f t="shared" si="42"/>
        <v>0</v>
      </c>
      <c r="CL236" s="5">
        <f t="shared" si="43"/>
        <v>0</v>
      </c>
      <c r="CM236" s="5">
        <f t="shared" si="44"/>
        <v>0</v>
      </c>
      <c r="CN236" s="5">
        <f t="shared" si="45"/>
        <v>0</v>
      </c>
      <c r="CO236" s="5">
        <f t="shared" si="46"/>
        <v>0</v>
      </c>
      <c r="CP236" s="6">
        <f t="shared" si="47"/>
        <v>0</v>
      </c>
      <c r="CQ236" s="6">
        <f t="shared" si="48"/>
        <v>0</v>
      </c>
      <c r="CR236" s="6">
        <f t="shared" si="49"/>
        <v>0</v>
      </c>
      <c r="CS236" s="6">
        <f t="shared" si="50"/>
        <v>0</v>
      </c>
      <c r="CT236" s="6">
        <f t="shared" si="584"/>
        <v>0</v>
      </c>
      <c r="CU236" s="6">
        <f t="shared" si="52"/>
        <v>0</v>
      </c>
      <c r="CV236" s="6">
        <f t="shared" si="53"/>
        <v>0</v>
      </c>
      <c r="CW236" s="6">
        <f t="shared" si="54"/>
        <v>0</v>
      </c>
      <c r="CX236" s="6">
        <f t="shared" si="55"/>
        <v>0</v>
      </c>
      <c r="CY236" s="6">
        <f t="shared" si="56"/>
        <v>0</v>
      </c>
      <c r="CZ236" s="6">
        <f t="shared" si="57"/>
        <v>0</v>
      </c>
      <c r="DA236" s="6">
        <f t="shared" si="58"/>
        <v>0</v>
      </c>
      <c r="DB236" s="6">
        <f t="shared" si="59"/>
        <v>0</v>
      </c>
      <c r="DC236" s="6">
        <f t="shared" si="60"/>
        <v>0</v>
      </c>
      <c r="DD236" s="6">
        <f t="shared" si="61"/>
        <v>0</v>
      </c>
      <c r="DE236" s="6">
        <f t="shared" si="62"/>
        <v>0</v>
      </c>
      <c r="DF236" s="6">
        <f t="shared" si="63"/>
        <v>0</v>
      </c>
      <c r="DG236" s="6">
        <f t="shared" si="64"/>
        <v>0</v>
      </c>
      <c r="DH236" s="6">
        <f t="shared" si="697"/>
        <v>0</v>
      </c>
      <c r="DI236" s="6">
        <f t="shared" si="66"/>
        <v>0</v>
      </c>
      <c r="DJ236" s="6">
        <f t="shared" si="653"/>
        <v>0</v>
      </c>
      <c r="DK236" s="7">
        <f t="shared" si="68"/>
        <v>0</v>
      </c>
      <c r="DL236" s="7">
        <f t="shared" si="498"/>
        <v>0</v>
      </c>
      <c r="DM236" s="7">
        <f t="shared" si="70"/>
        <v>0</v>
      </c>
      <c r="DN236" s="7">
        <f t="shared" si="71"/>
        <v>0</v>
      </c>
      <c r="DO236" s="7">
        <f t="shared" si="72"/>
        <v>1</v>
      </c>
      <c r="DP236" s="8">
        <f t="shared" si="73"/>
        <v>0</v>
      </c>
      <c r="DQ236" s="8">
        <f t="shared" si="74"/>
        <v>1</v>
      </c>
      <c r="DR236" s="7">
        <f t="shared" si="75"/>
        <v>0</v>
      </c>
      <c r="DS236" s="7">
        <f t="shared" si="76"/>
        <v>0</v>
      </c>
      <c r="DT236" s="7">
        <f t="shared" si="77"/>
        <v>0</v>
      </c>
      <c r="DU236" s="9">
        <f t="shared" si="78"/>
        <v>0</v>
      </c>
      <c r="DV236" s="9">
        <f t="shared" si="79"/>
        <v>0</v>
      </c>
      <c r="DW236" s="9">
        <f t="shared" si="80"/>
        <v>0</v>
      </c>
      <c r="DX236" s="9">
        <f t="shared" si="81"/>
        <v>0</v>
      </c>
      <c r="DY236" s="9">
        <f t="shared" si="82"/>
        <v>0</v>
      </c>
      <c r="DZ236" s="9">
        <f t="shared" si="83"/>
        <v>0</v>
      </c>
      <c r="EA236" s="9">
        <f t="shared" si="84"/>
        <v>0</v>
      </c>
      <c r="EB236" s="9">
        <f t="shared" si="85"/>
        <v>0</v>
      </c>
      <c r="EC236" s="9">
        <f t="shared" si="86"/>
        <v>0</v>
      </c>
      <c r="ED236" s="9">
        <f t="shared" si="87"/>
        <v>0</v>
      </c>
      <c r="EE236" s="9">
        <f t="shared" si="88"/>
        <v>0</v>
      </c>
      <c r="EF236" s="9">
        <f t="shared" si="89"/>
        <v>0</v>
      </c>
      <c r="EG236" s="9">
        <f t="shared" si="90"/>
        <v>0</v>
      </c>
      <c r="EH236" s="9">
        <f t="shared" si="91"/>
        <v>0</v>
      </c>
      <c r="EI236" s="9">
        <f t="shared" si="92"/>
        <v>0</v>
      </c>
      <c r="EJ236" s="10">
        <f t="shared" si="93"/>
        <v>0</v>
      </c>
      <c r="EK236" s="10">
        <f t="shared" si="94"/>
        <v>0</v>
      </c>
      <c r="EL236" s="10">
        <f t="shared" ref="EL236:EM236" si="834">IF(OR(ISNUMBER(SEARCH("ai software toolkit", $D236)), ISNUMBER(SEARCH("ai software toolkit", $T236)), ISNUMBER(SEARCH("ai software toolkit", $R236)), ISNUMBER(SEARCH("ai software toolkit", $S236))), 1, 0)</f>
        <v>0</v>
      </c>
      <c r="EM236" s="10">
        <f t="shared" si="834"/>
        <v>0</v>
      </c>
      <c r="EN236" s="10">
        <f t="shared" si="96"/>
        <v>0</v>
      </c>
      <c r="EO236" s="10">
        <f t="shared" si="97"/>
        <v>0</v>
      </c>
      <c r="EP236" s="10">
        <f t="shared" si="98"/>
        <v>0</v>
      </c>
      <c r="EQ236" s="10">
        <f t="shared" si="99"/>
        <v>0</v>
      </c>
      <c r="ER236" s="10">
        <f t="shared" si="100"/>
        <v>0</v>
      </c>
      <c r="ES236" s="10">
        <f t="shared" si="101"/>
        <v>0</v>
      </c>
      <c r="ET236" s="10">
        <f t="shared" si="102"/>
        <v>0</v>
      </c>
      <c r="EU236" s="10">
        <f t="shared" si="103"/>
        <v>0</v>
      </c>
      <c r="EV236" s="10">
        <f t="shared" si="104"/>
        <v>0</v>
      </c>
      <c r="EW236" s="10">
        <f t="shared" si="105"/>
        <v>0</v>
      </c>
      <c r="EX236" s="10">
        <f t="shared" si="106"/>
        <v>0</v>
      </c>
      <c r="EY236" s="10">
        <f t="shared" si="107"/>
        <v>0</v>
      </c>
      <c r="EZ236" s="10">
        <f t="shared" si="108"/>
        <v>0</v>
      </c>
      <c r="FA236" s="10">
        <f t="shared" si="109"/>
        <v>0</v>
      </c>
      <c r="FB236" s="10">
        <f t="shared" si="110"/>
        <v>0</v>
      </c>
      <c r="FC236" s="10">
        <f t="shared" si="111"/>
        <v>0</v>
      </c>
      <c r="FD236" s="10">
        <f t="shared" si="112"/>
        <v>0</v>
      </c>
      <c r="FE236" s="10">
        <f t="shared" si="782"/>
        <v>0</v>
      </c>
      <c r="FF236" s="10">
        <f t="shared" si="114"/>
        <v>0</v>
      </c>
      <c r="FG236" s="10">
        <f t="shared" si="115"/>
        <v>0</v>
      </c>
      <c r="FH236" s="10">
        <f t="shared" si="116"/>
        <v>0</v>
      </c>
      <c r="FI236" s="10">
        <f t="shared" si="117"/>
        <v>0</v>
      </c>
      <c r="FJ236" s="10">
        <f t="shared" si="118"/>
        <v>0</v>
      </c>
      <c r="FK236" s="10">
        <f t="shared" si="119"/>
        <v>0</v>
      </c>
      <c r="FL236" s="10">
        <f t="shared" si="120"/>
        <v>0</v>
      </c>
      <c r="FM236" s="10">
        <f t="shared" si="121"/>
        <v>0</v>
      </c>
      <c r="FN236" s="10">
        <f t="shared" si="122"/>
        <v>0</v>
      </c>
      <c r="FO236" s="10">
        <f t="shared" si="123"/>
        <v>0</v>
      </c>
      <c r="FP236" s="10">
        <f t="shared" si="124"/>
        <v>0</v>
      </c>
      <c r="FQ236" s="10">
        <f t="shared" si="125"/>
        <v>0</v>
      </c>
      <c r="FR236" s="11">
        <f t="shared" si="804"/>
        <v>0</v>
      </c>
      <c r="FS236" s="11">
        <f t="shared" si="127"/>
        <v>0</v>
      </c>
      <c r="FT236" s="11">
        <f t="shared" si="128"/>
        <v>0</v>
      </c>
      <c r="FU236" s="11">
        <f t="shared" si="129"/>
        <v>0</v>
      </c>
      <c r="FV236" s="11">
        <f t="shared" si="130"/>
        <v>0</v>
      </c>
      <c r="FW236" s="11">
        <f t="shared" si="131"/>
        <v>0</v>
      </c>
      <c r="FX236" s="11">
        <f t="shared" si="132"/>
        <v>0</v>
      </c>
      <c r="FY236" s="11">
        <f t="shared" si="133"/>
        <v>0</v>
      </c>
      <c r="FZ236" s="11">
        <f t="shared" si="134"/>
        <v>0</v>
      </c>
      <c r="GA236" s="11">
        <f t="shared" si="135"/>
        <v>0</v>
      </c>
      <c r="GB236" s="11">
        <f t="shared" si="136"/>
        <v>0</v>
      </c>
      <c r="GC236" s="11">
        <f t="shared" si="137"/>
        <v>0</v>
      </c>
      <c r="GD236" s="11">
        <f t="shared" si="138"/>
        <v>0</v>
      </c>
      <c r="GE236" s="11">
        <f t="shared" si="139"/>
        <v>0</v>
      </c>
      <c r="GF236" s="11">
        <f t="shared" si="140"/>
        <v>0</v>
      </c>
      <c r="GG236" s="11">
        <f t="shared" si="141"/>
        <v>0</v>
      </c>
      <c r="GH236" s="11">
        <f t="shared" si="142"/>
        <v>0</v>
      </c>
      <c r="GI236" s="11">
        <f t="shared" si="143"/>
        <v>0</v>
      </c>
      <c r="GJ236" s="11">
        <f t="shared" si="144"/>
        <v>0</v>
      </c>
      <c r="GK236" s="11">
        <f t="shared" si="145"/>
        <v>0</v>
      </c>
      <c r="GL236" s="11">
        <f t="shared" si="146"/>
        <v>0</v>
      </c>
      <c r="GM236" s="11">
        <f t="shared" si="147"/>
        <v>0</v>
      </c>
      <c r="GN236" s="11">
        <f t="shared" si="148"/>
        <v>0</v>
      </c>
      <c r="GO236" s="11">
        <f t="shared" si="149"/>
        <v>0</v>
      </c>
      <c r="GP236" s="11">
        <f t="shared" si="150"/>
        <v>0</v>
      </c>
      <c r="GQ236" s="11">
        <f t="shared" si="151"/>
        <v>0</v>
      </c>
      <c r="GR236" s="11">
        <f t="shared" si="152"/>
        <v>0</v>
      </c>
      <c r="GS236" s="11">
        <f t="shared" si="153"/>
        <v>0</v>
      </c>
      <c r="GT236" s="11">
        <f t="shared" si="154"/>
        <v>0</v>
      </c>
      <c r="GU236" s="12">
        <f t="shared" si="155"/>
        <v>0</v>
      </c>
      <c r="GV236" s="12">
        <f t="shared" si="156"/>
        <v>0</v>
      </c>
      <c r="GW236" s="12">
        <f t="shared" si="157"/>
        <v>0</v>
      </c>
      <c r="GX236" s="12">
        <f t="shared" si="158"/>
        <v>0</v>
      </c>
      <c r="GY236" s="12">
        <f t="shared" si="159"/>
        <v>0</v>
      </c>
      <c r="GZ236" s="12">
        <f t="shared" si="160"/>
        <v>0</v>
      </c>
      <c r="HA236" s="12">
        <f t="shared" si="161"/>
        <v>0</v>
      </c>
      <c r="HB236" s="12">
        <f t="shared" si="162"/>
        <v>0</v>
      </c>
      <c r="HC236" s="12">
        <f t="shared" si="163"/>
        <v>0</v>
      </c>
      <c r="HD236" s="12">
        <f t="shared" si="164"/>
        <v>0</v>
      </c>
      <c r="HE236" s="12">
        <f t="shared" si="165"/>
        <v>0</v>
      </c>
      <c r="HF236" s="12">
        <f t="shared" si="166"/>
        <v>0</v>
      </c>
      <c r="HG236" s="12">
        <f t="shared" si="167"/>
        <v>0</v>
      </c>
      <c r="HH236" s="12">
        <f t="shared" si="168"/>
        <v>0</v>
      </c>
      <c r="HI236" s="12">
        <f t="shared" si="169"/>
        <v>0</v>
      </c>
      <c r="HJ236" s="12">
        <f t="shared" si="170"/>
        <v>0</v>
      </c>
      <c r="HK236" s="12">
        <f t="shared" si="171"/>
        <v>0</v>
      </c>
      <c r="HL236" s="12">
        <f t="shared" si="172"/>
        <v>0</v>
      </c>
      <c r="HM236" s="12">
        <f t="shared" si="173"/>
        <v>0</v>
      </c>
      <c r="HN236" s="12">
        <f t="shared" si="174"/>
        <v>0</v>
      </c>
      <c r="HO236" s="12">
        <f t="shared" si="175"/>
        <v>0</v>
      </c>
      <c r="HP236" s="12">
        <f t="shared" si="176"/>
        <v>0</v>
      </c>
      <c r="HQ236" s="12">
        <f t="shared" si="177"/>
        <v>0</v>
      </c>
      <c r="HR236" s="12">
        <f t="shared" si="178"/>
        <v>0</v>
      </c>
      <c r="HS236" s="12">
        <f t="shared" si="179"/>
        <v>0</v>
      </c>
      <c r="HT236" s="12">
        <f t="shared" si="180"/>
        <v>0</v>
      </c>
      <c r="HU236" s="12">
        <f t="shared" si="181"/>
        <v>0</v>
      </c>
      <c r="HV236" s="12">
        <f t="shared" si="182"/>
        <v>0</v>
      </c>
      <c r="HW236" s="12">
        <f t="shared" si="183"/>
        <v>0</v>
      </c>
      <c r="HX236" s="12">
        <f t="shared" si="184"/>
        <v>0</v>
      </c>
      <c r="HY236" s="12">
        <f t="shared" si="185"/>
        <v>0</v>
      </c>
      <c r="HZ236" s="12">
        <f t="shared" si="186"/>
        <v>0</v>
      </c>
      <c r="IA236" s="12">
        <f t="shared" si="187"/>
        <v>0</v>
      </c>
      <c r="IB236" s="12">
        <f t="shared" si="188"/>
        <v>0</v>
      </c>
      <c r="IC236" s="12">
        <f t="shared" si="189"/>
        <v>0</v>
      </c>
      <c r="ID236" s="12">
        <f t="shared" si="190"/>
        <v>0</v>
      </c>
      <c r="IE236" s="12">
        <f t="shared" si="191"/>
        <v>0</v>
      </c>
      <c r="IF236" s="12">
        <f t="shared" si="192"/>
        <v>0</v>
      </c>
      <c r="IG236" s="12">
        <f t="shared" si="193"/>
        <v>0</v>
      </c>
      <c r="IH236" s="12">
        <f t="shared" si="194"/>
        <v>0</v>
      </c>
      <c r="II236" s="12">
        <f t="shared" si="195"/>
        <v>0</v>
      </c>
      <c r="IJ236" s="12">
        <f t="shared" si="196"/>
        <v>0</v>
      </c>
      <c r="IK236" s="12">
        <f t="shared" si="197"/>
        <v>0</v>
      </c>
      <c r="IL236" s="12">
        <f t="shared" si="198"/>
        <v>0</v>
      </c>
      <c r="IM236" s="12">
        <f t="shared" si="199"/>
        <v>0</v>
      </c>
      <c r="IN236" s="12">
        <f t="shared" si="200"/>
        <v>0</v>
      </c>
      <c r="IO236" s="12">
        <f t="shared" si="201"/>
        <v>0</v>
      </c>
      <c r="IP236" s="12">
        <f t="shared" si="202"/>
        <v>0</v>
      </c>
      <c r="IQ236" s="12">
        <f t="shared" si="203"/>
        <v>0</v>
      </c>
      <c r="IR236" s="12">
        <f t="shared" si="204"/>
        <v>0</v>
      </c>
      <c r="IS236" s="12">
        <f t="shared" si="205"/>
        <v>0</v>
      </c>
      <c r="IT236" s="12">
        <f t="shared" si="206"/>
        <v>0</v>
      </c>
      <c r="IU236" s="12">
        <f t="shared" si="207"/>
        <v>0</v>
      </c>
      <c r="IV236" s="12">
        <f t="shared" si="208"/>
        <v>0</v>
      </c>
      <c r="IW236" s="12">
        <f t="shared" si="209"/>
        <v>0</v>
      </c>
      <c r="IX236" s="12">
        <f t="shared" si="210"/>
        <v>0</v>
      </c>
      <c r="IY236" s="12">
        <f t="shared" si="211"/>
        <v>0</v>
      </c>
      <c r="IZ236" s="12">
        <f t="shared" si="212"/>
        <v>0</v>
      </c>
      <c r="JA236" s="13">
        <f t="shared" si="213"/>
        <v>0</v>
      </c>
      <c r="JB236" s="13">
        <f t="shared" si="214"/>
        <v>0</v>
      </c>
      <c r="JC236" s="13">
        <f t="shared" si="215"/>
        <v>0</v>
      </c>
      <c r="JD236" s="13">
        <f t="shared" si="216"/>
        <v>0</v>
      </c>
      <c r="JE236" s="13">
        <f t="shared" si="217"/>
        <v>0</v>
      </c>
      <c r="JF236" s="13">
        <f t="shared" si="218"/>
        <v>0</v>
      </c>
      <c r="JG236" s="13">
        <f t="shared" si="219"/>
        <v>0</v>
      </c>
      <c r="JH236" s="13">
        <f t="shared" si="220"/>
        <v>0</v>
      </c>
      <c r="JI236" s="13">
        <f t="shared" si="221"/>
        <v>0</v>
      </c>
      <c r="JJ236" s="13">
        <f t="shared" si="222"/>
        <v>0</v>
      </c>
      <c r="JK236" s="13">
        <f t="shared" si="223"/>
        <v>0</v>
      </c>
      <c r="JL236" s="13">
        <f t="shared" si="224"/>
        <v>0</v>
      </c>
      <c r="JM236" s="13">
        <f t="shared" si="225"/>
        <v>0</v>
      </c>
      <c r="JN236" s="13">
        <f t="shared" si="226"/>
        <v>0</v>
      </c>
      <c r="JO236" s="13">
        <f t="shared" si="227"/>
        <v>0</v>
      </c>
      <c r="JP236" s="13">
        <f t="shared" si="228"/>
        <v>0</v>
      </c>
      <c r="JQ236" s="13">
        <f t="shared" si="229"/>
        <v>0</v>
      </c>
      <c r="JR236" s="13">
        <f t="shared" si="230"/>
        <v>0</v>
      </c>
      <c r="JS236" s="13">
        <f t="shared" si="231"/>
        <v>0</v>
      </c>
      <c r="JT236" s="13">
        <f t="shared" si="232"/>
        <v>0</v>
      </c>
      <c r="JU236" s="13">
        <f t="shared" si="233"/>
        <v>0</v>
      </c>
      <c r="JV236" s="12">
        <f t="shared" si="234"/>
        <v>0</v>
      </c>
      <c r="JW236" s="12">
        <f t="shared" si="235"/>
        <v>0</v>
      </c>
      <c r="JX236" s="12">
        <f t="shared" si="236"/>
        <v>0</v>
      </c>
      <c r="JY236" s="12">
        <f t="shared" si="237"/>
        <v>0</v>
      </c>
      <c r="JZ236" s="12">
        <f t="shared" si="238"/>
        <v>0</v>
      </c>
      <c r="KA236" s="12">
        <f t="shared" si="239"/>
        <v>0</v>
      </c>
      <c r="KB236" s="12">
        <f t="shared" si="240"/>
        <v>0</v>
      </c>
      <c r="KC236" s="12">
        <f t="shared" si="241"/>
        <v>0</v>
      </c>
      <c r="KD236" s="12">
        <f t="shared" si="797"/>
        <v>0</v>
      </c>
      <c r="KE236" s="12">
        <f t="shared" si="243"/>
        <v>0</v>
      </c>
      <c r="KF236" s="12">
        <f t="shared" si="244"/>
        <v>0</v>
      </c>
      <c r="KG236" s="12">
        <f t="shared" si="245"/>
        <v>0</v>
      </c>
      <c r="KH236" s="12">
        <f t="shared" si="246"/>
        <v>0</v>
      </c>
      <c r="KI236" s="12">
        <f t="shared" si="247"/>
        <v>0</v>
      </c>
      <c r="KJ236" s="12">
        <f t="shared" si="248"/>
        <v>0</v>
      </c>
      <c r="KK236" s="12">
        <f t="shared" si="249"/>
        <v>0</v>
      </c>
      <c r="KL236" s="12">
        <f t="shared" si="250"/>
        <v>0</v>
      </c>
      <c r="KM236" s="12">
        <f t="shared" si="251"/>
        <v>0</v>
      </c>
      <c r="KN236" s="12">
        <f t="shared" si="252"/>
        <v>0</v>
      </c>
      <c r="KO236" s="12">
        <f t="shared" si="253"/>
        <v>0</v>
      </c>
      <c r="KP236" s="12">
        <f t="shared" si="254"/>
        <v>0</v>
      </c>
      <c r="KQ236" s="12">
        <f t="shared" si="255"/>
        <v>0</v>
      </c>
      <c r="KR236" s="12">
        <f t="shared" si="256"/>
        <v>0</v>
      </c>
      <c r="KS236" s="12">
        <f t="shared" si="257"/>
        <v>0</v>
      </c>
      <c r="KT236" s="12">
        <f t="shared" si="258"/>
        <v>0</v>
      </c>
      <c r="KU236" s="12">
        <f t="shared" si="259"/>
        <v>0</v>
      </c>
      <c r="KV236" s="12">
        <f t="shared" si="260"/>
        <v>0</v>
      </c>
      <c r="KW236" s="12">
        <f t="shared" si="261"/>
        <v>0</v>
      </c>
      <c r="KX236" s="12">
        <f t="shared" si="262"/>
        <v>0</v>
      </c>
      <c r="KY236" s="12">
        <f t="shared" si="263"/>
        <v>0</v>
      </c>
      <c r="KZ236" s="12">
        <f t="shared" si="264"/>
        <v>0</v>
      </c>
      <c r="LA236" s="12">
        <f t="shared" si="265"/>
        <v>0</v>
      </c>
      <c r="LB236" s="12">
        <f t="shared" si="266"/>
        <v>0</v>
      </c>
      <c r="LC236" s="12">
        <f t="shared" si="267"/>
        <v>0</v>
      </c>
      <c r="LD236" s="12">
        <f t="shared" si="268"/>
        <v>0</v>
      </c>
      <c r="LE236" s="12">
        <f t="shared" si="269"/>
        <v>0</v>
      </c>
      <c r="LF236" s="12">
        <f t="shared" si="270"/>
        <v>0</v>
      </c>
      <c r="LG236" s="12">
        <f t="shared" si="271"/>
        <v>0</v>
      </c>
      <c r="LH236" s="12">
        <f t="shared" si="272"/>
        <v>0</v>
      </c>
      <c r="LI236" s="12">
        <f t="shared" si="273"/>
        <v>0</v>
      </c>
      <c r="LJ236" s="12">
        <f t="shared" si="274"/>
        <v>0</v>
      </c>
      <c r="LK236" s="12">
        <f t="shared" si="275"/>
        <v>0</v>
      </c>
      <c r="LL236" s="12">
        <f t="shared" si="276"/>
        <v>0</v>
      </c>
      <c r="LM236" s="12">
        <f t="shared" si="277"/>
        <v>0</v>
      </c>
      <c r="LN236" s="12">
        <f t="shared" si="278"/>
        <v>0</v>
      </c>
      <c r="LO236" s="12">
        <f t="shared" si="279"/>
        <v>0</v>
      </c>
      <c r="LP236" s="12">
        <f t="shared" si="280"/>
        <v>0</v>
      </c>
      <c r="LQ236" s="12">
        <f t="shared" si="281"/>
        <v>0</v>
      </c>
      <c r="LR236" s="12">
        <f t="shared" si="282"/>
        <v>0</v>
      </c>
      <c r="LS236" s="12">
        <f t="shared" si="283"/>
        <v>0</v>
      </c>
      <c r="LT236" s="13">
        <f t="shared" si="284"/>
        <v>0</v>
      </c>
      <c r="LU236" s="13">
        <f t="shared" si="285"/>
        <v>0</v>
      </c>
      <c r="LV236" s="13">
        <f t="shared" si="286"/>
        <v>0</v>
      </c>
      <c r="LW236" s="13">
        <f t="shared" si="287"/>
        <v>0</v>
      </c>
      <c r="LX236" s="13">
        <f t="shared" si="288"/>
        <v>0</v>
      </c>
      <c r="LY236" s="13">
        <f t="shared" si="289"/>
        <v>0</v>
      </c>
      <c r="LZ236" s="13">
        <f t="shared" si="290"/>
        <v>0</v>
      </c>
      <c r="MA236" s="13">
        <f t="shared" si="291"/>
        <v>0</v>
      </c>
      <c r="MB236" s="13">
        <f t="shared" si="292"/>
        <v>0</v>
      </c>
      <c r="MC236" s="13">
        <f t="shared" si="293"/>
        <v>0</v>
      </c>
      <c r="MD236" s="13">
        <f t="shared" si="294"/>
        <v>0</v>
      </c>
      <c r="ME236" s="13">
        <f t="shared" si="295"/>
        <v>0</v>
      </c>
      <c r="MF236" s="13">
        <f t="shared" si="296"/>
        <v>0</v>
      </c>
      <c r="MG236" s="13">
        <f t="shared" si="297"/>
        <v>0</v>
      </c>
      <c r="MH236" s="13">
        <f t="shared" si="298"/>
        <v>0</v>
      </c>
      <c r="MI236" s="13">
        <f t="shared" si="299"/>
        <v>0</v>
      </c>
      <c r="MJ236" s="13">
        <f t="shared" si="300"/>
        <v>0</v>
      </c>
      <c r="MK236" s="13">
        <f t="shared" si="301"/>
        <v>0</v>
      </c>
      <c r="ML236" s="14">
        <f t="shared" si="302"/>
        <v>0</v>
      </c>
      <c r="MM236" s="14">
        <f t="shared" si="303"/>
        <v>0</v>
      </c>
      <c r="MN236" s="14">
        <f t="shared" si="304"/>
        <v>0</v>
      </c>
      <c r="MO236" s="14">
        <f t="shared" si="305"/>
        <v>0</v>
      </c>
      <c r="MP236" s="14">
        <f t="shared" si="306"/>
        <v>0</v>
      </c>
      <c r="MQ236" s="14">
        <f t="shared" si="307"/>
        <v>0</v>
      </c>
      <c r="MR236" s="14">
        <f t="shared" si="308"/>
        <v>0</v>
      </c>
      <c r="MS236" s="14">
        <f t="shared" si="309"/>
        <v>0</v>
      </c>
      <c r="MT236" s="14">
        <f t="shared" si="310"/>
        <v>0</v>
      </c>
      <c r="MU236" s="14">
        <f t="shared" si="311"/>
        <v>0</v>
      </c>
      <c r="MV236" s="14">
        <f t="shared" si="312"/>
        <v>0</v>
      </c>
      <c r="MW236" s="14">
        <f t="shared" si="313"/>
        <v>0</v>
      </c>
      <c r="MX236" s="14">
        <f t="shared" si="314"/>
        <v>0</v>
      </c>
      <c r="MY236" s="14">
        <f t="shared" si="315"/>
        <v>0</v>
      </c>
      <c r="MZ236" s="14">
        <f t="shared" si="316"/>
        <v>0</v>
      </c>
      <c r="NA236" s="14">
        <f t="shared" si="317"/>
        <v>0</v>
      </c>
      <c r="NB236" s="14">
        <f t="shared" si="318"/>
        <v>0</v>
      </c>
    </row>
    <row r="237" ht="15.75" customHeight="1">
      <c r="A237" s="2">
        <v>592.0</v>
      </c>
      <c r="B237" s="2" t="s">
        <v>4281</v>
      </c>
      <c r="C237" s="2" t="s">
        <v>4282</v>
      </c>
      <c r="D237" s="2" t="s">
        <v>4283</v>
      </c>
      <c r="E237" s="2">
        <v>2019.0</v>
      </c>
      <c r="F237" s="2" t="s">
        <v>4284</v>
      </c>
      <c r="G237" s="2" t="s">
        <v>1142</v>
      </c>
      <c r="H237" s="2" t="s">
        <v>1029</v>
      </c>
      <c r="J237" s="2" t="s">
        <v>4285</v>
      </c>
      <c r="K237" s="2" t="s">
        <v>4286</v>
      </c>
      <c r="O237" s="2" t="s">
        <v>4287</v>
      </c>
      <c r="P237" s="2" t="s">
        <v>4288</v>
      </c>
      <c r="Q237" s="2" t="s">
        <v>4289</v>
      </c>
      <c r="R237" s="2" t="s">
        <v>4290</v>
      </c>
      <c r="S237" s="2" t="s">
        <v>4291</v>
      </c>
      <c r="Y237" s="2" t="s">
        <v>4292</v>
      </c>
      <c r="AB237" s="2" t="s">
        <v>4293</v>
      </c>
      <c r="AG237" s="2" t="s">
        <v>4294</v>
      </c>
      <c r="AK237" s="2" t="s">
        <v>4295</v>
      </c>
      <c r="AL237" s="2" t="s">
        <v>384</v>
      </c>
      <c r="AN237" s="2" t="s">
        <v>386</v>
      </c>
      <c r="AO237" s="2" t="s">
        <v>4296</v>
      </c>
      <c r="AP237" s="2" t="s">
        <v>386</v>
      </c>
      <c r="AQ237" s="2">
        <v>1034.0</v>
      </c>
      <c r="AR237" s="2" t="s">
        <v>4283</v>
      </c>
      <c r="AS237" s="2" t="b">
        <v>0</v>
      </c>
      <c r="AT237" s="3">
        <v>0.0</v>
      </c>
      <c r="AU237" s="4"/>
      <c r="AV237" s="4"/>
      <c r="AW237" s="5">
        <f t="shared" si="432"/>
        <v>0</v>
      </c>
      <c r="AX237" s="5">
        <f t="shared" si="4"/>
        <v>0</v>
      </c>
      <c r="AY237" s="5">
        <f t="shared" si="5"/>
        <v>0</v>
      </c>
      <c r="AZ237" s="5">
        <f t="shared" si="6"/>
        <v>0</v>
      </c>
      <c r="BA237" s="5">
        <f t="shared" si="7"/>
        <v>0</v>
      </c>
      <c r="BB237" s="5">
        <f t="shared" si="8"/>
        <v>1</v>
      </c>
      <c r="BC237" s="5">
        <f t="shared" si="9"/>
        <v>0</v>
      </c>
      <c r="BD237" s="5">
        <f t="shared" si="10"/>
        <v>0</v>
      </c>
      <c r="BE237" s="5">
        <f t="shared" si="11"/>
        <v>0</v>
      </c>
      <c r="BF237" s="5">
        <f t="shared" si="12"/>
        <v>0</v>
      </c>
      <c r="BG237" s="5">
        <f t="shared" si="13"/>
        <v>0</v>
      </c>
      <c r="BH237" s="5">
        <f t="shared" si="14"/>
        <v>0</v>
      </c>
      <c r="BI237" s="5">
        <f t="shared" si="15"/>
        <v>0</v>
      </c>
      <c r="BJ237" s="5">
        <f t="shared" si="16"/>
        <v>0</v>
      </c>
      <c r="BK237" s="5">
        <f t="shared" si="17"/>
        <v>0</v>
      </c>
      <c r="BL237" s="5">
        <f t="shared" si="18"/>
        <v>0</v>
      </c>
      <c r="BM237" s="5">
        <f t="shared" si="19"/>
        <v>0</v>
      </c>
      <c r="BN237" s="5">
        <f t="shared" si="20"/>
        <v>0</v>
      </c>
      <c r="BO237" s="5">
        <f t="shared" si="21"/>
        <v>0</v>
      </c>
      <c r="BP237" s="5">
        <f t="shared" si="22"/>
        <v>0</v>
      </c>
      <c r="BQ237" s="5">
        <f t="shared" si="23"/>
        <v>0</v>
      </c>
      <c r="BR237" s="5">
        <f t="shared" si="24"/>
        <v>0</v>
      </c>
      <c r="BS237" s="5">
        <f t="shared" si="25"/>
        <v>0</v>
      </c>
      <c r="BT237" s="5">
        <f t="shared" si="26"/>
        <v>0</v>
      </c>
      <c r="BU237" s="5">
        <f t="shared" si="27"/>
        <v>0</v>
      </c>
      <c r="BV237" s="5">
        <f t="shared" ref="BV237:BW237" si="835">IF(OR(ISNUMBER(SEARCH("grit",$D237)),ISNUMBER(SEARCH("grit",$T237)),ISNUMBER(SEARCH("grit",$R237)),ISNUMBER(SEARCH("grit",$S237)),
ISNUMBER(SEARCH("determination",$D237)),ISNUMBER(SEARCH("determination",$T237)),ISNUMBER(SEARCH("determination",$R237)),ISNUMBER(SEARCH("determination",$S237)),
ISNUMBER(SEARCH("tenacity",$D237)),ISNUMBER(SEARCH("tenacity",$T237)),ISNUMBER(SEARCH("tenacity",$R237)),ISNUMBER(SEARCH("tenacity",$S237)),
ISNUMBER(SEARCH("endurance",$D237)),ISNUMBER(SEARCH("endurance",$T237)),ISNUMBER(SEARCH("endurance",$R237)),ISNUMBER(SEARCH("endurance",$S237)),
ISNUMBER(SEARCH("fortitude",$D237)),ISNUMBER(SEARCH("fortitude",$T237)),ISNUMBER(SEARCH("fortitude",$R237)),ISNUMBER(SEARCH("fortitude",$S237)),
ISNUMBER(SEARCH("resolve",$D237)),ISNUMBER(SEARCH("resolve",$T237)),ISNUMBER(SEARCH("resolve",$R237)),ISNUMBER(SEARCH("resolve",$S237)),
ISNUMBER(SEARCH("stamina",$D237)),ISNUMBER(SEARCH("stamina",$T237)),ISNUMBER(SEARCH("stamina",$R237)),ISNUMBER(SEARCH("stamina",$S237)),
ISNUMBER(SEARCH("guts",$D237)),ISNUMBER(SEARCH("guts",$T237)),ISNUMBER(SEARCH("guts",$R237)),ISNUMBER(SEARCH("guts",$S237)),
ISNUMBER(SEARCH("spunk",$D237)),ISNUMBER(SEARCH("spunk",$T237)),ISNUMBER(SEARCH("spunk",$R237)),ISNUMBER(SEARCH("spunk",$S237))), 1, 0)</f>
        <v>0</v>
      </c>
      <c r="BW237" s="5">
        <f t="shared" si="835"/>
        <v>0</v>
      </c>
      <c r="BX237" s="5">
        <f t="shared" si="29"/>
        <v>0</v>
      </c>
      <c r="BY237" s="5">
        <f t="shared" si="30"/>
        <v>0</v>
      </c>
      <c r="BZ237" s="5">
        <f t="shared" si="31"/>
        <v>0</v>
      </c>
      <c r="CA237" s="5">
        <f t="shared" si="32"/>
        <v>0</v>
      </c>
      <c r="CB237" s="5">
        <f t="shared" si="33"/>
        <v>0</v>
      </c>
      <c r="CC237" s="5">
        <f t="shared" si="34"/>
        <v>0</v>
      </c>
      <c r="CD237" s="5">
        <f t="shared" si="35"/>
        <v>0</v>
      </c>
      <c r="CE237" s="5">
        <f t="shared" si="36"/>
        <v>0</v>
      </c>
      <c r="CF237" s="5">
        <f t="shared" si="37"/>
        <v>0</v>
      </c>
      <c r="CG237" s="5">
        <f t="shared" si="38"/>
        <v>0</v>
      </c>
      <c r="CH237" s="5">
        <f t="shared" si="39"/>
        <v>0</v>
      </c>
      <c r="CI237" s="5">
        <f t="shared" si="40"/>
        <v>0</v>
      </c>
      <c r="CJ237" s="5">
        <f t="shared" si="41"/>
        <v>0</v>
      </c>
      <c r="CK237" s="5">
        <f t="shared" si="42"/>
        <v>0</v>
      </c>
      <c r="CL237" s="5">
        <f t="shared" si="43"/>
        <v>0</v>
      </c>
      <c r="CM237" s="5">
        <f t="shared" si="44"/>
        <v>0</v>
      </c>
      <c r="CN237" s="5">
        <f t="shared" si="45"/>
        <v>0</v>
      </c>
      <c r="CO237" s="5">
        <f t="shared" si="46"/>
        <v>0</v>
      </c>
      <c r="CP237" s="6">
        <f t="shared" si="47"/>
        <v>0</v>
      </c>
      <c r="CQ237" s="6">
        <f t="shared" si="48"/>
        <v>0</v>
      </c>
      <c r="CR237" s="6">
        <f t="shared" si="49"/>
        <v>0</v>
      </c>
      <c r="CS237" s="6">
        <f t="shared" si="50"/>
        <v>1</v>
      </c>
      <c r="CT237" s="6">
        <f t="shared" si="584"/>
        <v>0</v>
      </c>
      <c r="CU237" s="6">
        <f t="shared" si="52"/>
        <v>0</v>
      </c>
      <c r="CV237" s="6">
        <f t="shared" si="53"/>
        <v>0</v>
      </c>
      <c r="CW237" s="6">
        <f t="shared" si="54"/>
        <v>0</v>
      </c>
      <c r="CX237" s="6">
        <f t="shared" si="55"/>
        <v>0</v>
      </c>
      <c r="CY237" s="6">
        <f t="shared" si="56"/>
        <v>0</v>
      </c>
      <c r="CZ237" s="6">
        <f t="shared" si="57"/>
        <v>0</v>
      </c>
      <c r="DA237" s="6">
        <f t="shared" si="58"/>
        <v>1</v>
      </c>
      <c r="DB237" s="6">
        <f t="shared" si="59"/>
        <v>0</v>
      </c>
      <c r="DC237" s="6">
        <f t="shared" si="60"/>
        <v>0</v>
      </c>
      <c r="DD237" s="6">
        <f t="shared" si="61"/>
        <v>0</v>
      </c>
      <c r="DE237" s="6">
        <f t="shared" si="62"/>
        <v>0</v>
      </c>
      <c r="DF237" s="6">
        <f t="shared" si="63"/>
        <v>0</v>
      </c>
      <c r="DG237" s="6">
        <f t="shared" si="64"/>
        <v>0</v>
      </c>
      <c r="DH237" s="6">
        <f t="shared" si="697"/>
        <v>0</v>
      </c>
      <c r="DI237" s="6">
        <f t="shared" si="66"/>
        <v>0</v>
      </c>
      <c r="DJ237" s="6">
        <f t="shared" si="653"/>
        <v>0</v>
      </c>
      <c r="DK237" s="7">
        <f t="shared" si="68"/>
        <v>0</v>
      </c>
      <c r="DL237" s="7">
        <f t="shared" si="498"/>
        <v>0</v>
      </c>
      <c r="DM237" s="7">
        <f t="shared" si="70"/>
        <v>0</v>
      </c>
      <c r="DN237" s="7">
        <f t="shared" si="71"/>
        <v>0</v>
      </c>
      <c r="DO237" s="7">
        <f t="shared" si="72"/>
        <v>0</v>
      </c>
      <c r="DP237" s="8">
        <f t="shared" si="73"/>
        <v>0</v>
      </c>
      <c r="DQ237" s="8">
        <f t="shared" si="74"/>
        <v>1</v>
      </c>
      <c r="DR237" s="7">
        <f t="shared" si="75"/>
        <v>0</v>
      </c>
      <c r="DS237" s="7">
        <f t="shared" si="76"/>
        <v>0</v>
      </c>
      <c r="DT237" s="7">
        <f t="shared" si="77"/>
        <v>0</v>
      </c>
      <c r="DU237" s="9">
        <f t="shared" si="78"/>
        <v>0</v>
      </c>
      <c r="DV237" s="9">
        <f t="shared" si="79"/>
        <v>0</v>
      </c>
      <c r="DW237" s="9">
        <f t="shared" si="80"/>
        <v>0</v>
      </c>
      <c r="DX237" s="9">
        <f t="shared" si="81"/>
        <v>0</v>
      </c>
      <c r="DY237" s="9">
        <f t="shared" si="82"/>
        <v>0</v>
      </c>
      <c r="DZ237" s="9">
        <f t="shared" si="83"/>
        <v>0</v>
      </c>
      <c r="EA237" s="9">
        <f t="shared" si="84"/>
        <v>0</v>
      </c>
      <c r="EB237" s="9">
        <f t="shared" si="85"/>
        <v>0</v>
      </c>
      <c r="EC237" s="9">
        <f t="shared" si="86"/>
        <v>0</v>
      </c>
      <c r="ED237" s="9">
        <f t="shared" si="87"/>
        <v>0</v>
      </c>
      <c r="EE237" s="9">
        <f t="shared" si="88"/>
        <v>0</v>
      </c>
      <c r="EF237" s="9">
        <f t="shared" si="89"/>
        <v>0</v>
      </c>
      <c r="EG237" s="9">
        <f t="shared" si="90"/>
        <v>0</v>
      </c>
      <c r="EH237" s="9">
        <f t="shared" si="91"/>
        <v>0</v>
      </c>
      <c r="EI237" s="9">
        <f t="shared" si="92"/>
        <v>0</v>
      </c>
      <c r="EJ237" s="10">
        <f t="shared" si="93"/>
        <v>0</v>
      </c>
      <c r="EK237" s="10">
        <f t="shared" si="94"/>
        <v>0</v>
      </c>
      <c r="EL237" s="10">
        <f t="shared" ref="EL237:EM237" si="836">IF(OR(ISNUMBER(SEARCH("ai software toolkit", $D237)), ISNUMBER(SEARCH("ai software toolkit", $T237)), ISNUMBER(SEARCH("ai software toolkit", $R237)), ISNUMBER(SEARCH("ai software toolkit", $S237))), 1, 0)</f>
        <v>0</v>
      </c>
      <c r="EM237" s="10">
        <f t="shared" si="836"/>
        <v>0</v>
      </c>
      <c r="EN237" s="10">
        <f t="shared" si="96"/>
        <v>0</v>
      </c>
      <c r="EO237" s="10">
        <f t="shared" si="97"/>
        <v>0</v>
      </c>
      <c r="EP237" s="10">
        <f t="shared" si="98"/>
        <v>0</v>
      </c>
      <c r="EQ237" s="10">
        <f t="shared" si="99"/>
        <v>0</v>
      </c>
      <c r="ER237" s="10">
        <f t="shared" si="100"/>
        <v>0</v>
      </c>
      <c r="ES237" s="10">
        <f t="shared" si="101"/>
        <v>0</v>
      </c>
      <c r="ET237" s="10">
        <f t="shared" si="102"/>
        <v>0</v>
      </c>
      <c r="EU237" s="10">
        <f t="shared" si="103"/>
        <v>0</v>
      </c>
      <c r="EV237" s="10">
        <f t="shared" si="104"/>
        <v>0</v>
      </c>
      <c r="EW237" s="10">
        <f t="shared" si="105"/>
        <v>0</v>
      </c>
      <c r="EX237" s="10">
        <f t="shared" si="106"/>
        <v>0</v>
      </c>
      <c r="EY237" s="10">
        <f t="shared" si="107"/>
        <v>0</v>
      </c>
      <c r="EZ237" s="10">
        <f t="shared" si="108"/>
        <v>0</v>
      </c>
      <c r="FA237" s="10">
        <f t="shared" si="109"/>
        <v>0</v>
      </c>
      <c r="FB237" s="10">
        <f t="shared" si="110"/>
        <v>0</v>
      </c>
      <c r="FC237" s="10">
        <f t="shared" si="111"/>
        <v>0</v>
      </c>
      <c r="FD237" s="10">
        <f t="shared" si="112"/>
        <v>0</v>
      </c>
      <c r="FE237" s="10">
        <f t="shared" si="782"/>
        <v>0</v>
      </c>
      <c r="FF237" s="10">
        <f t="shared" si="114"/>
        <v>0</v>
      </c>
      <c r="FG237" s="10">
        <f t="shared" si="115"/>
        <v>0</v>
      </c>
      <c r="FH237" s="10">
        <f t="shared" si="116"/>
        <v>0</v>
      </c>
      <c r="FI237" s="10">
        <f t="shared" si="117"/>
        <v>0</v>
      </c>
      <c r="FJ237" s="10">
        <f t="shared" si="118"/>
        <v>0</v>
      </c>
      <c r="FK237" s="10">
        <f t="shared" si="119"/>
        <v>0</v>
      </c>
      <c r="FL237" s="10">
        <f t="shared" si="120"/>
        <v>0</v>
      </c>
      <c r="FM237" s="10">
        <f t="shared" si="121"/>
        <v>0</v>
      </c>
      <c r="FN237" s="10">
        <f t="shared" si="122"/>
        <v>0</v>
      </c>
      <c r="FO237" s="10">
        <f t="shared" si="123"/>
        <v>0</v>
      </c>
      <c r="FP237" s="10">
        <f t="shared" si="124"/>
        <v>0</v>
      </c>
      <c r="FQ237" s="10">
        <f t="shared" si="125"/>
        <v>0</v>
      </c>
      <c r="FR237" s="11">
        <f t="shared" si="804"/>
        <v>0</v>
      </c>
      <c r="FS237" s="11">
        <f t="shared" si="127"/>
        <v>0</v>
      </c>
      <c r="FT237" s="11">
        <f t="shared" si="128"/>
        <v>0</v>
      </c>
      <c r="FU237" s="11">
        <f t="shared" si="129"/>
        <v>0</v>
      </c>
      <c r="FV237" s="11">
        <f t="shared" si="130"/>
        <v>0</v>
      </c>
      <c r="FW237" s="11">
        <f t="shared" si="131"/>
        <v>0</v>
      </c>
      <c r="FX237" s="11">
        <f t="shared" si="132"/>
        <v>0</v>
      </c>
      <c r="FY237" s="11">
        <f t="shared" si="133"/>
        <v>0</v>
      </c>
      <c r="FZ237" s="11">
        <f t="shared" si="134"/>
        <v>0</v>
      </c>
      <c r="GA237" s="11">
        <f t="shared" si="135"/>
        <v>0</v>
      </c>
      <c r="GB237" s="11">
        <f t="shared" si="136"/>
        <v>0</v>
      </c>
      <c r="GC237" s="11">
        <f t="shared" si="137"/>
        <v>0</v>
      </c>
      <c r="GD237" s="11">
        <f t="shared" si="138"/>
        <v>0</v>
      </c>
      <c r="GE237" s="11">
        <f t="shared" si="139"/>
        <v>0</v>
      </c>
      <c r="GF237" s="11">
        <f t="shared" si="140"/>
        <v>0</v>
      </c>
      <c r="GG237" s="11">
        <f t="shared" si="141"/>
        <v>0</v>
      </c>
      <c r="GH237" s="11">
        <f t="shared" si="142"/>
        <v>0</v>
      </c>
      <c r="GI237" s="11">
        <f t="shared" si="143"/>
        <v>0</v>
      </c>
      <c r="GJ237" s="11">
        <f t="shared" si="144"/>
        <v>0</v>
      </c>
      <c r="GK237" s="11">
        <f t="shared" si="145"/>
        <v>0</v>
      </c>
      <c r="GL237" s="11">
        <f t="shared" si="146"/>
        <v>0</v>
      </c>
      <c r="GM237" s="11">
        <f t="shared" si="147"/>
        <v>0</v>
      </c>
      <c r="GN237" s="11">
        <f t="shared" si="148"/>
        <v>0</v>
      </c>
      <c r="GO237" s="11">
        <f t="shared" si="149"/>
        <v>0</v>
      </c>
      <c r="GP237" s="11">
        <f t="shared" si="150"/>
        <v>0</v>
      </c>
      <c r="GQ237" s="11">
        <f t="shared" si="151"/>
        <v>0</v>
      </c>
      <c r="GR237" s="11">
        <f t="shared" si="152"/>
        <v>0</v>
      </c>
      <c r="GS237" s="11">
        <f t="shared" si="153"/>
        <v>0</v>
      </c>
      <c r="GT237" s="11">
        <f t="shared" si="154"/>
        <v>0</v>
      </c>
      <c r="GU237" s="12">
        <f t="shared" si="155"/>
        <v>0</v>
      </c>
      <c r="GV237" s="12">
        <f t="shared" si="156"/>
        <v>0</v>
      </c>
      <c r="GW237" s="12">
        <f t="shared" si="157"/>
        <v>0</v>
      </c>
      <c r="GX237" s="12">
        <f t="shared" si="158"/>
        <v>0</v>
      </c>
      <c r="GY237" s="12">
        <f t="shared" si="159"/>
        <v>0</v>
      </c>
      <c r="GZ237" s="12">
        <f t="shared" si="160"/>
        <v>0</v>
      </c>
      <c r="HA237" s="12">
        <f t="shared" si="161"/>
        <v>0</v>
      </c>
      <c r="HB237" s="12">
        <f t="shared" si="162"/>
        <v>0</v>
      </c>
      <c r="HC237" s="12">
        <f t="shared" si="163"/>
        <v>0</v>
      </c>
      <c r="HD237" s="12">
        <f t="shared" si="164"/>
        <v>0</v>
      </c>
      <c r="HE237" s="12">
        <f t="shared" si="165"/>
        <v>0</v>
      </c>
      <c r="HF237" s="12">
        <f t="shared" si="166"/>
        <v>0</v>
      </c>
      <c r="HG237" s="12">
        <f t="shared" si="167"/>
        <v>0</v>
      </c>
      <c r="HH237" s="12">
        <f t="shared" si="168"/>
        <v>0</v>
      </c>
      <c r="HI237" s="12">
        <f t="shared" si="169"/>
        <v>0</v>
      </c>
      <c r="HJ237" s="12">
        <f t="shared" si="170"/>
        <v>0</v>
      </c>
      <c r="HK237" s="12">
        <f t="shared" si="171"/>
        <v>0</v>
      </c>
      <c r="HL237" s="12">
        <f t="shared" si="172"/>
        <v>0</v>
      </c>
      <c r="HM237" s="12">
        <f t="shared" si="173"/>
        <v>0</v>
      </c>
      <c r="HN237" s="12">
        <f t="shared" si="174"/>
        <v>0</v>
      </c>
      <c r="HO237" s="12">
        <f t="shared" si="175"/>
        <v>0</v>
      </c>
      <c r="HP237" s="12">
        <f t="shared" si="176"/>
        <v>0</v>
      </c>
      <c r="HQ237" s="12">
        <f t="shared" si="177"/>
        <v>0</v>
      </c>
      <c r="HR237" s="12">
        <f t="shared" si="178"/>
        <v>0</v>
      </c>
      <c r="HS237" s="12">
        <f t="shared" si="179"/>
        <v>0</v>
      </c>
      <c r="HT237" s="12">
        <f t="shared" si="180"/>
        <v>0</v>
      </c>
      <c r="HU237" s="12">
        <f t="shared" si="181"/>
        <v>0</v>
      </c>
      <c r="HV237" s="12">
        <f t="shared" si="182"/>
        <v>0</v>
      </c>
      <c r="HW237" s="12">
        <f t="shared" si="183"/>
        <v>0</v>
      </c>
      <c r="HX237" s="12">
        <f t="shared" si="184"/>
        <v>0</v>
      </c>
      <c r="HY237" s="12">
        <f t="shared" si="185"/>
        <v>0</v>
      </c>
      <c r="HZ237" s="12">
        <f t="shared" si="186"/>
        <v>0</v>
      </c>
      <c r="IA237" s="12">
        <f t="shared" si="187"/>
        <v>0</v>
      </c>
      <c r="IB237" s="12">
        <f t="shared" si="188"/>
        <v>0</v>
      </c>
      <c r="IC237" s="12">
        <f t="shared" si="189"/>
        <v>0</v>
      </c>
      <c r="ID237" s="12">
        <f t="shared" si="190"/>
        <v>0</v>
      </c>
      <c r="IE237" s="12">
        <f t="shared" si="191"/>
        <v>0</v>
      </c>
      <c r="IF237" s="12">
        <f t="shared" si="192"/>
        <v>0</v>
      </c>
      <c r="IG237" s="12">
        <f t="shared" si="193"/>
        <v>0</v>
      </c>
      <c r="IH237" s="12">
        <f t="shared" si="194"/>
        <v>0</v>
      </c>
      <c r="II237" s="12">
        <f t="shared" si="195"/>
        <v>0</v>
      </c>
      <c r="IJ237" s="12">
        <f t="shared" si="196"/>
        <v>0</v>
      </c>
      <c r="IK237" s="12">
        <f t="shared" si="197"/>
        <v>0</v>
      </c>
      <c r="IL237" s="12">
        <f t="shared" si="198"/>
        <v>0</v>
      </c>
      <c r="IM237" s="12">
        <f t="shared" si="199"/>
        <v>0</v>
      </c>
      <c r="IN237" s="12">
        <f t="shared" si="200"/>
        <v>0</v>
      </c>
      <c r="IO237" s="12">
        <f t="shared" si="201"/>
        <v>0</v>
      </c>
      <c r="IP237" s="12">
        <f t="shared" si="202"/>
        <v>0</v>
      </c>
      <c r="IQ237" s="12">
        <f t="shared" si="203"/>
        <v>0</v>
      </c>
      <c r="IR237" s="12">
        <f t="shared" si="204"/>
        <v>0</v>
      </c>
      <c r="IS237" s="12">
        <f t="shared" si="205"/>
        <v>0</v>
      </c>
      <c r="IT237" s="12">
        <f t="shared" si="206"/>
        <v>0</v>
      </c>
      <c r="IU237" s="12">
        <f t="shared" si="207"/>
        <v>0</v>
      </c>
      <c r="IV237" s="12">
        <f t="shared" si="208"/>
        <v>0</v>
      </c>
      <c r="IW237" s="12">
        <f t="shared" si="209"/>
        <v>0</v>
      </c>
      <c r="IX237" s="12">
        <f t="shared" si="210"/>
        <v>0</v>
      </c>
      <c r="IY237" s="12">
        <f t="shared" si="211"/>
        <v>0</v>
      </c>
      <c r="IZ237" s="12">
        <f t="shared" si="212"/>
        <v>0</v>
      </c>
      <c r="JA237" s="13">
        <f t="shared" si="213"/>
        <v>0</v>
      </c>
      <c r="JB237" s="13">
        <f t="shared" si="214"/>
        <v>0</v>
      </c>
      <c r="JC237" s="13">
        <f t="shared" si="215"/>
        <v>0</v>
      </c>
      <c r="JD237" s="13">
        <f t="shared" si="216"/>
        <v>0</v>
      </c>
      <c r="JE237" s="13">
        <f t="shared" si="217"/>
        <v>0</v>
      </c>
      <c r="JF237" s="13">
        <f t="shared" si="218"/>
        <v>0</v>
      </c>
      <c r="JG237" s="13">
        <f t="shared" si="219"/>
        <v>0</v>
      </c>
      <c r="JH237" s="13">
        <f t="shared" si="220"/>
        <v>0</v>
      </c>
      <c r="JI237" s="13">
        <f t="shared" si="221"/>
        <v>0</v>
      </c>
      <c r="JJ237" s="13">
        <f t="shared" si="222"/>
        <v>0</v>
      </c>
      <c r="JK237" s="13">
        <f t="shared" si="223"/>
        <v>0</v>
      </c>
      <c r="JL237" s="13">
        <f t="shared" si="224"/>
        <v>0</v>
      </c>
      <c r="JM237" s="13">
        <f t="shared" si="225"/>
        <v>0</v>
      </c>
      <c r="JN237" s="13">
        <f t="shared" si="226"/>
        <v>0</v>
      </c>
      <c r="JO237" s="13">
        <f t="shared" si="227"/>
        <v>0</v>
      </c>
      <c r="JP237" s="13">
        <f t="shared" si="228"/>
        <v>0</v>
      </c>
      <c r="JQ237" s="13">
        <f t="shared" si="229"/>
        <v>0</v>
      </c>
      <c r="JR237" s="13">
        <f t="shared" si="230"/>
        <v>0</v>
      </c>
      <c r="JS237" s="13">
        <f t="shared" si="231"/>
        <v>0</v>
      </c>
      <c r="JT237" s="13">
        <f t="shared" si="232"/>
        <v>0</v>
      </c>
      <c r="JU237" s="13">
        <f t="shared" si="233"/>
        <v>0</v>
      </c>
      <c r="JV237" s="12">
        <f t="shared" si="234"/>
        <v>0</v>
      </c>
      <c r="JW237" s="12">
        <f t="shared" si="235"/>
        <v>0</v>
      </c>
      <c r="JX237" s="12">
        <f t="shared" si="236"/>
        <v>0</v>
      </c>
      <c r="JY237" s="12">
        <f t="shared" si="237"/>
        <v>0</v>
      </c>
      <c r="JZ237" s="12">
        <f t="shared" si="238"/>
        <v>0</v>
      </c>
      <c r="KA237" s="12">
        <f t="shared" si="239"/>
        <v>0</v>
      </c>
      <c r="KB237" s="12">
        <f t="shared" si="240"/>
        <v>0</v>
      </c>
      <c r="KC237" s="12">
        <f t="shared" si="241"/>
        <v>0</v>
      </c>
      <c r="KD237" s="12">
        <f t="shared" si="797"/>
        <v>0</v>
      </c>
      <c r="KE237" s="12">
        <f t="shared" si="243"/>
        <v>0</v>
      </c>
      <c r="KF237" s="12">
        <f t="shared" si="244"/>
        <v>0</v>
      </c>
      <c r="KG237" s="12">
        <f t="shared" si="245"/>
        <v>0</v>
      </c>
      <c r="KH237" s="12">
        <f t="shared" si="246"/>
        <v>0</v>
      </c>
      <c r="KI237" s="12">
        <f t="shared" si="247"/>
        <v>0</v>
      </c>
      <c r="KJ237" s="12">
        <f t="shared" si="248"/>
        <v>0</v>
      </c>
      <c r="KK237" s="12">
        <f t="shared" si="249"/>
        <v>0</v>
      </c>
      <c r="KL237" s="12">
        <f t="shared" si="250"/>
        <v>0</v>
      </c>
      <c r="KM237" s="12">
        <f t="shared" si="251"/>
        <v>0</v>
      </c>
      <c r="KN237" s="12">
        <f t="shared" si="252"/>
        <v>0</v>
      </c>
      <c r="KO237" s="12">
        <f t="shared" si="253"/>
        <v>0</v>
      </c>
      <c r="KP237" s="12">
        <f t="shared" si="254"/>
        <v>0</v>
      </c>
      <c r="KQ237" s="12">
        <f t="shared" si="255"/>
        <v>0</v>
      </c>
      <c r="KR237" s="12">
        <f t="shared" si="256"/>
        <v>0</v>
      </c>
      <c r="KS237" s="12">
        <f t="shared" si="257"/>
        <v>0</v>
      </c>
      <c r="KT237" s="12">
        <f t="shared" si="258"/>
        <v>0</v>
      </c>
      <c r="KU237" s="12">
        <f t="shared" si="259"/>
        <v>0</v>
      </c>
      <c r="KV237" s="12">
        <f t="shared" si="260"/>
        <v>0</v>
      </c>
      <c r="KW237" s="12">
        <f t="shared" si="261"/>
        <v>0</v>
      </c>
      <c r="KX237" s="12">
        <f t="shared" si="262"/>
        <v>0</v>
      </c>
      <c r="KY237" s="12">
        <f t="shared" si="263"/>
        <v>0</v>
      </c>
      <c r="KZ237" s="12">
        <f t="shared" si="264"/>
        <v>0</v>
      </c>
      <c r="LA237" s="12">
        <f t="shared" si="265"/>
        <v>0</v>
      </c>
      <c r="LB237" s="12">
        <f t="shared" si="266"/>
        <v>0</v>
      </c>
      <c r="LC237" s="12">
        <f t="shared" si="267"/>
        <v>0</v>
      </c>
      <c r="LD237" s="12">
        <f t="shared" si="268"/>
        <v>0</v>
      </c>
      <c r="LE237" s="12">
        <f t="shared" si="269"/>
        <v>0</v>
      </c>
      <c r="LF237" s="12">
        <f t="shared" si="270"/>
        <v>0</v>
      </c>
      <c r="LG237" s="12">
        <f t="shared" si="271"/>
        <v>0</v>
      </c>
      <c r="LH237" s="12">
        <f t="shared" si="272"/>
        <v>0</v>
      </c>
      <c r="LI237" s="12">
        <f t="shared" si="273"/>
        <v>0</v>
      </c>
      <c r="LJ237" s="12">
        <f t="shared" si="274"/>
        <v>0</v>
      </c>
      <c r="LK237" s="12">
        <f t="shared" si="275"/>
        <v>0</v>
      </c>
      <c r="LL237" s="12">
        <f t="shared" si="276"/>
        <v>0</v>
      </c>
      <c r="LM237" s="12">
        <f t="shared" si="277"/>
        <v>0</v>
      </c>
      <c r="LN237" s="12">
        <f t="shared" si="278"/>
        <v>0</v>
      </c>
      <c r="LO237" s="12">
        <f t="shared" si="279"/>
        <v>0</v>
      </c>
      <c r="LP237" s="12">
        <f t="shared" si="280"/>
        <v>0</v>
      </c>
      <c r="LQ237" s="12">
        <f t="shared" si="281"/>
        <v>0</v>
      </c>
      <c r="LR237" s="12">
        <f t="shared" si="282"/>
        <v>0</v>
      </c>
      <c r="LS237" s="12">
        <f t="shared" si="283"/>
        <v>0</v>
      </c>
      <c r="LT237" s="13">
        <f t="shared" si="284"/>
        <v>0</v>
      </c>
      <c r="LU237" s="13">
        <f t="shared" si="285"/>
        <v>0</v>
      </c>
      <c r="LV237" s="13">
        <f t="shared" si="286"/>
        <v>0</v>
      </c>
      <c r="LW237" s="13">
        <f t="shared" si="287"/>
        <v>0</v>
      </c>
      <c r="LX237" s="13">
        <f t="shared" si="288"/>
        <v>0</v>
      </c>
      <c r="LY237" s="13">
        <f t="shared" si="289"/>
        <v>0</v>
      </c>
      <c r="LZ237" s="13">
        <f t="shared" si="290"/>
        <v>0</v>
      </c>
      <c r="MA237" s="13">
        <f t="shared" si="291"/>
        <v>0</v>
      </c>
      <c r="MB237" s="13">
        <f t="shared" si="292"/>
        <v>0</v>
      </c>
      <c r="MC237" s="13">
        <f t="shared" si="293"/>
        <v>0</v>
      </c>
      <c r="MD237" s="13">
        <f t="shared" si="294"/>
        <v>0</v>
      </c>
      <c r="ME237" s="13">
        <f t="shared" si="295"/>
        <v>0</v>
      </c>
      <c r="MF237" s="13">
        <f t="shared" si="296"/>
        <v>0</v>
      </c>
      <c r="MG237" s="13">
        <f t="shared" si="297"/>
        <v>0</v>
      </c>
      <c r="MH237" s="13">
        <f t="shared" si="298"/>
        <v>0</v>
      </c>
      <c r="MI237" s="13">
        <f t="shared" si="299"/>
        <v>0</v>
      </c>
      <c r="MJ237" s="13">
        <f t="shared" si="300"/>
        <v>0</v>
      </c>
      <c r="MK237" s="13">
        <f t="shared" si="301"/>
        <v>0</v>
      </c>
      <c r="ML237" s="14">
        <f t="shared" si="302"/>
        <v>0</v>
      </c>
      <c r="MM237" s="14">
        <f t="shared" si="303"/>
        <v>0</v>
      </c>
      <c r="MN237" s="14">
        <f t="shared" si="304"/>
        <v>0</v>
      </c>
      <c r="MO237" s="14">
        <f t="shared" si="305"/>
        <v>0</v>
      </c>
      <c r="MP237" s="14">
        <f t="shared" si="306"/>
        <v>0</v>
      </c>
      <c r="MQ237" s="14">
        <f t="shared" si="307"/>
        <v>0</v>
      </c>
      <c r="MR237" s="14">
        <f t="shared" si="308"/>
        <v>0</v>
      </c>
      <c r="MS237" s="14">
        <f t="shared" si="309"/>
        <v>0</v>
      </c>
      <c r="MT237" s="14">
        <f t="shared" si="310"/>
        <v>0</v>
      </c>
      <c r="MU237" s="14">
        <f t="shared" si="311"/>
        <v>0</v>
      </c>
      <c r="MV237" s="14">
        <f t="shared" si="312"/>
        <v>0</v>
      </c>
      <c r="MW237" s="14">
        <f t="shared" si="313"/>
        <v>0</v>
      </c>
      <c r="MX237" s="14">
        <f t="shared" si="314"/>
        <v>0</v>
      </c>
      <c r="MY237" s="14">
        <f t="shared" si="315"/>
        <v>0</v>
      </c>
      <c r="MZ237" s="14">
        <f t="shared" si="316"/>
        <v>0</v>
      </c>
      <c r="NA237" s="14">
        <f t="shared" si="317"/>
        <v>0</v>
      </c>
      <c r="NB237" s="14">
        <f t="shared" si="318"/>
        <v>0</v>
      </c>
    </row>
    <row r="238" ht="15.75" customHeight="1">
      <c r="A238" s="2">
        <v>674.0</v>
      </c>
      <c r="B238" s="2" t="s">
        <v>4297</v>
      </c>
      <c r="C238" s="2" t="s">
        <v>4298</v>
      </c>
      <c r="D238" s="2" t="s">
        <v>4299</v>
      </c>
      <c r="E238" s="2">
        <v>2022.0</v>
      </c>
      <c r="F238" s="2" t="s">
        <v>1125</v>
      </c>
      <c r="G238" s="2">
        <v>13.0</v>
      </c>
      <c r="I238" s="2" t="s">
        <v>4300</v>
      </c>
      <c r="N238" s="2" t="s">
        <v>4301</v>
      </c>
      <c r="O238" s="2" t="s">
        <v>4302</v>
      </c>
      <c r="P238" s="2" t="s">
        <v>4303</v>
      </c>
      <c r="Q238" s="2" t="s">
        <v>4304</v>
      </c>
      <c r="R238" s="2" t="s">
        <v>4305</v>
      </c>
      <c r="S238" s="2" t="s">
        <v>4306</v>
      </c>
      <c r="Y238" s="2" t="s">
        <v>4307</v>
      </c>
      <c r="AB238" s="2" t="s">
        <v>1039</v>
      </c>
      <c r="AG238" s="2" t="s">
        <v>1134</v>
      </c>
      <c r="AK238" s="2" t="s">
        <v>1135</v>
      </c>
      <c r="AL238" s="2" t="s">
        <v>384</v>
      </c>
      <c r="AM238" s="2" t="s">
        <v>484</v>
      </c>
      <c r="AN238" s="2" t="s">
        <v>386</v>
      </c>
      <c r="AO238" s="2" t="s">
        <v>4308</v>
      </c>
      <c r="AP238" s="2" t="s">
        <v>386</v>
      </c>
      <c r="AQ238" s="2">
        <v>2654.0</v>
      </c>
      <c r="AR238" s="2" t="s">
        <v>4309</v>
      </c>
      <c r="AS238" s="2" t="b">
        <v>1</v>
      </c>
      <c r="AT238" s="3">
        <v>0.0</v>
      </c>
      <c r="AU238" s="4"/>
      <c r="AV238" s="4"/>
      <c r="AW238" s="5">
        <f t="shared" si="432"/>
        <v>0</v>
      </c>
      <c r="AX238" s="5">
        <f t="shared" si="4"/>
        <v>0</v>
      </c>
      <c r="AY238" s="5">
        <f t="shared" si="5"/>
        <v>0</v>
      </c>
      <c r="AZ238" s="5">
        <f t="shared" si="6"/>
        <v>0</v>
      </c>
      <c r="BA238" s="5">
        <f t="shared" si="7"/>
        <v>0</v>
      </c>
      <c r="BB238" s="5">
        <f t="shared" si="8"/>
        <v>0</v>
      </c>
      <c r="BC238" s="5">
        <f t="shared" si="9"/>
        <v>0</v>
      </c>
      <c r="BD238" s="5">
        <f t="shared" si="10"/>
        <v>0</v>
      </c>
      <c r="BE238" s="5">
        <f t="shared" si="11"/>
        <v>0</v>
      </c>
      <c r="BF238" s="5">
        <f t="shared" si="12"/>
        <v>0</v>
      </c>
      <c r="BG238" s="5">
        <f t="shared" si="13"/>
        <v>0</v>
      </c>
      <c r="BH238" s="5">
        <f t="shared" si="14"/>
        <v>0</v>
      </c>
      <c r="BI238" s="5">
        <f t="shared" si="15"/>
        <v>0</v>
      </c>
      <c r="BJ238" s="5">
        <f t="shared" si="16"/>
        <v>0</v>
      </c>
      <c r="BK238" s="5">
        <f t="shared" si="17"/>
        <v>0</v>
      </c>
      <c r="BL238" s="5">
        <f t="shared" si="18"/>
        <v>0</v>
      </c>
      <c r="BM238" s="5">
        <f t="shared" si="19"/>
        <v>0</v>
      </c>
      <c r="BN238" s="5">
        <f t="shared" si="20"/>
        <v>0</v>
      </c>
      <c r="BO238" s="5">
        <f t="shared" si="21"/>
        <v>0</v>
      </c>
      <c r="BP238" s="5">
        <f t="shared" si="22"/>
        <v>0</v>
      </c>
      <c r="BQ238" s="5">
        <f t="shared" si="23"/>
        <v>0</v>
      </c>
      <c r="BR238" s="5">
        <f t="shared" si="24"/>
        <v>0</v>
      </c>
      <c r="BS238" s="5">
        <f t="shared" si="25"/>
        <v>0</v>
      </c>
      <c r="BT238" s="5">
        <f t="shared" si="26"/>
        <v>0</v>
      </c>
      <c r="BU238" s="5">
        <f t="shared" si="27"/>
        <v>0</v>
      </c>
      <c r="BV238" s="5">
        <f t="shared" ref="BV238:BW238" si="837">IF(OR(ISNUMBER(SEARCH("grit",$D238)),ISNUMBER(SEARCH("grit",$T238)),ISNUMBER(SEARCH("grit",$R238)),ISNUMBER(SEARCH("grit",$S238)),
ISNUMBER(SEARCH("determination",$D238)),ISNUMBER(SEARCH("determination",$T238)),ISNUMBER(SEARCH("determination",$R238)),ISNUMBER(SEARCH("determination",$S238)),
ISNUMBER(SEARCH("tenacity",$D238)),ISNUMBER(SEARCH("tenacity",$T238)),ISNUMBER(SEARCH("tenacity",$R238)),ISNUMBER(SEARCH("tenacity",$S238)),
ISNUMBER(SEARCH("endurance",$D238)),ISNUMBER(SEARCH("endurance",$T238)),ISNUMBER(SEARCH("endurance",$R238)),ISNUMBER(SEARCH("endurance",$S238)),
ISNUMBER(SEARCH("fortitude",$D238)),ISNUMBER(SEARCH("fortitude",$T238)),ISNUMBER(SEARCH("fortitude",$R238)),ISNUMBER(SEARCH("fortitude",$S238)),
ISNUMBER(SEARCH("resolve",$D238)),ISNUMBER(SEARCH("resolve",$T238)),ISNUMBER(SEARCH("resolve",$R238)),ISNUMBER(SEARCH("resolve",$S238)),
ISNUMBER(SEARCH("stamina",$D238)),ISNUMBER(SEARCH("stamina",$T238)),ISNUMBER(SEARCH("stamina",$R238)),ISNUMBER(SEARCH("stamina",$S238)),
ISNUMBER(SEARCH("guts",$D238)),ISNUMBER(SEARCH("guts",$T238)),ISNUMBER(SEARCH("guts",$R238)),ISNUMBER(SEARCH("guts",$S238)),
ISNUMBER(SEARCH("spunk",$D238)),ISNUMBER(SEARCH("spunk",$T238)),ISNUMBER(SEARCH("spunk",$R238)),ISNUMBER(SEARCH("spunk",$S238))), 1, 0)</f>
        <v>0</v>
      </c>
      <c r="BW238" s="5">
        <f t="shared" si="837"/>
        <v>0</v>
      </c>
      <c r="BX238" s="5">
        <f t="shared" si="29"/>
        <v>0</v>
      </c>
      <c r="BY238" s="5">
        <f t="shared" si="30"/>
        <v>0</v>
      </c>
      <c r="BZ238" s="5">
        <f t="shared" si="31"/>
        <v>0</v>
      </c>
      <c r="CA238" s="5">
        <f t="shared" si="32"/>
        <v>0</v>
      </c>
      <c r="CB238" s="5">
        <f t="shared" si="33"/>
        <v>0</v>
      </c>
      <c r="CC238" s="5">
        <f t="shared" si="34"/>
        <v>0</v>
      </c>
      <c r="CD238" s="5">
        <f t="shared" si="35"/>
        <v>0</v>
      </c>
      <c r="CE238" s="5">
        <f t="shared" si="36"/>
        <v>0</v>
      </c>
      <c r="CF238" s="5">
        <f t="shared" si="37"/>
        <v>1</v>
      </c>
      <c r="CG238" s="5">
        <f t="shared" si="38"/>
        <v>0</v>
      </c>
      <c r="CH238" s="5">
        <f t="shared" si="39"/>
        <v>0</v>
      </c>
      <c r="CI238" s="5">
        <f t="shared" si="40"/>
        <v>0</v>
      </c>
      <c r="CJ238" s="5">
        <f t="shared" si="41"/>
        <v>0</v>
      </c>
      <c r="CK238" s="5">
        <f t="shared" si="42"/>
        <v>1</v>
      </c>
      <c r="CL238" s="5">
        <f t="shared" si="43"/>
        <v>0</v>
      </c>
      <c r="CM238" s="5">
        <f t="shared" si="44"/>
        <v>0</v>
      </c>
      <c r="CN238" s="5">
        <f t="shared" si="45"/>
        <v>0</v>
      </c>
      <c r="CO238" s="5">
        <f t="shared" si="46"/>
        <v>0</v>
      </c>
      <c r="CP238" s="6">
        <f t="shared" si="47"/>
        <v>1</v>
      </c>
      <c r="CQ238" s="6">
        <f t="shared" si="48"/>
        <v>0</v>
      </c>
      <c r="CR238" s="6">
        <f t="shared" si="49"/>
        <v>0</v>
      </c>
      <c r="CS238" s="6">
        <f t="shared" si="50"/>
        <v>0</v>
      </c>
      <c r="CT238" s="6">
        <f t="shared" si="584"/>
        <v>0</v>
      </c>
      <c r="CU238" s="6">
        <f t="shared" si="52"/>
        <v>0</v>
      </c>
      <c r="CV238" s="6">
        <f t="shared" si="53"/>
        <v>0</v>
      </c>
      <c r="CW238" s="6">
        <f t="shared" si="54"/>
        <v>0</v>
      </c>
      <c r="CX238" s="6">
        <f t="shared" si="55"/>
        <v>0</v>
      </c>
      <c r="CY238" s="6">
        <f t="shared" si="56"/>
        <v>0</v>
      </c>
      <c r="CZ238" s="6">
        <f t="shared" si="57"/>
        <v>1</v>
      </c>
      <c r="DA238" s="6">
        <f t="shared" si="58"/>
        <v>0</v>
      </c>
      <c r="DB238" s="6">
        <f t="shared" si="59"/>
        <v>0</v>
      </c>
      <c r="DC238" s="6">
        <f t="shared" si="60"/>
        <v>0</v>
      </c>
      <c r="DD238" s="6">
        <f t="shared" si="61"/>
        <v>0</v>
      </c>
      <c r="DE238" s="6">
        <f t="shared" si="62"/>
        <v>0</v>
      </c>
      <c r="DF238" s="6">
        <f t="shared" si="63"/>
        <v>0</v>
      </c>
      <c r="DG238" s="6">
        <f t="shared" si="64"/>
        <v>0</v>
      </c>
      <c r="DH238" s="6">
        <f t="shared" si="697"/>
        <v>0</v>
      </c>
      <c r="DI238" s="6">
        <f t="shared" si="66"/>
        <v>0</v>
      </c>
      <c r="DJ238" s="6">
        <f t="shared" si="653"/>
        <v>0</v>
      </c>
      <c r="DK238" s="7">
        <f t="shared" si="68"/>
        <v>0</v>
      </c>
      <c r="DL238" s="7">
        <f t="shared" si="498"/>
        <v>0</v>
      </c>
      <c r="DM238" s="7">
        <f t="shared" si="70"/>
        <v>0</v>
      </c>
      <c r="DN238" s="7">
        <f t="shared" si="71"/>
        <v>0</v>
      </c>
      <c r="DO238" s="7">
        <f t="shared" si="72"/>
        <v>1</v>
      </c>
      <c r="DP238" s="8">
        <f t="shared" si="73"/>
        <v>0</v>
      </c>
      <c r="DQ238" s="8">
        <f t="shared" si="74"/>
        <v>1</v>
      </c>
      <c r="DR238" s="7">
        <f t="shared" si="75"/>
        <v>0</v>
      </c>
      <c r="DS238" s="7">
        <f t="shared" si="76"/>
        <v>0</v>
      </c>
      <c r="DT238" s="7">
        <f t="shared" si="77"/>
        <v>0</v>
      </c>
      <c r="DU238" s="9">
        <f t="shared" si="78"/>
        <v>0</v>
      </c>
      <c r="DV238" s="9">
        <f t="shared" si="79"/>
        <v>0</v>
      </c>
      <c r="DW238" s="9">
        <f t="shared" si="80"/>
        <v>0</v>
      </c>
      <c r="DX238" s="9">
        <f t="shared" si="81"/>
        <v>0</v>
      </c>
      <c r="DY238" s="9">
        <f t="shared" si="82"/>
        <v>0</v>
      </c>
      <c r="DZ238" s="9">
        <f t="shared" si="83"/>
        <v>0</v>
      </c>
      <c r="EA238" s="9">
        <f t="shared" si="84"/>
        <v>0</v>
      </c>
      <c r="EB238" s="9">
        <f t="shared" si="85"/>
        <v>0</v>
      </c>
      <c r="EC238" s="9">
        <f t="shared" si="86"/>
        <v>0</v>
      </c>
      <c r="ED238" s="9">
        <f t="shared" si="87"/>
        <v>0</v>
      </c>
      <c r="EE238" s="9">
        <f t="shared" si="88"/>
        <v>0</v>
      </c>
      <c r="EF238" s="9">
        <f t="shared" si="89"/>
        <v>0</v>
      </c>
      <c r="EG238" s="9">
        <f t="shared" si="90"/>
        <v>0</v>
      </c>
      <c r="EH238" s="9">
        <f t="shared" si="91"/>
        <v>0</v>
      </c>
      <c r="EI238" s="9">
        <f t="shared" si="92"/>
        <v>0</v>
      </c>
      <c r="EJ238" s="10">
        <f t="shared" si="93"/>
        <v>0</v>
      </c>
      <c r="EK238" s="10">
        <f t="shared" si="94"/>
        <v>0</v>
      </c>
      <c r="EL238" s="10">
        <f t="shared" ref="EL238:EM238" si="838">IF(OR(ISNUMBER(SEARCH("ai software toolkit", $D238)), ISNUMBER(SEARCH("ai software toolkit", $T238)), ISNUMBER(SEARCH("ai software toolkit", $R238)), ISNUMBER(SEARCH("ai software toolkit", $S238))), 1, 0)</f>
        <v>0</v>
      </c>
      <c r="EM238" s="10">
        <f t="shared" si="838"/>
        <v>0</v>
      </c>
      <c r="EN238" s="10">
        <f t="shared" si="96"/>
        <v>0</v>
      </c>
      <c r="EO238" s="10">
        <f t="shared" si="97"/>
        <v>0</v>
      </c>
      <c r="EP238" s="10">
        <f t="shared" si="98"/>
        <v>0</v>
      </c>
      <c r="EQ238" s="10">
        <f t="shared" si="99"/>
        <v>0</v>
      </c>
      <c r="ER238" s="10">
        <f t="shared" si="100"/>
        <v>0</v>
      </c>
      <c r="ES238" s="10">
        <f t="shared" si="101"/>
        <v>0</v>
      </c>
      <c r="ET238" s="10">
        <f t="shared" si="102"/>
        <v>0</v>
      </c>
      <c r="EU238" s="10">
        <f t="shared" si="103"/>
        <v>0</v>
      </c>
      <c r="EV238" s="10">
        <f t="shared" si="104"/>
        <v>0</v>
      </c>
      <c r="EW238" s="10">
        <f t="shared" si="105"/>
        <v>0</v>
      </c>
      <c r="EX238" s="10">
        <f t="shared" si="106"/>
        <v>0</v>
      </c>
      <c r="EY238" s="10">
        <f t="shared" si="107"/>
        <v>0</v>
      </c>
      <c r="EZ238" s="10">
        <f t="shared" si="108"/>
        <v>0</v>
      </c>
      <c r="FA238" s="10">
        <f t="shared" si="109"/>
        <v>0</v>
      </c>
      <c r="FB238" s="10">
        <f t="shared" si="110"/>
        <v>0</v>
      </c>
      <c r="FC238" s="10">
        <f t="shared" si="111"/>
        <v>0</v>
      </c>
      <c r="FD238" s="10">
        <f t="shared" si="112"/>
        <v>0</v>
      </c>
      <c r="FE238" s="10">
        <f t="shared" si="782"/>
        <v>0</v>
      </c>
      <c r="FF238" s="10">
        <f t="shared" si="114"/>
        <v>0</v>
      </c>
      <c r="FG238" s="10">
        <f t="shared" si="115"/>
        <v>0</v>
      </c>
      <c r="FH238" s="10">
        <f t="shared" si="116"/>
        <v>0</v>
      </c>
      <c r="FI238" s="10">
        <f t="shared" si="117"/>
        <v>0</v>
      </c>
      <c r="FJ238" s="10">
        <f t="shared" si="118"/>
        <v>0</v>
      </c>
      <c r="FK238" s="10">
        <f t="shared" si="119"/>
        <v>0</v>
      </c>
      <c r="FL238" s="10">
        <f t="shared" si="120"/>
        <v>0</v>
      </c>
      <c r="FM238" s="10">
        <f t="shared" si="121"/>
        <v>0</v>
      </c>
      <c r="FN238" s="10">
        <f t="shared" si="122"/>
        <v>0</v>
      </c>
      <c r="FO238" s="10">
        <f t="shared" si="123"/>
        <v>0</v>
      </c>
      <c r="FP238" s="10">
        <f t="shared" si="124"/>
        <v>0</v>
      </c>
      <c r="FQ238" s="10">
        <f t="shared" si="125"/>
        <v>0</v>
      </c>
      <c r="FR238" s="11">
        <f t="shared" si="804"/>
        <v>0</v>
      </c>
      <c r="FS238" s="11">
        <f t="shared" si="127"/>
        <v>0</v>
      </c>
      <c r="FT238" s="11">
        <f t="shared" si="128"/>
        <v>0</v>
      </c>
      <c r="FU238" s="11">
        <f t="shared" si="129"/>
        <v>0</v>
      </c>
      <c r="FV238" s="11">
        <f t="shared" si="130"/>
        <v>0</v>
      </c>
      <c r="FW238" s="11">
        <f t="shared" si="131"/>
        <v>0</v>
      </c>
      <c r="FX238" s="11">
        <f t="shared" si="132"/>
        <v>0</v>
      </c>
      <c r="FY238" s="11">
        <f t="shared" si="133"/>
        <v>0</v>
      </c>
      <c r="FZ238" s="11">
        <f t="shared" si="134"/>
        <v>0</v>
      </c>
      <c r="GA238" s="11">
        <f t="shared" si="135"/>
        <v>0</v>
      </c>
      <c r="GB238" s="11">
        <f t="shared" si="136"/>
        <v>0</v>
      </c>
      <c r="GC238" s="11">
        <f t="shared" si="137"/>
        <v>0</v>
      </c>
      <c r="GD238" s="11">
        <f t="shared" si="138"/>
        <v>0</v>
      </c>
      <c r="GE238" s="11">
        <f t="shared" si="139"/>
        <v>0</v>
      </c>
      <c r="GF238" s="11">
        <f t="shared" si="140"/>
        <v>0</v>
      </c>
      <c r="GG238" s="11">
        <f t="shared" si="141"/>
        <v>0</v>
      </c>
      <c r="GH238" s="11">
        <f t="shared" si="142"/>
        <v>0</v>
      </c>
      <c r="GI238" s="11">
        <f t="shared" si="143"/>
        <v>0</v>
      </c>
      <c r="GJ238" s="11">
        <f t="shared" si="144"/>
        <v>0</v>
      </c>
      <c r="GK238" s="11">
        <f t="shared" si="145"/>
        <v>0</v>
      </c>
      <c r="GL238" s="11">
        <f t="shared" si="146"/>
        <v>0</v>
      </c>
      <c r="GM238" s="11">
        <f t="shared" si="147"/>
        <v>0</v>
      </c>
      <c r="GN238" s="11">
        <f t="shared" si="148"/>
        <v>0</v>
      </c>
      <c r="GO238" s="11">
        <f t="shared" si="149"/>
        <v>0</v>
      </c>
      <c r="GP238" s="11">
        <f t="shared" si="150"/>
        <v>0</v>
      </c>
      <c r="GQ238" s="11">
        <f t="shared" si="151"/>
        <v>0</v>
      </c>
      <c r="GR238" s="11">
        <f t="shared" si="152"/>
        <v>0</v>
      </c>
      <c r="GS238" s="11">
        <f t="shared" si="153"/>
        <v>0</v>
      </c>
      <c r="GT238" s="11">
        <f t="shared" si="154"/>
        <v>0</v>
      </c>
      <c r="GU238" s="12">
        <f t="shared" si="155"/>
        <v>0</v>
      </c>
      <c r="GV238" s="12">
        <f t="shared" si="156"/>
        <v>0</v>
      </c>
      <c r="GW238" s="12">
        <f t="shared" si="157"/>
        <v>0</v>
      </c>
      <c r="GX238" s="12">
        <f t="shared" si="158"/>
        <v>0</v>
      </c>
      <c r="GY238" s="12">
        <f t="shared" si="159"/>
        <v>0</v>
      </c>
      <c r="GZ238" s="12">
        <f t="shared" si="160"/>
        <v>0</v>
      </c>
      <c r="HA238" s="12">
        <f t="shared" si="161"/>
        <v>0</v>
      </c>
      <c r="HB238" s="12">
        <f t="shared" si="162"/>
        <v>0</v>
      </c>
      <c r="HC238" s="12">
        <f t="shared" si="163"/>
        <v>0</v>
      </c>
      <c r="HD238" s="12">
        <f t="shared" si="164"/>
        <v>0</v>
      </c>
      <c r="HE238" s="12">
        <f t="shared" si="165"/>
        <v>0</v>
      </c>
      <c r="HF238" s="12">
        <f t="shared" si="166"/>
        <v>0</v>
      </c>
      <c r="HG238" s="12">
        <f t="shared" si="167"/>
        <v>0</v>
      </c>
      <c r="HH238" s="12">
        <f t="shared" si="168"/>
        <v>0</v>
      </c>
      <c r="HI238" s="12">
        <f t="shared" si="169"/>
        <v>0</v>
      </c>
      <c r="HJ238" s="12">
        <f t="shared" si="170"/>
        <v>0</v>
      </c>
      <c r="HK238" s="12">
        <f t="shared" si="171"/>
        <v>0</v>
      </c>
      <c r="HL238" s="12">
        <f t="shared" si="172"/>
        <v>0</v>
      </c>
      <c r="HM238" s="12">
        <f t="shared" si="173"/>
        <v>0</v>
      </c>
      <c r="HN238" s="12">
        <f t="shared" si="174"/>
        <v>0</v>
      </c>
      <c r="HO238" s="12">
        <f t="shared" si="175"/>
        <v>0</v>
      </c>
      <c r="HP238" s="12">
        <f t="shared" si="176"/>
        <v>0</v>
      </c>
      <c r="HQ238" s="12">
        <f t="shared" si="177"/>
        <v>0</v>
      </c>
      <c r="HR238" s="12">
        <f t="shared" si="178"/>
        <v>0</v>
      </c>
      <c r="HS238" s="12">
        <f t="shared" si="179"/>
        <v>0</v>
      </c>
      <c r="HT238" s="12">
        <f t="shared" si="180"/>
        <v>0</v>
      </c>
      <c r="HU238" s="12">
        <f t="shared" si="181"/>
        <v>0</v>
      </c>
      <c r="HV238" s="12">
        <f t="shared" si="182"/>
        <v>0</v>
      </c>
      <c r="HW238" s="12">
        <f t="shared" si="183"/>
        <v>0</v>
      </c>
      <c r="HX238" s="12">
        <f t="shared" si="184"/>
        <v>0</v>
      </c>
      <c r="HY238" s="12">
        <f t="shared" si="185"/>
        <v>0</v>
      </c>
      <c r="HZ238" s="12">
        <f t="shared" si="186"/>
        <v>0</v>
      </c>
      <c r="IA238" s="12">
        <f t="shared" si="187"/>
        <v>0</v>
      </c>
      <c r="IB238" s="12">
        <f t="shared" si="188"/>
        <v>0</v>
      </c>
      <c r="IC238" s="12">
        <f t="shared" si="189"/>
        <v>0</v>
      </c>
      <c r="ID238" s="12">
        <f t="shared" si="190"/>
        <v>0</v>
      </c>
      <c r="IE238" s="12">
        <f t="shared" si="191"/>
        <v>0</v>
      </c>
      <c r="IF238" s="12">
        <f t="shared" si="192"/>
        <v>0</v>
      </c>
      <c r="IG238" s="12">
        <f t="shared" si="193"/>
        <v>0</v>
      </c>
      <c r="IH238" s="12">
        <f t="shared" si="194"/>
        <v>0</v>
      </c>
      <c r="II238" s="12">
        <f t="shared" si="195"/>
        <v>0</v>
      </c>
      <c r="IJ238" s="12">
        <f t="shared" si="196"/>
        <v>0</v>
      </c>
      <c r="IK238" s="12">
        <f t="shared" si="197"/>
        <v>0</v>
      </c>
      <c r="IL238" s="12">
        <f t="shared" si="198"/>
        <v>0</v>
      </c>
      <c r="IM238" s="12">
        <f t="shared" si="199"/>
        <v>0</v>
      </c>
      <c r="IN238" s="12">
        <f t="shared" si="200"/>
        <v>0</v>
      </c>
      <c r="IO238" s="12">
        <f t="shared" si="201"/>
        <v>0</v>
      </c>
      <c r="IP238" s="12">
        <f t="shared" si="202"/>
        <v>0</v>
      </c>
      <c r="IQ238" s="12">
        <f t="shared" si="203"/>
        <v>0</v>
      </c>
      <c r="IR238" s="12">
        <f t="shared" si="204"/>
        <v>0</v>
      </c>
      <c r="IS238" s="12">
        <f t="shared" si="205"/>
        <v>0</v>
      </c>
      <c r="IT238" s="12">
        <f t="shared" si="206"/>
        <v>0</v>
      </c>
      <c r="IU238" s="12">
        <f t="shared" si="207"/>
        <v>0</v>
      </c>
      <c r="IV238" s="12">
        <f t="shared" si="208"/>
        <v>0</v>
      </c>
      <c r="IW238" s="12">
        <f t="shared" si="209"/>
        <v>0</v>
      </c>
      <c r="IX238" s="12">
        <f t="shared" si="210"/>
        <v>0</v>
      </c>
      <c r="IY238" s="12">
        <f t="shared" si="211"/>
        <v>0</v>
      </c>
      <c r="IZ238" s="12">
        <f t="shared" si="212"/>
        <v>0</v>
      </c>
      <c r="JA238" s="13">
        <f t="shared" si="213"/>
        <v>0</v>
      </c>
      <c r="JB238" s="13">
        <f t="shared" si="214"/>
        <v>0</v>
      </c>
      <c r="JC238" s="13">
        <f t="shared" si="215"/>
        <v>0</v>
      </c>
      <c r="JD238" s="13">
        <f t="shared" si="216"/>
        <v>0</v>
      </c>
      <c r="JE238" s="13">
        <f t="shared" si="217"/>
        <v>0</v>
      </c>
      <c r="JF238" s="13">
        <f t="shared" si="218"/>
        <v>0</v>
      </c>
      <c r="JG238" s="13">
        <f t="shared" si="219"/>
        <v>0</v>
      </c>
      <c r="JH238" s="13">
        <f t="shared" si="220"/>
        <v>0</v>
      </c>
      <c r="JI238" s="13">
        <f t="shared" si="221"/>
        <v>0</v>
      </c>
      <c r="JJ238" s="13">
        <f t="shared" si="222"/>
        <v>0</v>
      </c>
      <c r="JK238" s="13">
        <f t="shared" si="223"/>
        <v>0</v>
      </c>
      <c r="JL238" s="13">
        <f t="shared" si="224"/>
        <v>0</v>
      </c>
      <c r="JM238" s="13">
        <f t="shared" si="225"/>
        <v>0</v>
      </c>
      <c r="JN238" s="13">
        <f t="shared" si="226"/>
        <v>0</v>
      </c>
      <c r="JO238" s="13">
        <f t="shared" si="227"/>
        <v>0</v>
      </c>
      <c r="JP238" s="13">
        <f t="shared" si="228"/>
        <v>0</v>
      </c>
      <c r="JQ238" s="13">
        <f t="shared" si="229"/>
        <v>0</v>
      </c>
      <c r="JR238" s="13">
        <f t="shared" si="230"/>
        <v>0</v>
      </c>
      <c r="JS238" s="13">
        <f t="shared" si="231"/>
        <v>0</v>
      </c>
      <c r="JT238" s="13">
        <f t="shared" si="232"/>
        <v>0</v>
      </c>
      <c r="JU238" s="13">
        <f t="shared" si="233"/>
        <v>0</v>
      </c>
      <c r="JV238" s="12">
        <f t="shared" si="234"/>
        <v>0</v>
      </c>
      <c r="JW238" s="12">
        <f t="shared" si="235"/>
        <v>0</v>
      </c>
      <c r="JX238" s="12">
        <f t="shared" si="236"/>
        <v>0</v>
      </c>
      <c r="JY238" s="12">
        <f t="shared" si="237"/>
        <v>0</v>
      </c>
      <c r="JZ238" s="12">
        <f t="shared" si="238"/>
        <v>0</v>
      </c>
      <c r="KA238" s="12">
        <f t="shared" si="239"/>
        <v>0</v>
      </c>
      <c r="KB238" s="12">
        <f t="shared" si="240"/>
        <v>0</v>
      </c>
      <c r="KC238" s="12">
        <f t="shared" si="241"/>
        <v>0</v>
      </c>
      <c r="KD238" s="12">
        <f t="shared" si="797"/>
        <v>0</v>
      </c>
      <c r="KE238" s="12">
        <f t="shared" si="243"/>
        <v>0</v>
      </c>
      <c r="KF238" s="12">
        <f t="shared" si="244"/>
        <v>0</v>
      </c>
      <c r="KG238" s="12">
        <f t="shared" si="245"/>
        <v>0</v>
      </c>
      <c r="KH238" s="12">
        <f t="shared" si="246"/>
        <v>0</v>
      </c>
      <c r="KI238" s="12">
        <f t="shared" si="247"/>
        <v>0</v>
      </c>
      <c r="KJ238" s="12">
        <f t="shared" si="248"/>
        <v>0</v>
      </c>
      <c r="KK238" s="12">
        <f t="shared" si="249"/>
        <v>0</v>
      </c>
      <c r="KL238" s="12">
        <f t="shared" si="250"/>
        <v>0</v>
      </c>
      <c r="KM238" s="12">
        <f t="shared" si="251"/>
        <v>0</v>
      </c>
      <c r="KN238" s="12">
        <f t="shared" si="252"/>
        <v>0</v>
      </c>
      <c r="KO238" s="12">
        <f t="shared" si="253"/>
        <v>0</v>
      </c>
      <c r="KP238" s="12">
        <f t="shared" si="254"/>
        <v>0</v>
      </c>
      <c r="KQ238" s="12">
        <f t="shared" si="255"/>
        <v>0</v>
      </c>
      <c r="KR238" s="12">
        <f t="shared" si="256"/>
        <v>0</v>
      </c>
      <c r="KS238" s="12">
        <f t="shared" si="257"/>
        <v>0</v>
      </c>
      <c r="KT238" s="12">
        <f t="shared" si="258"/>
        <v>0</v>
      </c>
      <c r="KU238" s="12">
        <f t="shared" si="259"/>
        <v>0</v>
      </c>
      <c r="KV238" s="12">
        <f t="shared" si="260"/>
        <v>0</v>
      </c>
      <c r="KW238" s="12">
        <f t="shared" si="261"/>
        <v>0</v>
      </c>
      <c r="KX238" s="12">
        <f t="shared" si="262"/>
        <v>0</v>
      </c>
      <c r="KY238" s="12">
        <f t="shared" si="263"/>
        <v>0</v>
      </c>
      <c r="KZ238" s="12">
        <f t="shared" si="264"/>
        <v>0</v>
      </c>
      <c r="LA238" s="12">
        <f t="shared" si="265"/>
        <v>0</v>
      </c>
      <c r="LB238" s="12">
        <f t="shared" si="266"/>
        <v>0</v>
      </c>
      <c r="LC238" s="12">
        <f t="shared" si="267"/>
        <v>0</v>
      </c>
      <c r="LD238" s="12">
        <f t="shared" si="268"/>
        <v>0</v>
      </c>
      <c r="LE238" s="12">
        <f t="shared" si="269"/>
        <v>0</v>
      </c>
      <c r="LF238" s="12">
        <f t="shared" si="270"/>
        <v>0</v>
      </c>
      <c r="LG238" s="12">
        <f t="shared" si="271"/>
        <v>0</v>
      </c>
      <c r="LH238" s="12">
        <f t="shared" si="272"/>
        <v>0</v>
      </c>
      <c r="LI238" s="12">
        <f t="shared" si="273"/>
        <v>0</v>
      </c>
      <c r="LJ238" s="12">
        <f t="shared" si="274"/>
        <v>0</v>
      </c>
      <c r="LK238" s="12">
        <f t="shared" si="275"/>
        <v>0</v>
      </c>
      <c r="LL238" s="12">
        <f t="shared" si="276"/>
        <v>0</v>
      </c>
      <c r="LM238" s="12">
        <f t="shared" si="277"/>
        <v>0</v>
      </c>
      <c r="LN238" s="12">
        <f t="shared" si="278"/>
        <v>0</v>
      </c>
      <c r="LO238" s="12">
        <f t="shared" si="279"/>
        <v>0</v>
      </c>
      <c r="LP238" s="12">
        <f t="shared" si="280"/>
        <v>0</v>
      </c>
      <c r="LQ238" s="12">
        <f t="shared" si="281"/>
        <v>0</v>
      </c>
      <c r="LR238" s="12">
        <f t="shared" si="282"/>
        <v>0</v>
      </c>
      <c r="LS238" s="12">
        <f t="shared" si="283"/>
        <v>0</v>
      </c>
      <c r="LT238" s="13">
        <f t="shared" si="284"/>
        <v>0</v>
      </c>
      <c r="LU238" s="13">
        <f t="shared" si="285"/>
        <v>0</v>
      </c>
      <c r="LV238" s="13">
        <f t="shared" si="286"/>
        <v>0</v>
      </c>
      <c r="LW238" s="13">
        <f t="shared" si="287"/>
        <v>0</v>
      </c>
      <c r="LX238" s="13">
        <f t="shared" si="288"/>
        <v>0</v>
      </c>
      <c r="LY238" s="13">
        <f t="shared" si="289"/>
        <v>0</v>
      </c>
      <c r="LZ238" s="13">
        <f t="shared" si="290"/>
        <v>0</v>
      </c>
      <c r="MA238" s="13">
        <f t="shared" si="291"/>
        <v>0</v>
      </c>
      <c r="MB238" s="13">
        <f t="shared" si="292"/>
        <v>0</v>
      </c>
      <c r="MC238" s="13">
        <f t="shared" si="293"/>
        <v>0</v>
      </c>
      <c r="MD238" s="13">
        <f t="shared" si="294"/>
        <v>0</v>
      </c>
      <c r="ME238" s="13">
        <f t="shared" si="295"/>
        <v>0</v>
      </c>
      <c r="MF238" s="13">
        <f t="shared" si="296"/>
        <v>0</v>
      </c>
      <c r="MG238" s="13">
        <f t="shared" si="297"/>
        <v>0</v>
      </c>
      <c r="MH238" s="13">
        <f t="shared" si="298"/>
        <v>0</v>
      </c>
      <c r="MI238" s="13">
        <f t="shared" si="299"/>
        <v>0</v>
      </c>
      <c r="MJ238" s="13">
        <f t="shared" si="300"/>
        <v>0</v>
      </c>
      <c r="MK238" s="13">
        <f t="shared" si="301"/>
        <v>0</v>
      </c>
      <c r="ML238" s="14">
        <f t="shared" si="302"/>
        <v>0</v>
      </c>
      <c r="MM238" s="14">
        <f t="shared" si="303"/>
        <v>0</v>
      </c>
      <c r="MN238" s="14">
        <f t="shared" si="304"/>
        <v>0</v>
      </c>
      <c r="MO238" s="14">
        <f t="shared" si="305"/>
        <v>0</v>
      </c>
      <c r="MP238" s="14">
        <f t="shared" si="306"/>
        <v>0</v>
      </c>
      <c r="MQ238" s="14">
        <f t="shared" si="307"/>
        <v>0</v>
      </c>
      <c r="MR238" s="14">
        <f t="shared" si="308"/>
        <v>0</v>
      </c>
      <c r="MS238" s="14">
        <f t="shared" si="309"/>
        <v>0</v>
      </c>
      <c r="MT238" s="14">
        <f t="shared" si="310"/>
        <v>0</v>
      </c>
      <c r="MU238" s="14">
        <f t="shared" si="311"/>
        <v>0</v>
      </c>
      <c r="MV238" s="14">
        <f t="shared" si="312"/>
        <v>0</v>
      </c>
      <c r="MW238" s="14">
        <f t="shared" si="313"/>
        <v>0</v>
      </c>
      <c r="MX238" s="14">
        <f t="shared" si="314"/>
        <v>0</v>
      </c>
      <c r="MY238" s="14">
        <f t="shared" si="315"/>
        <v>0</v>
      </c>
      <c r="MZ238" s="14">
        <f t="shared" si="316"/>
        <v>0</v>
      </c>
      <c r="NA238" s="14">
        <f t="shared" si="317"/>
        <v>0</v>
      </c>
      <c r="NB238" s="14">
        <f t="shared" si="318"/>
        <v>0</v>
      </c>
    </row>
    <row r="239" ht="15.75" customHeight="1">
      <c r="A239" s="2">
        <v>538.0</v>
      </c>
      <c r="B239" s="2" t="s">
        <v>4310</v>
      </c>
      <c r="C239" s="2" t="s">
        <v>4311</v>
      </c>
      <c r="D239" s="2" t="s">
        <v>4312</v>
      </c>
      <c r="E239" s="2">
        <v>2023.0</v>
      </c>
      <c r="F239" s="2" t="s">
        <v>1837</v>
      </c>
      <c r="G239" s="2">
        <v>12.0</v>
      </c>
      <c r="H239" s="2" t="s">
        <v>392</v>
      </c>
      <c r="I239" s="2" t="s">
        <v>4313</v>
      </c>
      <c r="N239" s="2" t="s">
        <v>4314</v>
      </c>
      <c r="O239" s="2" t="s">
        <v>4315</v>
      </c>
      <c r="P239" s="2" t="s">
        <v>4316</v>
      </c>
      <c r="Q239" s="2" t="s">
        <v>4317</v>
      </c>
      <c r="R239" s="2" t="s">
        <v>4318</v>
      </c>
      <c r="S239" s="2" t="s">
        <v>4319</v>
      </c>
      <c r="Y239" s="2" t="s">
        <v>4320</v>
      </c>
      <c r="AB239" s="2" t="s">
        <v>1303</v>
      </c>
      <c r="AG239" s="2" t="s">
        <v>1846</v>
      </c>
      <c r="AK239" s="2" t="s">
        <v>1837</v>
      </c>
      <c r="AL239" s="2" t="s">
        <v>384</v>
      </c>
      <c r="AM239" s="2" t="s">
        <v>1306</v>
      </c>
      <c r="AN239" s="2" t="s">
        <v>386</v>
      </c>
      <c r="AO239" s="2" t="s">
        <v>4321</v>
      </c>
      <c r="AP239" s="2" t="s">
        <v>386</v>
      </c>
      <c r="AQ239" s="2">
        <v>2095.0</v>
      </c>
      <c r="AR239" s="2" t="s">
        <v>4322</v>
      </c>
      <c r="AS239" s="2" t="b">
        <v>1</v>
      </c>
      <c r="AT239" s="3">
        <v>0.0</v>
      </c>
      <c r="AU239" s="4"/>
      <c r="AV239" s="4"/>
      <c r="AW239" s="5">
        <f t="shared" si="432"/>
        <v>0</v>
      </c>
      <c r="AX239" s="5">
        <f t="shared" si="4"/>
        <v>0</v>
      </c>
      <c r="AY239" s="5">
        <f t="shared" si="5"/>
        <v>0</v>
      </c>
      <c r="AZ239" s="5">
        <f t="shared" si="6"/>
        <v>0</v>
      </c>
      <c r="BA239" s="5">
        <f t="shared" si="7"/>
        <v>0</v>
      </c>
      <c r="BB239" s="5">
        <f t="shared" si="8"/>
        <v>0</v>
      </c>
      <c r="BC239" s="5">
        <f t="shared" si="9"/>
        <v>0</v>
      </c>
      <c r="BD239" s="5">
        <f t="shared" si="10"/>
        <v>0</v>
      </c>
      <c r="BE239" s="5">
        <f t="shared" si="11"/>
        <v>0</v>
      </c>
      <c r="BF239" s="5">
        <f t="shared" si="12"/>
        <v>0</v>
      </c>
      <c r="BG239" s="5">
        <f t="shared" si="13"/>
        <v>0</v>
      </c>
      <c r="BH239" s="5">
        <f t="shared" si="14"/>
        <v>0</v>
      </c>
      <c r="BI239" s="5">
        <f t="shared" si="15"/>
        <v>0</v>
      </c>
      <c r="BJ239" s="5">
        <f t="shared" si="16"/>
        <v>0</v>
      </c>
      <c r="BK239" s="5">
        <f t="shared" si="17"/>
        <v>0</v>
      </c>
      <c r="BL239" s="5">
        <f t="shared" si="18"/>
        <v>0</v>
      </c>
      <c r="BM239" s="5">
        <f t="shared" si="19"/>
        <v>0</v>
      </c>
      <c r="BN239" s="5">
        <f t="shared" si="20"/>
        <v>0</v>
      </c>
      <c r="BO239" s="5">
        <f t="shared" si="21"/>
        <v>0</v>
      </c>
      <c r="BP239" s="5">
        <f t="shared" si="22"/>
        <v>0</v>
      </c>
      <c r="BQ239" s="5">
        <f t="shared" si="23"/>
        <v>0</v>
      </c>
      <c r="BR239" s="5">
        <f t="shared" si="24"/>
        <v>0</v>
      </c>
      <c r="BS239" s="5">
        <f t="shared" si="25"/>
        <v>0</v>
      </c>
      <c r="BT239" s="5">
        <f t="shared" si="26"/>
        <v>0</v>
      </c>
      <c r="BU239" s="5">
        <f t="shared" si="27"/>
        <v>0</v>
      </c>
      <c r="BV239" s="5">
        <f t="shared" ref="BV239:BW239" si="839">IF(OR(ISNUMBER(SEARCH("grit",$D239)),ISNUMBER(SEARCH("grit",$T239)),ISNUMBER(SEARCH("grit",$R239)),ISNUMBER(SEARCH("grit",$S239)),
ISNUMBER(SEARCH("determination",$D239)),ISNUMBER(SEARCH("determination",$T239)),ISNUMBER(SEARCH("determination",$R239)),ISNUMBER(SEARCH("determination",$S239)),
ISNUMBER(SEARCH("tenacity",$D239)),ISNUMBER(SEARCH("tenacity",$T239)),ISNUMBER(SEARCH("tenacity",$R239)),ISNUMBER(SEARCH("tenacity",$S239)),
ISNUMBER(SEARCH("endurance",$D239)),ISNUMBER(SEARCH("endurance",$T239)),ISNUMBER(SEARCH("endurance",$R239)),ISNUMBER(SEARCH("endurance",$S239)),
ISNUMBER(SEARCH("fortitude",$D239)),ISNUMBER(SEARCH("fortitude",$T239)),ISNUMBER(SEARCH("fortitude",$R239)),ISNUMBER(SEARCH("fortitude",$S239)),
ISNUMBER(SEARCH("resolve",$D239)),ISNUMBER(SEARCH("resolve",$T239)),ISNUMBER(SEARCH("resolve",$R239)),ISNUMBER(SEARCH("resolve",$S239)),
ISNUMBER(SEARCH("stamina",$D239)),ISNUMBER(SEARCH("stamina",$T239)),ISNUMBER(SEARCH("stamina",$R239)),ISNUMBER(SEARCH("stamina",$S239)),
ISNUMBER(SEARCH("guts",$D239)),ISNUMBER(SEARCH("guts",$T239)),ISNUMBER(SEARCH("guts",$R239)),ISNUMBER(SEARCH("guts",$S239)),
ISNUMBER(SEARCH("spunk",$D239)),ISNUMBER(SEARCH("spunk",$T239)),ISNUMBER(SEARCH("spunk",$R239)),ISNUMBER(SEARCH("spunk",$S239))), 1, 0)</f>
        <v>0</v>
      </c>
      <c r="BW239" s="5">
        <f t="shared" si="839"/>
        <v>0</v>
      </c>
      <c r="BX239" s="5">
        <f t="shared" si="29"/>
        <v>0</v>
      </c>
      <c r="BY239" s="5">
        <f t="shared" si="30"/>
        <v>0</v>
      </c>
      <c r="BZ239" s="5">
        <f t="shared" si="31"/>
        <v>0</v>
      </c>
      <c r="CA239" s="5">
        <f t="shared" si="32"/>
        <v>0</v>
      </c>
      <c r="CB239" s="5">
        <f t="shared" si="33"/>
        <v>0</v>
      </c>
      <c r="CC239" s="5">
        <f t="shared" si="34"/>
        <v>0</v>
      </c>
      <c r="CD239" s="5">
        <f t="shared" si="35"/>
        <v>0</v>
      </c>
      <c r="CE239" s="5">
        <f t="shared" si="36"/>
        <v>0</v>
      </c>
      <c r="CF239" s="5">
        <f t="shared" si="37"/>
        <v>0</v>
      </c>
      <c r="CG239" s="5">
        <f t="shared" si="38"/>
        <v>0</v>
      </c>
      <c r="CH239" s="5">
        <f t="shared" si="39"/>
        <v>0</v>
      </c>
      <c r="CI239" s="5">
        <f t="shared" si="40"/>
        <v>0</v>
      </c>
      <c r="CJ239" s="5">
        <f t="shared" si="41"/>
        <v>0</v>
      </c>
      <c r="CK239" s="5">
        <f t="shared" si="42"/>
        <v>0</v>
      </c>
      <c r="CL239" s="5">
        <f t="shared" si="43"/>
        <v>0</v>
      </c>
      <c r="CM239" s="5">
        <f t="shared" si="44"/>
        <v>0</v>
      </c>
      <c r="CN239" s="5">
        <f t="shared" si="45"/>
        <v>0</v>
      </c>
      <c r="CO239" s="5">
        <f t="shared" si="46"/>
        <v>0</v>
      </c>
      <c r="CP239" s="6">
        <f t="shared" si="47"/>
        <v>0</v>
      </c>
      <c r="CQ239" s="6">
        <f t="shared" si="48"/>
        <v>0</v>
      </c>
      <c r="CR239" s="6">
        <f t="shared" si="49"/>
        <v>0</v>
      </c>
      <c r="CS239" s="6">
        <f t="shared" si="50"/>
        <v>0</v>
      </c>
      <c r="CT239" s="6">
        <f t="shared" si="584"/>
        <v>0</v>
      </c>
      <c r="CU239" s="6">
        <f t="shared" si="52"/>
        <v>0</v>
      </c>
      <c r="CV239" s="6">
        <f t="shared" si="53"/>
        <v>0</v>
      </c>
      <c r="CW239" s="6">
        <f t="shared" si="54"/>
        <v>0</v>
      </c>
      <c r="CX239" s="6">
        <f t="shared" si="55"/>
        <v>0</v>
      </c>
      <c r="CY239" s="6">
        <f t="shared" si="56"/>
        <v>0</v>
      </c>
      <c r="CZ239" s="6">
        <f t="shared" si="57"/>
        <v>0</v>
      </c>
      <c r="DA239" s="6">
        <f t="shared" si="58"/>
        <v>0</v>
      </c>
      <c r="DB239" s="6">
        <f t="shared" si="59"/>
        <v>0</v>
      </c>
      <c r="DC239" s="6">
        <f t="shared" si="60"/>
        <v>0</v>
      </c>
      <c r="DD239" s="6">
        <f t="shared" si="61"/>
        <v>0</v>
      </c>
      <c r="DE239" s="6">
        <f t="shared" si="62"/>
        <v>0</v>
      </c>
      <c r="DF239" s="6">
        <f t="shared" si="63"/>
        <v>0</v>
      </c>
      <c r="DG239" s="6">
        <f t="shared" si="64"/>
        <v>0</v>
      </c>
      <c r="DH239" s="6">
        <f t="shared" si="697"/>
        <v>0</v>
      </c>
      <c r="DI239" s="6">
        <f t="shared" si="66"/>
        <v>0</v>
      </c>
      <c r="DJ239" s="6">
        <f t="shared" si="653"/>
        <v>0</v>
      </c>
      <c r="DK239" s="7">
        <f t="shared" si="68"/>
        <v>0</v>
      </c>
      <c r="DL239" s="7">
        <f t="shared" si="498"/>
        <v>0</v>
      </c>
      <c r="DM239" s="7">
        <f t="shared" si="70"/>
        <v>0</v>
      </c>
      <c r="DN239" s="7">
        <f t="shared" si="71"/>
        <v>0</v>
      </c>
      <c r="DO239" s="7">
        <f t="shared" si="72"/>
        <v>1</v>
      </c>
      <c r="DP239" s="8">
        <f t="shared" si="73"/>
        <v>0</v>
      </c>
      <c r="DQ239" s="8">
        <f t="shared" si="74"/>
        <v>1</v>
      </c>
      <c r="DR239" s="7">
        <f t="shared" si="75"/>
        <v>0</v>
      </c>
      <c r="DS239" s="7">
        <f t="shared" si="76"/>
        <v>0</v>
      </c>
      <c r="DT239" s="7">
        <f t="shared" si="77"/>
        <v>0</v>
      </c>
      <c r="DU239" s="9">
        <f t="shared" si="78"/>
        <v>0</v>
      </c>
      <c r="DV239" s="9">
        <f t="shared" si="79"/>
        <v>0</v>
      </c>
      <c r="DW239" s="9">
        <f t="shared" si="80"/>
        <v>0</v>
      </c>
      <c r="DX239" s="9">
        <f t="shared" si="81"/>
        <v>0</v>
      </c>
      <c r="DY239" s="9">
        <f t="shared" si="82"/>
        <v>0</v>
      </c>
      <c r="DZ239" s="9">
        <f t="shared" si="83"/>
        <v>0</v>
      </c>
      <c r="EA239" s="9">
        <f t="shared" si="84"/>
        <v>0</v>
      </c>
      <c r="EB239" s="9">
        <f t="shared" si="85"/>
        <v>0</v>
      </c>
      <c r="EC239" s="9">
        <f t="shared" si="86"/>
        <v>0</v>
      </c>
      <c r="ED239" s="9">
        <f t="shared" si="87"/>
        <v>0</v>
      </c>
      <c r="EE239" s="9">
        <f t="shared" si="88"/>
        <v>0</v>
      </c>
      <c r="EF239" s="9">
        <f t="shared" si="89"/>
        <v>0</v>
      </c>
      <c r="EG239" s="9">
        <f t="shared" si="90"/>
        <v>0</v>
      </c>
      <c r="EH239" s="9">
        <f t="shared" si="91"/>
        <v>0</v>
      </c>
      <c r="EI239" s="9">
        <f t="shared" si="92"/>
        <v>0</v>
      </c>
      <c r="EJ239" s="10">
        <f t="shared" si="93"/>
        <v>0</v>
      </c>
      <c r="EK239" s="10">
        <f t="shared" si="94"/>
        <v>0</v>
      </c>
      <c r="EL239" s="10">
        <f t="shared" ref="EL239:EM239" si="840">IF(OR(ISNUMBER(SEARCH("ai software toolkit", $D239)), ISNUMBER(SEARCH("ai software toolkit", $T239)), ISNUMBER(SEARCH("ai software toolkit", $R239)), ISNUMBER(SEARCH("ai software toolkit", $S239))), 1, 0)</f>
        <v>0</v>
      </c>
      <c r="EM239" s="10">
        <f t="shared" si="840"/>
        <v>0</v>
      </c>
      <c r="EN239" s="10">
        <f t="shared" si="96"/>
        <v>0</v>
      </c>
      <c r="EO239" s="10">
        <f t="shared" si="97"/>
        <v>0</v>
      </c>
      <c r="EP239" s="10">
        <f t="shared" si="98"/>
        <v>0</v>
      </c>
      <c r="EQ239" s="10">
        <f t="shared" si="99"/>
        <v>0</v>
      </c>
      <c r="ER239" s="10">
        <f t="shared" si="100"/>
        <v>0</v>
      </c>
      <c r="ES239" s="10">
        <f t="shared" si="101"/>
        <v>0</v>
      </c>
      <c r="ET239" s="10">
        <f t="shared" si="102"/>
        <v>0</v>
      </c>
      <c r="EU239" s="10">
        <f t="shared" si="103"/>
        <v>0</v>
      </c>
      <c r="EV239" s="10">
        <f t="shared" si="104"/>
        <v>0</v>
      </c>
      <c r="EW239" s="10">
        <f t="shared" si="105"/>
        <v>0</v>
      </c>
      <c r="EX239" s="10">
        <f t="shared" si="106"/>
        <v>0</v>
      </c>
      <c r="EY239" s="10">
        <f t="shared" si="107"/>
        <v>0</v>
      </c>
      <c r="EZ239" s="10">
        <f t="shared" si="108"/>
        <v>0</v>
      </c>
      <c r="FA239" s="10">
        <f t="shared" si="109"/>
        <v>0</v>
      </c>
      <c r="FB239" s="10">
        <f t="shared" si="110"/>
        <v>0</v>
      </c>
      <c r="FC239" s="10">
        <f t="shared" si="111"/>
        <v>0</v>
      </c>
      <c r="FD239" s="10">
        <f t="shared" si="112"/>
        <v>0</v>
      </c>
      <c r="FE239" s="10">
        <f t="shared" si="782"/>
        <v>0</v>
      </c>
      <c r="FF239" s="10">
        <f t="shared" si="114"/>
        <v>0</v>
      </c>
      <c r="FG239" s="10">
        <f t="shared" si="115"/>
        <v>0</v>
      </c>
      <c r="FH239" s="10">
        <f t="shared" si="116"/>
        <v>0</v>
      </c>
      <c r="FI239" s="10">
        <f t="shared" si="117"/>
        <v>0</v>
      </c>
      <c r="FJ239" s="10">
        <f t="shared" si="118"/>
        <v>0</v>
      </c>
      <c r="FK239" s="10">
        <f t="shared" si="119"/>
        <v>0</v>
      </c>
      <c r="FL239" s="10">
        <f t="shared" si="120"/>
        <v>0</v>
      </c>
      <c r="FM239" s="10">
        <f t="shared" si="121"/>
        <v>0</v>
      </c>
      <c r="FN239" s="10">
        <f t="shared" si="122"/>
        <v>0</v>
      </c>
      <c r="FO239" s="10">
        <f t="shared" si="123"/>
        <v>0</v>
      </c>
      <c r="FP239" s="10">
        <f t="shared" si="124"/>
        <v>0</v>
      </c>
      <c r="FQ239" s="10">
        <f t="shared" si="125"/>
        <v>0</v>
      </c>
      <c r="FR239" s="11">
        <f t="shared" si="804"/>
        <v>0</v>
      </c>
      <c r="FS239" s="11">
        <f t="shared" si="127"/>
        <v>0</v>
      </c>
      <c r="FT239" s="11">
        <f t="shared" si="128"/>
        <v>0</v>
      </c>
      <c r="FU239" s="11">
        <f t="shared" si="129"/>
        <v>0</v>
      </c>
      <c r="FV239" s="11">
        <f t="shared" si="130"/>
        <v>0</v>
      </c>
      <c r="FW239" s="11">
        <f t="shared" si="131"/>
        <v>0</v>
      </c>
      <c r="FX239" s="11">
        <f t="shared" si="132"/>
        <v>0</v>
      </c>
      <c r="FY239" s="11">
        <f t="shared" si="133"/>
        <v>0</v>
      </c>
      <c r="FZ239" s="11">
        <f t="shared" si="134"/>
        <v>0</v>
      </c>
      <c r="GA239" s="11">
        <f t="shared" si="135"/>
        <v>0</v>
      </c>
      <c r="GB239" s="11">
        <f t="shared" si="136"/>
        <v>0</v>
      </c>
      <c r="GC239" s="11">
        <f t="shared" si="137"/>
        <v>0</v>
      </c>
      <c r="GD239" s="11">
        <f t="shared" si="138"/>
        <v>0</v>
      </c>
      <c r="GE239" s="11">
        <f t="shared" si="139"/>
        <v>0</v>
      </c>
      <c r="GF239" s="11">
        <f t="shared" si="140"/>
        <v>0</v>
      </c>
      <c r="GG239" s="11">
        <f t="shared" si="141"/>
        <v>0</v>
      </c>
      <c r="GH239" s="11">
        <f t="shared" si="142"/>
        <v>0</v>
      </c>
      <c r="GI239" s="11">
        <f t="shared" si="143"/>
        <v>0</v>
      </c>
      <c r="GJ239" s="11">
        <f t="shared" si="144"/>
        <v>0</v>
      </c>
      <c r="GK239" s="11">
        <f t="shared" si="145"/>
        <v>0</v>
      </c>
      <c r="GL239" s="11">
        <f t="shared" si="146"/>
        <v>0</v>
      </c>
      <c r="GM239" s="11">
        <f t="shared" si="147"/>
        <v>0</v>
      </c>
      <c r="GN239" s="11">
        <f t="shared" si="148"/>
        <v>0</v>
      </c>
      <c r="GO239" s="11">
        <f t="shared" si="149"/>
        <v>0</v>
      </c>
      <c r="GP239" s="11">
        <f t="shared" si="150"/>
        <v>0</v>
      </c>
      <c r="GQ239" s="11">
        <f t="shared" si="151"/>
        <v>0</v>
      </c>
      <c r="GR239" s="11">
        <f t="shared" si="152"/>
        <v>0</v>
      </c>
      <c r="GS239" s="11">
        <f t="shared" si="153"/>
        <v>0</v>
      </c>
      <c r="GT239" s="11">
        <f t="shared" si="154"/>
        <v>0</v>
      </c>
      <c r="GU239" s="12">
        <f t="shared" si="155"/>
        <v>0</v>
      </c>
      <c r="GV239" s="12">
        <f t="shared" si="156"/>
        <v>0</v>
      </c>
      <c r="GW239" s="12">
        <f t="shared" si="157"/>
        <v>0</v>
      </c>
      <c r="GX239" s="12">
        <f t="shared" si="158"/>
        <v>0</v>
      </c>
      <c r="GY239" s="12">
        <f t="shared" si="159"/>
        <v>0</v>
      </c>
      <c r="GZ239" s="12">
        <f t="shared" si="160"/>
        <v>0</v>
      </c>
      <c r="HA239" s="12">
        <f t="shared" si="161"/>
        <v>0</v>
      </c>
      <c r="HB239" s="12">
        <f t="shared" si="162"/>
        <v>0</v>
      </c>
      <c r="HC239" s="12">
        <f t="shared" si="163"/>
        <v>0</v>
      </c>
      <c r="HD239" s="12">
        <f t="shared" si="164"/>
        <v>0</v>
      </c>
      <c r="HE239" s="12">
        <f t="shared" si="165"/>
        <v>0</v>
      </c>
      <c r="HF239" s="12">
        <f t="shared" si="166"/>
        <v>0</v>
      </c>
      <c r="HG239" s="12">
        <f t="shared" si="167"/>
        <v>0</v>
      </c>
      <c r="HH239" s="12">
        <f t="shared" si="168"/>
        <v>0</v>
      </c>
      <c r="HI239" s="12">
        <f t="shared" si="169"/>
        <v>0</v>
      </c>
      <c r="HJ239" s="12">
        <f t="shared" si="170"/>
        <v>0</v>
      </c>
      <c r="HK239" s="12">
        <f t="shared" si="171"/>
        <v>0</v>
      </c>
      <c r="HL239" s="12">
        <f t="shared" si="172"/>
        <v>0</v>
      </c>
      <c r="HM239" s="12">
        <f t="shared" si="173"/>
        <v>0</v>
      </c>
      <c r="HN239" s="12">
        <f t="shared" si="174"/>
        <v>0</v>
      </c>
      <c r="HO239" s="12">
        <f t="shared" si="175"/>
        <v>0</v>
      </c>
      <c r="HP239" s="12">
        <f t="shared" si="176"/>
        <v>0</v>
      </c>
      <c r="HQ239" s="12">
        <f t="shared" si="177"/>
        <v>0</v>
      </c>
      <c r="HR239" s="12">
        <f t="shared" si="178"/>
        <v>0</v>
      </c>
      <c r="HS239" s="12">
        <f t="shared" si="179"/>
        <v>0</v>
      </c>
      <c r="HT239" s="12">
        <f t="shared" si="180"/>
        <v>0</v>
      </c>
      <c r="HU239" s="12">
        <f t="shared" si="181"/>
        <v>0</v>
      </c>
      <c r="HV239" s="12">
        <f t="shared" si="182"/>
        <v>0</v>
      </c>
      <c r="HW239" s="12">
        <f t="shared" si="183"/>
        <v>0</v>
      </c>
      <c r="HX239" s="12">
        <f t="shared" si="184"/>
        <v>0</v>
      </c>
      <c r="HY239" s="12">
        <f t="shared" si="185"/>
        <v>0</v>
      </c>
      <c r="HZ239" s="12">
        <f t="shared" si="186"/>
        <v>0</v>
      </c>
      <c r="IA239" s="12">
        <f t="shared" si="187"/>
        <v>0</v>
      </c>
      <c r="IB239" s="12">
        <f t="shared" si="188"/>
        <v>0</v>
      </c>
      <c r="IC239" s="12">
        <f t="shared" si="189"/>
        <v>0</v>
      </c>
      <c r="ID239" s="12">
        <f t="shared" si="190"/>
        <v>0</v>
      </c>
      <c r="IE239" s="12">
        <f t="shared" si="191"/>
        <v>0</v>
      </c>
      <c r="IF239" s="12">
        <f t="shared" si="192"/>
        <v>0</v>
      </c>
      <c r="IG239" s="12">
        <f t="shared" si="193"/>
        <v>0</v>
      </c>
      <c r="IH239" s="12">
        <f t="shared" si="194"/>
        <v>0</v>
      </c>
      <c r="II239" s="12">
        <f t="shared" si="195"/>
        <v>0</v>
      </c>
      <c r="IJ239" s="12">
        <f t="shared" si="196"/>
        <v>0</v>
      </c>
      <c r="IK239" s="12">
        <f t="shared" si="197"/>
        <v>0</v>
      </c>
      <c r="IL239" s="12">
        <f t="shared" si="198"/>
        <v>0</v>
      </c>
      <c r="IM239" s="12">
        <f t="shared" si="199"/>
        <v>0</v>
      </c>
      <c r="IN239" s="12">
        <f t="shared" si="200"/>
        <v>0</v>
      </c>
      <c r="IO239" s="12">
        <f t="shared" si="201"/>
        <v>0</v>
      </c>
      <c r="IP239" s="12">
        <f t="shared" si="202"/>
        <v>0</v>
      </c>
      <c r="IQ239" s="12">
        <f t="shared" si="203"/>
        <v>0</v>
      </c>
      <c r="IR239" s="12">
        <f t="shared" si="204"/>
        <v>0</v>
      </c>
      <c r="IS239" s="12">
        <f t="shared" si="205"/>
        <v>0</v>
      </c>
      <c r="IT239" s="12">
        <f t="shared" si="206"/>
        <v>0</v>
      </c>
      <c r="IU239" s="12">
        <f t="shared" si="207"/>
        <v>0</v>
      </c>
      <c r="IV239" s="12">
        <f t="shared" si="208"/>
        <v>0</v>
      </c>
      <c r="IW239" s="12">
        <f t="shared" si="209"/>
        <v>0</v>
      </c>
      <c r="IX239" s="12">
        <f t="shared" si="210"/>
        <v>0</v>
      </c>
      <c r="IY239" s="12">
        <f t="shared" si="211"/>
        <v>0</v>
      </c>
      <c r="IZ239" s="12">
        <f t="shared" si="212"/>
        <v>1</v>
      </c>
      <c r="JA239" s="13">
        <f t="shared" si="213"/>
        <v>1</v>
      </c>
      <c r="JB239" s="13">
        <f t="shared" si="214"/>
        <v>1</v>
      </c>
      <c r="JC239" s="13">
        <f t="shared" si="215"/>
        <v>0</v>
      </c>
      <c r="JD239" s="13">
        <f t="shared" si="216"/>
        <v>0</v>
      </c>
      <c r="JE239" s="13">
        <f t="shared" si="217"/>
        <v>0</v>
      </c>
      <c r="JF239" s="13">
        <f t="shared" si="218"/>
        <v>0</v>
      </c>
      <c r="JG239" s="13">
        <f t="shared" si="219"/>
        <v>0</v>
      </c>
      <c r="JH239" s="13">
        <f t="shared" si="220"/>
        <v>0</v>
      </c>
      <c r="JI239" s="13">
        <f t="shared" si="221"/>
        <v>0</v>
      </c>
      <c r="JJ239" s="13">
        <f t="shared" si="222"/>
        <v>0</v>
      </c>
      <c r="JK239" s="13">
        <f t="shared" si="223"/>
        <v>0</v>
      </c>
      <c r="JL239" s="13">
        <f t="shared" si="224"/>
        <v>0</v>
      </c>
      <c r="JM239" s="13">
        <f t="shared" si="225"/>
        <v>0</v>
      </c>
      <c r="JN239" s="13">
        <f t="shared" si="226"/>
        <v>0</v>
      </c>
      <c r="JO239" s="13">
        <f t="shared" si="227"/>
        <v>0</v>
      </c>
      <c r="JP239" s="13">
        <f t="shared" si="228"/>
        <v>0</v>
      </c>
      <c r="JQ239" s="13">
        <f t="shared" si="229"/>
        <v>0</v>
      </c>
      <c r="JR239" s="13">
        <f t="shared" si="230"/>
        <v>0</v>
      </c>
      <c r="JS239" s="13">
        <f t="shared" si="231"/>
        <v>0</v>
      </c>
      <c r="JT239" s="13">
        <f t="shared" si="232"/>
        <v>0</v>
      </c>
      <c r="JU239" s="13">
        <f t="shared" si="233"/>
        <v>0</v>
      </c>
      <c r="JV239" s="12">
        <f t="shared" si="234"/>
        <v>0</v>
      </c>
      <c r="JW239" s="12">
        <f t="shared" si="235"/>
        <v>0</v>
      </c>
      <c r="JX239" s="12">
        <f t="shared" si="236"/>
        <v>0</v>
      </c>
      <c r="JY239" s="12">
        <f t="shared" si="237"/>
        <v>0</v>
      </c>
      <c r="JZ239" s="12">
        <f t="shared" si="238"/>
        <v>0</v>
      </c>
      <c r="KA239" s="12">
        <f t="shared" si="239"/>
        <v>0</v>
      </c>
      <c r="KB239" s="12">
        <f t="shared" si="240"/>
        <v>0</v>
      </c>
      <c r="KC239" s="12">
        <f t="shared" si="241"/>
        <v>0</v>
      </c>
      <c r="KD239" s="12">
        <f t="shared" si="797"/>
        <v>0</v>
      </c>
      <c r="KE239" s="12">
        <f t="shared" si="243"/>
        <v>0</v>
      </c>
      <c r="KF239" s="12">
        <f t="shared" si="244"/>
        <v>0</v>
      </c>
      <c r="KG239" s="12">
        <f t="shared" si="245"/>
        <v>0</v>
      </c>
      <c r="KH239" s="12">
        <f t="shared" si="246"/>
        <v>0</v>
      </c>
      <c r="KI239" s="12">
        <f t="shared" si="247"/>
        <v>0</v>
      </c>
      <c r="KJ239" s="12">
        <f t="shared" si="248"/>
        <v>0</v>
      </c>
      <c r="KK239" s="12">
        <f t="shared" si="249"/>
        <v>0</v>
      </c>
      <c r="KL239" s="12">
        <f t="shared" si="250"/>
        <v>0</v>
      </c>
      <c r="KM239" s="12">
        <f t="shared" si="251"/>
        <v>0</v>
      </c>
      <c r="KN239" s="12">
        <f t="shared" si="252"/>
        <v>0</v>
      </c>
      <c r="KO239" s="12">
        <f t="shared" si="253"/>
        <v>0</v>
      </c>
      <c r="KP239" s="12">
        <f t="shared" si="254"/>
        <v>0</v>
      </c>
      <c r="KQ239" s="12">
        <f t="shared" si="255"/>
        <v>0</v>
      </c>
      <c r="KR239" s="12">
        <f t="shared" si="256"/>
        <v>0</v>
      </c>
      <c r="KS239" s="12">
        <f t="shared" si="257"/>
        <v>0</v>
      </c>
      <c r="KT239" s="12">
        <f t="shared" si="258"/>
        <v>0</v>
      </c>
      <c r="KU239" s="12">
        <f t="shared" si="259"/>
        <v>0</v>
      </c>
      <c r="KV239" s="12">
        <f t="shared" si="260"/>
        <v>0</v>
      </c>
      <c r="KW239" s="12">
        <f t="shared" si="261"/>
        <v>0</v>
      </c>
      <c r="KX239" s="12">
        <f t="shared" si="262"/>
        <v>0</v>
      </c>
      <c r="KY239" s="12">
        <f t="shared" si="263"/>
        <v>0</v>
      </c>
      <c r="KZ239" s="12">
        <f t="shared" si="264"/>
        <v>0</v>
      </c>
      <c r="LA239" s="12">
        <f t="shared" si="265"/>
        <v>0</v>
      </c>
      <c r="LB239" s="12">
        <f t="shared" si="266"/>
        <v>0</v>
      </c>
      <c r="LC239" s="12">
        <f t="shared" si="267"/>
        <v>0</v>
      </c>
      <c r="LD239" s="12">
        <f t="shared" si="268"/>
        <v>0</v>
      </c>
      <c r="LE239" s="12">
        <f t="shared" si="269"/>
        <v>0</v>
      </c>
      <c r="LF239" s="12">
        <f t="shared" si="270"/>
        <v>0</v>
      </c>
      <c r="LG239" s="12">
        <f t="shared" si="271"/>
        <v>0</v>
      </c>
      <c r="LH239" s="12">
        <f t="shared" si="272"/>
        <v>0</v>
      </c>
      <c r="LI239" s="12">
        <f t="shared" si="273"/>
        <v>0</v>
      </c>
      <c r="LJ239" s="12">
        <f t="shared" si="274"/>
        <v>0</v>
      </c>
      <c r="LK239" s="12">
        <f t="shared" si="275"/>
        <v>0</v>
      </c>
      <c r="LL239" s="12">
        <f t="shared" si="276"/>
        <v>0</v>
      </c>
      <c r="LM239" s="12">
        <f t="shared" si="277"/>
        <v>0</v>
      </c>
      <c r="LN239" s="12">
        <f t="shared" si="278"/>
        <v>0</v>
      </c>
      <c r="LO239" s="12">
        <f t="shared" si="279"/>
        <v>0</v>
      </c>
      <c r="LP239" s="12">
        <f t="shared" si="280"/>
        <v>0</v>
      </c>
      <c r="LQ239" s="12">
        <f t="shared" si="281"/>
        <v>0</v>
      </c>
      <c r="LR239" s="12">
        <f t="shared" si="282"/>
        <v>0</v>
      </c>
      <c r="LS239" s="12">
        <f t="shared" si="283"/>
        <v>0</v>
      </c>
      <c r="LT239" s="13">
        <f t="shared" si="284"/>
        <v>0</v>
      </c>
      <c r="LU239" s="13">
        <f t="shared" si="285"/>
        <v>0</v>
      </c>
      <c r="LV239" s="13">
        <f t="shared" si="286"/>
        <v>0</v>
      </c>
      <c r="LW239" s="13">
        <f t="shared" si="287"/>
        <v>0</v>
      </c>
      <c r="LX239" s="13">
        <f t="shared" si="288"/>
        <v>0</v>
      </c>
      <c r="LY239" s="13">
        <f t="shared" si="289"/>
        <v>0</v>
      </c>
      <c r="LZ239" s="13">
        <f t="shared" si="290"/>
        <v>0</v>
      </c>
      <c r="MA239" s="13">
        <f t="shared" si="291"/>
        <v>0</v>
      </c>
      <c r="MB239" s="13">
        <f t="shared" si="292"/>
        <v>0</v>
      </c>
      <c r="MC239" s="13">
        <f t="shared" si="293"/>
        <v>0</v>
      </c>
      <c r="MD239" s="13">
        <f t="shared" si="294"/>
        <v>0</v>
      </c>
      <c r="ME239" s="13">
        <f t="shared" si="295"/>
        <v>0</v>
      </c>
      <c r="MF239" s="13">
        <f t="shared" si="296"/>
        <v>0</v>
      </c>
      <c r="MG239" s="13">
        <f t="shared" si="297"/>
        <v>0</v>
      </c>
      <c r="MH239" s="13">
        <f t="shared" si="298"/>
        <v>0</v>
      </c>
      <c r="MI239" s="13">
        <f t="shared" si="299"/>
        <v>0</v>
      </c>
      <c r="MJ239" s="13">
        <f t="shared" si="300"/>
        <v>0</v>
      </c>
      <c r="MK239" s="13">
        <f t="shared" si="301"/>
        <v>0</v>
      </c>
      <c r="ML239" s="14">
        <f t="shared" si="302"/>
        <v>0</v>
      </c>
      <c r="MM239" s="14">
        <f t="shared" si="303"/>
        <v>0</v>
      </c>
      <c r="MN239" s="14">
        <f t="shared" si="304"/>
        <v>0</v>
      </c>
      <c r="MO239" s="14">
        <f t="shared" si="305"/>
        <v>0</v>
      </c>
      <c r="MP239" s="14">
        <f t="shared" si="306"/>
        <v>0</v>
      </c>
      <c r="MQ239" s="14">
        <f t="shared" si="307"/>
        <v>0</v>
      </c>
      <c r="MR239" s="14">
        <f t="shared" si="308"/>
        <v>0</v>
      </c>
      <c r="MS239" s="14">
        <f t="shared" si="309"/>
        <v>0</v>
      </c>
      <c r="MT239" s="14">
        <f t="shared" si="310"/>
        <v>0</v>
      </c>
      <c r="MU239" s="14">
        <f t="shared" si="311"/>
        <v>0</v>
      </c>
      <c r="MV239" s="14">
        <f t="shared" si="312"/>
        <v>0</v>
      </c>
      <c r="MW239" s="14">
        <f t="shared" si="313"/>
        <v>0</v>
      </c>
      <c r="MX239" s="14">
        <f t="shared" si="314"/>
        <v>0</v>
      </c>
      <c r="MY239" s="14">
        <f t="shared" si="315"/>
        <v>0</v>
      </c>
      <c r="MZ239" s="14">
        <f t="shared" si="316"/>
        <v>0</v>
      </c>
      <c r="NA239" s="14">
        <f t="shared" si="317"/>
        <v>0</v>
      </c>
      <c r="NB239" s="14">
        <f t="shared" si="318"/>
        <v>0</v>
      </c>
    </row>
    <row r="240" ht="15.75" customHeight="1">
      <c r="A240" s="2">
        <v>676.0</v>
      </c>
      <c r="B240" s="2" t="s">
        <v>4323</v>
      </c>
      <c r="C240" s="2" t="s">
        <v>4324</v>
      </c>
      <c r="D240" s="2" t="s">
        <v>4325</v>
      </c>
      <c r="E240" s="2">
        <v>2022.0</v>
      </c>
      <c r="F240" s="2" t="s">
        <v>4326</v>
      </c>
      <c r="G240" s="2">
        <v>14.0</v>
      </c>
      <c r="H240" s="2" t="s">
        <v>392</v>
      </c>
      <c r="J240" s="2" t="s">
        <v>3235</v>
      </c>
      <c r="K240" s="2" t="s">
        <v>3135</v>
      </c>
      <c r="N240" s="2" t="s">
        <v>4327</v>
      </c>
      <c r="O240" s="2" t="s">
        <v>4328</v>
      </c>
      <c r="P240" s="2" t="s">
        <v>4329</v>
      </c>
      <c r="Q240" s="2" t="s">
        <v>4330</v>
      </c>
      <c r="R240" s="2" t="s">
        <v>4331</v>
      </c>
      <c r="Y240" s="2" t="s">
        <v>4332</v>
      </c>
      <c r="AB240" s="2" t="s">
        <v>4333</v>
      </c>
      <c r="AG240" s="2" t="s">
        <v>4334</v>
      </c>
      <c r="AK240" s="2" t="s">
        <v>4335</v>
      </c>
      <c r="AL240" s="2" t="s">
        <v>384</v>
      </c>
      <c r="AM240" s="2" t="s">
        <v>1306</v>
      </c>
      <c r="AN240" s="2" t="s">
        <v>386</v>
      </c>
      <c r="AO240" s="2" t="s">
        <v>4336</v>
      </c>
      <c r="AP240" s="2" t="s">
        <v>386</v>
      </c>
      <c r="AQ240" s="2">
        <v>2664.0</v>
      </c>
      <c r="AR240" s="2" t="s">
        <v>4337</v>
      </c>
      <c r="AS240" s="2" t="b">
        <v>0</v>
      </c>
      <c r="AT240" s="3">
        <v>0.0</v>
      </c>
      <c r="AU240" s="4"/>
      <c r="AV240" s="4"/>
      <c r="AW240" s="5">
        <f t="shared" si="432"/>
        <v>0</v>
      </c>
      <c r="AX240" s="5">
        <f t="shared" si="4"/>
        <v>0</v>
      </c>
      <c r="AY240" s="5">
        <f t="shared" si="5"/>
        <v>0</v>
      </c>
      <c r="AZ240" s="5">
        <f t="shared" si="6"/>
        <v>0</v>
      </c>
      <c r="BA240" s="5">
        <f t="shared" si="7"/>
        <v>0</v>
      </c>
      <c r="BB240" s="5">
        <f t="shared" si="8"/>
        <v>0</v>
      </c>
      <c r="BC240" s="5">
        <f t="shared" si="9"/>
        <v>0</v>
      </c>
      <c r="BD240" s="5">
        <f t="shared" si="10"/>
        <v>0</v>
      </c>
      <c r="BE240" s="5">
        <f t="shared" si="11"/>
        <v>0</v>
      </c>
      <c r="BF240" s="5">
        <f t="shared" si="12"/>
        <v>0</v>
      </c>
      <c r="BG240" s="5">
        <f t="shared" si="13"/>
        <v>0</v>
      </c>
      <c r="BH240" s="5">
        <f t="shared" si="14"/>
        <v>0</v>
      </c>
      <c r="BI240" s="5">
        <f t="shared" si="15"/>
        <v>0</v>
      </c>
      <c r="BJ240" s="5">
        <f t="shared" si="16"/>
        <v>0</v>
      </c>
      <c r="BK240" s="5">
        <f t="shared" si="17"/>
        <v>0</v>
      </c>
      <c r="BL240" s="5">
        <f t="shared" si="18"/>
        <v>0</v>
      </c>
      <c r="BM240" s="5">
        <f t="shared" si="19"/>
        <v>0</v>
      </c>
      <c r="BN240" s="5">
        <f t="shared" si="20"/>
        <v>0</v>
      </c>
      <c r="BO240" s="5">
        <f t="shared" si="21"/>
        <v>0</v>
      </c>
      <c r="BP240" s="5">
        <f t="shared" si="22"/>
        <v>0</v>
      </c>
      <c r="BQ240" s="5">
        <f t="shared" si="23"/>
        <v>0</v>
      </c>
      <c r="BR240" s="5">
        <f t="shared" si="24"/>
        <v>0</v>
      </c>
      <c r="BS240" s="5">
        <f t="shared" si="25"/>
        <v>0</v>
      </c>
      <c r="BT240" s="5">
        <f t="shared" si="26"/>
        <v>0</v>
      </c>
      <c r="BU240" s="5">
        <f t="shared" si="27"/>
        <v>0</v>
      </c>
      <c r="BV240" s="5">
        <f t="shared" ref="BV240:BW240" si="841">IF(OR(ISNUMBER(SEARCH("grit",$D240)),ISNUMBER(SEARCH("grit",$T240)),ISNUMBER(SEARCH("grit",$R240)),ISNUMBER(SEARCH("grit",$S240)),
ISNUMBER(SEARCH("determination",$D240)),ISNUMBER(SEARCH("determination",$T240)),ISNUMBER(SEARCH("determination",$R240)),ISNUMBER(SEARCH("determination",$S240)),
ISNUMBER(SEARCH("tenacity",$D240)),ISNUMBER(SEARCH("tenacity",$T240)),ISNUMBER(SEARCH("tenacity",$R240)),ISNUMBER(SEARCH("tenacity",$S240)),
ISNUMBER(SEARCH("endurance",$D240)),ISNUMBER(SEARCH("endurance",$T240)),ISNUMBER(SEARCH("endurance",$R240)),ISNUMBER(SEARCH("endurance",$S240)),
ISNUMBER(SEARCH("fortitude",$D240)),ISNUMBER(SEARCH("fortitude",$T240)),ISNUMBER(SEARCH("fortitude",$R240)),ISNUMBER(SEARCH("fortitude",$S240)),
ISNUMBER(SEARCH("resolve",$D240)),ISNUMBER(SEARCH("resolve",$T240)),ISNUMBER(SEARCH("resolve",$R240)),ISNUMBER(SEARCH("resolve",$S240)),
ISNUMBER(SEARCH("stamina",$D240)),ISNUMBER(SEARCH("stamina",$T240)),ISNUMBER(SEARCH("stamina",$R240)),ISNUMBER(SEARCH("stamina",$S240)),
ISNUMBER(SEARCH("guts",$D240)),ISNUMBER(SEARCH("guts",$T240)),ISNUMBER(SEARCH("guts",$R240)),ISNUMBER(SEARCH("guts",$S240)),
ISNUMBER(SEARCH("spunk",$D240)),ISNUMBER(SEARCH("spunk",$T240)),ISNUMBER(SEARCH("spunk",$R240)),ISNUMBER(SEARCH("spunk",$S240))), 1, 0)</f>
        <v>0</v>
      </c>
      <c r="BW240" s="5">
        <f t="shared" si="841"/>
        <v>0</v>
      </c>
      <c r="BX240" s="5">
        <f t="shared" si="29"/>
        <v>0</v>
      </c>
      <c r="BY240" s="5">
        <f t="shared" si="30"/>
        <v>0</v>
      </c>
      <c r="BZ240" s="5">
        <f t="shared" si="31"/>
        <v>0</v>
      </c>
      <c r="CA240" s="5">
        <f t="shared" si="32"/>
        <v>0</v>
      </c>
      <c r="CB240" s="5">
        <f t="shared" si="33"/>
        <v>0</v>
      </c>
      <c r="CC240" s="5">
        <f t="shared" si="34"/>
        <v>0</v>
      </c>
      <c r="CD240" s="5">
        <f t="shared" si="35"/>
        <v>0</v>
      </c>
      <c r="CE240" s="5">
        <f t="shared" si="36"/>
        <v>0</v>
      </c>
      <c r="CF240" s="5">
        <f t="shared" si="37"/>
        <v>0</v>
      </c>
      <c r="CG240" s="5">
        <f t="shared" si="38"/>
        <v>0</v>
      </c>
      <c r="CH240" s="5">
        <f t="shared" si="39"/>
        <v>0</v>
      </c>
      <c r="CI240" s="5">
        <f t="shared" si="40"/>
        <v>0</v>
      </c>
      <c r="CJ240" s="5">
        <f t="shared" si="41"/>
        <v>0</v>
      </c>
      <c r="CK240" s="5">
        <f t="shared" si="42"/>
        <v>0</v>
      </c>
      <c r="CL240" s="5">
        <f t="shared" si="43"/>
        <v>0</v>
      </c>
      <c r="CM240" s="5">
        <f t="shared" si="44"/>
        <v>0</v>
      </c>
      <c r="CN240" s="5">
        <f t="shared" si="45"/>
        <v>0</v>
      </c>
      <c r="CO240" s="5">
        <f t="shared" si="46"/>
        <v>0</v>
      </c>
      <c r="CP240" s="6">
        <f t="shared" si="47"/>
        <v>0</v>
      </c>
      <c r="CQ240" s="6">
        <f t="shared" si="48"/>
        <v>0</v>
      </c>
      <c r="CR240" s="6">
        <f t="shared" si="49"/>
        <v>0</v>
      </c>
      <c r="CS240" s="6">
        <f t="shared" si="50"/>
        <v>0</v>
      </c>
      <c r="CT240" s="6">
        <f t="shared" si="584"/>
        <v>0</v>
      </c>
      <c r="CU240" s="6">
        <f t="shared" si="52"/>
        <v>0</v>
      </c>
      <c r="CV240" s="6">
        <f t="shared" si="53"/>
        <v>0</v>
      </c>
      <c r="CW240" s="6">
        <f t="shared" si="54"/>
        <v>0</v>
      </c>
      <c r="CX240" s="6">
        <f t="shared" si="55"/>
        <v>0</v>
      </c>
      <c r="CY240" s="6">
        <f t="shared" si="56"/>
        <v>0</v>
      </c>
      <c r="CZ240" s="6">
        <f t="shared" si="57"/>
        <v>0</v>
      </c>
      <c r="DA240" s="6">
        <f t="shared" si="58"/>
        <v>0</v>
      </c>
      <c r="DB240" s="6">
        <f t="shared" si="59"/>
        <v>0</v>
      </c>
      <c r="DC240" s="6">
        <f t="shared" si="60"/>
        <v>0</v>
      </c>
      <c r="DD240" s="6">
        <f t="shared" si="61"/>
        <v>0</v>
      </c>
      <c r="DE240" s="6">
        <f t="shared" si="62"/>
        <v>0</v>
      </c>
      <c r="DF240" s="6">
        <f t="shared" si="63"/>
        <v>0</v>
      </c>
      <c r="DG240" s="6">
        <f t="shared" si="64"/>
        <v>0</v>
      </c>
      <c r="DH240" s="6">
        <f t="shared" si="697"/>
        <v>0</v>
      </c>
      <c r="DI240" s="6">
        <f t="shared" si="66"/>
        <v>0</v>
      </c>
      <c r="DJ240" s="6">
        <f t="shared" si="653"/>
        <v>0</v>
      </c>
      <c r="DK240" s="7">
        <f t="shared" si="68"/>
        <v>0</v>
      </c>
      <c r="DL240" s="7">
        <f t="shared" si="498"/>
        <v>0</v>
      </c>
      <c r="DM240" s="7">
        <f t="shared" si="70"/>
        <v>0</v>
      </c>
      <c r="DN240" s="7">
        <f t="shared" si="71"/>
        <v>0</v>
      </c>
      <c r="DO240" s="7">
        <f t="shared" si="72"/>
        <v>0</v>
      </c>
      <c r="DP240" s="8">
        <f t="shared" si="73"/>
        <v>0</v>
      </c>
      <c r="DQ240" s="8">
        <f t="shared" si="74"/>
        <v>1</v>
      </c>
      <c r="DR240" s="7">
        <f t="shared" si="75"/>
        <v>0</v>
      </c>
      <c r="DS240" s="7">
        <f t="shared" si="76"/>
        <v>0</v>
      </c>
      <c r="DT240" s="7">
        <f t="shared" si="77"/>
        <v>0</v>
      </c>
      <c r="DU240" s="9">
        <f t="shared" si="78"/>
        <v>0</v>
      </c>
      <c r="DV240" s="9">
        <f t="shared" si="79"/>
        <v>0</v>
      </c>
      <c r="DW240" s="9">
        <f t="shared" si="80"/>
        <v>0</v>
      </c>
      <c r="DX240" s="9">
        <f t="shared" si="81"/>
        <v>0</v>
      </c>
      <c r="DY240" s="9">
        <f t="shared" si="82"/>
        <v>0</v>
      </c>
      <c r="DZ240" s="9">
        <f t="shared" si="83"/>
        <v>0</v>
      </c>
      <c r="EA240" s="9">
        <f t="shared" si="84"/>
        <v>0</v>
      </c>
      <c r="EB240" s="9">
        <f t="shared" si="85"/>
        <v>0</v>
      </c>
      <c r="EC240" s="9">
        <f t="shared" si="86"/>
        <v>0</v>
      </c>
      <c r="ED240" s="9">
        <f t="shared" si="87"/>
        <v>0</v>
      </c>
      <c r="EE240" s="9">
        <f t="shared" si="88"/>
        <v>0</v>
      </c>
      <c r="EF240" s="9">
        <f t="shared" si="89"/>
        <v>0</v>
      </c>
      <c r="EG240" s="9">
        <f t="shared" si="90"/>
        <v>0</v>
      </c>
      <c r="EH240" s="9">
        <f t="shared" si="91"/>
        <v>0</v>
      </c>
      <c r="EI240" s="9">
        <f t="shared" si="92"/>
        <v>0</v>
      </c>
      <c r="EJ240" s="10">
        <f t="shared" si="93"/>
        <v>0</v>
      </c>
      <c r="EK240" s="10">
        <f t="shared" si="94"/>
        <v>0</v>
      </c>
      <c r="EL240" s="10">
        <f t="shared" ref="EL240:EM240" si="842">IF(OR(ISNUMBER(SEARCH("ai software toolkit", $D240)), ISNUMBER(SEARCH("ai software toolkit", $T240)), ISNUMBER(SEARCH("ai software toolkit", $R240)), ISNUMBER(SEARCH("ai software toolkit", $S240))), 1, 0)</f>
        <v>0</v>
      </c>
      <c r="EM240" s="10">
        <f t="shared" si="842"/>
        <v>0</v>
      </c>
      <c r="EN240" s="10">
        <f t="shared" si="96"/>
        <v>0</v>
      </c>
      <c r="EO240" s="10">
        <f t="shared" si="97"/>
        <v>0</v>
      </c>
      <c r="EP240" s="10">
        <f t="shared" si="98"/>
        <v>0</v>
      </c>
      <c r="EQ240" s="10">
        <f t="shared" si="99"/>
        <v>0</v>
      </c>
      <c r="ER240" s="10">
        <f t="shared" si="100"/>
        <v>0</v>
      </c>
      <c r="ES240" s="10">
        <f t="shared" si="101"/>
        <v>0</v>
      </c>
      <c r="ET240" s="10">
        <f t="shared" si="102"/>
        <v>0</v>
      </c>
      <c r="EU240" s="10">
        <f t="shared" si="103"/>
        <v>0</v>
      </c>
      <c r="EV240" s="10">
        <f t="shared" si="104"/>
        <v>0</v>
      </c>
      <c r="EW240" s="10">
        <f t="shared" si="105"/>
        <v>0</v>
      </c>
      <c r="EX240" s="10">
        <f t="shared" si="106"/>
        <v>0</v>
      </c>
      <c r="EY240" s="10">
        <f t="shared" si="107"/>
        <v>0</v>
      </c>
      <c r="EZ240" s="10">
        <f t="shared" si="108"/>
        <v>0</v>
      </c>
      <c r="FA240" s="10">
        <f t="shared" si="109"/>
        <v>0</v>
      </c>
      <c r="FB240" s="10">
        <f t="shared" si="110"/>
        <v>0</v>
      </c>
      <c r="FC240" s="10">
        <f t="shared" si="111"/>
        <v>0</v>
      </c>
      <c r="FD240" s="10">
        <f t="shared" si="112"/>
        <v>0</v>
      </c>
      <c r="FE240" s="10">
        <f t="shared" si="782"/>
        <v>0</v>
      </c>
      <c r="FF240" s="10">
        <f t="shared" si="114"/>
        <v>0</v>
      </c>
      <c r="FG240" s="10">
        <f t="shared" si="115"/>
        <v>0</v>
      </c>
      <c r="FH240" s="10">
        <f t="shared" si="116"/>
        <v>0</v>
      </c>
      <c r="FI240" s="10">
        <f t="shared" si="117"/>
        <v>0</v>
      </c>
      <c r="FJ240" s="10">
        <f t="shared" si="118"/>
        <v>0</v>
      </c>
      <c r="FK240" s="10">
        <f t="shared" si="119"/>
        <v>0</v>
      </c>
      <c r="FL240" s="10">
        <f t="shared" si="120"/>
        <v>0</v>
      </c>
      <c r="FM240" s="10">
        <f t="shared" si="121"/>
        <v>0</v>
      </c>
      <c r="FN240" s="10">
        <f t="shared" si="122"/>
        <v>0</v>
      </c>
      <c r="FO240" s="10">
        <f t="shared" si="123"/>
        <v>0</v>
      </c>
      <c r="FP240" s="10">
        <f t="shared" si="124"/>
        <v>0</v>
      </c>
      <c r="FQ240" s="10">
        <f t="shared" si="125"/>
        <v>0</v>
      </c>
      <c r="FR240" s="11">
        <f t="shared" si="804"/>
        <v>0</v>
      </c>
      <c r="FS240" s="11">
        <f t="shared" si="127"/>
        <v>0</v>
      </c>
      <c r="FT240" s="11">
        <f t="shared" si="128"/>
        <v>0</v>
      </c>
      <c r="FU240" s="11">
        <f t="shared" si="129"/>
        <v>0</v>
      </c>
      <c r="FV240" s="11">
        <f t="shared" si="130"/>
        <v>0</v>
      </c>
      <c r="FW240" s="11">
        <f t="shared" si="131"/>
        <v>0</v>
      </c>
      <c r="FX240" s="11">
        <f t="shared" si="132"/>
        <v>0</v>
      </c>
      <c r="FY240" s="11">
        <f t="shared" si="133"/>
        <v>0</v>
      </c>
      <c r="FZ240" s="11">
        <f t="shared" si="134"/>
        <v>0</v>
      </c>
      <c r="GA240" s="11">
        <f t="shared" si="135"/>
        <v>0</v>
      </c>
      <c r="GB240" s="11">
        <f t="shared" si="136"/>
        <v>0</v>
      </c>
      <c r="GC240" s="11">
        <f t="shared" si="137"/>
        <v>0</v>
      </c>
      <c r="GD240" s="11">
        <f t="shared" si="138"/>
        <v>0</v>
      </c>
      <c r="GE240" s="11">
        <f t="shared" si="139"/>
        <v>0</v>
      </c>
      <c r="GF240" s="11">
        <f t="shared" si="140"/>
        <v>0</v>
      </c>
      <c r="GG240" s="11">
        <f t="shared" si="141"/>
        <v>0</v>
      </c>
      <c r="GH240" s="11">
        <f t="shared" si="142"/>
        <v>0</v>
      </c>
      <c r="GI240" s="11">
        <f t="shared" si="143"/>
        <v>0</v>
      </c>
      <c r="GJ240" s="11">
        <f t="shared" si="144"/>
        <v>0</v>
      </c>
      <c r="GK240" s="11">
        <f t="shared" si="145"/>
        <v>0</v>
      </c>
      <c r="GL240" s="11">
        <f t="shared" si="146"/>
        <v>0</v>
      </c>
      <c r="GM240" s="11">
        <f t="shared" si="147"/>
        <v>0</v>
      </c>
      <c r="GN240" s="11">
        <f t="shared" si="148"/>
        <v>0</v>
      </c>
      <c r="GO240" s="11">
        <f t="shared" si="149"/>
        <v>0</v>
      </c>
      <c r="GP240" s="11">
        <f t="shared" si="150"/>
        <v>0</v>
      </c>
      <c r="GQ240" s="11">
        <f t="shared" si="151"/>
        <v>0</v>
      </c>
      <c r="GR240" s="11">
        <f t="shared" si="152"/>
        <v>0</v>
      </c>
      <c r="GS240" s="11">
        <f t="shared" si="153"/>
        <v>0</v>
      </c>
      <c r="GT240" s="11">
        <f t="shared" si="154"/>
        <v>0</v>
      </c>
      <c r="GU240" s="12">
        <f t="shared" si="155"/>
        <v>0</v>
      </c>
      <c r="GV240" s="12">
        <f t="shared" si="156"/>
        <v>0</v>
      </c>
      <c r="GW240" s="12">
        <f t="shared" si="157"/>
        <v>0</v>
      </c>
      <c r="GX240" s="12">
        <f t="shared" si="158"/>
        <v>0</v>
      </c>
      <c r="GY240" s="12">
        <f t="shared" si="159"/>
        <v>0</v>
      </c>
      <c r="GZ240" s="12">
        <f t="shared" si="160"/>
        <v>0</v>
      </c>
      <c r="HA240" s="12">
        <f t="shared" si="161"/>
        <v>0</v>
      </c>
      <c r="HB240" s="12">
        <f t="shared" si="162"/>
        <v>0</v>
      </c>
      <c r="HC240" s="12">
        <f t="shared" si="163"/>
        <v>0</v>
      </c>
      <c r="HD240" s="12">
        <f t="shared" si="164"/>
        <v>0</v>
      </c>
      <c r="HE240" s="12">
        <f t="shared" si="165"/>
        <v>0</v>
      </c>
      <c r="HF240" s="12">
        <f t="shared" si="166"/>
        <v>0</v>
      </c>
      <c r="HG240" s="12">
        <f t="shared" si="167"/>
        <v>0</v>
      </c>
      <c r="HH240" s="12">
        <f t="shared" si="168"/>
        <v>0</v>
      </c>
      <c r="HI240" s="12">
        <f t="shared" si="169"/>
        <v>0</v>
      </c>
      <c r="HJ240" s="12">
        <f t="shared" si="170"/>
        <v>0</v>
      </c>
      <c r="HK240" s="12">
        <f t="shared" si="171"/>
        <v>0</v>
      </c>
      <c r="HL240" s="12">
        <f t="shared" si="172"/>
        <v>0</v>
      </c>
      <c r="HM240" s="12">
        <f t="shared" si="173"/>
        <v>0</v>
      </c>
      <c r="HN240" s="12">
        <f t="shared" si="174"/>
        <v>0</v>
      </c>
      <c r="HO240" s="12">
        <f t="shared" si="175"/>
        <v>0</v>
      </c>
      <c r="HP240" s="12">
        <f t="shared" si="176"/>
        <v>0</v>
      </c>
      <c r="HQ240" s="12">
        <f t="shared" si="177"/>
        <v>0</v>
      </c>
      <c r="HR240" s="12">
        <f t="shared" si="178"/>
        <v>0</v>
      </c>
      <c r="HS240" s="12">
        <f t="shared" si="179"/>
        <v>0</v>
      </c>
      <c r="HT240" s="12">
        <f t="shared" si="180"/>
        <v>0</v>
      </c>
      <c r="HU240" s="12">
        <f t="shared" si="181"/>
        <v>0</v>
      </c>
      <c r="HV240" s="12">
        <f t="shared" si="182"/>
        <v>0</v>
      </c>
      <c r="HW240" s="12">
        <f t="shared" si="183"/>
        <v>0</v>
      </c>
      <c r="HX240" s="12">
        <f t="shared" si="184"/>
        <v>0</v>
      </c>
      <c r="HY240" s="12">
        <f t="shared" si="185"/>
        <v>0</v>
      </c>
      <c r="HZ240" s="12">
        <f t="shared" si="186"/>
        <v>0</v>
      </c>
      <c r="IA240" s="12">
        <f t="shared" si="187"/>
        <v>0</v>
      </c>
      <c r="IB240" s="12">
        <f t="shared" si="188"/>
        <v>0</v>
      </c>
      <c r="IC240" s="12">
        <f t="shared" si="189"/>
        <v>0</v>
      </c>
      <c r="ID240" s="12">
        <f t="shared" si="190"/>
        <v>0</v>
      </c>
      <c r="IE240" s="12">
        <f t="shared" si="191"/>
        <v>0</v>
      </c>
      <c r="IF240" s="12">
        <f t="shared" si="192"/>
        <v>0</v>
      </c>
      <c r="IG240" s="12">
        <f t="shared" si="193"/>
        <v>0</v>
      </c>
      <c r="IH240" s="12">
        <f t="shared" si="194"/>
        <v>0</v>
      </c>
      <c r="II240" s="12">
        <f t="shared" si="195"/>
        <v>0</v>
      </c>
      <c r="IJ240" s="12">
        <f t="shared" si="196"/>
        <v>0</v>
      </c>
      <c r="IK240" s="12">
        <f t="shared" si="197"/>
        <v>0</v>
      </c>
      <c r="IL240" s="12">
        <f t="shared" si="198"/>
        <v>0</v>
      </c>
      <c r="IM240" s="12">
        <f t="shared" si="199"/>
        <v>0</v>
      </c>
      <c r="IN240" s="12">
        <f t="shared" si="200"/>
        <v>0</v>
      </c>
      <c r="IO240" s="12">
        <f t="shared" si="201"/>
        <v>0</v>
      </c>
      <c r="IP240" s="12">
        <f t="shared" si="202"/>
        <v>0</v>
      </c>
      <c r="IQ240" s="12">
        <f t="shared" si="203"/>
        <v>0</v>
      </c>
      <c r="IR240" s="12">
        <f t="shared" si="204"/>
        <v>0</v>
      </c>
      <c r="IS240" s="12">
        <f t="shared" si="205"/>
        <v>0</v>
      </c>
      <c r="IT240" s="12">
        <f t="shared" si="206"/>
        <v>0</v>
      </c>
      <c r="IU240" s="12">
        <f t="shared" si="207"/>
        <v>0</v>
      </c>
      <c r="IV240" s="12">
        <f t="shared" si="208"/>
        <v>0</v>
      </c>
      <c r="IW240" s="12">
        <f t="shared" si="209"/>
        <v>0</v>
      </c>
      <c r="IX240" s="12">
        <f t="shared" si="210"/>
        <v>0</v>
      </c>
      <c r="IY240" s="12">
        <f t="shared" si="211"/>
        <v>0</v>
      </c>
      <c r="IZ240" s="12">
        <f t="shared" si="212"/>
        <v>0</v>
      </c>
      <c r="JA240" s="13">
        <f t="shared" si="213"/>
        <v>0</v>
      </c>
      <c r="JB240" s="13">
        <f t="shared" si="214"/>
        <v>0</v>
      </c>
      <c r="JC240" s="13">
        <f t="shared" si="215"/>
        <v>0</v>
      </c>
      <c r="JD240" s="13">
        <f t="shared" si="216"/>
        <v>0</v>
      </c>
      <c r="JE240" s="13">
        <f t="shared" si="217"/>
        <v>0</v>
      </c>
      <c r="JF240" s="13">
        <f t="shared" si="218"/>
        <v>0</v>
      </c>
      <c r="JG240" s="13">
        <f t="shared" si="219"/>
        <v>0</v>
      </c>
      <c r="JH240" s="13">
        <f t="shared" si="220"/>
        <v>0</v>
      </c>
      <c r="JI240" s="13">
        <f t="shared" si="221"/>
        <v>0</v>
      </c>
      <c r="JJ240" s="13">
        <f t="shared" si="222"/>
        <v>0</v>
      </c>
      <c r="JK240" s="13">
        <f t="shared" si="223"/>
        <v>0</v>
      </c>
      <c r="JL240" s="13">
        <f t="shared" si="224"/>
        <v>0</v>
      </c>
      <c r="JM240" s="13">
        <f t="shared" si="225"/>
        <v>0</v>
      </c>
      <c r="JN240" s="13">
        <f t="shared" si="226"/>
        <v>0</v>
      </c>
      <c r="JO240" s="13">
        <f t="shared" si="227"/>
        <v>0</v>
      </c>
      <c r="JP240" s="13">
        <f t="shared" si="228"/>
        <v>0</v>
      </c>
      <c r="JQ240" s="13">
        <f t="shared" si="229"/>
        <v>0</v>
      </c>
      <c r="JR240" s="13">
        <f t="shared" si="230"/>
        <v>0</v>
      </c>
      <c r="JS240" s="13">
        <f t="shared" si="231"/>
        <v>0</v>
      </c>
      <c r="JT240" s="13">
        <f t="shared" si="232"/>
        <v>0</v>
      </c>
      <c r="JU240" s="13">
        <f t="shared" si="233"/>
        <v>0</v>
      </c>
      <c r="JV240" s="12">
        <f t="shared" si="234"/>
        <v>0</v>
      </c>
      <c r="JW240" s="12">
        <f t="shared" si="235"/>
        <v>0</v>
      </c>
      <c r="JX240" s="12">
        <f t="shared" si="236"/>
        <v>0</v>
      </c>
      <c r="JY240" s="12">
        <f t="shared" si="237"/>
        <v>0</v>
      </c>
      <c r="JZ240" s="12">
        <f t="shared" si="238"/>
        <v>0</v>
      </c>
      <c r="KA240" s="12">
        <f t="shared" si="239"/>
        <v>0</v>
      </c>
      <c r="KB240" s="12">
        <f t="shared" si="240"/>
        <v>0</v>
      </c>
      <c r="KC240" s="12">
        <f t="shared" si="241"/>
        <v>0</v>
      </c>
      <c r="KD240" s="12">
        <f t="shared" si="797"/>
        <v>0</v>
      </c>
      <c r="KE240" s="12">
        <f t="shared" si="243"/>
        <v>0</v>
      </c>
      <c r="KF240" s="12">
        <f t="shared" si="244"/>
        <v>0</v>
      </c>
      <c r="KG240" s="12">
        <f t="shared" si="245"/>
        <v>0</v>
      </c>
      <c r="KH240" s="12">
        <f t="shared" si="246"/>
        <v>0</v>
      </c>
      <c r="KI240" s="12">
        <f t="shared" si="247"/>
        <v>0</v>
      </c>
      <c r="KJ240" s="12">
        <f t="shared" si="248"/>
        <v>0</v>
      </c>
      <c r="KK240" s="12">
        <f t="shared" si="249"/>
        <v>0</v>
      </c>
      <c r="KL240" s="12">
        <f t="shared" si="250"/>
        <v>0</v>
      </c>
      <c r="KM240" s="12">
        <f t="shared" si="251"/>
        <v>0</v>
      </c>
      <c r="KN240" s="12">
        <f t="shared" si="252"/>
        <v>0</v>
      </c>
      <c r="KO240" s="12">
        <f t="shared" si="253"/>
        <v>0</v>
      </c>
      <c r="KP240" s="12">
        <f t="shared" si="254"/>
        <v>0</v>
      </c>
      <c r="KQ240" s="12">
        <f t="shared" si="255"/>
        <v>0</v>
      </c>
      <c r="KR240" s="12">
        <f t="shared" si="256"/>
        <v>0</v>
      </c>
      <c r="KS240" s="12">
        <f t="shared" si="257"/>
        <v>0</v>
      </c>
      <c r="KT240" s="12">
        <f t="shared" si="258"/>
        <v>0</v>
      </c>
      <c r="KU240" s="12">
        <f t="shared" si="259"/>
        <v>0</v>
      </c>
      <c r="KV240" s="12">
        <f t="shared" si="260"/>
        <v>0</v>
      </c>
      <c r="KW240" s="12">
        <f t="shared" si="261"/>
        <v>0</v>
      </c>
      <c r="KX240" s="12">
        <f t="shared" si="262"/>
        <v>0</v>
      </c>
      <c r="KY240" s="12">
        <f t="shared" si="263"/>
        <v>0</v>
      </c>
      <c r="KZ240" s="12">
        <f t="shared" si="264"/>
        <v>0</v>
      </c>
      <c r="LA240" s="12">
        <f t="shared" si="265"/>
        <v>0</v>
      </c>
      <c r="LB240" s="12">
        <f t="shared" si="266"/>
        <v>0</v>
      </c>
      <c r="LC240" s="12">
        <f t="shared" si="267"/>
        <v>0</v>
      </c>
      <c r="LD240" s="12">
        <f t="shared" si="268"/>
        <v>0</v>
      </c>
      <c r="LE240" s="12">
        <f t="shared" si="269"/>
        <v>0</v>
      </c>
      <c r="LF240" s="12">
        <f t="shared" si="270"/>
        <v>0</v>
      </c>
      <c r="LG240" s="12">
        <f t="shared" si="271"/>
        <v>0</v>
      </c>
      <c r="LH240" s="12">
        <f t="shared" si="272"/>
        <v>0</v>
      </c>
      <c r="LI240" s="12">
        <f t="shared" si="273"/>
        <v>0</v>
      </c>
      <c r="LJ240" s="12">
        <f t="shared" si="274"/>
        <v>0</v>
      </c>
      <c r="LK240" s="12">
        <f t="shared" si="275"/>
        <v>0</v>
      </c>
      <c r="LL240" s="12">
        <f t="shared" si="276"/>
        <v>0</v>
      </c>
      <c r="LM240" s="12">
        <f t="shared" si="277"/>
        <v>0</v>
      </c>
      <c r="LN240" s="12">
        <f t="shared" si="278"/>
        <v>0</v>
      </c>
      <c r="LO240" s="12">
        <f t="shared" si="279"/>
        <v>0</v>
      </c>
      <c r="LP240" s="12">
        <f t="shared" si="280"/>
        <v>0</v>
      </c>
      <c r="LQ240" s="12">
        <f t="shared" si="281"/>
        <v>0</v>
      </c>
      <c r="LR240" s="12">
        <f t="shared" si="282"/>
        <v>0</v>
      </c>
      <c r="LS240" s="12">
        <f t="shared" si="283"/>
        <v>0</v>
      </c>
      <c r="LT240" s="13">
        <f t="shared" si="284"/>
        <v>0</v>
      </c>
      <c r="LU240" s="13">
        <f t="shared" si="285"/>
        <v>0</v>
      </c>
      <c r="LV240" s="13">
        <f t="shared" si="286"/>
        <v>0</v>
      </c>
      <c r="LW240" s="13">
        <f t="shared" si="287"/>
        <v>0</v>
      </c>
      <c r="LX240" s="13">
        <f t="shared" si="288"/>
        <v>0</v>
      </c>
      <c r="LY240" s="13">
        <f t="shared" si="289"/>
        <v>0</v>
      </c>
      <c r="LZ240" s="13">
        <f t="shared" si="290"/>
        <v>0</v>
      </c>
      <c r="MA240" s="13">
        <f t="shared" si="291"/>
        <v>0</v>
      </c>
      <c r="MB240" s="13">
        <f t="shared" si="292"/>
        <v>0</v>
      </c>
      <c r="MC240" s="13">
        <f t="shared" si="293"/>
        <v>0</v>
      </c>
      <c r="MD240" s="13">
        <f t="shared" si="294"/>
        <v>0</v>
      </c>
      <c r="ME240" s="13">
        <f t="shared" si="295"/>
        <v>0</v>
      </c>
      <c r="MF240" s="13">
        <f t="shared" si="296"/>
        <v>0</v>
      </c>
      <c r="MG240" s="13">
        <f t="shared" si="297"/>
        <v>0</v>
      </c>
      <c r="MH240" s="13">
        <f t="shared" si="298"/>
        <v>0</v>
      </c>
      <c r="MI240" s="13">
        <f t="shared" si="299"/>
        <v>0</v>
      </c>
      <c r="MJ240" s="13">
        <f t="shared" si="300"/>
        <v>0</v>
      </c>
      <c r="MK240" s="13">
        <f t="shared" si="301"/>
        <v>0</v>
      </c>
      <c r="ML240" s="14">
        <f t="shared" si="302"/>
        <v>1</v>
      </c>
      <c r="MM240" s="14">
        <f t="shared" si="303"/>
        <v>0</v>
      </c>
      <c r="MN240" s="14">
        <f t="shared" si="304"/>
        <v>0</v>
      </c>
      <c r="MO240" s="14">
        <f t="shared" si="305"/>
        <v>0</v>
      </c>
      <c r="MP240" s="14">
        <f t="shared" si="306"/>
        <v>0</v>
      </c>
      <c r="MQ240" s="14">
        <f t="shared" si="307"/>
        <v>0</v>
      </c>
      <c r="MR240" s="14">
        <f t="shared" si="308"/>
        <v>0</v>
      </c>
      <c r="MS240" s="14">
        <f t="shared" si="309"/>
        <v>0</v>
      </c>
      <c r="MT240" s="14">
        <f t="shared" si="310"/>
        <v>0</v>
      </c>
      <c r="MU240" s="14">
        <f t="shared" si="311"/>
        <v>0</v>
      </c>
      <c r="MV240" s="14">
        <f t="shared" si="312"/>
        <v>0</v>
      </c>
      <c r="MW240" s="14">
        <f t="shared" si="313"/>
        <v>0</v>
      </c>
      <c r="MX240" s="14">
        <f t="shared" si="314"/>
        <v>0</v>
      </c>
      <c r="MY240" s="14">
        <f t="shared" si="315"/>
        <v>1</v>
      </c>
      <c r="MZ240" s="14">
        <f t="shared" si="316"/>
        <v>0</v>
      </c>
      <c r="NA240" s="14">
        <f t="shared" si="317"/>
        <v>0</v>
      </c>
      <c r="NB240" s="14">
        <f t="shared" si="318"/>
        <v>0</v>
      </c>
    </row>
    <row r="241" ht="15.75" customHeight="1">
      <c r="A241" s="2">
        <v>572.0</v>
      </c>
      <c r="B241" s="2" t="s">
        <v>4338</v>
      </c>
      <c r="C241" s="2" t="s">
        <v>4339</v>
      </c>
      <c r="D241" s="2" t="s">
        <v>4340</v>
      </c>
      <c r="E241" s="2">
        <v>2022.0</v>
      </c>
      <c r="F241" s="2" t="s">
        <v>527</v>
      </c>
      <c r="G241" s="2">
        <v>12.0</v>
      </c>
      <c r="H241" s="2" t="s">
        <v>392</v>
      </c>
      <c r="I241" s="2" t="s">
        <v>4341</v>
      </c>
      <c r="N241" s="2" t="s">
        <v>4342</v>
      </c>
      <c r="O241" s="2" t="s">
        <v>4343</v>
      </c>
      <c r="P241" s="2" t="s">
        <v>4344</v>
      </c>
      <c r="Q241" s="2" t="s">
        <v>4345</v>
      </c>
      <c r="R241" s="2" t="s">
        <v>4346</v>
      </c>
      <c r="T241" s="2" t="s">
        <v>4347</v>
      </c>
      <c r="Y241" s="2" t="s">
        <v>4348</v>
      </c>
      <c r="AB241" s="2" t="s">
        <v>3128</v>
      </c>
      <c r="AG241" s="2" t="s">
        <v>537</v>
      </c>
      <c r="AJ241" s="2">
        <v>3.5879357E7</v>
      </c>
      <c r="AK241" s="2" t="s">
        <v>538</v>
      </c>
      <c r="AL241" s="2" t="s">
        <v>384</v>
      </c>
      <c r="AM241" s="2" t="s">
        <v>484</v>
      </c>
      <c r="AN241" s="2" t="s">
        <v>386</v>
      </c>
      <c r="AO241" s="2" t="s">
        <v>4349</v>
      </c>
      <c r="AP241" s="2" t="s">
        <v>386</v>
      </c>
      <c r="AQ241" s="2">
        <v>2208.0</v>
      </c>
      <c r="AR241" s="2" t="s">
        <v>4340</v>
      </c>
      <c r="AS241" s="2" t="b">
        <v>1</v>
      </c>
      <c r="AT241" s="3">
        <v>0.0</v>
      </c>
      <c r="AU241" s="4"/>
      <c r="AV241" s="4"/>
      <c r="AW241" s="5">
        <f t="shared" si="432"/>
        <v>0</v>
      </c>
      <c r="AX241" s="5">
        <f t="shared" si="4"/>
        <v>0</v>
      </c>
      <c r="AY241" s="5">
        <f t="shared" si="5"/>
        <v>0</v>
      </c>
      <c r="AZ241" s="5">
        <f t="shared" si="6"/>
        <v>0</v>
      </c>
      <c r="BA241" s="5">
        <f t="shared" si="7"/>
        <v>0</v>
      </c>
      <c r="BB241" s="5">
        <f t="shared" si="8"/>
        <v>0</v>
      </c>
      <c r="BC241" s="5">
        <f t="shared" si="9"/>
        <v>0</v>
      </c>
      <c r="BD241" s="5">
        <f t="shared" si="10"/>
        <v>0</v>
      </c>
      <c r="BE241" s="5">
        <f t="shared" si="11"/>
        <v>0</v>
      </c>
      <c r="BF241" s="5">
        <f t="shared" si="12"/>
        <v>0</v>
      </c>
      <c r="BG241" s="5">
        <f t="shared" si="13"/>
        <v>0</v>
      </c>
      <c r="BH241" s="5">
        <f t="shared" si="14"/>
        <v>0</v>
      </c>
      <c r="BI241" s="5">
        <f t="shared" si="15"/>
        <v>0</v>
      </c>
      <c r="BJ241" s="5">
        <f t="shared" si="16"/>
        <v>0</v>
      </c>
      <c r="BK241" s="5">
        <f t="shared" si="17"/>
        <v>0</v>
      </c>
      <c r="BL241" s="5">
        <f t="shared" si="18"/>
        <v>0</v>
      </c>
      <c r="BM241" s="5">
        <f t="shared" si="19"/>
        <v>0</v>
      </c>
      <c r="BN241" s="5">
        <f t="shared" si="20"/>
        <v>0</v>
      </c>
      <c r="BO241" s="5">
        <f t="shared" si="21"/>
        <v>0</v>
      </c>
      <c r="BP241" s="5">
        <f t="shared" si="22"/>
        <v>0</v>
      </c>
      <c r="BQ241" s="5">
        <f t="shared" si="23"/>
        <v>0</v>
      </c>
      <c r="BR241" s="5">
        <f t="shared" si="24"/>
        <v>0</v>
      </c>
      <c r="BS241" s="5">
        <f t="shared" si="25"/>
        <v>0</v>
      </c>
      <c r="BT241" s="5">
        <f t="shared" si="26"/>
        <v>0</v>
      </c>
      <c r="BU241" s="5">
        <f t="shared" si="27"/>
        <v>0</v>
      </c>
      <c r="BV241" s="5">
        <f t="shared" ref="BV241:BW241" si="843">IF(OR(ISNUMBER(SEARCH("grit",$D241)),ISNUMBER(SEARCH("grit",$T241)),ISNUMBER(SEARCH("grit",$R241)),ISNUMBER(SEARCH("grit",$S241)),
ISNUMBER(SEARCH("determination",$D241)),ISNUMBER(SEARCH("determination",$T241)),ISNUMBER(SEARCH("determination",$R241)),ISNUMBER(SEARCH("determination",$S241)),
ISNUMBER(SEARCH("tenacity",$D241)),ISNUMBER(SEARCH("tenacity",$T241)),ISNUMBER(SEARCH("tenacity",$R241)),ISNUMBER(SEARCH("tenacity",$S241)),
ISNUMBER(SEARCH("endurance",$D241)),ISNUMBER(SEARCH("endurance",$T241)),ISNUMBER(SEARCH("endurance",$R241)),ISNUMBER(SEARCH("endurance",$S241)),
ISNUMBER(SEARCH("fortitude",$D241)),ISNUMBER(SEARCH("fortitude",$T241)),ISNUMBER(SEARCH("fortitude",$R241)),ISNUMBER(SEARCH("fortitude",$S241)),
ISNUMBER(SEARCH("resolve",$D241)),ISNUMBER(SEARCH("resolve",$T241)),ISNUMBER(SEARCH("resolve",$R241)),ISNUMBER(SEARCH("resolve",$S241)),
ISNUMBER(SEARCH("stamina",$D241)),ISNUMBER(SEARCH("stamina",$T241)),ISNUMBER(SEARCH("stamina",$R241)),ISNUMBER(SEARCH("stamina",$S241)),
ISNUMBER(SEARCH("guts",$D241)),ISNUMBER(SEARCH("guts",$T241)),ISNUMBER(SEARCH("guts",$R241)),ISNUMBER(SEARCH("guts",$S241)),
ISNUMBER(SEARCH("spunk",$D241)),ISNUMBER(SEARCH("spunk",$T241)),ISNUMBER(SEARCH("spunk",$R241)),ISNUMBER(SEARCH("spunk",$S241))), 1, 0)</f>
        <v>0</v>
      </c>
      <c r="BW241" s="5">
        <f t="shared" si="843"/>
        <v>0</v>
      </c>
      <c r="BX241" s="5">
        <f t="shared" si="29"/>
        <v>0</v>
      </c>
      <c r="BY241" s="5">
        <f t="shared" si="30"/>
        <v>0</v>
      </c>
      <c r="BZ241" s="5">
        <f t="shared" si="31"/>
        <v>0</v>
      </c>
      <c r="CA241" s="5">
        <f t="shared" si="32"/>
        <v>0</v>
      </c>
      <c r="CB241" s="5">
        <f t="shared" si="33"/>
        <v>0</v>
      </c>
      <c r="CC241" s="5">
        <f t="shared" si="34"/>
        <v>0</v>
      </c>
      <c r="CD241" s="5">
        <f t="shared" si="35"/>
        <v>0</v>
      </c>
      <c r="CE241" s="5">
        <f t="shared" si="36"/>
        <v>0</v>
      </c>
      <c r="CF241" s="5">
        <f t="shared" si="37"/>
        <v>0</v>
      </c>
      <c r="CG241" s="5">
        <f t="shared" si="38"/>
        <v>0</v>
      </c>
      <c r="CH241" s="5">
        <f t="shared" si="39"/>
        <v>0</v>
      </c>
      <c r="CI241" s="5">
        <f t="shared" si="40"/>
        <v>0</v>
      </c>
      <c r="CJ241" s="5">
        <f t="shared" si="41"/>
        <v>0</v>
      </c>
      <c r="CK241" s="5">
        <f t="shared" si="42"/>
        <v>0</v>
      </c>
      <c r="CL241" s="5">
        <f t="shared" si="43"/>
        <v>0</v>
      </c>
      <c r="CM241" s="5">
        <f t="shared" si="44"/>
        <v>0</v>
      </c>
      <c r="CN241" s="5">
        <f t="shared" si="45"/>
        <v>0</v>
      </c>
      <c r="CO241" s="5">
        <f t="shared" si="46"/>
        <v>0</v>
      </c>
      <c r="CP241" s="6">
        <f t="shared" si="47"/>
        <v>0</v>
      </c>
      <c r="CQ241" s="6">
        <f t="shared" si="48"/>
        <v>0</v>
      </c>
      <c r="CR241" s="6">
        <f t="shared" si="49"/>
        <v>0</v>
      </c>
      <c r="CS241" s="6">
        <f t="shared" si="50"/>
        <v>0</v>
      </c>
      <c r="CT241" s="6">
        <f t="shared" si="584"/>
        <v>0</v>
      </c>
      <c r="CU241" s="6">
        <f t="shared" si="52"/>
        <v>0</v>
      </c>
      <c r="CV241" s="6">
        <f t="shared" si="53"/>
        <v>0</v>
      </c>
      <c r="CW241" s="6">
        <f t="shared" si="54"/>
        <v>0</v>
      </c>
      <c r="CX241" s="6">
        <f t="shared" si="55"/>
        <v>0</v>
      </c>
      <c r="CY241" s="6">
        <f t="shared" si="56"/>
        <v>0</v>
      </c>
      <c r="CZ241" s="6">
        <f t="shared" si="57"/>
        <v>0</v>
      </c>
      <c r="DA241" s="6">
        <f t="shared" si="58"/>
        <v>0</v>
      </c>
      <c r="DB241" s="6">
        <f t="shared" si="59"/>
        <v>0</v>
      </c>
      <c r="DC241" s="6">
        <f t="shared" si="60"/>
        <v>0</v>
      </c>
      <c r="DD241" s="6">
        <f t="shared" si="61"/>
        <v>0</v>
      </c>
      <c r="DE241" s="6">
        <f t="shared" si="62"/>
        <v>0</v>
      </c>
      <c r="DF241" s="6">
        <f t="shared" si="63"/>
        <v>0</v>
      </c>
      <c r="DG241" s="6">
        <f t="shared" si="64"/>
        <v>1</v>
      </c>
      <c r="DH241" s="6">
        <f t="shared" si="697"/>
        <v>0</v>
      </c>
      <c r="DI241" s="6">
        <f t="shared" si="66"/>
        <v>0</v>
      </c>
      <c r="DJ241" s="6">
        <f t="shared" si="653"/>
        <v>0</v>
      </c>
      <c r="DK241" s="7">
        <f t="shared" si="68"/>
        <v>0</v>
      </c>
      <c r="DL241" s="7">
        <f t="shared" si="498"/>
        <v>0</v>
      </c>
      <c r="DM241" s="7">
        <f t="shared" si="70"/>
        <v>0</v>
      </c>
      <c r="DN241" s="7">
        <f t="shared" si="71"/>
        <v>0</v>
      </c>
      <c r="DO241" s="7">
        <f t="shared" si="72"/>
        <v>0</v>
      </c>
      <c r="DP241" s="8">
        <f t="shared" si="73"/>
        <v>0</v>
      </c>
      <c r="DQ241" s="8">
        <f t="shared" si="74"/>
        <v>1</v>
      </c>
      <c r="DR241" s="7">
        <f t="shared" si="75"/>
        <v>0</v>
      </c>
      <c r="DS241" s="7">
        <f t="shared" si="76"/>
        <v>0</v>
      </c>
      <c r="DT241" s="7">
        <f t="shared" si="77"/>
        <v>0</v>
      </c>
      <c r="DU241" s="9">
        <f t="shared" si="78"/>
        <v>0</v>
      </c>
      <c r="DV241" s="9">
        <f t="shared" si="79"/>
        <v>0</v>
      </c>
      <c r="DW241" s="9">
        <f t="shared" si="80"/>
        <v>0</v>
      </c>
      <c r="DX241" s="9">
        <f t="shared" si="81"/>
        <v>0</v>
      </c>
      <c r="DY241" s="9">
        <f t="shared" si="82"/>
        <v>0</v>
      </c>
      <c r="DZ241" s="9">
        <f t="shared" si="83"/>
        <v>0</v>
      </c>
      <c r="EA241" s="9">
        <f t="shared" si="84"/>
        <v>0</v>
      </c>
      <c r="EB241" s="9">
        <f t="shared" si="85"/>
        <v>0</v>
      </c>
      <c r="EC241" s="9">
        <f t="shared" si="86"/>
        <v>0</v>
      </c>
      <c r="ED241" s="9">
        <f t="shared" si="87"/>
        <v>0</v>
      </c>
      <c r="EE241" s="9">
        <f t="shared" si="88"/>
        <v>0</v>
      </c>
      <c r="EF241" s="9">
        <f t="shared" si="89"/>
        <v>0</v>
      </c>
      <c r="EG241" s="9">
        <f t="shared" si="90"/>
        <v>0</v>
      </c>
      <c r="EH241" s="9">
        <f t="shared" si="91"/>
        <v>0</v>
      </c>
      <c r="EI241" s="9">
        <f t="shared" si="92"/>
        <v>0</v>
      </c>
      <c r="EJ241" s="10">
        <f t="shared" si="93"/>
        <v>0</v>
      </c>
      <c r="EK241" s="10">
        <f t="shared" si="94"/>
        <v>0</v>
      </c>
      <c r="EL241" s="10">
        <f t="shared" ref="EL241:EM241" si="844">IF(OR(ISNUMBER(SEARCH("ai software toolkit", $D241)), ISNUMBER(SEARCH("ai software toolkit", $T241)), ISNUMBER(SEARCH("ai software toolkit", $R241)), ISNUMBER(SEARCH("ai software toolkit", $S241))), 1, 0)</f>
        <v>0</v>
      </c>
      <c r="EM241" s="10">
        <f t="shared" si="844"/>
        <v>0</v>
      </c>
      <c r="EN241" s="10">
        <f t="shared" si="96"/>
        <v>0</v>
      </c>
      <c r="EO241" s="10">
        <f t="shared" si="97"/>
        <v>0</v>
      </c>
      <c r="EP241" s="10">
        <f t="shared" si="98"/>
        <v>0</v>
      </c>
      <c r="EQ241" s="10">
        <f t="shared" si="99"/>
        <v>0</v>
      </c>
      <c r="ER241" s="10">
        <f t="shared" si="100"/>
        <v>0</v>
      </c>
      <c r="ES241" s="10">
        <f t="shared" si="101"/>
        <v>0</v>
      </c>
      <c r="ET241" s="10">
        <f t="shared" si="102"/>
        <v>0</v>
      </c>
      <c r="EU241" s="10">
        <f t="shared" si="103"/>
        <v>0</v>
      </c>
      <c r="EV241" s="10">
        <f t="shared" si="104"/>
        <v>0</v>
      </c>
      <c r="EW241" s="10">
        <f t="shared" si="105"/>
        <v>0</v>
      </c>
      <c r="EX241" s="10">
        <f t="shared" si="106"/>
        <v>0</v>
      </c>
      <c r="EY241" s="10">
        <f t="shared" si="107"/>
        <v>0</v>
      </c>
      <c r="EZ241" s="10">
        <f t="shared" si="108"/>
        <v>0</v>
      </c>
      <c r="FA241" s="10">
        <f t="shared" si="109"/>
        <v>0</v>
      </c>
      <c r="FB241" s="10">
        <f t="shared" si="110"/>
        <v>0</v>
      </c>
      <c r="FC241" s="10">
        <f t="shared" si="111"/>
        <v>0</v>
      </c>
      <c r="FD241" s="10">
        <f t="shared" si="112"/>
        <v>0</v>
      </c>
      <c r="FE241" s="10">
        <f t="shared" si="782"/>
        <v>0</v>
      </c>
      <c r="FF241" s="10">
        <f t="shared" si="114"/>
        <v>0</v>
      </c>
      <c r="FG241" s="10">
        <f t="shared" si="115"/>
        <v>0</v>
      </c>
      <c r="FH241" s="10">
        <f t="shared" si="116"/>
        <v>0</v>
      </c>
      <c r="FI241" s="10">
        <f t="shared" si="117"/>
        <v>0</v>
      </c>
      <c r="FJ241" s="10">
        <f t="shared" si="118"/>
        <v>0</v>
      </c>
      <c r="FK241" s="10">
        <f t="shared" si="119"/>
        <v>0</v>
      </c>
      <c r="FL241" s="10">
        <f t="shared" si="120"/>
        <v>0</v>
      </c>
      <c r="FM241" s="10">
        <f t="shared" si="121"/>
        <v>0</v>
      </c>
      <c r="FN241" s="10">
        <f t="shared" si="122"/>
        <v>0</v>
      </c>
      <c r="FO241" s="10">
        <f t="shared" si="123"/>
        <v>0</v>
      </c>
      <c r="FP241" s="10">
        <f t="shared" si="124"/>
        <v>0</v>
      </c>
      <c r="FQ241" s="10">
        <f t="shared" si="125"/>
        <v>0</v>
      </c>
      <c r="FR241" s="11">
        <f t="shared" si="804"/>
        <v>0</v>
      </c>
      <c r="FS241" s="11">
        <f t="shared" si="127"/>
        <v>0</v>
      </c>
      <c r="FT241" s="11">
        <f t="shared" si="128"/>
        <v>0</v>
      </c>
      <c r="FU241" s="11">
        <f t="shared" si="129"/>
        <v>0</v>
      </c>
      <c r="FV241" s="11">
        <f t="shared" si="130"/>
        <v>0</v>
      </c>
      <c r="FW241" s="11">
        <f t="shared" si="131"/>
        <v>0</v>
      </c>
      <c r="FX241" s="11">
        <f t="shared" si="132"/>
        <v>0</v>
      </c>
      <c r="FY241" s="11">
        <f t="shared" si="133"/>
        <v>0</v>
      </c>
      <c r="FZ241" s="11">
        <f t="shared" si="134"/>
        <v>0</v>
      </c>
      <c r="GA241" s="11">
        <f t="shared" si="135"/>
        <v>0</v>
      </c>
      <c r="GB241" s="11">
        <f t="shared" si="136"/>
        <v>0</v>
      </c>
      <c r="GC241" s="11">
        <f t="shared" si="137"/>
        <v>0</v>
      </c>
      <c r="GD241" s="11">
        <f t="shared" si="138"/>
        <v>0</v>
      </c>
      <c r="GE241" s="11">
        <f t="shared" si="139"/>
        <v>0</v>
      </c>
      <c r="GF241" s="11">
        <f t="shared" si="140"/>
        <v>0</v>
      </c>
      <c r="GG241" s="11">
        <f t="shared" si="141"/>
        <v>0</v>
      </c>
      <c r="GH241" s="11">
        <f t="shared" si="142"/>
        <v>0</v>
      </c>
      <c r="GI241" s="11">
        <f t="shared" si="143"/>
        <v>0</v>
      </c>
      <c r="GJ241" s="11">
        <f t="shared" si="144"/>
        <v>0</v>
      </c>
      <c r="GK241" s="11">
        <f t="shared" si="145"/>
        <v>0</v>
      </c>
      <c r="GL241" s="11">
        <f t="shared" si="146"/>
        <v>0</v>
      </c>
      <c r="GM241" s="11">
        <f t="shared" si="147"/>
        <v>0</v>
      </c>
      <c r="GN241" s="11">
        <f t="shared" si="148"/>
        <v>0</v>
      </c>
      <c r="GO241" s="11">
        <f t="shared" si="149"/>
        <v>0</v>
      </c>
      <c r="GP241" s="11">
        <f t="shared" si="150"/>
        <v>0</v>
      </c>
      <c r="GQ241" s="11">
        <f t="shared" si="151"/>
        <v>0</v>
      </c>
      <c r="GR241" s="11">
        <f t="shared" si="152"/>
        <v>0</v>
      </c>
      <c r="GS241" s="11">
        <f t="shared" si="153"/>
        <v>0</v>
      </c>
      <c r="GT241" s="11">
        <f t="shared" si="154"/>
        <v>0</v>
      </c>
      <c r="GU241" s="12">
        <f t="shared" si="155"/>
        <v>0</v>
      </c>
      <c r="GV241" s="12">
        <f t="shared" si="156"/>
        <v>0</v>
      </c>
      <c r="GW241" s="12">
        <f t="shared" si="157"/>
        <v>0</v>
      </c>
      <c r="GX241" s="12">
        <f t="shared" si="158"/>
        <v>0</v>
      </c>
      <c r="GY241" s="12">
        <f t="shared" si="159"/>
        <v>0</v>
      </c>
      <c r="GZ241" s="12">
        <f t="shared" si="160"/>
        <v>0</v>
      </c>
      <c r="HA241" s="12">
        <f t="shared" si="161"/>
        <v>0</v>
      </c>
      <c r="HB241" s="12">
        <f t="shared" si="162"/>
        <v>0</v>
      </c>
      <c r="HC241" s="12">
        <f t="shared" si="163"/>
        <v>0</v>
      </c>
      <c r="HD241" s="12">
        <f t="shared" si="164"/>
        <v>0</v>
      </c>
      <c r="HE241" s="12">
        <f t="shared" si="165"/>
        <v>0</v>
      </c>
      <c r="HF241" s="12">
        <f t="shared" si="166"/>
        <v>0</v>
      </c>
      <c r="HG241" s="12">
        <f t="shared" si="167"/>
        <v>0</v>
      </c>
      <c r="HH241" s="12">
        <f t="shared" si="168"/>
        <v>0</v>
      </c>
      <c r="HI241" s="12">
        <f t="shared" si="169"/>
        <v>0</v>
      </c>
      <c r="HJ241" s="12">
        <f t="shared" si="170"/>
        <v>0</v>
      </c>
      <c r="HK241" s="12">
        <f t="shared" si="171"/>
        <v>0</v>
      </c>
      <c r="HL241" s="12">
        <f t="shared" si="172"/>
        <v>0</v>
      </c>
      <c r="HM241" s="12">
        <f t="shared" si="173"/>
        <v>0</v>
      </c>
      <c r="HN241" s="12">
        <f t="shared" si="174"/>
        <v>0</v>
      </c>
      <c r="HO241" s="12">
        <f t="shared" si="175"/>
        <v>0</v>
      </c>
      <c r="HP241" s="12">
        <f t="shared" si="176"/>
        <v>0</v>
      </c>
      <c r="HQ241" s="12">
        <f t="shared" si="177"/>
        <v>0</v>
      </c>
      <c r="HR241" s="12">
        <f t="shared" si="178"/>
        <v>0</v>
      </c>
      <c r="HS241" s="12">
        <f t="shared" si="179"/>
        <v>0</v>
      </c>
      <c r="HT241" s="12">
        <f t="shared" si="180"/>
        <v>0</v>
      </c>
      <c r="HU241" s="12">
        <f t="shared" si="181"/>
        <v>0</v>
      </c>
      <c r="HV241" s="12">
        <f t="shared" si="182"/>
        <v>0</v>
      </c>
      <c r="HW241" s="12">
        <f t="shared" si="183"/>
        <v>0</v>
      </c>
      <c r="HX241" s="12">
        <f t="shared" si="184"/>
        <v>0</v>
      </c>
      <c r="HY241" s="12">
        <f t="shared" si="185"/>
        <v>0</v>
      </c>
      <c r="HZ241" s="12">
        <f t="shared" si="186"/>
        <v>0</v>
      </c>
      <c r="IA241" s="12">
        <f t="shared" si="187"/>
        <v>0</v>
      </c>
      <c r="IB241" s="12">
        <f t="shared" si="188"/>
        <v>0</v>
      </c>
      <c r="IC241" s="12">
        <f t="shared" si="189"/>
        <v>0</v>
      </c>
      <c r="ID241" s="12">
        <f t="shared" si="190"/>
        <v>0</v>
      </c>
      <c r="IE241" s="12">
        <f t="shared" si="191"/>
        <v>0</v>
      </c>
      <c r="IF241" s="12">
        <f t="shared" si="192"/>
        <v>0</v>
      </c>
      <c r="IG241" s="12">
        <f t="shared" si="193"/>
        <v>0</v>
      </c>
      <c r="IH241" s="12">
        <f t="shared" si="194"/>
        <v>0</v>
      </c>
      <c r="II241" s="12">
        <f t="shared" si="195"/>
        <v>0</v>
      </c>
      <c r="IJ241" s="12">
        <f t="shared" si="196"/>
        <v>0</v>
      </c>
      <c r="IK241" s="12">
        <f t="shared" si="197"/>
        <v>0</v>
      </c>
      <c r="IL241" s="12">
        <f t="shared" si="198"/>
        <v>0</v>
      </c>
      <c r="IM241" s="12">
        <f t="shared" si="199"/>
        <v>0</v>
      </c>
      <c r="IN241" s="12">
        <f t="shared" si="200"/>
        <v>0</v>
      </c>
      <c r="IO241" s="12">
        <f t="shared" si="201"/>
        <v>0</v>
      </c>
      <c r="IP241" s="12">
        <f t="shared" si="202"/>
        <v>0</v>
      </c>
      <c r="IQ241" s="12">
        <f t="shared" si="203"/>
        <v>0</v>
      </c>
      <c r="IR241" s="12">
        <f t="shared" si="204"/>
        <v>0</v>
      </c>
      <c r="IS241" s="12">
        <f t="shared" si="205"/>
        <v>0</v>
      </c>
      <c r="IT241" s="12">
        <f t="shared" si="206"/>
        <v>0</v>
      </c>
      <c r="IU241" s="12">
        <f t="shared" si="207"/>
        <v>0</v>
      </c>
      <c r="IV241" s="12">
        <f t="shared" si="208"/>
        <v>0</v>
      </c>
      <c r="IW241" s="12">
        <f t="shared" si="209"/>
        <v>0</v>
      </c>
      <c r="IX241" s="12">
        <f t="shared" si="210"/>
        <v>0</v>
      </c>
      <c r="IY241" s="12">
        <f t="shared" si="211"/>
        <v>0</v>
      </c>
      <c r="IZ241" s="12">
        <f t="shared" si="212"/>
        <v>1</v>
      </c>
      <c r="JA241" s="13">
        <f t="shared" si="213"/>
        <v>0</v>
      </c>
      <c r="JB241" s="13">
        <f t="shared" si="214"/>
        <v>0</v>
      </c>
      <c r="JC241" s="13">
        <f t="shared" si="215"/>
        <v>0</v>
      </c>
      <c r="JD241" s="13">
        <f t="shared" si="216"/>
        <v>0</v>
      </c>
      <c r="JE241" s="13">
        <f t="shared" si="217"/>
        <v>0</v>
      </c>
      <c r="JF241" s="13">
        <f t="shared" si="218"/>
        <v>0</v>
      </c>
      <c r="JG241" s="13">
        <f t="shared" si="219"/>
        <v>0</v>
      </c>
      <c r="JH241" s="13">
        <f t="shared" si="220"/>
        <v>0</v>
      </c>
      <c r="JI241" s="13">
        <f t="shared" si="221"/>
        <v>0</v>
      </c>
      <c r="JJ241" s="13">
        <f t="shared" si="222"/>
        <v>0</v>
      </c>
      <c r="JK241" s="13">
        <f t="shared" si="223"/>
        <v>0</v>
      </c>
      <c r="JL241" s="13">
        <f t="shared" si="224"/>
        <v>0</v>
      </c>
      <c r="JM241" s="13">
        <f t="shared" si="225"/>
        <v>0</v>
      </c>
      <c r="JN241" s="13">
        <f t="shared" si="226"/>
        <v>0</v>
      </c>
      <c r="JO241" s="13">
        <f t="shared" si="227"/>
        <v>0</v>
      </c>
      <c r="JP241" s="13">
        <f t="shared" si="228"/>
        <v>0</v>
      </c>
      <c r="JQ241" s="13">
        <f t="shared" si="229"/>
        <v>0</v>
      </c>
      <c r="JR241" s="13">
        <f t="shared" si="230"/>
        <v>0</v>
      </c>
      <c r="JS241" s="13">
        <f t="shared" si="231"/>
        <v>0</v>
      </c>
      <c r="JT241" s="13">
        <f t="shared" si="232"/>
        <v>0</v>
      </c>
      <c r="JU241" s="13">
        <f t="shared" si="233"/>
        <v>0</v>
      </c>
      <c r="JV241" s="12">
        <f t="shared" si="234"/>
        <v>0</v>
      </c>
      <c r="JW241" s="12">
        <f t="shared" si="235"/>
        <v>0</v>
      </c>
      <c r="JX241" s="12">
        <f t="shared" si="236"/>
        <v>0</v>
      </c>
      <c r="JY241" s="12">
        <f t="shared" si="237"/>
        <v>0</v>
      </c>
      <c r="JZ241" s="12">
        <f t="shared" si="238"/>
        <v>0</v>
      </c>
      <c r="KA241" s="12">
        <f t="shared" si="239"/>
        <v>0</v>
      </c>
      <c r="KB241" s="12">
        <f t="shared" si="240"/>
        <v>0</v>
      </c>
      <c r="KC241" s="12">
        <f t="shared" si="241"/>
        <v>0</v>
      </c>
      <c r="KD241" s="12">
        <f t="shared" si="797"/>
        <v>0</v>
      </c>
      <c r="KE241" s="12">
        <f t="shared" si="243"/>
        <v>0</v>
      </c>
      <c r="KF241" s="12">
        <f t="shared" si="244"/>
        <v>0</v>
      </c>
      <c r="KG241" s="12">
        <f t="shared" si="245"/>
        <v>0</v>
      </c>
      <c r="KH241" s="12">
        <f t="shared" si="246"/>
        <v>0</v>
      </c>
      <c r="KI241" s="12">
        <f t="shared" si="247"/>
        <v>0</v>
      </c>
      <c r="KJ241" s="12">
        <f t="shared" si="248"/>
        <v>0</v>
      </c>
      <c r="KK241" s="12">
        <f t="shared" si="249"/>
        <v>0</v>
      </c>
      <c r="KL241" s="12">
        <f t="shared" si="250"/>
        <v>0</v>
      </c>
      <c r="KM241" s="12">
        <f t="shared" si="251"/>
        <v>0</v>
      </c>
      <c r="KN241" s="12">
        <f t="shared" si="252"/>
        <v>0</v>
      </c>
      <c r="KO241" s="12">
        <f t="shared" si="253"/>
        <v>0</v>
      </c>
      <c r="KP241" s="12">
        <f t="shared" si="254"/>
        <v>0</v>
      </c>
      <c r="KQ241" s="12">
        <f t="shared" si="255"/>
        <v>0</v>
      </c>
      <c r="KR241" s="12">
        <f t="shared" si="256"/>
        <v>0</v>
      </c>
      <c r="KS241" s="12">
        <f t="shared" si="257"/>
        <v>0</v>
      </c>
      <c r="KT241" s="12">
        <f t="shared" si="258"/>
        <v>0</v>
      </c>
      <c r="KU241" s="12">
        <f t="shared" si="259"/>
        <v>0</v>
      </c>
      <c r="KV241" s="12">
        <f t="shared" si="260"/>
        <v>0</v>
      </c>
      <c r="KW241" s="12">
        <f t="shared" si="261"/>
        <v>0</v>
      </c>
      <c r="KX241" s="12">
        <f t="shared" si="262"/>
        <v>0</v>
      </c>
      <c r="KY241" s="12">
        <f t="shared" si="263"/>
        <v>0</v>
      </c>
      <c r="KZ241" s="12">
        <f t="shared" si="264"/>
        <v>0</v>
      </c>
      <c r="LA241" s="12">
        <f t="shared" si="265"/>
        <v>0</v>
      </c>
      <c r="LB241" s="12">
        <f t="shared" si="266"/>
        <v>0</v>
      </c>
      <c r="LC241" s="12">
        <f t="shared" si="267"/>
        <v>0</v>
      </c>
      <c r="LD241" s="12">
        <f t="shared" si="268"/>
        <v>0</v>
      </c>
      <c r="LE241" s="12">
        <f t="shared" si="269"/>
        <v>0</v>
      </c>
      <c r="LF241" s="12">
        <f t="shared" si="270"/>
        <v>0</v>
      </c>
      <c r="LG241" s="12">
        <f t="shared" si="271"/>
        <v>0</v>
      </c>
      <c r="LH241" s="12">
        <f t="shared" si="272"/>
        <v>0</v>
      </c>
      <c r="LI241" s="12">
        <f t="shared" si="273"/>
        <v>0</v>
      </c>
      <c r="LJ241" s="12">
        <f t="shared" si="274"/>
        <v>0</v>
      </c>
      <c r="LK241" s="12">
        <f t="shared" si="275"/>
        <v>0</v>
      </c>
      <c r="LL241" s="12">
        <f t="shared" si="276"/>
        <v>0</v>
      </c>
      <c r="LM241" s="12">
        <f t="shared" si="277"/>
        <v>0</v>
      </c>
      <c r="LN241" s="12">
        <f t="shared" si="278"/>
        <v>0</v>
      </c>
      <c r="LO241" s="12">
        <f t="shared" si="279"/>
        <v>0</v>
      </c>
      <c r="LP241" s="12">
        <f t="shared" si="280"/>
        <v>0</v>
      </c>
      <c r="LQ241" s="12">
        <f t="shared" si="281"/>
        <v>0</v>
      </c>
      <c r="LR241" s="12">
        <f t="shared" si="282"/>
        <v>0</v>
      </c>
      <c r="LS241" s="12">
        <f t="shared" si="283"/>
        <v>0</v>
      </c>
      <c r="LT241" s="13">
        <f t="shared" si="284"/>
        <v>0</v>
      </c>
      <c r="LU241" s="13">
        <f t="shared" si="285"/>
        <v>0</v>
      </c>
      <c r="LV241" s="13">
        <f t="shared" si="286"/>
        <v>0</v>
      </c>
      <c r="LW241" s="13">
        <f t="shared" si="287"/>
        <v>0</v>
      </c>
      <c r="LX241" s="13">
        <f t="shared" si="288"/>
        <v>0</v>
      </c>
      <c r="LY241" s="13">
        <f t="shared" si="289"/>
        <v>0</v>
      </c>
      <c r="LZ241" s="13">
        <f t="shared" si="290"/>
        <v>0</v>
      </c>
      <c r="MA241" s="13">
        <f t="shared" si="291"/>
        <v>0</v>
      </c>
      <c r="MB241" s="13">
        <f t="shared" si="292"/>
        <v>0</v>
      </c>
      <c r="MC241" s="13">
        <f t="shared" si="293"/>
        <v>0</v>
      </c>
      <c r="MD241" s="13">
        <f t="shared" si="294"/>
        <v>0</v>
      </c>
      <c r="ME241" s="13">
        <f t="shared" si="295"/>
        <v>0</v>
      </c>
      <c r="MF241" s="13">
        <f t="shared" si="296"/>
        <v>0</v>
      </c>
      <c r="MG241" s="13">
        <f t="shared" si="297"/>
        <v>0</v>
      </c>
      <c r="MH241" s="13">
        <f t="shared" si="298"/>
        <v>0</v>
      </c>
      <c r="MI241" s="13">
        <f t="shared" si="299"/>
        <v>0</v>
      </c>
      <c r="MJ241" s="13">
        <f t="shared" si="300"/>
        <v>0</v>
      </c>
      <c r="MK241" s="13">
        <f t="shared" si="301"/>
        <v>0</v>
      </c>
      <c r="ML241" s="14">
        <f t="shared" si="302"/>
        <v>0</v>
      </c>
      <c r="MM241" s="14">
        <f t="shared" si="303"/>
        <v>0</v>
      </c>
      <c r="MN241" s="14">
        <f t="shared" si="304"/>
        <v>0</v>
      </c>
      <c r="MO241" s="14">
        <f t="shared" si="305"/>
        <v>0</v>
      </c>
      <c r="MP241" s="14">
        <f t="shared" si="306"/>
        <v>0</v>
      </c>
      <c r="MQ241" s="14">
        <f t="shared" si="307"/>
        <v>0</v>
      </c>
      <c r="MR241" s="14">
        <f t="shared" si="308"/>
        <v>0</v>
      </c>
      <c r="MS241" s="14">
        <f t="shared" si="309"/>
        <v>0</v>
      </c>
      <c r="MT241" s="14">
        <f t="shared" si="310"/>
        <v>0</v>
      </c>
      <c r="MU241" s="14">
        <f t="shared" si="311"/>
        <v>0</v>
      </c>
      <c r="MV241" s="14">
        <f t="shared" si="312"/>
        <v>0</v>
      </c>
      <c r="MW241" s="14">
        <f t="shared" si="313"/>
        <v>0</v>
      </c>
      <c r="MX241" s="14">
        <f t="shared" si="314"/>
        <v>0</v>
      </c>
      <c r="MY241" s="14">
        <f t="shared" si="315"/>
        <v>0</v>
      </c>
      <c r="MZ241" s="14">
        <f t="shared" si="316"/>
        <v>0</v>
      </c>
      <c r="NA241" s="14">
        <f t="shared" si="317"/>
        <v>0</v>
      </c>
      <c r="NB241" s="14">
        <f t="shared" si="318"/>
        <v>0</v>
      </c>
    </row>
    <row r="242" ht="15.75" customHeight="1">
      <c r="A242" s="2">
        <v>701.0</v>
      </c>
      <c r="B242" s="2" t="s">
        <v>4350</v>
      </c>
      <c r="C242" s="2" t="s">
        <v>4351</v>
      </c>
      <c r="D242" s="2" t="s">
        <v>4352</v>
      </c>
      <c r="E242" s="2">
        <v>2022.0</v>
      </c>
      <c r="F242" s="2" t="s">
        <v>4353</v>
      </c>
      <c r="G242" s="2">
        <v>16.0</v>
      </c>
      <c r="H242" s="2" t="s">
        <v>432</v>
      </c>
      <c r="J242" s="2" t="s">
        <v>4354</v>
      </c>
      <c r="K242" s="2" t="s">
        <v>4355</v>
      </c>
      <c r="O242" s="2" t="s">
        <v>4356</v>
      </c>
      <c r="P242" s="2" t="s">
        <v>4357</v>
      </c>
      <c r="Q242" s="2" t="s">
        <v>4358</v>
      </c>
      <c r="R242" s="2" t="s">
        <v>4359</v>
      </c>
      <c r="S242" s="2" t="s">
        <v>4360</v>
      </c>
      <c r="Y242" s="2" t="s">
        <v>4361</v>
      </c>
      <c r="AB242" s="2" t="s">
        <v>4362</v>
      </c>
      <c r="AG242" s="2" t="s">
        <v>4363</v>
      </c>
      <c r="AK242" s="2" t="s">
        <v>4364</v>
      </c>
      <c r="AL242" s="2" t="s">
        <v>384</v>
      </c>
      <c r="AN242" s="2" t="s">
        <v>386</v>
      </c>
      <c r="AO242" s="2" t="s">
        <v>4365</v>
      </c>
      <c r="AP242" s="2" t="s">
        <v>386</v>
      </c>
      <c r="AQ242" s="2">
        <v>2767.0</v>
      </c>
      <c r="AR242" s="2" t="s">
        <v>4366</v>
      </c>
      <c r="AS242" s="2" t="b">
        <v>0</v>
      </c>
      <c r="AT242" s="3">
        <v>0.0</v>
      </c>
      <c r="AU242" s="4"/>
      <c r="AV242" s="4"/>
      <c r="AW242" s="5">
        <f t="shared" si="432"/>
        <v>0</v>
      </c>
      <c r="AX242" s="5">
        <f t="shared" si="4"/>
        <v>0</v>
      </c>
      <c r="AY242" s="5">
        <f t="shared" si="5"/>
        <v>0</v>
      </c>
      <c r="AZ242" s="5">
        <f t="shared" si="6"/>
        <v>0</v>
      </c>
      <c r="BA242" s="5">
        <f t="shared" si="7"/>
        <v>0</v>
      </c>
      <c r="BB242" s="5">
        <f t="shared" si="8"/>
        <v>0</v>
      </c>
      <c r="BC242" s="5">
        <f t="shared" si="9"/>
        <v>0</v>
      </c>
      <c r="BD242" s="5">
        <f t="shared" si="10"/>
        <v>0</v>
      </c>
      <c r="BE242" s="5">
        <f t="shared" si="11"/>
        <v>0</v>
      </c>
      <c r="BF242" s="5">
        <f t="shared" si="12"/>
        <v>0</v>
      </c>
      <c r="BG242" s="5">
        <f t="shared" si="13"/>
        <v>0</v>
      </c>
      <c r="BH242" s="5">
        <f t="shared" si="14"/>
        <v>0</v>
      </c>
      <c r="BI242" s="5">
        <f t="shared" si="15"/>
        <v>0</v>
      </c>
      <c r="BJ242" s="5">
        <f t="shared" si="16"/>
        <v>0</v>
      </c>
      <c r="BK242" s="5">
        <f t="shared" si="17"/>
        <v>0</v>
      </c>
      <c r="BL242" s="5">
        <f t="shared" si="18"/>
        <v>0</v>
      </c>
      <c r="BM242" s="5">
        <f t="shared" si="19"/>
        <v>0</v>
      </c>
      <c r="BN242" s="5">
        <f t="shared" si="20"/>
        <v>0</v>
      </c>
      <c r="BO242" s="5">
        <f t="shared" si="21"/>
        <v>0</v>
      </c>
      <c r="BP242" s="5">
        <f t="shared" si="22"/>
        <v>0</v>
      </c>
      <c r="BQ242" s="5">
        <f t="shared" si="23"/>
        <v>0</v>
      </c>
      <c r="BR242" s="5">
        <f t="shared" si="24"/>
        <v>0</v>
      </c>
      <c r="BS242" s="5">
        <f t="shared" si="25"/>
        <v>0</v>
      </c>
      <c r="BT242" s="5">
        <f t="shared" si="26"/>
        <v>0</v>
      </c>
      <c r="BU242" s="5">
        <f t="shared" si="27"/>
        <v>0</v>
      </c>
      <c r="BV242" s="5">
        <f t="shared" ref="BV242:BW242" si="845">IF(OR(ISNUMBER(SEARCH("grit",$D242)),ISNUMBER(SEARCH("grit",$T242)),ISNUMBER(SEARCH("grit",$R242)),ISNUMBER(SEARCH("grit",$S242)),
ISNUMBER(SEARCH("determination",$D242)),ISNUMBER(SEARCH("determination",$T242)),ISNUMBER(SEARCH("determination",$R242)),ISNUMBER(SEARCH("determination",$S242)),
ISNUMBER(SEARCH("tenacity",$D242)),ISNUMBER(SEARCH("tenacity",$T242)),ISNUMBER(SEARCH("tenacity",$R242)),ISNUMBER(SEARCH("tenacity",$S242)),
ISNUMBER(SEARCH("endurance",$D242)),ISNUMBER(SEARCH("endurance",$T242)),ISNUMBER(SEARCH("endurance",$R242)),ISNUMBER(SEARCH("endurance",$S242)),
ISNUMBER(SEARCH("fortitude",$D242)),ISNUMBER(SEARCH("fortitude",$T242)),ISNUMBER(SEARCH("fortitude",$R242)),ISNUMBER(SEARCH("fortitude",$S242)),
ISNUMBER(SEARCH("resolve",$D242)),ISNUMBER(SEARCH("resolve",$T242)),ISNUMBER(SEARCH("resolve",$R242)),ISNUMBER(SEARCH("resolve",$S242)),
ISNUMBER(SEARCH("stamina",$D242)),ISNUMBER(SEARCH("stamina",$T242)),ISNUMBER(SEARCH("stamina",$R242)),ISNUMBER(SEARCH("stamina",$S242)),
ISNUMBER(SEARCH("guts",$D242)),ISNUMBER(SEARCH("guts",$T242)),ISNUMBER(SEARCH("guts",$R242)),ISNUMBER(SEARCH("guts",$S242)),
ISNUMBER(SEARCH("spunk",$D242)),ISNUMBER(SEARCH("spunk",$T242)),ISNUMBER(SEARCH("spunk",$R242)),ISNUMBER(SEARCH("spunk",$S242))), 1, 0)</f>
        <v>0</v>
      </c>
      <c r="BW242" s="5">
        <f t="shared" si="845"/>
        <v>0</v>
      </c>
      <c r="BX242" s="5">
        <f t="shared" si="29"/>
        <v>0</v>
      </c>
      <c r="BY242" s="5">
        <f t="shared" si="30"/>
        <v>0</v>
      </c>
      <c r="BZ242" s="5">
        <f t="shared" si="31"/>
        <v>0</v>
      </c>
      <c r="CA242" s="5">
        <f t="shared" si="32"/>
        <v>0</v>
      </c>
      <c r="CB242" s="5">
        <f t="shared" si="33"/>
        <v>0</v>
      </c>
      <c r="CC242" s="5">
        <f t="shared" si="34"/>
        <v>0</v>
      </c>
      <c r="CD242" s="5">
        <f t="shared" si="35"/>
        <v>0</v>
      </c>
      <c r="CE242" s="5">
        <f t="shared" si="36"/>
        <v>0</v>
      </c>
      <c r="CF242" s="5">
        <f t="shared" si="37"/>
        <v>0</v>
      </c>
      <c r="CG242" s="5">
        <f t="shared" si="38"/>
        <v>0</v>
      </c>
      <c r="CH242" s="5">
        <f t="shared" si="39"/>
        <v>0</v>
      </c>
      <c r="CI242" s="5">
        <f t="shared" si="40"/>
        <v>0</v>
      </c>
      <c r="CJ242" s="5">
        <f t="shared" si="41"/>
        <v>0</v>
      </c>
      <c r="CK242" s="5">
        <f t="shared" si="42"/>
        <v>0</v>
      </c>
      <c r="CL242" s="5">
        <f t="shared" si="43"/>
        <v>0</v>
      </c>
      <c r="CM242" s="5">
        <f t="shared" si="44"/>
        <v>0</v>
      </c>
      <c r="CN242" s="5">
        <f t="shared" si="45"/>
        <v>0</v>
      </c>
      <c r="CO242" s="5">
        <f t="shared" si="46"/>
        <v>0</v>
      </c>
      <c r="CP242" s="6">
        <f t="shared" si="47"/>
        <v>0</v>
      </c>
      <c r="CQ242" s="6">
        <f t="shared" si="48"/>
        <v>0</v>
      </c>
      <c r="CR242" s="6">
        <f t="shared" si="49"/>
        <v>0</v>
      </c>
      <c r="CS242" s="6">
        <f t="shared" si="50"/>
        <v>0</v>
      </c>
      <c r="CT242" s="6">
        <f t="shared" si="584"/>
        <v>0</v>
      </c>
      <c r="CU242" s="6">
        <f t="shared" si="52"/>
        <v>0</v>
      </c>
      <c r="CV242" s="6">
        <f t="shared" si="53"/>
        <v>0</v>
      </c>
      <c r="CW242" s="6">
        <f t="shared" si="54"/>
        <v>0</v>
      </c>
      <c r="CX242" s="6">
        <f t="shared" si="55"/>
        <v>0</v>
      </c>
      <c r="CY242" s="6">
        <f t="shared" si="56"/>
        <v>0</v>
      </c>
      <c r="CZ242" s="6">
        <f t="shared" si="57"/>
        <v>0</v>
      </c>
      <c r="DA242" s="6">
        <f t="shared" si="58"/>
        <v>0</v>
      </c>
      <c r="DB242" s="6">
        <f t="shared" si="59"/>
        <v>0</v>
      </c>
      <c r="DC242" s="6">
        <f t="shared" si="60"/>
        <v>0</v>
      </c>
      <c r="DD242" s="6">
        <f t="shared" si="61"/>
        <v>0</v>
      </c>
      <c r="DE242" s="6">
        <f t="shared" si="62"/>
        <v>0</v>
      </c>
      <c r="DF242" s="6">
        <f t="shared" si="63"/>
        <v>0</v>
      </c>
      <c r="DG242" s="6">
        <f t="shared" si="64"/>
        <v>0</v>
      </c>
      <c r="DH242" s="6">
        <f t="shared" si="697"/>
        <v>0</v>
      </c>
      <c r="DI242" s="6">
        <f t="shared" si="66"/>
        <v>0</v>
      </c>
      <c r="DJ242" s="6">
        <f t="shared" si="653"/>
        <v>0</v>
      </c>
      <c r="DK242" s="7">
        <f t="shared" si="68"/>
        <v>0</v>
      </c>
      <c r="DL242" s="7">
        <f t="shared" si="498"/>
        <v>0</v>
      </c>
      <c r="DM242" s="7">
        <f t="shared" si="70"/>
        <v>0</v>
      </c>
      <c r="DN242" s="7">
        <f t="shared" si="71"/>
        <v>0</v>
      </c>
      <c r="DO242" s="7">
        <f t="shared" si="72"/>
        <v>0</v>
      </c>
      <c r="DP242" s="8">
        <f t="shared" si="73"/>
        <v>0</v>
      </c>
      <c r="DQ242" s="8">
        <f t="shared" si="74"/>
        <v>0</v>
      </c>
      <c r="DR242" s="7">
        <f t="shared" si="75"/>
        <v>1</v>
      </c>
      <c r="DS242" s="7">
        <f t="shared" si="76"/>
        <v>0</v>
      </c>
      <c r="DT242" s="7">
        <f t="shared" si="77"/>
        <v>0</v>
      </c>
      <c r="DU242" s="9">
        <f t="shared" si="78"/>
        <v>0</v>
      </c>
      <c r="DV242" s="9">
        <f t="shared" si="79"/>
        <v>0</v>
      </c>
      <c r="DW242" s="9">
        <f t="shared" si="80"/>
        <v>0</v>
      </c>
      <c r="DX242" s="9">
        <f t="shared" si="81"/>
        <v>0</v>
      </c>
      <c r="DY242" s="9">
        <f t="shared" si="82"/>
        <v>1</v>
      </c>
      <c r="DZ242" s="9">
        <f t="shared" si="83"/>
        <v>0</v>
      </c>
      <c r="EA242" s="9">
        <f t="shared" si="84"/>
        <v>0</v>
      </c>
      <c r="EB242" s="9">
        <f t="shared" si="85"/>
        <v>0</v>
      </c>
      <c r="EC242" s="9">
        <f t="shared" si="86"/>
        <v>0</v>
      </c>
      <c r="ED242" s="9">
        <f t="shared" si="87"/>
        <v>0</v>
      </c>
      <c r="EE242" s="9">
        <f t="shared" si="88"/>
        <v>0</v>
      </c>
      <c r="EF242" s="9">
        <f t="shared" si="89"/>
        <v>0</v>
      </c>
      <c r="EG242" s="9">
        <f t="shared" si="90"/>
        <v>0</v>
      </c>
      <c r="EH242" s="9">
        <f t="shared" si="91"/>
        <v>0</v>
      </c>
      <c r="EI242" s="9">
        <f t="shared" si="92"/>
        <v>0</v>
      </c>
      <c r="EJ242" s="10">
        <f t="shared" si="93"/>
        <v>0</v>
      </c>
      <c r="EK242" s="10">
        <f t="shared" si="94"/>
        <v>0</v>
      </c>
      <c r="EL242" s="10">
        <f t="shared" ref="EL242:EM242" si="846">IF(OR(ISNUMBER(SEARCH("ai software toolkit", $D242)), ISNUMBER(SEARCH("ai software toolkit", $T242)), ISNUMBER(SEARCH("ai software toolkit", $R242)), ISNUMBER(SEARCH("ai software toolkit", $S242))), 1, 0)</f>
        <v>0</v>
      </c>
      <c r="EM242" s="10">
        <f t="shared" si="846"/>
        <v>0</v>
      </c>
      <c r="EN242" s="10">
        <f t="shared" si="96"/>
        <v>0</v>
      </c>
      <c r="EO242" s="10">
        <f t="shared" si="97"/>
        <v>0</v>
      </c>
      <c r="EP242" s="10">
        <f t="shared" si="98"/>
        <v>0</v>
      </c>
      <c r="EQ242" s="10">
        <f t="shared" si="99"/>
        <v>0</v>
      </c>
      <c r="ER242" s="10">
        <f t="shared" si="100"/>
        <v>0</v>
      </c>
      <c r="ES242" s="10">
        <f t="shared" si="101"/>
        <v>0</v>
      </c>
      <c r="ET242" s="10">
        <f t="shared" si="102"/>
        <v>0</v>
      </c>
      <c r="EU242" s="10">
        <f t="shared" si="103"/>
        <v>0</v>
      </c>
      <c r="EV242" s="10">
        <f t="shared" si="104"/>
        <v>0</v>
      </c>
      <c r="EW242" s="10">
        <f t="shared" si="105"/>
        <v>0</v>
      </c>
      <c r="EX242" s="10">
        <f t="shared" si="106"/>
        <v>0</v>
      </c>
      <c r="EY242" s="10">
        <f t="shared" si="107"/>
        <v>0</v>
      </c>
      <c r="EZ242" s="10">
        <f t="shared" si="108"/>
        <v>0</v>
      </c>
      <c r="FA242" s="10">
        <f t="shared" si="109"/>
        <v>0</v>
      </c>
      <c r="FB242" s="10">
        <f t="shared" si="110"/>
        <v>0</v>
      </c>
      <c r="FC242" s="10">
        <f t="shared" si="111"/>
        <v>0</v>
      </c>
      <c r="FD242" s="10">
        <f t="shared" si="112"/>
        <v>0</v>
      </c>
      <c r="FE242" s="10">
        <f t="shared" si="782"/>
        <v>0</v>
      </c>
      <c r="FF242" s="10">
        <f t="shared" si="114"/>
        <v>0</v>
      </c>
      <c r="FG242" s="10">
        <f t="shared" si="115"/>
        <v>0</v>
      </c>
      <c r="FH242" s="10">
        <f t="shared" si="116"/>
        <v>0</v>
      </c>
      <c r="FI242" s="10">
        <f t="shared" si="117"/>
        <v>0</v>
      </c>
      <c r="FJ242" s="10">
        <f t="shared" si="118"/>
        <v>0</v>
      </c>
      <c r="FK242" s="10">
        <f t="shared" si="119"/>
        <v>0</v>
      </c>
      <c r="FL242" s="10">
        <f t="shared" si="120"/>
        <v>0</v>
      </c>
      <c r="FM242" s="10">
        <f t="shared" si="121"/>
        <v>0</v>
      </c>
      <c r="FN242" s="10">
        <f t="shared" si="122"/>
        <v>0</v>
      </c>
      <c r="FO242" s="10">
        <f t="shared" si="123"/>
        <v>0</v>
      </c>
      <c r="FP242" s="10">
        <f t="shared" si="124"/>
        <v>0</v>
      </c>
      <c r="FQ242" s="10">
        <f t="shared" si="125"/>
        <v>0</v>
      </c>
      <c r="FR242" s="11">
        <f t="shared" si="804"/>
        <v>1</v>
      </c>
      <c r="FS242" s="11">
        <f t="shared" si="127"/>
        <v>0</v>
      </c>
      <c r="FT242" s="11">
        <f t="shared" si="128"/>
        <v>0</v>
      </c>
      <c r="FU242" s="11">
        <f t="shared" si="129"/>
        <v>0</v>
      </c>
      <c r="FV242" s="11">
        <f t="shared" si="130"/>
        <v>0</v>
      </c>
      <c r="FW242" s="11">
        <f t="shared" si="131"/>
        <v>0</v>
      </c>
      <c r="FX242" s="11">
        <f t="shared" si="132"/>
        <v>0</v>
      </c>
      <c r="FY242" s="11">
        <f t="shared" si="133"/>
        <v>0</v>
      </c>
      <c r="FZ242" s="11">
        <f t="shared" si="134"/>
        <v>0</v>
      </c>
      <c r="GA242" s="11">
        <f t="shared" si="135"/>
        <v>0</v>
      </c>
      <c r="GB242" s="11">
        <f t="shared" si="136"/>
        <v>0</v>
      </c>
      <c r="GC242" s="11">
        <f t="shared" si="137"/>
        <v>0</v>
      </c>
      <c r="GD242" s="11">
        <f t="shared" si="138"/>
        <v>0</v>
      </c>
      <c r="GE242" s="11">
        <f t="shared" si="139"/>
        <v>0</v>
      </c>
      <c r="GF242" s="11">
        <f t="shared" si="140"/>
        <v>0</v>
      </c>
      <c r="GG242" s="11">
        <f t="shared" si="141"/>
        <v>0</v>
      </c>
      <c r="GH242" s="11">
        <f t="shared" si="142"/>
        <v>0</v>
      </c>
      <c r="GI242" s="11">
        <f t="shared" si="143"/>
        <v>0</v>
      </c>
      <c r="GJ242" s="11">
        <f t="shared" si="144"/>
        <v>0</v>
      </c>
      <c r="GK242" s="11">
        <f t="shared" si="145"/>
        <v>0</v>
      </c>
      <c r="GL242" s="11">
        <f t="shared" si="146"/>
        <v>0</v>
      </c>
      <c r="GM242" s="11">
        <f t="shared" si="147"/>
        <v>0</v>
      </c>
      <c r="GN242" s="11">
        <f t="shared" si="148"/>
        <v>0</v>
      </c>
      <c r="GO242" s="11">
        <f t="shared" si="149"/>
        <v>0</v>
      </c>
      <c r="GP242" s="11">
        <f t="shared" si="150"/>
        <v>0</v>
      </c>
      <c r="GQ242" s="11">
        <f t="shared" si="151"/>
        <v>0</v>
      </c>
      <c r="GR242" s="11">
        <f t="shared" si="152"/>
        <v>0</v>
      </c>
      <c r="GS242" s="11">
        <f t="shared" si="153"/>
        <v>0</v>
      </c>
      <c r="GT242" s="11">
        <f t="shared" si="154"/>
        <v>0</v>
      </c>
      <c r="GU242" s="12">
        <f t="shared" si="155"/>
        <v>0</v>
      </c>
      <c r="GV242" s="12">
        <f t="shared" si="156"/>
        <v>0</v>
      </c>
      <c r="GW242" s="12">
        <f t="shared" si="157"/>
        <v>0</v>
      </c>
      <c r="GX242" s="12">
        <f t="shared" si="158"/>
        <v>0</v>
      </c>
      <c r="GY242" s="12">
        <f t="shared" si="159"/>
        <v>0</v>
      </c>
      <c r="GZ242" s="12">
        <f t="shared" si="160"/>
        <v>0</v>
      </c>
      <c r="HA242" s="12">
        <f t="shared" si="161"/>
        <v>0</v>
      </c>
      <c r="HB242" s="12">
        <f t="shared" si="162"/>
        <v>0</v>
      </c>
      <c r="HC242" s="12">
        <f t="shared" si="163"/>
        <v>0</v>
      </c>
      <c r="HD242" s="12">
        <f t="shared" si="164"/>
        <v>0</v>
      </c>
      <c r="HE242" s="12">
        <f t="shared" si="165"/>
        <v>0</v>
      </c>
      <c r="HF242" s="12">
        <f t="shared" si="166"/>
        <v>0</v>
      </c>
      <c r="HG242" s="12">
        <f t="shared" si="167"/>
        <v>0</v>
      </c>
      <c r="HH242" s="12">
        <f t="shared" si="168"/>
        <v>0</v>
      </c>
      <c r="HI242" s="12">
        <f t="shared" si="169"/>
        <v>0</v>
      </c>
      <c r="HJ242" s="12">
        <f t="shared" si="170"/>
        <v>0</v>
      </c>
      <c r="HK242" s="12">
        <f t="shared" si="171"/>
        <v>0</v>
      </c>
      <c r="HL242" s="12">
        <f t="shared" si="172"/>
        <v>0</v>
      </c>
      <c r="HM242" s="12">
        <f t="shared" si="173"/>
        <v>0</v>
      </c>
      <c r="HN242" s="12">
        <f t="shared" si="174"/>
        <v>0</v>
      </c>
      <c r="HO242" s="12">
        <f t="shared" si="175"/>
        <v>0</v>
      </c>
      <c r="HP242" s="12">
        <f t="shared" si="176"/>
        <v>0</v>
      </c>
      <c r="HQ242" s="12">
        <f t="shared" si="177"/>
        <v>0</v>
      </c>
      <c r="HR242" s="12">
        <f t="shared" si="178"/>
        <v>0</v>
      </c>
      <c r="HS242" s="12">
        <f t="shared" si="179"/>
        <v>0</v>
      </c>
      <c r="HT242" s="12">
        <f t="shared" si="180"/>
        <v>0</v>
      </c>
      <c r="HU242" s="12">
        <f t="shared" si="181"/>
        <v>0</v>
      </c>
      <c r="HV242" s="12">
        <f t="shared" si="182"/>
        <v>0</v>
      </c>
      <c r="HW242" s="12">
        <f t="shared" si="183"/>
        <v>0</v>
      </c>
      <c r="HX242" s="12">
        <f t="shared" si="184"/>
        <v>0</v>
      </c>
      <c r="HY242" s="12">
        <f t="shared" si="185"/>
        <v>0</v>
      </c>
      <c r="HZ242" s="12">
        <f t="shared" si="186"/>
        <v>0</v>
      </c>
      <c r="IA242" s="12">
        <f t="shared" si="187"/>
        <v>0</v>
      </c>
      <c r="IB242" s="12">
        <f t="shared" si="188"/>
        <v>0</v>
      </c>
      <c r="IC242" s="12">
        <f t="shared" si="189"/>
        <v>0</v>
      </c>
      <c r="ID242" s="12">
        <f t="shared" si="190"/>
        <v>0</v>
      </c>
      <c r="IE242" s="12">
        <f t="shared" si="191"/>
        <v>0</v>
      </c>
      <c r="IF242" s="12">
        <f t="shared" si="192"/>
        <v>0</v>
      </c>
      <c r="IG242" s="12">
        <f t="shared" si="193"/>
        <v>0</v>
      </c>
      <c r="IH242" s="12">
        <f t="shared" si="194"/>
        <v>0</v>
      </c>
      <c r="II242" s="12">
        <f t="shared" si="195"/>
        <v>0</v>
      </c>
      <c r="IJ242" s="12">
        <f t="shared" si="196"/>
        <v>0</v>
      </c>
      <c r="IK242" s="12">
        <f t="shared" si="197"/>
        <v>0</v>
      </c>
      <c r="IL242" s="12">
        <f t="shared" si="198"/>
        <v>0</v>
      </c>
      <c r="IM242" s="12">
        <f t="shared" si="199"/>
        <v>0</v>
      </c>
      <c r="IN242" s="12">
        <f t="shared" si="200"/>
        <v>0</v>
      </c>
      <c r="IO242" s="12">
        <f t="shared" si="201"/>
        <v>0</v>
      </c>
      <c r="IP242" s="12">
        <f t="shared" si="202"/>
        <v>0</v>
      </c>
      <c r="IQ242" s="12">
        <f t="shared" si="203"/>
        <v>0</v>
      </c>
      <c r="IR242" s="12">
        <f t="shared" si="204"/>
        <v>0</v>
      </c>
      <c r="IS242" s="12">
        <f t="shared" si="205"/>
        <v>0</v>
      </c>
      <c r="IT242" s="12">
        <f t="shared" si="206"/>
        <v>0</v>
      </c>
      <c r="IU242" s="12">
        <f t="shared" si="207"/>
        <v>0</v>
      </c>
      <c r="IV242" s="12">
        <f t="shared" si="208"/>
        <v>0</v>
      </c>
      <c r="IW242" s="12">
        <f t="shared" si="209"/>
        <v>0</v>
      </c>
      <c r="IX242" s="12">
        <f t="shared" si="210"/>
        <v>0</v>
      </c>
      <c r="IY242" s="12">
        <f t="shared" si="211"/>
        <v>0</v>
      </c>
      <c r="IZ242" s="12">
        <f t="shared" si="212"/>
        <v>1</v>
      </c>
      <c r="JA242" s="13">
        <f t="shared" si="213"/>
        <v>0</v>
      </c>
      <c r="JB242" s="13">
        <f t="shared" si="214"/>
        <v>0</v>
      </c>
      <c r="JC242" s="13">
        <f t="shared" si="215"/>
        <v>0</v>
      </c>
      <c r="JD242" s="13">
        <f t="shared" si="216"/>
        <v>0</v>
      </c>
      <c r="JE242" s="13">
        <f t="shared" si="217"/>
        <v>0</v>
      </c>
      <c r="JF242" s="13">
        <f t="shared" si="218"/>
        <v>0</v>
      </c>
      <c r="JG242" s="13">
        <f t="shared" si="219"/>
        <v>0</v>
      </c>
      <c r="JH242" s="13">
        <f t="shared" si="220"/>
        <v>0</v>
      </c>
      <c r="JI242" s="13">
        <f t="shared" si="221"/>
        <v>0</v>
      </c>
      <c r="JJ242" s="13">
        <f t="shared" si="222"/>
        <v>0</v>
      </c>
      <c r="JK242" s="13">
        <f t="shared" si="223"/>
        <v>0</v>
      </c>
      <c r="JL242" s="13">
        <f t="shared" si="224"/>
        <v>0</v>
      </c>
      <c r="JM242" s="13">
        <f t="shared" si="225"/>
        <v>0</v>
      </c>
      <c r="JN242" s="13">
        <f t="shared" si="226"/>
        <v>0</v>
      </c>
      <c r="JO242" s="13">
        <f t="shared" si="227"/>
        <v>0</v>
      </c>
      <c r="JP242" s="13">
        <f t="shared" si="228"/>
        <v>0</v>
      </c>
      <c r="JQ242" s="13">
        <f t="shared" si="229"/>
        <v>0</v>
      </c>
      <c r="JR242" s="13">
        <f t="shared" si="230"/>
        <v>0</v>
      </c>
      <c r="JS242" s="13">
        <f t="shared" si="231"/>
        <v>0</v>
      </c>
      <c r="JT242" s="13">
        <f t="shared" si="232"/>
        <v>0</v>
      </c>
      <c r="JU242" s="13">
        <f t="shared" si="233"/>
        <v>0</v>
      </c>
      <c r="JV242" s="12">
        <f t="shared" si="234"/>
        <v>0</v>
      </c>
      <c r="JW242" s="12">
        <f t="shared" si="235"/>
        <v>0</v>
      </c>
      <c r="JX242" s="12">
        <f t="shared" si="236"/>
        <v>0</v>
      </c>
      <c r="JY242" s="12">
        <f t="shared" si="237"/>
        <v>0</v>
      </c>
      <c r="JZ242" s="12">
        <f t="shared" si="238"/>
        <v>0</v>
      </c>
      <c r="KA242" s="12">
        <f t="shared" si="239"/>
        <v>0</v>
      </c>
      <c r="KB242" s="12">
        <f t="shared" si="240"/>
        <v>0</v>
      </c>
      <c r="KC242" s="12">
        <f t="shared" si="241"/>
        <v>0</v>
      </c>
      <c r="KD242" s="12">
        <f t="shared" si="797"/>
        <v>0</v>
      </c>
      <c r="KE242" s="12">
        <f t="shared" si="243"/>
        <v>0</v>
      </c>
      <c r="KF242" s="12">
        <f t="shared" si="244"/>
        <v>0</v>
      </c>
      <c r="KG242" s="12">
        <f t="shared" si="245"/>
        <v>0</v>
      </c>
      <c r="KH242" s="12">
        <f t="shared" si="246"/>
        <v>0</v>
      </c>
      <c r="KI242" s="12">
        <f t="shared" si="247"/>
        <v>0</v>
      </c>
      <c r="KJ242" s="12">
        <f t="shared" si="248"/>
        <v>0</v>
      </c>
      <c r="KK242" s="12">
        <f t="shared" si="249"/>
        <v>0</v>
      </c>
      <c r="KL242" s="12">
        <f t="shared" si="250"/>
        <v>0</v>
      </c>
      <c r="KM242" s="12">
        <f t="shared" si="251"/>
        <v>0</v>
      </c>
      <c r="KN242" s="12">
        <f t="shared" si="252"/>
        <v>0</v>
      </c>
      <c r="KO242" s="12">
        <f t="shared" si="253"/>
        <v>0</v>
      </c>
      <c r="KP242" s="12">
        <f t="shared" si="254"/>
        <v>0</v>
      </c>
      <c r="KQ242" s="12">
        <f t="shared" si="255"/>
        <v>0</v>
      </c>
      <c r="KR242" s="12">
        <f t="shared" si="256"/>
        <v>0</v>
      </c>
      <c r="KS242" s="12">
        <f t="shared" si="257"/>
        <v>0</v>
      </c>
      <c r="KT242" s="12">
        <f t="shared" si="258"/>
        <v>0</v>
      </c>
      <c r="KU242" s="12">
        <f t="shared" si="259"/>
        <v>0</v>
      </c>
      <c r="KV242" s="12">
        <f t="shared" si="260"/>
        <v>0</v>
      </c>
      <c r="KW242" s="12">
        <f t="shared" si="261"/>
        <v>0</v>
      </c>
      <c r="KX242" s="12">
        <f t="shared" si="262"/>
        <v>0</v>
      </c>
      <c r="KY242" s="12">
        <f t="shared" si="263"/>
        <v>0</v>
      </c>
      <c r="KZ242" s="12">
        <f t="shared" si="264"/>
        <v>0</v>
      </c>
      <c r="LA242" s="12">
        <f t="shared" si="265"/>
        <v>0</v>
      </c>
      <c r="LB242" s="12">
        <f t="shared" si="266"/>
        <v>0</v>
      </c>
      <c r="LC242" s="12">
        <f t="shared" si="267"/>
        <v>0</v>
      </c>
      <c r="LD242" s="12">
        <f t="shared" si="268"/>
        <v>0</v>
      </c>
      <c r="LE242" s="12">
        <f t="shared" si="269"/>
        <v>0</v>
      </c>
      <c r="LF242" s="12">
        <f t="shared" si="270"/>
        <v>0</v>
      </c>
      <c r="LG242" s="12">
        <f t="shared" si="271"/>
        <v>0</v>
      </c>
      <c r="LH242" s="12">
        <f t="shared" si="272"/>
        <v>0</v>
      </c>
      <c r="LI242" s="12">
        <f t="shared" si="273"/>
        <v>0</v>
      </c>
      <c r="LJ242" s="12">
        <f t="shared" si="274"/>
        <v>0</v>
      </c>
      <c r="LK242" s="12">
        <f t="shared" si="275"/>
        <v>0</v>
      </c>
      <c r="LL242" s="12">
        <f t="shared" si="276"/>
        <v>0</v>
      </c>
      <c r="LM242" s="12">
        <f t="shared" si="277"/>
        <v>0</v>
      </c>
      <c r="LN242" s="12">
        <f t="shared" si="278"/>
        <v>0</v>
      </c>
      <c r="LO242" s="12">
        <f t="shared" si="279"/>
        <v>0</v>
      </c>
      <c r="LP242" s="12">
        <f t="shared" si="280"/>
        <v>0</v>
      </c>
      <c r="LQ242" s="12">
        <f t="shared" si="281"/>
        <v>0</v>
      </c>
      <c r="LR242" s="12">
        <f t="shared" si="282"/>
        <v>0</v>
      </c>
      <c r="LS242" s="12">
        <f t="shared" si="283"/>
        <v>0</v>
      </c>
      <c r="LT242" s="13">
        <f t="shared" si="284"/>
        <v>0</v>
      </c>
      <c r="LU242" s="13">
        <f t="shared" si="285"/>
        <v>0</v>
      </c>
      <c r="LV242" s="13">
        <f t="shared" si="286"/>
        <v>0</v>
      </c>
      <c r="LW242" s="13">
        <f t="shared" si="287"/>
        <v>0</v>
      </c>
      <c r="LX242" s="13">
        <f t="shared" si="288"/>
        <v>0</v>
      </c>
      <c r="LY242" s="13">
        <f t="shared" si="289"/>
        <v>0</v>
      </c>
      <c r="LZ242" s="13">
        <f t="shared" si="290"/>
        <v>0</v>
      </c>
      <c r="MA242" s="13">
        <f t="shared" si="291"/>
        <v>0</v>
      </c>
      <c r="MB242" s="13">
        <f t="shared" si="292"/>
        <v>0</v>
      </c>
      <c r="MC242" s="13">
        <f t="shared" si="293"/>
        <v>0</v>
      </c>
      <c r="MD242" s="13">
        <f t="shared" si="294"/>
        <v>0</v>
      </c>
      <c r="ME242" s="13">
        <f t="shared" si="295"/>
        <v>0</v>
      </c>
      <c r="MF242" s="13">
        <f t="shared" si="296"/>
        <v>0</v>
      </c>
      <c r="MG242" s="13">
        <f t="shared" si="297"/>
        <v>0</v>
      </c>
      <c r="MH242" s="13">
        <f t="shared" si="298"/>
        <v>0</v>
      </c>
      <c r="MI242" s="13">
        <f t="shared" si="299"/>
        <v>0</v>
      </c>
      <c r="MJ242" s="13">
        <f t="shared" si="300"/>
        <v>0</v>
      </c>
      <c r="MK242" s="13">
        <f t="shared" si="301"/>
        <v>0</v>
      </c>
      <c r="ML242" s="14">
        <f t="shared" si="302"/>
        <v>0</v>
      </c>
      <c r="MM242" s="14">
        <f t="shared" si="303"/>
        <v>0</v>
      </c>
      <c r="MN242" s="14">
        <f t="shared" si="304"/>
        <v>0</v>
      </c>
      <c r="MO242" s="14">
        <f t="shared" si="305"/>
        <v>0</v>
      </c>
      <c r="MP242" s="14">
        <f t="shared" si="306"/>
        <v>0</v>
      </c>
      <c r="MQ242" s="14">
        <f t="shared" si="307"/>
        <v>0</v>
      </c>
      <c r="MR242" s="14">
        <f t="shared" si="308"/>
        <v>0</v>
      </c>
      <c r="MS242" s="14">
        <f t="shared" si="309"/>
        <v>0</v>
      </c>
      <c r="MT242" s="14">
        <f t="shared" si="310"/>
        <v>0</v>
      </c>
      <c r="MU242" s="14">
        <f t="shared" si="311"/>
        <v>0</v>
      </c>
      <c r="MV242" s="14">
        <f t="shared" si="312"/>
        <v>0</v>
      </c>
      <c r="MW242" s="14">
        <f t="shared" si="313"/>
        <v>0</v>
      </c>
      <c r="MX242" s="14">
        <f t="shared" si="314"/>
        <v>0</v>
      </c>
      <c r="MY242" s="14">
        <f t="shared" si="315"/>
        <v>0</v>
      </c>
      <c r="MZ242" s="14">
        <f t="shared" si="316"/>
        <v>0</v>
      </c>
      <c r="NA242" s="14">
        <f t="shared" si="317"/>
        <v>0</v>
      </c>
      <c r="NB242" s="14">
        <f t="shared" si="318"/>
        <v>0</v>
      </c>
    </row>
    <row r="243" ht="15.75" customHeight="1">
      <c r="A243" s="2">
        <v>255.0</v>
      </c>
      <c r="B243" s="2" t="s">
        <v>4367</v>
      </c>
      <c r="C243" s="2" t="s">
        <v>4368</v>
      </c>
      <c r="D243" s="2" t="s">
        <v>4369</v>
      </c>
      <c r="E243" s="2">
        <v>2019.0</v>
      </c>
      <c r="F243" s="2" t="s">
        <v>4370</v>
      </c>
      <c r="G243" s="2" t="s">
        <v>656</v>
      </c>
      <c r="H243" s="2" t="s">
        <v>371</v>
      </c>
      <c r="J243" s="2" t="s">
        <v>4371</v>
      </c>
      <c r="K243" s="2" t="s">
        <v>4372</v>
      </c>
      <c r="N243" s="2" t="s">
        <v>4373</v>
      </c>
      <c r="O243" s="2" t="s">
        <v>4374</v>
      </c>
      <c r="P243" s="2" t="s">
        <v>4375</v>
      </c>
      <c r="Q243" s="2" t="s">
        <v>4376</v>
      </c>
      <c r="R243" s="2" t="s">
        <v>4377</v>
      </c>
      <c r="S243" s="2" t="s">
        <v>4378</v>
      </c>
      <c r="Y243" s="2" t="s">
        <v>4379</v>
      </c>
      <c r="AB243" s="2" t="s">
        <v>4380</v>
      </c>
      <c r="AG243" s="2" t="s">
        <v>4381</v>
      </c>
      <c r="AK243" s="2" t="s">
        <v>4382</v>
      </c>
      <c r="AL243" s="2" t="s">
        <v>384</v>
      </c>
      <c r="AM243" s="2" t="s">
        <v>650</v>
      </c>
      <c r="AN243" s="2" t="s">
        <v>386</v>
      </c>
      <c r="AO243" s="2" t="s">
        <v>4383</v>
      </c>
      <c r="AP243" s="2" t="s">
        <v>386</v>
      </c>
      <c r="AQ243" s="2">
        <v>1062.0</v>
      </c>
      <c r="AR243" s="2" t="s">
        <v>4384</v>
      </c>
      <c r="AS243" s="2" t="b">
        <v>0</v>
      </c>
      <c r="AT243" s="3">
        <v>0.0</v>
      </c>
      <c r="AU243" s="4"/>
      <c r="AV243" s="4"/>
      <c r="AW243" s="5">
        <f t="shared" si="432"/>
        <v>0</v>
      </c>
      <c r="AX243" s="5">
        <f t="shared" si="4"/>
        <v>0</v>
      </c>
      <c r="AY243" s="5">
        <f t="shared" si="5"/>
        <v>0</v>
      </c>
      <c r="AZ243" s="5">
        <f t="shared" si="6"/>
        <v>0</v>
      </c>
      <c r="BA243" s="5">
        <f t="shared" si="7"/>
        <v>0</v>
      </c>
      <c r="BB243" s="5">
        <f t="shared" si="8"/>
        <v>0</v>
      </c>
      <c r="BC243" s="5">
        <f t="shared" si="9"/>
        <v>0</v>
      </c>
      <c r="BD243" s="5">
        <f t="shared" si="10"/>
        <v>0</v>
      </c>
      <c r="BE243" s="5">
        <f t="shared" si="11"/>
        <v>0</v>
      </c>
      <c r="BF243" s="5">
        <f t="shared" si="12"/>
        <v>0</v>
      </c>
      <c r="BG243" s="5">
        <f t="shared" si="13"/>
        <v>0</v>
      </c>
      <c r="BH243" s="5">
        <f t="shared" si="14"/>
        <v>0</v>
      </c>
      <c r="BI243" s="5">
        <f t="shared" si="15"/>
        <v>0</v>
      </c>
      <c r="BJ243" s="5">
        <f t="shared" si="16"/>
        <v>0</v>
      </c>
      <c r="BK243" s="5">
        <f t="shared" si="17"/>
        <v>0</v>
      </c>
      <c r="BL243" s="5">
        <f t="shared" si="18"/>
        <v>0</v>
      </c>
      <c r="BM243" s="5">
        <f t="shared" si="19"/>
        <v>0</v>
      </c>
      <c r="BN243" s="5">
        <f t="shared" si="20"/>
        <v>0</v>
      </c>
      <c r="BO243" s="5">
        <f t="shared" si="21"/>
        <v>0</v>
      </c>
      <c r="BP243" s="5">
        <f t="shared" si="22"/>
        <v>0</v>
      </c>
      <c r="BQ243" s="5">
        <f t="shared" si="23"/>
        <v>0</v>
      </c>
      <c r="BR243" s="5">
        <f t="shared" si="24"/>
        <v>0</v>
      </c>
      <c r="BS243" s="5">
        <f t="shared" si="25"/>
        <v>0</v>
      </c>
      <c r="BT243" s="5">
        <f t="shared" si="26"/>
        <v>0</v>
      </c>
      <c r="BU243" s="5">
        <f t="shared" si="27"/>
        <v>0</v>
      </c>
      <c r="BV243" s="5">
        <f t="shared" ref="BV243:BW243" si="847">IF(OR(ISNUMBER(SEARCH("grit",$D243)),ISNUMBER(SEARCH("grit",$T243)),ISNUMBER(SEARCH("grit",$R243)),ISNUMBER(SEARCH("grit",$S243)),
ISNUMBER(SEARCH("determination",$D243)),ISNUMBER(SEARCH("determination",$T243)),ISNUMBER(SEARCH("determination",$R243)),ISNUMBER(SEARCH("determination",$S243)),
ISNUMBER(SEARCH("tenacity",$D243)),ISNUMBER(SEARCH("tenacity",$T243)),ISNUMBER(SEARCH("tenacity",$R243)),ISNUMBER(SEARCH("tenacity",$S243)),
ISNUMBER(SEARCH("endurance",$D243)),ISNUMBER(SEARCH("endurance",$T243)),ISNUMBER(SEARCH("endurance",$R243)),ISNUMBER(SEARCH("endurance",$S243)),
ISNUMBER(SEARCH("fortitude",$D243)),ISNUMBER(SEARCH("fortitude",$T243)),ISNUMBER(SEARCH("fortitude",$R243)),ISNUMBER(SEARCH("fortitude",$S243)),
ISNUMBER(SEARCH("resolve",$D243)),ISNUMBER(SEARCH("resolve",$T243)),ISNUMBER(SEARCH("resolve",$R243)),ISNUMBER(SEARCH("resolve",$S243)),
ISNUMBER(SEARCH("stamina",$D243)),ISNUMBER(SEARCH("stamina",$T243)),ISNUMBER(SEARCH("stamina",$R243)),ISNUMBER(SEARCH("stamina",$S243)),
ISNUMBER(SEARCH("guts",$D243)),ISNUMBER(SEARCH("guts",$T243)),ISNUMBER(SEARCH("guts",$R243)),ISNUMBER(SEARCH("guts",$S243)),
ISNUMBER(SEARCH("spunk",$D243)),ISNUMBER(SEARCH("spunk",$T243)),ISNUMBER(SEARCH("spunk",$R243)),ISNUMBER(SEARCH("spunk",$S243))), 1, 0)</f>
        <v>0</v>
      </c>
      <c r="BW243" s="5">
        <f t="shared" si="847"/>
        <v>0</v>
      </c>
      <c r="BX243" s="5">
        <f t="shared" si="29"/>
        <v>0</v>
      </c>
      <c r="BY243" s="5">
        <f t="shared" si="30"/>
        <v>0</v>
      </c>
      <c r="BZ243" s="5">
        <f t="shared" si="31"/>
        <v>0</v>
      </c>
      <c r="CA243" s="5">
        <f t="shared" si="32"/>
        <v>0</v>
      </c>
      <c r="CB243" s="5">
        <f t="shared" si="33"/>
        <v>0</v>
      </c>
      <c r="CC243" s="5">
        <f t="shared" si="34"/>
        <v>0</v>
      </c>
      <c r="CD243" s="5">
        <f t="shared" si="35"/>
        <v>0</v>
      </c>
      <c r="CE243" s="5">
        <f t="shared" si="36"/>
        <v>0</v>
      </c>
      <c r="CF243" s="5">
        <f t="shared" si="37"/>
        <v>0</v>
      </c>
      <c r="CG243" s="5">
        <f t="shared" si="38"/>
        <v>0</v>
      </c>
      <c r="CH243" s="5">
        <f t="shared" si="39"/>
        <v>0</v>
      </c>
      <c r="CI243" s="5">
        <f t="shared" si="40"/>
        <v>0</v>
      </c>
      <c r="CJ243" s="5">
        <f t="shared" si="41"/>
        <v>0</v>
      </c>
      <c r="CK243" s="5">
        <f t="shared" si="42"/>
        <v>0</v>
      </c>
      <c r="CL243" s="5">
        <f t="shared" si="43"/>
        <v>0</v>
      </c>
      <c r="CM243" s="5">
        <f t="shared" si="44"/>
        <v>0</v>
      </c>
      <c r="CN243" s="5">
        <f t="shared" si="45"/>
        <v>0</v>
      </c>
      <c r="CO243" s="5">
        <f t="shared" si="46"/>
        <v>0</v>
      </c>
      <c r="CP243" s="6">
        <f t="shared" si="47"/>
        <v>0</v>
      </c>
      <c r="CQ243" s="6">
        <f t="shared" si="48"/>
        <v>0</v>
      </c>
      <c r="CR243" s="6">
        <f t="shared" si="49"/>
        <v>0</v>
      </c>
      <c r="CS243" s="6">
        <f t="shared" si="50"/>
        <v>0</v>
      </c>
      <c r="CT243" s="6">
        <f t="shared" si="584"/>
        <v>0</v>
      </c>
      <c r="CU243" s="6">
        <f t="shared" si="52"/>
        <v>0</v>
      </c>
      <c r="CV243" s="6">
        <f t="shared" si="53"/>
        <v>0</v>
      </c>
      <c r="CW243" s="6">
        <f t="shared" si="54"/>
        <v>0</v>
      </c>
      <c r="CX243" s="6">
        <f t="shared" si="55"/>
        <v>0</v>
      </c>
      <c r="CY243" s="6">
        <f t="shared" si="56"/>
        <v>0</v>
      </c>
      <c r="CZ243" s="6">
        <f t="shared" si="57"/>
        <v>0</v>
      </c>
      <c r="DA243" s="6">
        <f t="shared" si="58"/>
        <v>0</v>
      </c>
      <c r="DB243" s="6">
        <f t="shared" si="59"/>
        <v>0</v>
      </c>
      <c r="DC243" s="6">
        <f t="shared" si="60"/>
        <v>0</v>
      </c>
      <c r="DD243" s="6">
        <f t="shared" si="61"/>
        <v>0</v>
      </c>
      <c r="DE243" s="6">
        <f t="shared" si="62"/>
        <v>0</v>
      </c>
      <c r="DF243" s="6">
        <f t="shared" si="63"/>
        <v>0</v>
      </c>
      <c r="DG243" s="6">
        <f t="shared" si="64"/>
        <v>0</v>
      </c>
      <c r="DH243" s="6">
        <f t="shared" si="697"/>
        <v>0</v>
      </c>
      <c r="DI243" s="6">
        <f t="shared" si="66"/>
        <v>0</v>
      </c>
      <c r="DJ243" s="6">
        <f t="shared" si="653"/>
        <v>0</v>
      </c>
      <c r="DK243" s="7">
        <f t="shared" si="68"/>
        <v>0</v>
      </c>
      <c r="DL243" s="7">
        <f t="shared" si="498"/>
        <v>0</v>
      </c>
      <c r="DM243" s="7">
        <f t="shared" si="70"/>
        <v>0</v>
      </c>
      <c r="DN243" s="7">
        <f t="shared" si="71"/>
        <v>0</v>
      </c>
      <c r="DO243" s="7">
        <f t="shared" si="72"/>
        <v>0</v>
      </c>
      <c r="DP243" s="8">
        <f t="shared" si="73"/>
        <v>0</v>
      </c>
      <c r="DQ243" s="8">
        <f t="shared" si="74"/>
        <v>1</v>
      </c>
      <c r="DR243" s="7">
        <f t="shared" si="75"/>
        <v>0</v>
      </c>
      <c r="DS243" s="7">
        <f t="shared" si="76"/>
        <v>0</v>
      </c>
      <c r="DT243" s="7">
        <f t="shared" si="77"/>
        <v>0</v>
      </c>
      <c r="DU243" s="9">
        <f t="shared" si="78"/>
        <v>0</v>
      </c>
      <c r="DV243" s="9">
        <f t="shared" si="79"/>
        <v>0</v>
      </c>
      <c r="DW243" s="9">
        <f t="shared" si="80"/>
        <v>0</v>
      </c>
      <c r="DX243" s="9">
        <f t="shared" si="81"/>
        <v>0</v>
      </c>
      <c r="DY243" s="9">
        <f t="shared" si="82"/>
        <v>0</v>
      </c>
      <c r="DZ243" s="9">
        <f t="shared" si="83"/>
        <v>0</v>
      </c>
      <c r="EA243" s="9">
        <f t="shared" si="84"/>
        <v>0</v>
      </c>
      <c r="EB243" s="9">
        <f t="shared" si="85"/>
        <v>0</v>
      </c>
      <c r="EC243" s="9">
        <f t="shared" si="86"/>
        <v>0</v>
      </c>
      <c r="ED243" s="9">
        <f t="shared" si="87"/>
        <v>0</v>
      </c>
      <c r="EE243" s="9">
        <f t="shared" si="88"/>
        <v>0</v>
      </c>
      <c r="EF243" s="9">
        <f t="shared" si="89"/>
        <v>0</v>
      </c>
      <c r="EG243" s="9">
        <f t="shared" si="90"/>
        <v>0</v>
      </c>
      <c r="EH243" s="9">
        <f t="shared" si="91"/>
        <v>0</v>
      </c>
      <c r="EI243" s="9">
        <f t="shared" si="92"/>
        <v>0</v>
      </c>
      <c r="EJ243" s="10">
        <f t="shared" si="93"/>
        <v>0</v>
      </c>
      <c r="EK243" s="10">
        <f t="shared" si="94"/>
        <v>0</v>
      </c>
      <c r="EL243" s="10">
        <f t="shared" ref="EL243:EM243" si="848">IF(OR(ISNUMBER(SEARCH("ai software toolkit", $D243)), ISNUMBER(SEARCH("ai software toolkit", $T243)), ISNUMBER(SEARCH("ai software toolkit", $R243)), ISNUMBER(SEARCH("ai software toolkit", $S243))), 1, 0)</f>
        <v>0</v>
      </c>
      <c r="EM243" s="10">
        <f t="shared" si="848"/>
        <v>0</v>
      </c>
      <c r="EN243" s="10">
        <f t="shared" si="96"/>
        <v>0</v>
      </c>
      <c r="EO243" s="10">
        <f t="shared" si="97"/>
        <v>0</v>
      </c>
      <c r="EP243" s="10">
        <f t="shared" si="98"/>
        <v>0</v>
      </c>
      <c r="EQ243" s="10">
        <f t="shared" si="99"/>
        <v>0</v>
      </c>
      <c r="ER243" s="10">
        <f t="shared" si="100"/>
        <v>0</v>
      </c>
      <c r="ES243" s="10">
        <f t="shared" si="101"/>
        <v>0</v>
      </c>
      <c r="ET243" s="10">
        <f t="shared" si="102"/>
        <v>0</v>
      </c>
      <c r="EU243" s="10">
        <f t="shared" si="103"/>
        <v>0</v>
      </c>
      <c r="EV243" s="10">
        <f t="shared" si="104"/>
        <v>0</v>
      </c>
      <c r="EW243" s="10">
        <f t="shared" si="105"/>
        <v>0</v>
      </c>
      <c r="EX243" s="10">
        <f t="shared" si="106"/>
        <v>0</v>
      </c>
      <c r="EY243" s="10">
        <f t="shared" si="107"/>
        <v>0</v>
      </c>
      <c r="EZ243" s="10">
        <f t="shared" si="108"/>
        <v>0</v>
      </c>
      <c r="FA243" s="10">
        <f t="shared" si="109"/>
        <v>0</v>
      </c>
      <c r="FB243" s="10">
        <f t="shared" si="110"/>
        <v>0</v>
      </c>
      <c r="FC243" s="10">
        <f t="shared" si="111"/>
        <v>0</v>
      </c>
      <c r="FD243" s="10">
        <f t="shared" si="112"/>
        <v>0</v>
      </c>
      <c r="FE243" s="10">
        <f t="shared" si="782"/>
        <v>1</v>
      </c>
      <c r="FF243" s="10">
        <f t="shared" si="114"/>
        <v>0</v>
      </c>
      <c r="FG243" s="10">
        <f t="shared" si="115"/>
        <v>0</v>
      </c>
      <c r="FH243" s="10">
        <f t="shared" si="116"/>
        <v>0</v>
      </c>
      <c r="FI243" s="10">
        <f t="shared" si="117"/>
        <v>0</v>
      </c>
      <c r="FJ243" s="10">
        <f t="shared" si="118"/>
        <v>0</v>
      </c>
      <c r="FK243" s="10">
        <f t="shared" si="119"/>
        <v>0</v>
      </c>
      <c r="FL243" s="10">
        <f t="shared" si="120"/>
        <v>0</v>
      </c>
      <c r="FM243" s="10">
        <f t="shared" si="121"/>
        <v>0</v>
      </c>
      <c r="FN243" s="10">
        <f t="shared" si="122"/>
        <v>0</v>
      </c>
      <c r="FO243" s="10">
        <f t="shared" si="123"/>
        <v>0</v>
      </c>
      <c r="FP243" s="10">
        <f t="shared" si="124"/>
        <v>0</v>
      </c>
      <c r="FQ243" s="10">
        <f t="shared" si="125"/>
        <v>1</v>
      </c>
      <c r="FR243" s="11">
        <f t="shared" si="804"/>
        <v>0</v>
      </c>
      <c r="FS243" s="11">
        <f t="shared" si="127"/>
        <v>0</v>
      </c>
      <c r="FT243" s="11">
        <f t="shared" si="128"/>
        <v>0</v>
      </c>
      <c r="FU243" s="11">
        <f t="shared" si="129"/>
        <v>0</v>
      </c>
      <c r="FV243" s="11">
        <f t="shared" si="130"/>
        <v>0</v>
      </c>
      <c r="FW243" s="11">
        <f t="shared" si="131"/>
        <v>0</v>
      </c>
      <c r="FX243" s="11">
        <f t="shared" si="132"/>
        <v>0</v>
      </c>
      <c r="FY243" s="11">
        <f t="shared" si="133"/>
        <v>0</v>
      </c>
      <c r="FZ243" s="11">
        <f t="shared" si="134"/>
        <v>0</v>
      </c>
      <c r="GA243" s="11">
        <f t="shared" si="135"/>
        <v>0</v>
      </c>
      <c r="GB243" s="11">
        <f t="shared" si="136"/>
        <v>0</v>
      </c>
      <c r="GC243" s="11">
        <f t="shared" si="137"/>
        <v>0</v>
      </c>
      <c r="GD243" s="11">
        <f t="shared" si="138"/>
        <v>0</v>
      </c>
      <c r="GE243" s="11">
        <f t="shared" si="139"/>
        <v>0</v>
      </c>
      <c r="GF243" s="11">
        <f t="shared" si="140"/>
        <v>0</v>
      </c>
      <c r="GG243" s="11">
        <f t="shared" si="141"/>
        <v>0</v>
      </c>
      <c r="GH243" s="11">
        <f t="shared" si="142"/>
        <v>0</v>
      </c>
      <c r="GI243" s="11">
        <f t="shared" si="143"/>
        <v>0</v>
      </c>
      <c r="GJ243" s="11">
        <f t="shared" si="144"/>
        <v>0</v>
      </c>
      <c r="GK243" s="11">
        <f t="shared" si="145"/>
        <v>0</v>
      </c>
      <c r="GL243" s="11">
        <f t="shared" si="146"/>
        <v>0</v>
      </c>
      <c r="GM243" s="11">
        <f t="shared" si="147"/>
        <v>0</v>
      </c>
      <c r="GN243" s="11">
        <f t="shared" si="148"/>
        <v>0</v>
      </c>
      <c r="GO243" s="11">
        <f t="shared" si="149"/>
        <v>0</v>
      </c>
      <c r="GP243" s="11">
        <f t="shared" si="150"/>
        <v>0</v>
      </c>
      <c r="GQ243" s="11">
        <f t="shared" si="151"/>
        <v>0</v>
      </c>
      <c r="GR243" s="11">
        <f t="shared" si="152"/>
        <v>1</v>
      </c>
      <c r="GS243" s="11">
        <f t="shared" si="153"/>
        <v>0</v>
      </c>
      <c r="GT243" s="11">
        <f t="shared" si="154"/>
        <v>0</v>
      </c>
      <c r="GU243" s="12">
        <f t="shared" si="155"/>
        <v>0</v>
      </c>
      <c r="GV243" s="12">
        <f t="shared" si="156"/>
        <v>0</v>
      </c>
      <c r="GW243" s="12">
        <f t="shared" si="157"/>
        <v>0</v>
      </c>
      <c r="GX243" s="12">
        <f t="shared" si="158"/>
        <v>0</v>
      </c>
      <c r="GY243" s="12">
        <f t="shared" si="159"/>
        <v>0</v>
      </c>
      <c r="GZ243" s="12">
        <f t="shared" si="160"/>
        <v>0</v>
      </c>
      <c r="HA243" s="12">
        <f t="shared" si="161"/>
        <v>0</v>
      </c>
      <c r="HB243" s="12">
        <f t="shared" si="162"/>
        <v>0</v>
      </c>
      <c r="HC243" s="12">
        <f t="shared" si="163"/>
        <v>0</v>
      </c>
      <c r="HD243" s="12">
        <f t="shared" si="164"/>
        <v>0</v>
      </c>
      <c r="HE243" s="12">
        <f t="shared" si="165"/>
        <v>0</v>
      </c>
      <c r="HF243" s="12">
        <f t="shared" si="166"/>
        <v>0</v>
      </c>
      <c r="HG243" s="12">
        <f t="shared" si="167"/>
        <v>0</v>
      </c>
      <c r="HH243" s="12">
        <f t="shared" si="168"/>
        <v>0</v>
      </c>
      <c r="HI243" s="12">
        <f t="shared" si="169"/>
        <v>0</v>
      </c>
      <c r="HJ243" s="12">
        <f t="shared" si="170"/>
        <v>0</v>
      </c>
      <c r="HK243" s="12">
        <f t="shared" si="171"/>
        <v>0</v>
      </c>
      <c r="HL243" s="12">
        <f t="shared" si="172"/>
        <v>0</v>
      </c>
      <c r="HM243" s="12">
        <f t="shared" si="173"/>
        <v>0</v>
      </c>
      <c r="HN243" s="12">
        <f t="shared" si="174"/>
        <v>0</v>
      </c>
      <c r="HO243" s="12">
        <f t="shared" si="175"/>
        <v>0</v>
      </c>
      <c r="HP243" s="12">
        <f t="shared" si="176"/>
        <v>0</v>
      </c>
      <c r="HQ243" s="12">
        <f t="shared" si="177"/>
        <v>0</v>
      </c>
      <c r="HR243" s="12">
        <f t="shared" si="178"/>
        <v>0</v>
      </c>
      <c r="HS243" s="12">
        <f t="shared" si="179"/>
        <v>0</v>
      </c>
      <c r="HT243" s="12">
        <f t="shared" si="180"/>
        <v>0</v>
      </c>
      <c r="HU243" s="12">
        <f t="shared" si="181"/>
        <v>0</v>
      </c>
      <c r="HV243" s="12">
        <f t="shared" si="182"/>
        <v>0</v>
      </c>
      <c r="HW243" s="12">
        <f t="shared" si="183"/>
        <v>0</v>
      </c>
      <c r="HX243" s="12">
        <f t="shared" si="184"/>
        <v>0</v>
      </c>
      <c r="HY243" s="12">
        <f t="shared" si="185"/>
        <v>0</v>
      </c>
      <c r="HZ243" s="12">
        <f t="shared" si="186"/>
        <v>0</v>
      </c>
      <c r="IA243" s="12">
        <f t="shared" si="187"/>
        <v>0</v>
      </c>
      <c r="IB243" s="12">
        <f t="shared" si="188"/>
        <v>0</v>
      </c>
      <c r="IC243" s="12">
        <f t="shared" si="189"/>
        <v>0</v>
      </c>
      <c r="ID243" s="12">
        <f t="shared" si="190"/>
        <v>0</v>
      </c>
      <c r="IE243" s="12">
        <f t="shared" si="191"/>
        <v>0</v>
      </c>
      <c r="IF243" s="12">
        <f t="shared" si="192"/>
        <v>0</v>
      </c>
      <c r="IG243" s="12">
        <f t="shared" si="193"/>
        <v>0</v>
      </c>
      <c r="IH243" s="12">
        <f t="shared" si="194"/>
        <v>0</v>
      </c>
      <c r="II243" s="12">
        <f t="shared" si="195"/>
        <v>0</v>
      </c>
      <c r="IJ243" s="12">
        <f t="shared" si="196"/>
        <v>0</v>
      </c>
      <c r="IK243" s="12">
        <f t="shared" si="197"/>
        <v>0</v>
      </c>
      <c r="IL243" s="12">
        <f t="shared" si="198"/>
        <v>0</v>
      </c>
      <c r="IM243" s="12">
        <f t="shared" si="199"/>
        <v>0</v>
      </c>
      <c r="IN243" s="12">
        <f t="shared" si="200"/>
        <v>0</v>
      </c>
      <c r="IO243" s="12">
        <f t="shared" si="201"/>
        <v>0</v>
      </c>
      <c r="IP243" s="12">
        <f t="shared" si="202"/>
        <v>0</v>
      </c>
      <c r="IQ243" s="12">
        <f t="shared" si="203"/>
        <v>0</v>
      </c>
      <c r="IR243" s="12">
        <f t="shared" si="204"/>
        <v>0</v>
      </c>
      <c r="IS243" s="12">
        <f t="shared" si="205"/>
        <v>0</v>
      </c>
      <c r="IT243" s="12">
        <f t="shared" si="206"/>
        <v>0</v>
      </c>
      <c r="IU243" s="12">
        <f t="shared" si="207"/>
        <v>0</v>
      </c>
      <c r="IV243" s="12">
        <f t="shared" si="208"/>
        <v>0</v>
      </c>
      <c r="IW243" s="12">
        <f t="shared" si="209"/>
        <v>0</v>
      </c>
      <c r="IX243" s="12">
        <f t="shared" si="210"/>
        <v>0</v>
      </c>
      <c r="IY243" s="12">
        <f t="shared" si="211"/>
        <v>0</v>
      </c>
      <c r="IZ243" s="12">
        <f t="shared" si="212"/>
        <v>0</v>
      </c>
      <c r="JA243" s="13">
        <f t="shared" si="213"/>
        <v>0</v>
      </c>
      <c r="JB243" s="13">
        <f t="shared" si="214"/>
        <v>0</v>
      </c>
      <c r="JC243" s="13">
        <f t="shared" si="215"/>
        <v>0</v>
      </c>
      <c r="JD243" s="13">
        <f t="shared" si="216"/>
        <v>0</v>
      </c>
      <c r="JE243" s="13">
        <f t="shared" si="217"/>
        <v>0</v>
      </c>
      <c r="JF243" s="13">
        <f t="shared" si="218"/>
        <v>0</v>
      </c>
      <c r="JG243" s="13">
        <f t="shared" si="219"/>
        <v>0</v>
      </c>
      <c r="JH243" s="13">
        <f t="shared" si="220"/>
        <v>0</v>
      </c>
      <c r="JI243" s="13">
        <f t="shared" si="221"/>
        <v>0</v>
      </c>
      <c r="JJ243" s="13">
        <f t="shared" si="222"/>
        <v>0</v>
      </c>
      <c r="JK243" s="13">
        <f t="shared" si="223"/>
        <v>0</v>
      </c>
      <c r="JL243" s="13">
        <f t="shared" si="224"/>
        <v>0</v>
      </c>
      <c r="JM243" s="13">
        <f t="shared" si="225"/>
        <v>0</v>
      </c>
      <c r="JN243" s="13">
        <f t="shared" si="226"/>
        <v>0</v>
      </c>
      <c r="JO243" s="13">
        <f t="shared" si="227"/>
        <v>0</v>
      </c>
      <c r="JP243" s="13">
        <f t="shared" si="228"/>
        <v>0</v>
      </c>
      <c r="JQ243" s="13">
        <f t="shared" si="229"/>
        <v>0</v>
      </c>
      <c r="JR243" s="13">
        <f t="shared" si="230"/>
        <v>0</v>
      </c>
      <c r="JS243" s="13">
        <f t="shared" si="231"/>
        <v>0</v>
      </c>
      <c r="JT243" s="13">
        <f t="shared" si="232"/>
        <v>0</v>
      </c>
      <c r="JU243" s="13">
        <f t="shared" si="233"/>
        <v>0</v>
      </c>
      <c r="JV243" s="12">
        <f t="shared" si="234"/>
        <v>0</v>
      </c>
      <c r="JW243" s="12">
        <f t="shared" si="235"/>
        <v>0</v>
      </c>
      <c r="JX243" s="12">
        <f t="shared" si="236"/>
        <v>0</v>
      </c>
      <c r="JY243" s="12">
        <f t="shared" si="237"/>
        <v>0</v>
      </c>
      <c r="JZ243" s="12">
        <f t="shared" si="238"/>
        <v>0</v>
      </c>
      <c r="KA243" s="12">
        <f t="shared" si="239"/>
        <v>0</v>
      </c>
      <c r="KB243" s="12">
        <f t="shared" si="240"/>
        <v>0</v>
      </c>
      <c r="KC243" s="12">
        <f t="shared" si="241"/>
        <v>0</v>
      </c>
      <c r="KD243" s="12">
        <f t="shared" si="797"/>
        <v>0</v>
      </c>
      <c r="KE243" s="12">
        <f t="shared" si="243"/>
        <v>0</v>
      </c>
      <c r="KF243" s="12">
        <f t="shared" si="244"/>
        <v>0</v>
      </c>
      <c r="KG243" s="12">
        <f t="shared" si="245"/>
        <v>0</v>
      </c>
      <c r="KH243" s="12">
        <f t="shared" si="246"/>
        <v>0</v>
      </c>
      <c r="KI243" s="12">
        <f t="shared" si="247"/>
        <v>0</v>
      </c>
      <c r="KJ243" s="12">
        <f t="shared" si="248"/>
        <v>0</v>
      </c>
      <c r="KK243" s="12">
        <f t="shared" si="249"/>
        <v>0</v>
      </c>
      <c r="KL243" s="12">
        <f t="shared" si="250"/>
        <v>0</v>
      </c>
      <c r="KM243" s="12">
        <f t="shared" si="251"/>
        <v>0</v>
      </c>
      <c r="KN243" s="12">
        <f t="shared" si="252"/>
        <v>0</v>
      </c>
      <c r="KO243" s="12">
        <f t="shared" si="253"/>
        <v>0</v>
      </c>
      <c r="KP243" s="12">
        <f t="shared" si="254"/>
        <v>0</v>
      </c>
      <c r="KQ243" s="12">
        <f t="shared" si="255"/>
        <v>0</v>
      </c>
      <c r="KR243" s="12">
        <f t="shared" si="256"/>
        <v>0</v>
      </c>
      <c r="KS243" s="12">
        <f t="shared" si="257"/>
        <v>0</v>
      </c>
      <c r="KT243" s="12">
        <f t="shared" si="258"/>
        <v>0</v>
      </c>
      <c r="KU243" s="12">
        <f t="shared" si="259"/>
        <v>0</v>
      </c>
      <c r="KV243" s="12">
        <f t="shared" si="260"/>
        <v>0</v>
      </c>
      <c r="KW243" s="12">
        <f t="shared" si="261"/>
        <v>0</v>
      </c>
      <c r="KX243" s="12">
        <f t="shared" si="262"/>
        <v>0</v>
      </c>
      <c r="KY243" s="12">
        <f t="shared" si="263"/>
        <v>0</v>
      </c>
      <c r="KZ243" s="12">
        <f t="shared" si="264"/>
        <v>0</v>
      </c>
      <c r="LA243" s="12">
        <f t="shared" si="265"/>
        <v>0</v>
      </c>
      <c r="LB243" s="12">
        <f t="shared" si="266"/>
        <v>0</v>
      </c>
      <c r="LC243" s="12">
        <f t="shared" si="267"/>
        <v>0</v>
      </c>
      <c r="LD243" s="12">
        <f t="shared" si="268"/>
        <v>0</v>
      </c>
      <c r="LE243" s="12">
        <f t="shared" si="269"/>
        <v>0</v>
      </c>
      <c r="LF243" s="12">
        <f t="shared" si="270"/>
        <v>0</v>
      </c>
      <c r="LG243" s="12">
        <f t="shared" si="271"/>
        <v>0</v>
      </c>
      <c r="LH243" s="12">
        <f t="shared" si="272"/>
        <v>0</v>
      </c>
      <c r="LI243" s="12">
        <f t="shared" si="273"/>
        <v>0</v>
      </c>
      <c r="LJ243" s="12">
        <f t="shared" si="274"/>
        <v>0</v>
      </c>
      <c r="LK243" s="12">
        <f t="shared" si="275"/>
        <v>0</v>
      </c>
      <c r="LL243" s="12">
        <f t="shared" si="276"/>
        <v>0</v>
      </c>
      <c r="LM243" s="12">
        <f t="shared" si="277"/>
        <v>0</v>
      </c>
      <c r="LN243" s="12">
        <f t="shared" si="278"/>
        <v>0</v>
      </c>
      <c r="LO243" s="12">
        <f t="shared" si="279"/>
        <v>0</v>
      </c>
      <c r="LP243" s="12">
        <f t="shared" si="280"/>
        <v>0</v>
      </c>
      <c r="LQ243" s="12">
        <f t="shared" si="281"/>
        <v>0</v>
      </c>
      <c r="LR243" s="12">
        <f t="shared" si="282"/>
        <v>0</v>
      </c>
      <c r="LS243" s="12">
        <f t="shared" si="283"/>
        <v>0</v>
      </c>
      <c r="LT243" s="13">
        <f t="shared" si="284"/>
        <v>0</v>
      </c>
      <c r="LU243" s="13">
        <f t="shared" si="285"/>
        <v>0</v>
      </c>
      <c r="LV243" s="13">
        <f t="shared" si="286"/>
        <v>0</v>
      </c>
      <c r="LW243" s="13">
        <f t="shared" si="287"/>
        <v>0</v>
      </c>
      <c r="LX243" s="13">
        <f t="shared" si="288"/>
        <v>0</v>
      </c>
      <c r="LY243" s="13">
        <f t="shared" si="289"/>
        <v>0</v>
      </c>
      <c r="LZ243" s="13">
        <f t="shared" si="290"/>
        <v>0</v>
      </c>
      <c r="MA243" s="13">
        <f t="shared" si="291"/>
        <v>0</v>
      </c>
      <c r="MB243" s="13">
        <f t="shared" si="292"/>
        <v>0</v>
      </c>
      <c r="MC243" s="13">
        <f t="shared" si="293"/>
        <v>0</v>
      </c>
      <c r="MD243" s="13">
        <f t="shared" si="294"/>
        <v>0</v>
      </c>
      <c r="ME243" s="13">
        <f t="shared" si="295"/>
        <v>0</v>
      </c>
      <c r="MF243" s="13">
        <f t="shared" si="296"/>
        <v>0</v>
      </c>
      <c r="MG243" s="13">
        <f t="shared" si="297"/>
        <v>0</v>
      </c>
      <c r="MH243" s="13">
        <f t="shared" si="298"/>
        <v>0</v>
      </c>
      <c r="MI243" s="13">
        <f t="shared" si="299"/>
        <v>0</v>
      </c>
      <c r="MJ243" s="13">
        <f t="shared" si="300"/>
        <v>0</v>
      </c>
      <c r="MK243" s="13">
        <f t="shared" si="301"/>
        <v>0</v>
      </c>
      <c r="ML243" s="14">
        <f t="shared" si="302"/>
        <v>0</v>
      </c>
      <c r="MM243" s="14">
        <f t="shared" si="303"/>
        <v>0</v>
      </c>
      <c r="MN243" s="14">
        <f t="shared" si="304"/>
        <v>0</v>
      </c>
      <c r="MO243" s="14">
        <f t="shared" si="305"/>
        <v>0</v>
      </c>
      <c r="MP243" s="14">
        <f t="shared" si="306"/>
        <v>0</v>
      </c>
      <c r="MQ243" s="14">
        <f t="shared" si="307"/>
        <v>0</v>
      </c>
      <c r="MR243" s="14">
        <f t="shared" si="308"/>
        <v>0</v>
      </c>
      <c r="MS243" s="14">
        <f t="shared" si="309"/>
        <v>0</v>
      </c>
      <c r="MT243" s="14">
        <f t="shared" si="310"/>
        <v>0</v>
      </c>
      <c r="MU243" s="14">
        <f t="shared" si="311"/>
        <v>0</v>
      </c>
      <c r="MV243" s="14">
        <f t="shared" si="312"/>
        <v>0</v>
      </c>
      <c r="MW243" s="14">
        <f t="shared" si="313"/>
        <v>0</v>
      </c>
      <c r="MX243" s="14">
        <f t="shared" si="314"/>
        <v>0</v>
      </c>
      <c r="MY243" s="14">
        <f t="shared" si="315"/>
        <v>0</v>
      </c>
      <c r="MZ243" s="14">
        <f t="shared" si="316"/>
        <v>0</v>
      </c>
      <c r="NA243" s="14">
        <f t="shared" si="317"/>
        <v>0</v>
      </c>
      <c r="NB243" s="14">
        <f t="shared" si="318"/>
        <v>0</v>
      </c>
    </row>
    <row r="244" ht="15.75" customHeight="1">
      <c r="A244" s="2">
        <v>675.0</v>
      </c>
      <c r="B244" s="2" t="s">
        <v>4385</v>
      </c>
      <c r="C244" s="2" t="s">
        <v>4386</v>
      </c>
      <c r="D244" s="2" t="s">
        <v>4387</v>
      </c>
      <c r="E244" s="2">
        <v>2023.0</v>
      </c>
      <c r="F244" s="2" t="s">
        <v>4388</v>
      </c>
      <c r="N244" s="2" t="s">
        <v>4389</v>
      </c>
      <c r="O244" s="2" t="s">
        <v>4390</v>
      </c>
      <c r="P244" s="2" t="s">
        <v>4391</v>
      </c>
      <c r="Q244" s="2" t="s">
        <v>4392</v>
      </c>
      <c r="R244" s="2" t="s">
        <v>4393</v>
      </c>
      <c r="S244" s="2" t="s">
        <v>4394</v>
      </c>
      <c r="Y244" s="2" t="s">
        <v>4395</v>
      </c>
      <c r="AB244" s="2" t="s">
        <v>3260</v>
      </c>
      <c r="AG244" s="2" t="s">
        <v>4396</v>
      </c>
      <c r="AK244" s="2" t="s">
        <v>4397</v>
      </c>
      <c r="AL244" s="2" t="s">
        <v>2966</v>
      </c>
      <c r="AN244" s="2" t="s">
        <v>386</v>
      </c>
      <c r="AO244" s="2" t="s">
        <v>4398</v>
      </c>
      <c r="AP244" s="2" t="s">
        <v>386</v>
      </c>
      <c r="AQ244" s="2">
        <v>2011.0</v>
      </c>
      <c r="AR244" s="2" t="s">
        <v>4387</v>
      </c>
      <c r="AS244" s="2" t="b">
        <v>0</v>
      </c>
      <c r="AT244" s="3">
        <v>0.0</v>
      </c>
      <c r="AU244" s="4"/>
      <c r="AV244" s="4"/>
      <c r="AW244" s="5">
        <f t="shared" si="432"/>
        <v>0</v>
      </c>
      <c r="AX244" s="5">
        <f t="shared" si="4"/>
        <v>0</v>
      </c>
      <c r="AY244" s="5">
        <f t="shared" si="5"/>
        <v>0</v>
      </c>
      <c r="AZ244" s="5">
        <f t="shared" si="6"/>
        <v>0</v>
      </c>
      <c r="BA244" s="5">
        <f t="shared" si="7"/>
        <v>0</v>
      </c>
      <c r="BB244" s="5">
        <f t="shared" si="8"/>
        <v>1</v>
      </c>
      <c r="BC244" s="5">
        <f t="shared" si="9"/>
        <v>0</v>
      </c>
      <c r="BD244" s="5">
        <f t="shared" si="10"/>
        <v>0</v>
      </c>
      <c r="BE244" s="5">
        <f t="shared" si="11"/>
        <v>0</v>
      </c>
      <c r="BF244" s="5">
        <f t="shared" si="12"/>
        <v>0</v>
      </c>
      <c r="BG244" s="5">
        <f t="shared" si="13"/>
        <v>0</v>
      </c>
      <c r="BH244" s="5">
        <f t="shared" si="14"/>
        <v>0</v>
      </c>
      <c r="BI244" s="5">
        <f t="shared" si="15"/>
        <v>0</v>
      </c>
      <c r="BJ244" s="5">
        <f t="shared" si="16"/>
        <v>0</v>
      </c>
      <c r="BK244" s="5">
        <f t="shared" si="17"/>
        <v>0</v>
      </c>
      <c r="BL244" s="5">
        <f t="shared" si="18"/>
        <v>0</v>
      </c>
      <c r="BM244" s="5">
        <f t="shared" si="19"/>
        <v>0</v>
      </c>
      <c r="BN244" s="5">
        <f t="shared" si="20"/>
        <v>0</v>
      </c>
      <c r="BO244" s="5">
        <f t="shared" si="21"/>
        <v>0</v>
      </c>
      <c r="BP244" s="5">
        <f t="shared" si="22"/>
        <v>0</v>
      </c>
      <c r="BQ244" s="5">
        <f t="shared" si="23"/>
        <v>0</v>
      </c>
      <c r="BR244" s="5">
        <f t="shared" si="24"/>
        <v>0</v>
      </c>
      <c r="BS244" s="5">
        <f t="shared" si="25"/>
        <v>0</v>
      </c>
      <c r="BT244" s="5">
        <f t="shared" si="26"/>
        <v>0</v>
      </c>
      <c r="BU244" s="5">
        <f t="shared" si="27"/>
        <v>0</v>
      </c>
      <c r="BV244" s="5">
        <f t="shared" ref="BV244:BW244" si="849">IF(OR(ISNUMBER(SEARCH("grit",$D244)),ISNUMBER(SEARCH("grit",$T244)),ISNUMBER(SEARCH("grit",$R244)),ISNUMBER(SEARCH("grit",$S244)),
ISNUMBER(SEARCH("determination",$D244)),ISNUMBER(SEARCH("determination",$T244)),ISNUMBER(SEARCH("determination",$R244)),ISNUMBER(SEARCH("determination",$S244)),
ISNUMBER(SEARCH("tenacity",$D244)),ISNUMBER(SEARCH("tenacity",$T244)),ISNUMBER(SEARCH("tenacity",$R244)),ISNUMBER(SEARCH("tenacity",$S244)),
ISNUMBER(SEARCH("endurance",$D244)),ISNUMBER(SEARCH("endurance",$T244)),ISNUMBER(SEARCH("endurance",$R244)),ISNUMBER(SEARCH("endurance",$S244)),
ISNUMBER(SEARCH("fortitude",$D244)),ISNUMBER(SEARCH("fortitude",$T244)),ISNUMBER(SEARCH("fortitude",$R244)),ISNUMBER(SEARCH("fortitude",$S244)),
ISNUMBER(SEARCH("resolve",$D244)),ISNUMBER(SEARCH("resolve",$T244)),ISNUMBER(SEARCH("resolve",$R244)),ISNUMBER(SEARCH("resolve",$S244)),
ISNUMBER(SEARCH("stamina",$D244)),ISNUMBER(SEARCH("stamina",$T244)),ISNUMBER(SEARCH("stamina",$R244)),ISNUMBER(SEARCH("stamina",$S244)),
ISNUMBER(SEARCH("guts",$D244)),ISNUMBER(SEARCH("guts",$T244)),ISNUMBER(SEARCH("guts",$R244)),ISNUMBER(SEARCH("guts",$S244)),
ISNUMBER(SEARCH("spunk",$D244)),ISNUMBER(SEARCH("spunk",$T244)),ISNUMBER(SEARCH("spunk",$R244)),ISNUMBER(SEARCH("spunk",$S244))), 1, 0)</f>
        <v>0</v>
      </c>
      <c r="BW244" s="5">
        <f t="shared" si="849"/>
        <v>0</v>
      </c>
      <c r="BX244" s="5">
        <f t="shared" si="29"/>
        <v>0</v>
      </c>
      <c r="BY244" s="5">
        <f t="shared" si="30"/>
        <v>0</v>
      </c>
      <c r="BZ244" s="5">
        <f t="shared" si="31"/>
        <v>0</v>
      </c>
      <c r="CA244" s="5">
        <f t="shared" si="32"/>
        <v>0</v>
      </c>
      <c r="CB244" s="5">
        <f t="shared" si="33"/>
        <v>0</v>
      </c>
      <c r="CC244" s="5">
        <f t="shared" si="34"/>
        <v>0</v>
      </c>
      <c r="CD244" s="5">
        <f t="shared" si="35"/>
        <v>0</v>
      </c>
      <c r="CE244" s="5">
        <f t="shared" si="36"/>
        <v>0</v>
      </c>
      <c r="CF244" s="5">
        <f t="shared" si="37"/>
        <v>0</v>
      </c>
      <c r="CG244" s="5">
        <f t="shared" si="38"/>
        <v>0</v>
      </c>
      <c r="CH244" s="5">
        <f t="shared" si="39"/>
        <v>0</v>
      </c>
      <c r="CI244" s="5">
        <f t="shared" si="40"/>
        <v>0</v>
      </c>
      <c r="CJ244" s="5">
        <f t="shared" si="41"/>
        <v>0</v>
      </c>
      <c r="CK244" s="5">
        <f t="shared" si="42"/>
        <v>0</v>
      </c>
      <c r="CL244" s="5">
        <f t="shared" si="43"/>
        <v>0</v>
      </c>
      <c r="CM244" s="5">
        <f t="shared" si="44"/>
        <v>0</v>
      </c>
      <c r="CN244" s="5">
        <f t="shared" si="45"/>
        <v>0</v>
      </c>
      <c r="CO244" s="5">
        <f t="shared" si="46"/>
        <v>0</v>
      </c>
      <c r="CP244" s="6">
        <f t="shared" si="47"/>
        <v>0</v>
      </c>
      <c r="CQ244" s="6">
        <f t="shared" si="48"/>
        <v>0</v>
      </c>
      <c r="CR244" s="6">
        <f t="shared" si="49"/>
        <v>0</v>
      </c>
      <c r="CS244" s="6">
        <f t="shared" si="50"/>
        <v>0</v>
      </c>
      <c r="CT244" s="6">
        <f t="shared" si="584"/>
        <v>0</v>
      </c>
      <c r="CU244" s="6">
        <f t="shared" si="52"/>
        <v>0</v>
      </c>
      <c r="CV244" s="6">
        <f t="shared" si="53"/>
        <v>0</v>
      </c>
      <c r="CW244" s="6">
        <f t="shared" si="54"/>
        <v>0</v>
      </c>
      <c r="CX244" s="6">
        <f t="shared" si="55"/>
        <v>0</v>
      </c>
      <c r="CY244" s="6">
        <f t="shared" si="56"/>
        <v>0</v>
      </c>
      <c r="CZ244" s="6">
        <f t="shared" si="57"/>
        <v>0</v>
      </c>
      <c r="DA244" s="6">
        <f t="shared" si="58"/>
        <v>1</v>
      </c>
      <c r="DB244" s="6">
        <f t="shared" si="59"/>
        <v>0</v>
      </c>
      <c r="DC244" s="6">
        <f t="shared" si="60"/>
        <v>0</v>
      </c>
      <c r="DD244" s="6">
        <f t="shared" si="61"/>
        <v>0</v>
      </c>
      <c r="DE244" s="6">
        <f t="shared" si="62"/>
        <v>0</v>
      </c>
      <c r="DF244" s="6">
        <f t="shared" si="63"/>
        <v>0</v>
      </c>
      <c r="DG244" s="6">
        <f t="shared" si="64"/>
        <v>0</v>
      </c>
      <c r="DH244" s="6">
        <f t="shared" si="697"/>
        <v>0</v>
      </c>
      <c r="DI244" s="6">
        <f t="shared" si="66"/>
        <v>0</v>
      </c>
      <c r="DJ244" s="6">
        <f t="shared" si="653"/>
        <v>0</v>
      </c>
      <c r="DK244" s="7">
        <f t="shared" si="68"/>
        <v>0</v>
      </c>
      <c r="DL244" s="7">
        <f t="shared" si="498"/>
        <v>0</v>
      </c>
      <c r="DM244" s="7">
        <f t="shared" si="70"/>
        <v>0</v>
      </c>
      <c r="DN244" s="7">
        <f t="shared" si="71"/>
        <v>0</v>
      </c>
      <c r="DO244" s="7">
        <f t="shared" si="72"/>
        <v>1</v>
      </c>
      <c r="DP244" s="8">
        <f t="shared" si="73"/>
        <v>0</v>
      </c>
      <c r="DQ244" s="8">
        <f t="shared" si="74"/>
        <v>0</v>
      </c>
      <c r="DR244" s="7">
        <f t="shared" si="75"/>
        <v>0</v>
      </c>
      <c r="DS244" s="7">
        <f t="shared" si="76"/>
        <v>0</v>
      </c>
      <c r="DT244" s="7">
        <f t="shared" si="77"/>
        <v>0</v>
      </c>
      <c r="DU244" s="9">
        <f t="shared" si="78"/>
        <v>0</v>
      </c>
      <c r="DV244" s="9">
        <f t="shared" si="79"/>
        <v>0</v>
      </c>
      <c r="DW244" s="9">
        <f t="shared" si="80"/>
        <v>0</v>
      </c>
      <c r="DX244" s="9">
        <f t="shared" si="81"/>
        <v>0</v>
      </c>
      <c r="DY244" s="9">
        <f t="shared" si="82"/>
        <v>0</v>
      </c>
      <c r="DZ244" s="9">
        <f t="shared" si="83"/>
        <v>0</v>
      </c>
      <c r="EA244" s="9">
        <f t="shared" si="84"/>
        <v>0</v>
      </c>
      <c r="EB244" s="9">
        <f t="shared" si="85"/>
        <v>0</v>
      </c>
      <c r="EC244" s="9">
        <f t="shared" si="86"/>
        <v>0</v>
      </c>
      <c r="ED244" s="9">
        <f t="shared" si="87"/>
        <v>0</v>
      </c>
      <c r="EE244" s="9">
        <f t="shared" si="88"/>
        <v>0</v>
      </c>
      <c r="EF244" s="9">
        <f t="shared" si="89"/>
        <v>0</v>
      </c>
      <c r="EG244" s="9">
        <f t="shared" si="90"/>
        <v>0</v>
      </c>
      <c r="EH244" s="9">
        <f t="shared" si="91"/>
        <v>0</v>
      </c>
      <c r="EI244" s="9">
        <f t="shared" si="92"/>
        <v>0</v>
      </c>
      <c r="EJ244" s="10">
        <f t="shared" si="93"/>
        <v>0</v>
      </c>
      <c r="EK244" s="10">
        <f t="shared" si="94"/>
        <v>0</v>
      </c>
      <c r="EL244" s="10">
        <f t="shared" ref="EL244:EM244" si="850">IF(OR(ISNUMBER(SEARCH("ai software toolkit", $D244)), ISNUMBER(SEARCH("ai software toolkit", $T244)), ISNUMBER(SEARCH("ai software toolkit", $R244)), ISNUMBER(SEARCH("ai software toolkit", $S244))), 1, 0)</f>
        <v>0</v>
      </c>
      <c r="EM244" s="10">
        <f t="shared" si="850"/>
        <v>0</v>
      </c>
      <c r="EN244" s="10">
        <f t="shared" si="96"/>
        <v>0</v>
      </c>
      <c r="EO244" s="10">
        <f t="shared" si="97"/>
        <v>0</v>
      </c>
      <c r="EP244" s="10">
        <f t="shared" si="98"/>
        <v>0</v>
      </c>
      <c r="EQ244" s="10">
        <f t="shared" si="99"/>
        <v>0</v>
      </c>
      <c r="ER244" s="10">
        <f t="shared" si="100"/>
        <v>0</v>
      </c>
      <c r="ES244" s="10">
        <f t="shared" si="101"/>
        <v>0</v>
      </c>
      <c r="ET244" s="10">
        <f t="shared" si="102"/>
        <v>0</v>
      </c>
      <c r="EU244" s="10">
        <f t="shared" si="103"/>
        <v>0</v>
      </c>
      <c r="EV244" s="10">
        <f t="shared" si="104"/>
        <v>0</v>
      </c>
      <c r="EW244" s="10">
        <f t="shared" si="105"/>
        <v>0</v>
      </c>
      <c r="EX244" s="10">
        <f t="shared" si="106"/>
        <v>0</v>
      </c>
      <c r="EY244" s="10">
        <f t="shared" si="107"/>
        <v>0</v>
      </c>
      <c r="EZ244" s="10">
        <f t="shared" si="108"/>
        <v>0</v>
      </c>
      <c r="FA244" s="10">
        <f t="shared" si="109"/>
        <v>0</v>
      </c>
      <c r="FB244" s="10">
        <f t="shared" si="110"/>
        <v>0</v>
      </c>
      <c r="FC244" s="10">
        <f t="shared" si="111"/>
        <v>0</v>
      </c>
      <c r="FD244" s="10">
        <f t="shared" si="112"/>
        <v>0</v>
      </c>
      <c r="FE244" s="10">
        <f t="shared" si="782"/>
        <v>0</v>
      </c>
      <c r="FF244" s="10">
        <f t="shared" si="114"/>
        <v>0</v>
      </c>
      <c r="FG244" s="10">
        <f t="shared" si="115"/>
        <v>0</v>
      </c>
      <c r="FH244" s="10">
        <f t="shared" si="116"/>
        <v>0</v>
      </c>
      <c r="FI244" s="10">
        <f t="shared" si="117"/>
        <v>0</v>
      </c>
      <c r="FJ244" s="10">
        <f t="shared" si="118"/>
        <v>0</v>
      </c>
      <c r="FK244" s="10">
        <f t="shared" si="119"/>
        <v>0</v>
      </c>
      <c r="FL244" s="10">
        <f t="shared" si="120"/>
        <v>0</v>
      </c>
      <c r="FM244" s="10">
        <f t="shared" si="121"/>
        <v>0</v>
      </c>
      <c r="FN244" s="10">
        <f t="shared" si="122"/>
        <v>0</v>
      </c>
      <c r="FO244" s="10">
        <f t="shared" si="123"/>
        <v>0</v>
      </c>
      <c r="FP244" s="10">
        <f t="shared" si="124"/>
        <v>0</v>
      </c>
      <c r="FQ244" s="10">
        <f t="shared" si="125"/>
        <v>0</v>
      </c>
      <c r="FR244" s="11">
        <f t="shared" si="804"/>
        <v>0</v>
      </c>
      <c r="FS244" s="11">
        <f t="shared" si="127"/>
        <v>0</v>
      </c>
      <c r="FT244" s="11">
        <f t="shared" si="128"/>
        <v>0</v>
      </c>
      <c r="FU244" s="11">
        <f t="shared" si="129"/>
        <v>0</v>
      </c>
      <c r="FV244" s="11">
        <f t="shared" si="130"/>
        <v>0</v>
      </c>
      <c r="FW244" s="11">
        <f t="shared" si="131"/>
        <v>0</v>
      </c>
      <c r="FX244" s="11">
        <f t="shared" si="132"/>
        <v>0</v>
      </c>
      <c r="FY244" s="11">
        <f t="shared" si="133"/>
        <v>0</v>
      </c>
      <c r="FZ244" s="11">
        <f t="shared" si="134"/>
        <v>0</v>
      </c>
      <c r="GA244" s="11">
        <f t="shared" si="135"/>
        <v>0</v>
      </c>
      <c r="GB244" s="11">
        <f t="shared" si="136"/>
        <v>0</v>
      </c>
      <c r="GC244" s="11">
        <f t="shared" si="137"/>
        <v>0</v>
      </c>
      <c r="GD244" s="11">
        <f t="shared" si="138"/>
        <v>0</v>
      </c>
      <c r="GE244" s="11">
        <f t="shared" si="139"/>
        <v>0</v>
      </c>
      <c r="GF244" s="11">
        <f t="shared" si="140"/>
        <v>0</v>
      </c>
      <c r="GG244" s="11">
        <f t="shared" si="141"/>
        <v>0</v>
      </c>
      <c r="GH244" s="11">
        <f t="shared" si="142"/>
        <v>0</v>
      </c>
      <c r="GI244" s="11">
        <f t="shared" si="143"/>
        <v>0</v>
      </c>
      <c r="GJ244" s="11">
        <f t="shared" si="144"/>
        <v>0</v>
      </c>
      <c r="GK244" s="11">
        <f t="shared" si="145"/>
        <v>0</v>
      </c>
      <c r="GL244" s="11">
        <f t="shared" si="146"/>
        <v>0</v>
      </c>
      <c r="GM244" s="11">
        <f t="shared" si="147"/>
        <v>0</v>
      </c>
      <c r="GN244" s="11">
        <f t="shared" si="148"/>
        <v>0</v>
      </c>
      <c r="GO244" s="11">
        <f t="shared" si="149"/>
        <v>0</v>
      </c>
      <c r="GP244" s="11">
        <f t="shared" si="150"/>
        <v>0</v>
      </c>
      <c r="GQ244" s="11">
        <f t="shared" si="151"/>
        <v>0</v>
      </c>
      <c r="GR244" s="11">
        <f t="shared" si="152"/>
        <v>0</v>
      </c>
      <c r="GS244" s="11">
        <f t="shared" si="153"/>
        <v>0</v>
      </c>
      <c r="GT244" s="11">
        <f t="shared" si="154"/>
        <v>0</v>
      </c>
      <c r="GU244" s="12">
        <f t="shared" si="155"/>
        <v>0</v>
      </c>
      <c r="GV244" s="12">
        <f t="shared" si="156"/>
        <v>0</v>
      </c>
      <c r="GW244" s="12">
        <f t="shared" si="157"/>
        <v>0</v>
      </c>
      <c r="GX244" s="12">
        <f t="shared" si="158"/>
        <v>0</v>
      </c>
      <c r="GY244" s="12">
        <f t="shared" si="159"/>
        <v>0</v>
      </c>
      <c r="GZ244" s="12">
        <f t="shared" si="160"/>
        <v>0</v>
      </c>
      <c r="HA244" s="12">
        <f t="shared" si="161"/>
        <v>0</v>
      </c>
      <c r="HB244" s="12">
        <f t="shared" si="162"/>
        <v>0</v>
      </c>
      <c r="HC244" s="12">
        <f t="shared" si="163"/>
        <v>0</v>
      </c>
      <c r="HD244" s="12">
        <f t="shared" si="164"/>
        <v>0</v>
      </c>
      <c r="HE244" s="12">
        <f t="shared" si="165"/>
        <v>0</v>
      </c>
      <c r="HF244" s="12">
        <f t="shared" si="166"/>
        <v>0</v>
      </c>
      <c r="HG244" s="12">
        <f t="shared" si="167"/>
        <v>0</v>
      </c>
      <c r="HH244" s="12">
        <f t="shared" si="168"/>
        <v>0</v>
      </c>
      <c r="HI244" s="12">
        <f t="shared" si="169"/>
        <v>0</v>
      </c>
      <c r="HJ244" s="12">
        <f t="shared" si="170"/>
        <v>0</v>
      </c>
      <c r="HK244" s="12">
        <f t="shared" si="171"/>
        <v>0</v>
      </c>
      <c r="HL244" s="12">
        <f t="shared" si="172"/>
        <v>0</v>
      </c>
      <c r="HM244" s="12">
        <f t="shared" si="173"/>
        <v>0</v>
      </c>
      <c r="HN244" s="12">
        <f t="shared" si="174"/>
        <v>0</v>
      </c>
      <c r="HO244" s="12">
        <f t="shared" si="175"/>
        <v>0</v>
      </c>
      <c r="HP244" s="12">
        <f t="shared" si="176"/>
        <v>0</v>
      </c>
      <c r="HQ244" s="12">
        <f t="shared" si="177"/>
        <v>0</v>
      </c>
      <c r="HR244" s="12">
        <f t="shared" si="178"/>
        <v>0</v>
      </c>
      <c r="HS244" s="12">
        <f t="shared" si="179"/>
        <v>0</v>
      </c>
      <c r="HT244" s="12">
        <f t="shared" si="180"/>
        <v>0</v>
      </c>
      <c r="HU244" s="12">
        <f t="shared" si="181"/>
        <v>0</v>
      </c>
      <c r="HV244" s="12">
        <f t="shared" si="182"/>
        <v>0</v>
      </c>
      <c r="HW244" s="12">
        <f t="shared" si="183"/>
        <v>0</v>
      </c>
      <c r="HX244" s="12">
        <f t="shared" si="184"/>
        <v>0</v>
      </c>
      <c r="HY244" s="12">
        <f t="shared" si="185"/>
        <v>0</v>
      </c>
      <c r="HZ244" s="12">
        <f t="shared" si="186"/>
        <v>0</v>
      </c>
      <c r="IA244" s="12">
        <f t="shared" si="187"/>
        <v>0</v>
      </c>
      <c r="IB244" s="12">
        <f t="shared" si="188"/>
        <v>0</v>
      </c>
      <c r="IC244" s="12">
        <f t="shared" si="189"/>
        <v>0</v>
      </c>
      <c r="ID244" s="12">
        <f t="shared" si="190"/>
        <v>0</v>
      </c>
      <c r="IE244" s="12">
        <f t="shared" si="191"/>
        <v>0</v>
      </c>
      <c r="IF244" s="12">
        <f t="shared" si="192"/>
        <v>0</v>
      </c>
      <c r="IG244" s="12">
        <f t="shared" si="193"/>
        <v>0</v>
      </c>
      <c r="IH244" s="12">
        <f t="shared" si="194"/>
        <v>0</v>
      </c>
      <c r="II244" s="12">
        <f t="shared" si="195"/>
        <v>0</v>
      </c>
      <c r="IJ244" s="12">
        <f t="shared" si="196"/>
        <v>0</v>
      </c>
      <c r="IK244" s="12">
        <f t="shared" si="197"/>
        <v>0</v>
      </c>
      <c r="IL244" s="12">
        <f t="shared" si="198"/>
        <v>0</v>
      </c>
      <c r="IM244" s="12">
        <f t="shared" si="199"/>
        <v>0</v>
      </c>
      <c r="IN244" s="12">
        <f t="shared" si="200"/>
        <v>0</v>
      </c>
      <c r="IO244" s="12">
        <f t="shared" si="201"/>
        <v>0</v>
      </c>
      <c r="IP244" s="12">
        <f t="shared" si="202"/>
        <v>0</v>
      </c>
      <c r="IQ244" s="12">
        <f t="shared" si="203"/>
        <v>0</v>
      </c>
      <c r="IR244" s="12">
        <f t="shared" si="204"/>
        <v>0</v>
      </c>
      <c r="IS244" s="12">
        <f t="shared" si="205"/>
        <v>0</v>
      </c>
      <c r="IT244" s="12">
        <f t="shared" si="206"/>
        <v>0</v>
      </c>
      <c r="IU244" s="12">
        <f t="shared" si="207"/>
        <v>0</v>
      </c>
      <c r="IV244" s="12">
        <f t="shared" si="208"/>
        <v>0</v>
      </c>
      <c r="IW244" s="12">
        <f t="shared" si="209"/>
        <v>0</v>
      </c>
      <c r="IX244" s="12">
        <f t="shared" si="210"/>
        <v>0</v>
      </c>
      <c r="IY244" s="12">
        <f t="shared" si="211"/>
        <v>0</v>
      </c>
      <c r="IZ244" s="12">
        <f t="shared" si="212"/>
        <v>1</v>
      </c>
      <c r="JA244" s="13">
        <f t="shared" si="213"/>
        <v>0</v>
      </c>
      <c r="JB244" s="13">
        <f t="shared" si="214"/>
        <v>0</v>
      </c>
      <c r="JC244" s="13">
        <f t="shared" si="215"/>
        <v>0</v>
      </c>
      <c r="JD244" s="13">
        <f t="shared" si="216"/>
        <v>0</v>
      </c>
      <c r="JE244" s="13">
        <f t="shared" si="217"/>
        <v>0</v>
      </c>
      <c r="JF244" s="13">
        <f t="shared" si="218"/>
        <v>0</v>
      </c>
      <c r="JG244" s="13">
        <f t="shared" si="219"/>
        <v>0</v>
      </c>
      <c r="JH244" s="13">
        <f t="shared" si="220"/>
        <v>0</v>
      </c>
      <c r="JI244" s="13">
        <f t="shared" si="221"/>
        <v>0</v>
      </c>
      <c r="JJ244" s="13">
        <f t="shared" si="222"/>
        <v>0</v>
      </c>
      <c r="JK244" s="13">
        <f t="shared" si="223"/>
        <v>0</v>
      </c>
      <c r="JL244" s="13">
        <f t="shared" si="224"/>
        <v>0</v>
      </c>
      <c r="JM244" s="13">
        <f t="shared" si="225"/>
        <v>0</v>
      </c>
      <c r="JN244" s="13">
        <f t="shared" si="226"/>
        <v>0</v>
      </c>
      <c r="JO244" s="13">
        <f t="shared" si="227"/>
        <v>0</v>
      </c>
      <c r="JP244" s="13">
        <f t="shared" si="228"/>
        <v>0</v>
      </c>
      <c r="JQ244" s="13">
        <f t="shared" si="229"/>
        <v>0</v>
      </c>
      <c r="JR244" s="13">
        <f t="shared" si="230"/>
        <v>0</v>
      </c>
      <c r="JS244" s="13">
        <f t="shared" si="231"/>
        <v>0</v>
      </c>
      <c r="JT244" s="13">
        <f t="shared" si="232"/>
        <v>0</v>
      </c>
      <c r="JU244" s="13">
        <f t="shared" si="233"/>
        <v>0</v>
      </c>
      <c r="JV244" s="12">
        <f t="shared" si="234"/>
        <v>0</v>
      </c>
      <c r="JW244" s="12">
        <f t="shared" si="235"/>
        <v>0</v>
      </c>
      <c r="JX244" s="12">
        <f t="shared" si="236"/>
        <v>0</v>
      </c>
      <c r="JY244" s="12">
        <f t="shared" si="237"/>
        <v>0</v>
      </c>
      <c r="JZ244" s="12">
        <f t="shared" si="238"/>
        <v>0</v>
      </c>
      <c r="KA244" s="12">
        <f t="shared" si="239"/>
        <v>0</v>
      </c>
      <c r="KB244" s="12">
        <f t="shared" si="240"/>
        <v>0</v>
      </c>
      <c r="KC244" s="12">
        <f t="shared" si="241"/>
        <v>0</v>
      </c>
      <c r="KD244" s="12">
        <f t="shared" si="797"/>
        <v>0</v>
      </c>
      <c r="KE244" s="12">
        <f t="shared" si="243"/>
        <v>0</v>
      </c>
      <c r="KF244" s="12">
        <f t="shared" si="244"/>
        <v>0</v>
      </c>
      <c r="KG244" s="12">
        <f t="shared" si="245"/>
        <v>0</v>
      </c>
      <c r="KH244" s="12">
        <f t="shared" si="246"/>
        <v>0</v>
      </c>
      <c r="KI244" s="12">
        <f t="shared" si="247"/>
        <v>0</v>
      </c>
      <c r="KJ244" s="12">
        <f t="shared" si="248"/>
        <v>0</v>
      </c>
      <c r="KK244" s="12">
        <f t="shared" si="249"/>
        <v>0</v>
      </c>
      <c r="KL244" s="12">
        <f t="shared" si="250"/>
        <v>0</v>
      </c>
      <c r="KM244" s="12">
        <f t="shared" si="251"/>
        <v>0</v>
      </c>
      <c r="KN244" s="12">
        <f t="shared" si="252"/>
        <v>0</v>
      </c>
      <c r="KO244" s="12">
        <f t="shared" si="253"/>
        <v>0</v>
      </c>
      <c r="KP244" s="12">
        <f t="shared" si="254"/>
        <v>0</v>
      </c>
      <c r="KQ244" s="12">
        <f t="shared" si="255"/>
        <v>0</v>
      </c>
      <c r="KR244" s="12">
        <f t="shared" si="256"/>
        <v>0</v>
      </c>
      <c r="KS244" s="12">
        <f t="shared" si="257"/>
        <v>0</v>
      </c>
      <c r="KT244" s="12">
        <f t="shared" si="258"/>
        <v>0</v>
      </c>
      <c r="KU244" s="12">
        <f t="shared" si="259"/>
        <v>0</v>
      </c>
      <c r="KV244" s="12">
        <f t="shared" si="260"/>
        <v>0</v>
      </c>
      <c r="KW244" s="12">
        <f t="shared" si="261"/>
        <v>0</v>
      </c>
      <c r="KX244" s="12">
        <f t="shared" si="262"/>
        <v>0</v>
      </c>
      <c r="KY244" s="12">
        <f t="shared" si="263"/>
        <v>0</v>
      </c>
      <c r="KZ244" s="12">
        <f t="shared" si="264"/>
        <v>0</v>
      </c>
      <c r="LA244" s="12">
        <f t="shared" si="265"/>
        <v>0</v>
      </c>
      <c r="LB244" s="12">
        <f t="shared" si="266"/>
        <v>0</v>
      </c>
      <c r="LC244" s="12">
        <f t="shared" si="267"/>
        <v>0</v>
      </c>
      <c r="LD244" s="12">
        <f t="shared" si="268"/>
        <v>0</v>
      </c>
      <c r="LE244" s="12">
        <f t="shared" si="269"/>
        <v>0</v>
      </c>
      <c r="LF244" s="12">
        <f t="shared" si="270"/>
        <v>0</v>
      </c>
      <c r="LG244" s="12">
        <f t="shared" si="271"/>
        <v>0</v>
      </c>
      <c r="LH244" s="12">
        <f t="shared" si="272"/>
        <v>0</v>
      </c>
      <c r="LI244" s="12">
        <f t="shared" si="273"/>
        <v>0</v>
      </c>
      <c r="LJ244" s="12">
        <f t="shared" si="274"/>
        <v>0</v>
      </c>
      <c r="LK244" s="12">
        <f t="shared" si="275"/>
        <v>0</v>
      </c>
      <c r="LL244" s="12">
        <f t="shared" si="276"/>
        <v>0</v>
      </c>
      <c r="LM244" s="12">
        <f t="shared" si="277"/>
        <v>0</v>
      </c>
      <c r="LN244" s="12">
        <f t="shared" si="278"/>
        <v>0</v>
      </c>
      <c r="LO244" s="12">
        <f t="shared" si="279"/>
        <v>0</v>
      </c>
      <c r="LP244" s="12">
        <f t="shared" si="280"/>
        <v>0</v>
      </c>
      <c r="LQ244" s="12">
        <f t="shared" si="281"/>
        <v>0</v>
      </c>
      <c r="LR244" s="12">
        <f t="shared" si="282"/>
        <v>0</v>
      </c>
      <c r="LS244" s="12">
        <f t="shared" si="283"/>
        <v>0</v>
      </c>
      <c r="LT244" s="13">
        <f t="shared" si="284"/>
        <v>0</v>
      </c>
      <c r="LU244" s="13">
        <f t="shared" si="285"/>
        <v>0</v>
      </c>
      <c r="LV244" s="13">
        <f t="shared" si="286"/>
        <v>0</v>
      </c>
      <c r="LW244" s="13">
        <f t="shared" si="287"/>
        <v>0</v>
      </c>
      <c r="LX244" s="13">
        <f t="shared" si="288"/>
        <v>0</v>
      </c>
      <c r="LY244" s="13">
        <f t="shared" si="289"/>
        <v>0</v>
      </c>
      <c r="LZ244" s="13">
        <f t="shared" si="290"/>
        <v>0</v>
      </c>
      <c r="MA244" s="13">
        <f t="shared" si="291"/>
        <v>0</v>
      </c>
      <c r="MB244" s="13">
        <f t="shared" si="292"/>
        <v>0</v>
      </c>
      <c r="MC244" s="13">
        <f t="shared" si="293"/>
        <v>0</v>
      </c>
      <c r="MD244" s="13">
        <f t="shared" si="294"/>
        <v>0</v>
      </c>
      <c r="ME244" s="13">
        <f t="shared" si="295"/>
        <v>0</v>
      </c>
      <c r="MF244" s="13">
        <f t="shared" si="296"/>
        <v>0</v>
      </c>
      <c r="MG244" s="13">
        <f t="shared" si="297"/>
        <v>0</v>
      </c>
      <c r="MH244" s="13">
        <f t="shared" si="298"/>
        <v>0</v>
      </c>
      <c r="MI244" s="13">
        <f t="shared" si="299"/>
        <v>0</v>
      </c>
      <c r="MJ244" s="13">
        <f t="shared" si="300"/>
        <v>0</v>
      </c>
      <c r="MK244" s="13">
        <f t="shared" si="301"/>
        <v>0</v>
      </c>
      <c r="ML244" s="14">
        <f t="shared" si="302"/>
        <v>0</v>
      </c>
      <c r="MM244" s="14">
        <f t="shared" si="303"/>
        <v>0</v>
      </c>
      <c r="MN244" s="14">
        <f t="shared" si="304"/>
        <v>0</v>
      </c>
      <c r="MO244" s="14">
        <f t="shared" si="305"/>
        <v>0</v>
      </c>
      <c r="MP244" s="14">
        <f t="shared" si="306"/>
        <v>0</v>
      </c>
      <c r="MQ244" s="14">
        <f t="shared" si="307"/>
        <v>0</v>
      </c>
      <c r="MR244" s="14">
        <f t="shared" si="308"/>
        <v>0</v>
      </c>
      <c r="MS244" s="14">
        <f t="shared" si="309"/>
        <v>0</v>
      </c>
      <c r="MT244" s="14">
        <f t="shared" si="310"/>
        <v>0</v>
      </c>
      <c r="MU244" s="14">
        <f t="shared" si="311"/>
        <v>0</v>
      </c>
      <c r="MV244" s="14">
        <f t="shared" si="312"/>
        <v>0</v>
      </c>
      <c r="MW244" s="14">
        <f t="shared" si="313"/>
        <v>0</v>
      </c>
      <c r="MX244" s="14">
        <f t="shared" si="314"/>
        <v>0</v>
      </c>
      <c r="MY244" s="14">
        <f t="shared" si="315"/>
        <v>0</v>
      </c>
      <c r="MZ244" s="14">
        <f t="shared" si="316"/>
        <v>0</v>
      </c>
      <c r="NA244" s="14">
        <f t="shared" si="317"/>
        <v>0</v>
      </c>
      <c r="NB244" s="14">
        <f t="shared" si="318"/>
        <v>0</v>
      </c>
    </row>
    <row r="245" ht="15.75" customHeight="1">
      <c r="A245" s="2">
        <v>703.0</v>
      </c>
      <c r="B245" s="2" t="s">
        <v>4399</v>
      </c>
      <c r="C245" s="2" t="s">
        <v>4400</v>
      </c>
      <c r="D245" s="2" t="s">
        <v>4401</v>
      </c>
      <c r="E245" s="2">
        <v>2022.0</v>
      </c>
      <c r="F245" s="2" t="s">
        <v>779</v>
      </c>
      <c r="J245" s="2" t="s">
        <v>392</v>
      </c>
      <c r="K245" s="2" t="s">
        <v>2689</v>
      </c>
      <c r="N245" s="2" t="s">
        <v>4402</v>
      </c>
      <c r="O245" s="2" t="s">
        <v>4403</v>
      </c>
      <c r="P245" s="2" t="s">
        <v>4404</v>
      </c>
      <c r="Q245" s="2" t="s">
        <v>4405</v>
      </c>
      <c r="R245" s="2" t="s">
        <v>4406</v>
      </c>
      <c r="S245" s="2" t="s">
        <v>4407</v>
      </c>
      <c r="T245" s="2" t="s">
        <v>4408</v>
      </c>
      <c r="AB245" s="2" t="s">
        <v>668</v>
      </c>
      <c r="AG245" s="2" t="s">
        <v>791</v>
      </c>
      <c r="AK245" s="2" t="s">
        <v>792</v>
      </c>
      <c r="AL245" s="2" t="s">
        <v>2966</v>
      </c>
      <c r="AM245" s="2" t="s">
        <v>385</v>
      </c>
      <c r="AN245" s="2" t="s">
        <v>386</v>
      </c>
      <c r="AO245" s="2" t="s">
        <v>4409</v>
      </c>
      <c r="AP245" s="2" t="s">
        <v>386</v>
      </c>
      <c r="AQ245" s="2">
        <v>2770.0</v>
      </c>
      <c r="AR245" s="2" t="s">
        <v>4410</v>
      </c>
      <c r="AS245" s="2" t="b">
        <v>0</v>
      </c>
      <c r="AT245" s="3">
        <v>0.0</v>
      </c>
      <c r="AU245" s="4"/>
      <c r="AV245" s="4"/>
      <c r="AW245" s="5">
        <f t="shared" si="432"/>
        <v>0</v>
      </c>
      <c r="AX245" s="5">
        <f t="shared" si="4"/>
        <v>0</v>
      </c>
      <c r="AY245" s="5">
        <f t="shared" si="5"/>
        <v>0</v>
      </c>
      <c r="AZ245" s="5">
        <f t="shared" si="6"/>
        <v>0</v>
      </c>
      <c r="BA245" s="5">
        <f t="shared" si="7"/>
        <v>0</v>
      </c>
      <c r="BB245" s="5">
        <f t="shared" si="8"/>
        <v>1</v>
      </c>
      <c r="BC245" s="5">
        <f t="shared" si="9"/>
        <v>0</v>
      </c>
      <c r="BD245" s="5">
        <f t="shared" si="10"/>
        <v>0</v>
      </c>
      <c r="BE245" s="5">
        <f t="shared" si="11"/>
        <v>0</v>
      </c>
      <c r="BF245" s="5">
        <f t="shared" si="12"/>
        <v>0</v>
      </c>
      <c r="BG245" s="5">
        <f t="shared" si="13"/>
        <v>0</v>
      </c>
      <c r="BH245" s="5">
        <f t="shared" si="14"/>
        <v>0</v>
      </c>
      <c r="BI245" s="5">
        <f t="shared" si="15"/>
        <v>0</v>
      </c>
      <c r="BJ245" s="5">
        <f t="shared" si="16"/>
        <v>0</v>
      </c>
      <c r="BK245" s="5">
        <f t="shared" si="17"/>
        <v>0</v>
      </c>
      <c r="BL245" s="5">
        <f t="shared" si="18"/>
        <v>0</v>
      </c>
      <c r="BM245" s="5">
        <f t="shared" si="19"/>
        <v>0</v>
      </c>
      <c r="BN245" s="5">
        <f t="shared" si="20"/>
        <v>0</v>
      </c>
      <c r="BO245" s="5">
        <f t="shared" si="21"/>
        <v>0</v>
      </c>
      <c r="BP245" s="5">
        <f t="shared" si="22"/>
        <v>0</v>
      </c>
      <c r="BQ245" s="5">
        <f t="shared" si="23"/>
        <v>0</v>
      </c>
      <c r="BR245" s="5">
        <f t="shared" si="24"/>
        <v>0</v>
      </c>
      <c r="BS245" s="5">
        <f t="shared" si="25"/>
        <v>0</v>
      </c>
      <c r="BT245" s="5">
        <f t="shared" si="26"/>
        <v>0</v>
      </c>
      <c r="BU245" s="5">
        <f t="shared" si="27"/>
        <v>0</v>
      </c>
      <c r="BV245" s="5">
        <f t="shared" ref="BV245:BW245" si="851">IF(OR(ISNUMBER(SEARCH("grit",$D245)),ISNUMBER(SEARCH("grit",$T245)),ISNUMBER(SEARCH("grit",$R245)),ISNUMBER(SEARCH("grit",$S245)),
ISNUMBER(SEARCH("determination",$D245)),ISNUMBER(SEARCH("determination",$T245)),ISNUMBER(SEARCH("determination",$R245)),ISNUMBER(SEARCH("determination",$S245)),
ISNUMBER(SEARCH("tenacity",$D245)),ISNUMBER(SEARCH("tenacity",$T245)),ISNUMBER(SEARCH("tenacity",$R245)),ISNUMBER(SEARCH("tenacity",$S245)),
ISNUMBER(SEARCH("endurance",$D245)),ISNUMBER(SEARCH("endurance",$T245)),ISNUMBER(SEARCH("endurance",$R245)),ISNUMBER(SEARCH("endurance",$S245)),
ISNUMBER(SEARCH("fortitude",$D245)),ISNUMBER(SEARCH("fortitude",$T245)),ISNUMBER(SEARCH("fortitude",$R245)),ISNUMBER(SEARCH("fortitude",$S245)),
ISNUMBER(SEARCH("resolve",$D245)),ISNUMBER(SEARCH("resolve",$T245)),ISNUMBER(SEARCH("resolve",$R245)),ISNUMBER(SEARCH("resolve",$S245)),
ISNUMBER(SEARCH("stamina",$D245)),ISNUMBER(SEARCH("stamina",$T245)),ISNUMBER(SEARCH("stamina",$R245)),ISNUMBER(SEARCH("stamina",$S245)),
ISNUMBER(SEARCH("guts",$D245)),ISNUMBER(SEARCH("guts",$T245)),ISNUMBER(SEARCH("guts",$R245)),ISNUMBER(SEARCH("guts",$S245)),
ISNUMBER(SEARCH("spunk",$D245)),ISNUMBER(SEARCH("spunk",$T245)),ISNUMBER(SEARCH("spunk",$R245)),ISNUMBER(SEARCH("spunk",$S245))), 1, 0)</f>
        <v>0</v>
      </c>
      <c r="BW245" s="5">
        <f t="shared" si="851"/>
        <v>0</v>
      </c>
      <c r="BX245" s="5">
        <f t="shared" si="29"/>
        <v>0</v>
      </c>
      <c r="BY245" s="5">
        <f t="shared" si="30"/>
        <v>0</v>
      </c>
      <c r="BZ245" s="5">
        <f t="shared" si="31"/>
        <v>0</v>
      </c>
      <c r="CA245" s="5">
        <f t="shared" si="32"/>
        <v>0</v>
      </c>
      <c r="CB245" s="5">
        <f t="shared" si="33"/>
        <v>0</v>
      </c>
      <c r="CC245" s="5">
        <f t="shared" si="34"/>
        <v>0</v>
      </c>
      <c r="CD245" s="5">
        <f t="shared" si="35"/>
        <v>0</v>
      </c>
      <c r="CE245" s="5">
        <f t="shared" si="36"/>
        <v>0</v>
      </c>
      <c r="CF245" s="5">
        <f t="shared" si="37"/>
        <v>0</v>
      </c>
      <c r="CG245" s="5">
        <f t="shared" si="38"/>
        <v>0</v>
      </c>
      <c r="CH245" s="5">
        <f t="shared" si="39"/>
        <v>0</v>
      </c>
      <c r="CI245" s="5">
        <f t="shared" si="40"/>
        <v>0</v>
      </c>
      <c r="CJ245" s="5">
        <f t="shared" si="41"/>
        <v>0</v>
      </c>
      <c r="CK245" s="5">
        <f t="shared" si="42"/>
        <v>1</v>
      </c>
      <c r="CL245" s="5">
        <f t="shared" si="43"/>
        <v>0</v>
      </c>
      <c r="CM245" s="5">
        <f t="shared" si="44"/>
        <v>0</v>
      </c>
      <c r="CN245" s="5">
        <f t="shared" si="45"/>
        <v>0</v>
      </c>
      <c r="CO245" s="5">
        <f t="shared" si="46"/>
        <v>0</v>
      </c>
      <c r="CP245" s="6">
        <f t="shared" si="47"/>
        <v>0</v>
      </c>
      <c r="CQ245" s="6">
        <f t="shared" si="48"/>
        <v>0</v>
      </c>
      <c r="CR245" s="6">
        <f t="shared" si="49"/>
        <v>0</v>
      </c>
      <c r="CS245" s="6">
        <f t="shared" si="50"/>
        <v>0</v>
      </c>
      <c r="CT245" s="6">
        <f t="shared" si="584"/>
        <v>0</v>
      </c>
      <c r="CU245" s="6">
        <f t="shared" si="52"/>
        <v>0</v>
      </c>
      <c r="CV245" s="6">
        <f t="shared" si="53"/>
        <v>0</v>
      </c>
      <c r="CW245" s="6">
        <f t="shared" si="54"/>
        <v>0</v>
      </c>
      <c r="CX245" s="6">
        <f t="shared" si="55"/>
        <v>0</v>
      </c>
      <c r="CY245" s="6">
        <f t="shared" si="56"/>
        <v>0</v>
      </c>
      <c r="CZ245" s="6">
        <f t="shared" si="57"/>
        <v>0</v>
      </c>
      <c r="DA245" s="6">
        <f t="shared" si="58"/>
        <v>1</v>
      </c>
      <c r="DB245" s="6">
        <f t="shared" si="59"/>
        <v>0</v>
      </c>
      <c r="DC245" s="6">
        <f t="shared" si="60"/>
        <v>0</v>
      </c>
      <c r="DD245" s="6">
        <f t="shared" si="61"/>
        <v>0</v>
      </c>
      <c r="DE245" s="6">
        <f t="shared" si="62"/>
        <v>0</v>
      </c>
      <c r="DF245" s="6">
        <f t="shared" si="63"/>
        <v>0</v>
      </c>
      <c r="DG245" s="6">
        <f t="shared" si="64"/>
        <v>0</v>
      </c>
      <c r="DH245" s="6">
        <f t="shared" si="697"/>
        <v>0</v>
      </c>
      <c r="DI245" s="6">
        <f t="shared" si="66"/>
        <v>0</v>
      </c>
      <c r="DJ245" s="6">
        <f t="shared" si="653"/>
        <v>0</v>
      </c>
      <c r="DK245" s="7">
        <f t="shared" si="68"/>
        <v>0</v>
      </c>
      <c r="DL245" s="7">
        <f t="shared" si="498"/>
        <v>0</v>
      </c>
      <c r="DM245" s="7">
        <f t="shared" si="70"/>
        <v>0</v>
      </c>
      <c r="DN245" s="7">
        <f t="shared" si="71"/>
        <v>0</v>
      </c>
      <c r="DO245" s="7">
        <f t="shared" si="72"/>
        <v>1</v>
      </c>
      <c r="DP245" s="8">
        <f t="shared" si="73"/>
        <v>0</v>
      </c>
      <c r="DQ245" s="8">
        <f t="shared" si="74"/>
        <v>0</v>
      </c>
      <c r="DR245" s="7">
        <f t="shared" si="75"/>
        <v>0</v>
      </c>
      <c r="DS245" s="7">
        <f t="shared" si="76"/>
        <v>0</v>
      </c>
      <c r="DT245" s="7">
        <f t="shared" si="77"/>
        <v>0</v>
      </c>
      <c r="DU245" s="9">
        <f t="shared" si="78"/>
        <v>0</v>
      </c>
      <c r="DV245" s="9">
        <f t="shared" si="79"/>
        <v>0</v>
      </c>
      <c r="DW245" s="9">
        <f t="shared" si="80"/>
        <v>0</v>
      </c>
      <c r="DX245" s="9">
        <f t="shared" si="81"/>
        <v>0</v>
      </c>
      <c r="DY245" s="9">
        <f t="shared" si="82"/>
        <v>0</v>
      </c>
      <c r="DZ245" s="9">
        <f t="shared" si="83"/>
        <v>0</v>
      </c>
      <c r="EA245" s="9">
        <f t="shared" si="84"/>
        <v>0</v>
      </c>
      <c r="EB245" s="9">
        <f t="shared" si="85"/>
        <v>0</v>
      </c>
      <c r="EC245" s="9">
        <f t="shared" si="86"/>
        <v>0</v>
      </c>
      <c r="ED245" s="9">
        <f t="shared" si="87"/>
        <v>0</v>
      </c>
      <c r="EE245" s="9">
        <f t="shared" si="88"/>
        <v>0</v>
      </c>
      <c r="EF245" s="9">
        <f t="shared" si="89"/>
        <v>0</v>
      </c>
      <c r="EG245" s="9">
        <f t="shared" si="90"/>
        <v>0</v>
      </c>
      <c r="EH245" s="9">
        <f t="shared" si="91"/>
        <v>0</v>
      </c>
      <c r="EI245" s="9">
        <f t="shared" si="92"/>
        <v>0</v>
      </c>
      <c r="EJ245" s="10">
        <f t="shared" si="93"/>
        <v>0</v>
      </c>
      <c r="EK245" s="10">
        <f t="shared" si="94"/>
        <v>0</v>
      </c>
      <c r="EL245" s="10">
        <f t="shared" ref="EL245:EM245" si="852">IF(OR(ISNUMBER(SEARCH("ai software toolkit", $D245)), ISNUMBER(SEARCH("ai software toolkit", $T245)), ISNUMBER(SEARCH("ai software toolkit", $R245)), ISNUMBER(SEARCH("ai software toolkit", $S245))), 1, 0)</f>
        <v>0</v>
      </c>
      <c r="EM245" s="10">
        <f t="shared" si="852"/>
        <v>0</v>
      </c>
      <c r="EN245" s="10">
        <f t="shared" si="96"/>
        <v>0</v>
      </c>
      <c r="EO245" s="10">
        <f t="shared" si="97"/>
        <v>0</v>
      </c>
      <c r="EP245" s="10">
        <f t="shared" si="98"/>
        <v>0</v>
      </c>
      <c r="EQ245" s="10">
        <f t="shared" si="99"/>
        <v>0</v>
      </c>
      <c r="ER245" s="10">
        <f t="shared" si="100"/>
        <v>0</v>
      </c>
      <c r="ES245" s="10">
        <f t="shared" si="101"/>
        <v>0</v>
      </c>
      <c r="ET245" s="10">
        <f t="shared" si="102"/>
        <v>0</v>
      </c>
      <c r="EU245" s="10">
        <f t="shared" si="103"/>
        <v>0</v>
      </c>
      <c r="EV245" s="10">
        <f t="shared" si="104"/>
        <v>0</v>
      </c>
      <c r="EW245" s="10">
        <f t="shared" si="105"/>
        <v>0</v>
      </c>
      <c r="EX245" s="10">
        <f t="shared" si="106"/>
        <v>0</v>
      </c>
      <c r="EY245" s="10">
        <f t="shared" si="107"/>
        <v>0</v>
      </c>
      <c r="EZ245" s="10">
        <f t="shared" si="108"/>
        <v>0</v>
      </c>
      <c r="FA245" s="10">
        <f t="shared" si="109"/>
        <v>0</v>
      </c>
      <c r="FB245" s="10">
        <f t="shared" si="110"/>
        <v>0</v>
      </c>
      <c r="FC245" s="10">
        <f t="shared" si="111"/>
        <v>0</v>
      </c>
      <c r="FD245" s="10">
        <f t="shared" si="112"/>
        <v>0</v>
      </c>
      <c r="FE245" s="10">
        <f t="shared" si="782"/>
        <v>0</v>
      </c>
      <c r="FF245" s="10">
        <f t="shared" si="114"/>
        <v>0</v>
      </c>
      <c r="FG245" s="10">
        <f t="shared" si="115"/>
        <v>0</v>
      </c>
      <c r="FH245" s="10">
        <f t="shared" si="116"/>
        <v>0</v>
      </c>
      <c r="FI245" s="10">
        <f t="shared" si="117"/>
        <v>0</v>
      </c>
      <c r="FJ245" s="10">
        <f t="shared" si="118"/>
        <v>0</v>
      </c>
      <c r="FK245" s="10">
        <f t="shared" si="119"/>
        <v>0</v>
      </c>
      <c r="FL245" s="10">
        <f t="shared" si="120"/>
        <v>0</v>
      </c>
      <c r="FM245" s="10">
        <f t="shared" si="121"/>
        <v>0</v>
      </c>
      <c r="FN245" s="10">
        <f t="shared" si="122"/>
        <v>0</v>
      </c>
      <c r="FO245" s="10">
        <f t="shared" si="123"/>
        <v>0</v>
      </c>
      <c r="FP245" s="10">
        <f t="shared" si="124"/>
        <v>0</v>
      </c>
      <c r="FQ245" s="10">
        <f t="shared" si="125"/>
        <v>0</v>
      </c>
      <c r="FR245" s="11">
        <f t="shared" si="804"/>
        <v>0</v>
      </c>
      <c r="FS245" s="11">
        <f t="shared" si="127"/>
        <v>0</v>
      </c>
      <c r="FT245" s="11">
        <f t="shared" si="128"/>
        <v>0</v>
      </c>
      <c r="FU245" s="11">
        <f t="shared" si="129"/>
        <v>0</v>
      </c>
      <c r="FV245" s="11">
        <f t="shared" si="130"/>
        <v>0</v>
      </c>
      <c r="FW245" s="11">
        <f t="shared" si="131"/>
        <v>0</v>
      </c>
      <c r="FX245" s="11">
        <f t="shared" si="132"/>
        <v>0</v>
      </c>
      <c r="FY245" s="11">
        <f t="shared" si="133"/>
        <v>0</v>
      </c>
      <c r="FZ245" s="11">
        <f t="shared" si="134"/>
        <v>0</v>
      </c>
      <c r="GA245" s="11">
        <f t="shared" si="135"/>
        <v>0</v>
      </c>
      <c r="GB245" s="11">
        <f t="shared" si="136"/>
        <v>0</v>
      </c>
      <c r="GC245" s="11">
        <f t="shared" si="137"/>
        <v>0</v>
      </c>
      <c r="GD245" s="11">
        <f t="shared" si="138"/>
        <v>0</v>
      </c>
      <c r="GE245" s="11">
        <f t="shared" si="139"/>
        <v>0</v>
      </c>
      <c r="GF245" s="11">
        <f t="shared" si="140"/>
        <v>0</v>
      </c>
      <c r="GG245" s="11">
        <f t="shared" si="141"/>
        <v>0</v>
      </c>
      <c r="GH245" s="11">
        <f t="shared" si="142"/>
        <v>0</v>
      </c>
      <c r="GI245" s="11">
        <f t="shared" si="143"/>
        <v>0</v>
      </c>
      <c r="GJ245" s="11">
        <f t="shared" si="144"/>
        <v>0</v>
      </c>
      <c r="GK245" s="11">
        <f t="shared" si="145"/>
        <v>0</v>
      </c>
      <c r="GL245" s="11">
        <f t="shared" si="146"/>
        <v>0</v>
      </c>
      <c r="GM245" s="11">
        <f t="shared" si="147"/>
        <v>0</v>
      </c>
      <c r="GN245" s="11">
        <f t="shared" si="148"/>
        <v>0</v>
      </c>
      <c r="GO245" s="11">
        <f t="shared" si="149"/>
        <v>0</v>
      </c>
      <c r="GP245" s="11">
        <f t="shared" si="150"/>
        <v>0</v>
      </c>
      <c r="GQ245" s="11">
        <f t="shared" si="151"/>
        <v>0</v>
      </c>
      <c r="GR245" s="11">
        <f t="shared" si="152"/>
        <v>0</v>
      </c>
      <c r="GS245" s="11">
        <f t="shared" si="153"/>
        <v>0</v>
      </c>
      <c r="GT245" s="11">
        <f t="shared" si="154"/>
        <v>1</v>
      </c>
      <c r="GU245" s="12">
        <f t="shared" si="155"/>
        <v>0</v>
      </c>
      <c r="GV245" s="12">
        <f t="shared" si="156"/>
        <v>0</v>
      </c>
      <c r="GW245" s="12">
        <f t="shared" si="157"/>
        <v>0</v>
      </c>
      <c r="GX245" s="12">
        <f t="shared" si="158"/>
        <v>0</v>
      </c>
      <c r="GY245" s="12">
        <f t="shared" si="159"/>
        <v>0</v>
      </c>
      <c r="GZ245" s="12">
        <f t="shared" si="160"/>
        <v>0</v>
      </c>
      <c r="HA245" s="12">
        <f t="shared" si="161"/>
        <v>0</v>
      </c>
      <c r="HB245" s="12">
        <f t="shared" si="162"/>
        <v>0</v>
      </c>
      <c r="HC245" s="12">
        <f t="shared" si="163"/>
        <v>0</v>
      </c>
      <c r="HD245" s="12">
        <f t="shared" si="164"/>
        <v>0</v>
      </c>
      <c r="HE245" s="12">
        <f t="shared" si="165"/>
        <v>0</v>
      </c>
      <c r="HF245" s="12">
        <f t="shared" si="166"/>
        <v>0</v>
      </c>
      <c r="HG245" s="12">
        <f t="shared" si="167"/>
        <v>0</v>
      </c>
      <c r="HH245" s="12">
        <f t="shared" si="168"/>
        <v>0</v>
      </c>
      <c r="HI245" s="12">
        <f t="shared" si="169"/>
        <v>0</v>
      </c>
      <c r="HJ245" s="12">
        <f t="shared" si="170"/>
        <v>0</v>
      </c>
      <c r="HK245" s="12">
        <f t="shared" si="171"/>
        <v>0</v>
      </c>
      <c r="HL245" s="12">
        <f t="shared" si="172"/>
        <v>0</v>
      </c>
      <c r="HM245" s="12">
        <f t="shared" si="173"/>
        <v>0</v>
      </c>
      <c r="HN245" s="12">
        <f t="shared" si="174"/>
        <v>0</v>
      </c>
      <c r="HO245" s="12">
        <f t="shared" si="175"/>
        <v>0</v>
      </c>
      <c r="HP245" s="12">
        <f t="shared" si="176"/>
        <v>0</v>
      </c>
      <c r="HQ245" s="12">
        <f t="shared" si="177"/>
        <v>0</v>
      </c>
      <c r="HR245" s="12">
        <f t="shared" si="178"/>
        <v>0</v>
      </c>
      <c r="HS245" s="12">
        <f t="shared" si="179"/>
        <v>0</v>
      </c>
      <c r="HT245" s="12">
        <f t="shared" si="180"/>
        <v>0</v>
      </c>
      <c r="HU245" s="12">
        <f t="shared" si="181"/>
        <v>0</v>
      </c>
      <c r="HV245" s="12">
        <f t="shared" si="182"/>
        <v>0</v>
      </c>
      <c r="HW245" s="12">
        <f t="shared" si="183"/>
        <v>0</v>
      </c>
      <c r="HX245" s="12">
        <f t="shared" si="184"/>
        <v>0</v>
      </c>
      <c r="HY245" s="12">
        <f t="shared" si="185"/>
        <v>0</v>
      </c>
      <c r="HZ245" s="12">
        <f t="shared" si="186"/>
        <v>0</v>
      </c>
      <c r="IA245" s="12">
        <f t="shared" si="187"/>
        <v>0</v>
      </c>
      <c r="IB245" s="12">
        <f t="shared" si="188"/>
        <v>0</v>
      </c>
      <c r="IC245" s="12">
        <f t="shared" si="189"/>
        <v>0</v>
      </c>
      <c r="ID245" s="12">
        <f t="shared" si="190"/>
        <v>0</v>
      </c>
      <c r="IE245" s="12">
        <f t="shared" si="191"/>
        <v>0</v>
      </c>
      <c r="IF245" s="12">
        <f t="shared" si="192"/>
        <v>0</v>
      </c>
      <c r="IG245" s="12">
        <f t="shared" si="193"/>
        <v>0</v>
      </c>
      <c r="IH245" s="12">
        <f t="shared" si="194"/>
        <v>0</v>
      </c>
      <c r="II245" s="12">
        <f t="shared" si="195"/>
        <v>0</v>
      </c>
      <c r="IJ245" s="12">
        <f t="shared" si="196"/>
        <v>0</v>
      </c>
      <c r="IK245" s="12">
        <f t="shared" si="197"/>
        <v>0</v>
      </c>
      <c r="IL245" s="12">
        <f t="shared" si="198"/>
        <v>0</v>
      </c>
      <c r="IM245" s="12">
        <f t="shared" si="199"/>
        <v>0</v>
      </c>
      <c r="IN245" s="12">
        <f t="shared" si="200"/>
        <v>0</v>
      </c>
      <c r="IO245" s="12">
        <f t="shared" si="201"/>
        <v>0</v>
      </c>
      <c r="IP245" s="12">
        <f t="shared" si="202"/>
        <v>0</v>
      </c>
      <c r="IQ245" s="12">
        <f t="shared" si="203"/>
        <v>0</v>
      </c>
      <c r="IR245" s="12">
        <f t="shared" si="204"/>
        <v>0</v>
      </c>
      <c r="IS245" s="12">
        <f t="shared" si="205"/>
        <v>0</v>
      </c>
      <c r="IT245" s="12">
        <f t="shared" si="206"/>
        <v>0</v>
      </c>
      <c r="IU245" s="12">
        <f t="shared" si="207"/>
        <v>0</v>
      </c>
      <c r="IV245" s="12">
        <f t="shared" si="208"/>
        <v>0</v>
      </c>
      <c r="IW245" s="12">
        <f t="shared" si="209"/>
        <v>0</v>
      </c>
      <c r="IX245" s="12">
        <f t="shared" si="210"/>
        <v>0</v>
      </c>
      <c r="IY245" s="12">
        <f t="shared" si="211"/>
        <v>0</v>
      </c>
      <c r="IZ245" s="12">
        <f t="shared" si="212"/>
        <v>0</v>
      </c>
      <c r="JA245" s="13">
        <f t="shared" si="213"/>
        <v>0</v>
      </c>
      <c r="JB245" s="13">
        <f t="shared" si="214"/>
        <v>0</v>
      </c>
      <c r="JC245" s="13">
        <f t="shared" si="215"/>
        <v>1</v>
      </c>
      <c r="JD245" s="13">
        <f t="shared" si="216"/>
        <v>0</v>
      </c>
      <c r="JE245" s="13">
        <f t="shared" si="217"/>
        <v>0</v>
      </c>
      <c r="JF245" s="13">
        <f t="shared" si="218"/>
        <v>0</v>
      </c>
      <c r="JG245" s="13">
        <f t="shared" si="219"/>
        <v>0</v>
      </c>
      <c r="JH245" s="13">
        <f t="shared" si="220"/>
        <v>0</v>
      </c>
      <c r="JI245" s="13">
        <f t="shared" si="221"/>
        <v>0</v>
      </c>
      <c r="JJ245" s="13">
        <f t="shared" si="222"/>
        <v>0</v>
      </c>
      <c r="JK245" s="13">
        <f t="shared" si="223"/>
        <v>0</v>
      </c>
      <c r="JL245" s="13">
        <f t="shared" si="224"/>
        <v>0</v>
      </c>
      <c r="JM245" s="13">
        <f t="shared" si="225"/>
        <v>0</v>
      </c>
      <c r="JN245" s="13">
        <f t="shared" si="226"/>
        <v>0</v>
      </c>
      <c r="JO245" s="13">
        <f t="shared" si="227"/>
        <v>0</v>
      </c>
      <c r="JP245" s="13">
        <f t="shared" si="228"/>
        <v>0</v>
      </c>
      <c r="JQ245" s="13">
        <f t="shared" si="229"/>
        <v>0</v>
      </c>
      <c r="JR245" s="13">
        <f t="shared" si="230"/>
        <v>0</v>
      </c>
      <c r="JS245" s="13">
        <f t="shared" si="231"/>
        <v>0</v>
      </c>
      <c r="JT245" s="13">
        <f t="shared" si="232"/>
        <v>0</v>
      </c>
      <c r="JU245" s="13">
        <f t="shared" si="233"/>
        <v>0</v>
      </c>
      <c r="JV245" s="12">
        <f t="shared" si="234"/>
        <v>0</v>
      </c>
      <c r="JW245" s="12">
        <f t="shared" si="235"/>
        <v>0</v>
      </c>
      <c r="JX245" s="12">
        <f t="shared" si="236"/>
        <v>0</v>
      </c>
      <c r="JY245" s="12">
        <f t="shared" si="237"/>
        <v>0</v>
      </c>
      <c r="JZ245" s="12">
        <f t="shared" si="238"/>
        <v>0</v>
      </c>
      <c r="KA245" s="12">
        <f t="shared" si="239"/>
        <v>0</v>
      </c>
      <c r="KB245" s="12">
        <f t="shared" si="240"/>
        <v>0</v>
      </c>
      <c r="KC245" s="12">
        <f t="shared" si="241"/>
        <v>0</v>
      </c>
      <c r="KD245" s="12">
        <f t="shared" si="797"/>
        <v>0</v>
      </c>
      <c r="KE245" s="12">
        <f t="shared" si="243"/>
        <v>0</v>
      </c>
      <c r="KF245" s="12">
        <f t="shared" si="244"/>
        <v>0</v>
      </c>
      <c r="KG245" s="12">
        <f t="shared" si="245"/>
        <v>0</v>
      </c>
      <c r="KH245" s="12">
        <f t="shared" si="246"/>
        <v>0</v>
      </c>
      <c r="KI245" s="12">
        <f t="shared" si="247"/>
        <v>0</v>
      </c>
      <c r="KJ245" s="12">
        <f t="shared" si="248"/>
        <v>0</v>
      </c>
      <c r="KK245" s="12">
        <f t="shared" si="249"/>
        <v>0</v>
      </c>
      <c r="KL245" s="12">
        <f t="shared" si="250"/>
        <v>0</v>
      </c>
      <c r="KM245" s="12">
        <f t="shared" si="251"/>
        <v>0</v>
      </c>
      <c r="KN245" s="12">
        <f t="shared" si="252"/>
        <v>0</v>
      </c>
      <c r="KO245" s="12">
        <f t="shared" si="253"/>
        <v>0</v>
      </c>
      <c r="KP245" s="12">
        <f t="shared" si="254"/>
        <v>0</v>
      </c>
      <c r="KQ245" s="12">
        <f t="shared" si="255"/>
        <v>0</v>
      </c>
      <c r="KR245" s="12">
        <f t="shared" si="256"/>
        <v>0</v>
      </c>
      <c r="KS245" s="12">
        <f t="shared" si="257"/>
        <v>0</v>
      </c>
      <c r="KT245" s="12">
        <f t="shared" si="258"/>
        <v>0</v>
      </c>
      <c r="KU245" s="12">
        <f t="shared" si="259"/>
        <v>0</v>
      </c>
      <c r="KV245" s="12">
        <f t="shared" si="260"/>
        <v>0</v>
      </c>
      <c r="KW245" s="12">
        <f t="shared" si="261"/>
        <v>0</v>
      </c>
      <c r="KX245" s="12">
        <f t="shared" si="262"/>
        <v>0</v>
      </c>
      <c r="KY245" s="12">
        <f t="shared" si="263"/>
        <v>0</v>
      </c>
      <c r="KZ245" s="12">
        <f t="shared" si="264"/>
        <v>0</v>
      </c>
      <c r="LA245" s="12">
        <f t="shared" si="265"/>
        <v>0</v>
      </c>
      <c r="LB245" s="12">
        <f t="shared" si="266"/>
        <v>0</v>
      </c>
      <c r="LC245" s="12">
        <f t="shared" si="267"/>
        <v>0</v>
      </c>
      <c r="LD245" s="12">
        <f t="shared" si="268"/>
        <v>0</v>
      </c>
      <c r="LE245" s="12">
        <f t="shared" si="269"/>
        <v>0</v>
      </c>
      <c r="LF245" s="12">
        <f t="shared" si="270"/>
        <v>0</v>
      </c>
      <c r="LG245" s="12">
        <f t="shared" si="271"/>
        <v>0</v>
      </c>
      <c r="LH245" s="12">
        <f t="shared" si="272"/>
        <v>0</v>
      </c>
      <c r="LI245" s="12">
        <f t="shared" si="273"/>
        <v>0</v>
      </c>
      <c r="LJ245" s="12">
        <f t="shared" si="274"/>
        <v>0</v>
      </c>
      <c r="LK245" s="12">
        <f t="shared" si="275"/>
        <v>0</v>
      </c>
      <c r="LL245" s="12">
        <f t="shared" si="276"/>
        <v>0</v>
      </c>
      <c r="LM245" s="12">
        <f t="shared" si="277"/>
        <v>0</v>
      </c>
      <c r="LN245" s="12">
        <f t="shared" si="278"/>
        <v>0</v>
      </c>
      <c r="LO245" s="12">
        <f t="shared" si="279"/>
        <v>0</v>
      </c>
      <c r="LP245" s="12">
        <f t="shared" si="280"/>
        <v>0</v>
      </c>
      <c r="LQ245" s="12">
        <f t="shared" si="281"/>
        <v>0</v>
      </c>
      <c r="LR245" s="12">
        <f t="shared" si="282"/>
        <v>0</v>
      </c>
      <c r="LS245" s="12">
        <f t="shared" si="283"/>
        <v>0</v>
      </c>
      <c r="LT245" s="13">
        <f t="shared" si="284"/>
        <v>0</v>
      </c>
      <c r="LU245" s="13">
        <f t="shared" si="285"/>
        <v>0</v>
      </c>
      <c r="LV245" s="13">
        <f t="shared" si="286"/>
        <v>0</v>
      </c>
      <c r="LW245" s="13">
        <f t="shared" si="287"/>
        <v>0</v>
      </c>
      <c r="LX245" s="13">
        <f t="shared" si="288"/>
        <v>0</v>
      </c>
      <c r="LY245" s="13">
        <f t="shared" si="289"/>
        <v>0</v>
      </c>
      <c r="LZ245" s="13">
        <f t="shared" si="290"/>
        <v>0</v>
      </c>
      <c r="MA245" s="13">
        <f t="shared" si="291"/>
        <v>0</v>
      </c>
      <c r="MB245" s="13">
        <f t="shared" si="292"/>
        <v>0</v>
      </c>
      <c r="MC245" s="13">
        <f t="shared" si="293"/>
        <v>0</v>
      </c>
      <c r="MD245" s="13">
        <f t="shared" si="294"/>
        <v>0</v>
      </c>
      <c r="ME245" s="13">
        <f t="shared" si="295"/>
        <v>0</v>
      </c>
      <c r="MF245" s="13">
        <f t="shared" si="296"/>
        <v>0</v>
      </c>
      <c r="MG245" s="13">
        <f t="shared" si="297"/>
        <v>0</v>
      </c>
      <c r="MH245" s="13">
        <f t="shared" si="298"/>
        <v>0</v>
      </c>
      <c r="MI245" s="13">
        <f t="shared" si="299"/>
        <v>0</v>
      </c>
      <c r="MJ245" s="13">
        <f t="shared" si="300"/>
        <v>0</v>
      </c>
      <c r="MK245" s="13">
        <f t="shared" si="301"/>
        <v>0</v>
      </c>
      <c r="ML245" s="14">
        <f t="shared" si="302"/>
        <v>0</v>
      </c>
      <c r="MM245" s="14">
        <f t="shared" si="303"/>
        <v>0</v>
      </c>
      <c r="MN245" s="14">
        <f t="shared" si="304"/>
        <v>0</v>
      </c>
      <c r="MO245" s="14">
        <f t="shared" si="305"/>
        <v>0</v>
      </c>
      <c r="MP245" s="14">
        <f t="shared" si="306"/>
        <v>0</v>
      </c>
      <c r="MQ245" s="14">
        <f t="shared" si="307"/>
        <v>0</v>
      </c>
      <c r="MR245" s="14">
        <f t="shared" si="308"/>
        <v>0</v>
      </c>
      <c r="MS245" s="14">
        <f t="shared" si="309"/>
        <v>0</v>
      </c>
      <c r="MT245" s="14">
        <f t="shared" si="310"/>
        <v>0</v>
      </c>
      <c r="MU245" s="14">
        <f t="shared" si="311"/>
        <v>0</v>
      </c>
      <c r="MV245" s="14">
        <f t="shared" si="312"/>
        <v>0</v>
      </c>
      <c r="MW245" s="14">
        <f t="shared" si="313"/>
        <v>0</v>
      </c>
      <c r="MX245" s="14">
        <f t="shared" si="314"/>
        <v>0</v>
      </c>
      <c r="MY245" s="14">
        <f t="shared" si="315"/>
        <v>0</v>
      </c>
      <c r="MZ245" s="14">
        <f t="shared" si="316"/>
        <v>0</v>
      </c>
      <c r="NA245" s="14">
        <f t="shared" si="317"/>
        <v>0</v>
      </c>
      <c r="NB245" s="14">
        <f t="shared" si="318"/>
        <v>0</v>
      </c>
    </row>
    <row r="246" ht="15.75" customHeight="1">
      <c r="A246" s="2">
        <v>706.0</v>
      </c>
      <c r="B246" s="2" t="s">
        <v>4411</v>
      </c>
      <c r="C246" s="2" t="s">
        <v>4412</v>
      </c>
      <c r="D246" s="2" t="s">
        <v>4413</v>
      </c>
      <c r="E246" s="2">
        <v>2022.0</v>
      </c>
      <c r="F246" s="2" t="s">
        <v>4414</v>
      </c>
      <c r="G246" s="2">
        <v>2022.0</v>
      </c>
      <c r="I246" s="2" t="s">
        <v>4415</v>
      </c>
      <c r="N246" s="2" t="s">
        <v>4416</v>
      </c>
      <c r="O246" s="2" t="s">
        <v>4417</v>
      </c>
      <c r="P246" s="2" t="s">
        <v>4418</v>
      </c>
      <c r="Q246" s="2" t="s">
        <v>4419</v>
      </c>
      <c r="R246" s="2" t="s">
        <v>4420</v>
      </c>
      <c r="Y246" s="2" t="s">
        <v>4421</v>
      </c>
      <c r="AB246" s="2" t="s">
        <v>4422</v>
      </c>
      <c r="AG246" s="2" t="s">
        <v>4423</v>
      </c>
      <c r="AK246" s="2" t="s">
        <v>4424</v>
      </c>
      <c r="AL246" s="2" t="s">
        <v>384</v>
      </c>
      <c r="AM246" s="2" t="s">
        <v>1306</v>
      </c>
      <c r="AN246" s="2" t="s">
        <v>386</v>
      </c>
      <c r="AO246" s="2" t="s">
        <v>4425</v>
      </c>
      <c r="AP246" s="2" t="s">
        <v>386</v>
      </c>
      <c r="AQ246" s="2">
        <v>2790.0</v>
      </c>
      <c r="AR246" s="2" t="s">
        <v>4426</v>
      </c>
      <c r="AS246" s="2" t="b">
        <v>1</v>
      </c>
      <c r="AT246" s="3">
        <v>0.0</v>
      </c>
      <c r="AU246" s="4"/>
      <c r="AV246" s="4"/>
      <c r="AW246" s="5">
        <f t="shared" si="432"/>
        <v>0</v>
      </c>
      <c r="AX246" s="5">
        <f t="shared" si="4"/>
        <v>0</v>
      </c>
      <c r="AY246" s="5">
        <f t="shared" si="5"/>
        <v>0</v>
      </c>
      <c r="AZ246" s="5">
        <f t="shared" si="6"/>
        <v>0</v>
      </c>
      <c r="BA246" s="5">
        <f t="shared" si="7"/>
        <v>0</v>
      </c>
      <c r="BB246" s="5">
        <f t="shared" si="8"/>
        <v>0</v>
      </c>
      <c r="BC246" s="5">
        <f t="shared" si="9"/>
        <v>0</v>
      </c>
      <c r="BD246" s="5">
        <f t="shared" si="10"/>
        <v>0</v>
      </c>
      <c r="BE246" s="5">
        <f t="shared" si="11"/>
        <v>0</v>
      </c>
      <c r="BF246" s="5">
        <f t="shared" si="12"/>
        <v>0</v>
      </c>
      <c r="BG246" s="5">
        <f t="shared" si="13"/>
        <v>0</v>
      </c>
      <c r="BH246" s="5">
        <f t="shared" si="14"/>
        <v>0</v>
      </c>
      <c r="BI246" s="5">
        <f t="shared" si="15"/>
        <v>0</v>
      </c>
      <c r="BJ246" s="5">
        <f t="shared" si="16"/>
        <v>0</v>
      </c>
      <c r="BK246" s="5">
        <f t="shared" si="17"/>
        <v>0</v>
      </c>
      <c r="BL246" s="5">
        <f t="shared" si="18"/>
        <v>0</v>
      </c>
      <c r="BM246" s="5">
        <f t="shared" si="19"/>
        <v>0</v>
      </c>
      <c r="BN246" s="5">
        <f t="shared" si="20"/>
        <v>0</v>
      </c>
      <c r="BO246" s="5">
        <f t="shared" si="21"/>
        <v>0</v>
      </c>
      <c r="BP246" s="5">
        <f t="shared" si="22"/>
        <v>0</v>
      </c>
      <c r="BQ246" s="5">
        <f t="shared" si="23"/>
        <v>0</v>
      </c>
      <c r="BR246" s="5">
        <f t="shared" si="24"/>
        <v>0</v>
      </c>
      <c r="BS246" s="5">
        <f t="shared" si="25"/>
        <v>1</v>
      </c>
      <c r="BT246" s="5">
        <f t="shared" si="26"/>
        <v>0</v>
      </c>
      <c r="BU246" s="5">
        <f t="shared" si="27"/>
        <v>0</v>
      </c>
      <c r="BV246" s="5">
        <f t="shared" ref="BV246:BW246" si="853">IF(OR(ISNUMBER(SEARCH("grit",$D246)),ISNUMBER(SEARCH("grit",$T246)),ISNUMBER(SEARCH("grit",$R246)),ISNUMBER(SEARCH("grit",$S246)),
ISNUMBER(SEARCH("determination",$D246)),ISNUMBER(SEARCH("determination",$T246)),ISNUMBER(SEARCH("determination",$R246)),ISNUMBER(SEARCH("determination",$S246)),
ISNUMBER(SEARCH("tenacity",$D246)),ISNUMBER(SEARCH("tenacity",$T246)),ISNUMBER(SEARCH("tenacity",$R246)),ISNUMBER(SEARCH("tenacity",$S246)),
ISNUMBER(SEARCH("endurance",$D246)),ISNUMBER(SEARCH("endurance",$T246)),ISNUMBER(SEARCH("endurance",$R246)),ISNUMBER(SEARCH("endurance",$S246)),
ISNUMBER(SEARCH("fortitude",$D246)),ISNUMBER(SEARCH("fortitude",$T246)),ISNUMBER(SEARCH("fortitude",$R246)),ISNUMBER(SEARCH("fortitude",$S246)),
ISNUMBER(SEARCH("resolve",$D246)),ISNUMBER(SEARCH("resolve",$T246)),ISNUMBER(SEARCH("resolve",$R246)),ISNUMBER(SEARCH("resolve",$S246)),
ISNUMBER(SEARCH("stamina",$D246)),ISNUMBER(SEARCH("stamina",$T246)),ISNUMBER(SEARCH("stamina",$R246)),ISNUMBER(SEARCH("stamina",$S246)),
ISNUMBER(SEARCH("guts",$D246)),ISNUMBER(SEARCH("guts",$T246)),ISNUMBER(SEARCH("guts",$R246)),ISNUMBER(SEARCH("guts",$S246)),
ISNUMBER(SEARCH("spunk",$D246)),ISNUMBER(SEARCH("spunk",$T246)),ISNUMBER(SEARCH("spunk",$R246)),ISNUMBER(SEARCH("spunk",$S246))), 1, 0)</f>
        <v>0</v>
      </c>
      <c r="BW246" s="5">
        <f t="shared" si="853"/>
        <v>0</v>
      </c>
      <c r="BX246" s="5">
        <f t="shared" si="29"/>
        <v>0</v>
      </c>
      <c r="BY246" s="5">
        <f t="shared" si="30"/>
        <v>0</v>
      </c>
      <c r="BZ246" s="5">
        <f t="shared" si="31"/>
        <v>0</v>
      </c>
      <c r="CA246" s="5">
        <f t="shared" si="32"/>
        <v>0</v>
      </c>
      <c r="CB246" s="5">
        <f t="shared" si="33"/>
        <v>0</v>
      </c>
      <c r="CC246" s="5">
        <f t="shared" si="34"/>
        <v>0</v>
      </c>
      <c r="CD246" s="5">
        <f t="shared" si="35"/>
        <v>0</v>
      </c>
      <c r="CE246" s="5">
        <f t="shared" si="36"/>
        <v>0</v>
      </c>
      <c r="CF246" s="5">
        <f t="shared" si="37"/>
        <v>0</v>
      </c>
      <c r="CG246" s="5">
        <f t="shared" si="38"/>
        <v>0</v>
      </c>
      <c r="CH246" s="5">
        <f t="shared" si="39"/>
        <v>0</v>
      </c>
      <c r="CI246" s="5">
        <f t="shared" si="40"/>
        <v>0</v>
      </c>
      <c r="CJ246" s="5">
        <f t="shared" si="41"/>
        <v>0</v>
      </c>
      <c r="CK246" s="5">
        <f t="shared" si="42"/>
        <v>0</v>
      </c>
      <c r="CL246" s="5">
        <f t="shared" si="43"/>
        <v>0</v>
      </c>
      <c r="CM246" s="5">
        <f t="shared" si="44"/>
        <v>0</v>
      </c>
      <c r="CN246" s="5">
        <f t="shared" si="45"/>
        <v>0</v>
      </c>
      <c r="CO246" s="5">
        <f t="shared" si="46"/>
        <v>0</v>
      </c>
      <c r="CP246" s="6">
        <f t="shared" si="47"/>
        <v>0</v>
      </c>
      <c r="CQ246" s="6">
        <f t="shared" si="48"/>
        <v>0</v>
      </c>
      <c r="CR246" s="6">
        <f t="shared" si="49"/>
        <v>0</v>
      </c>
      <c r="CS246" s="6">
        <f t="shared" si="50"/>
        <v>0</v>
      </c>
      <c r="CT246" s="6">
        <f t="shared" si="584"/>
        <v>0</v>
      </c>
      <c r="CU246" s="6">
        <f t="shared" si="52"/>
        <v>0</v>
      </c>
      <c r="CV246" s="6">
        <f t="shared" si="53"/>
        <v>0</v>
      </c>
      <c r="CW246" s="6">
        <f t="shared" si="54"/>
        <v>0</v>
      </c>
      <c r="CX246" s="6">
        <f t="shared" si="55"/>
        <v>0</v>
      </c>
      <c r="CY246" s="6">
        <f t="shared" si="56"/>
        <v>0</v>
      </c>
      <c r="CZ246" s="6">
        <f t="shared" si="57"/>
        <v>0</v>
      </c>
      <c r="DA246" s="6">
        <f t="shared" si="58"/>
        <v>0</v>
      </c>
      <c r="DB246" s="6">
        <f t="shared" si="59"/>
        <v>0</v>
      </c>
      <c r="DC246" s="6">
        <f t="shared" si="60"/>
        <v>0</v>
      </c>
      <c r="DD246" s="6">
        <f t="shared" si="61"/>
        <v>0</v>
      </c>
      <c r="DE246" s="6">
        <f t="shared" si="62"/>
        <v>0</v>
      </c>
      <c r="DF246" s="6">
        <f t="shared" si="63"/>
        <v>0</v>
      </c>
      <c r="DG246" s="6">
        <f t="shared" si="64"/>
        <v>0</v>
      </c>
      <c r="DH246" s="6">
        <f t="shared" si="697"/>
        <v>0</v>
      </c>
      <c r="DI246" s="6">
        <f t="shared" si="66"/>
        <v>0</v>
      </c>
      <c r="DJ246" s="6">
        <f t="shared" si="653"/>
        <v>0</v>
      </c>
      <c r="DK246" s="7">
        <f t="shared" si="68"/>
        <v>0</v>
      </c>
      <c r="DL246" s="7">
        <f t="shared" si="498"/>
        <v>0</v>
      </c>
      <c r="DM246" s="7">
        <f t="shared" si="70"/>
        <v>0</v>
      </c>
      <c r="DN246" s="7">
        <f t="shared" si="71"/>
        <v>0</v>
      </c>
      <c r="DO246" s="7">
        <f t="shared" si="72"/>
        <v>0</v>
      </c>
      <c r="DP246" s="8">
        <f t="shared" si="73"/>
        <v>0</v>
      </c>
      <c r="DQ246" s="8">
        <f t="shared" si="74"/>
        <v>0</v>
      </c>
      <c r="DR246" s="7">
        <f t="shared" si="75"/>
        <v>1</v>
      </c>
      <c r="DS246" s="7">
        <f t="shared" si="76"/>
        <v>0</v>
      </c>
      <c r="DT246" s="7">
        <f t="shared" si="77"/>
        <v>0</v>
      </c>
      <c r="DU246" s="9">
        <f t="shared" si="78"/>
        <v>0</v>
      </c>
      <c r="DV246" s="9">
        <f t="shared" si="79"/>
        <v>0</v>
      </c>
      <c r="DW246" s="9">
        <f t="shared" si="80"/>
        <v>0</v>
      </c>
      <c r="DX246" s="9">
        <f t="shared" si="81"/>
        <v>0</v>
      </c>
      <c r="DY246" s="9">
        <f t="shared" si="82"/>
        <v>0</v>
      </c>
      <c r="DZ246" s="9">
        <f t="shared" si="83"/>
        <v>0</v>
      </c>
      <c r="EA246" s="9">
        <f t="shared" si="84"/>
        <v>0</v>
      </c>
      <c r="EB246" s="9">
        <f t="shared" si="85"/>
        <v>0</v>
      </c>
      <c r="EC246" s="9">
        <f t="shared" si="86"/>
        <v>0</v>
      </c>
      <c r="ED246" s="9">
        <f t="shared" si="87"/>
        <v>0</v>
      </c>
      <c r="EE246" s="9">
        <f t="shared" si="88"/>
        <v>1</v>
      </c>
      <c r="EF246" s="9">
        <f t="shared" si="89"/>
        <v>0</v>
      </c>
      <c r="EG246" s="9">
        <f t="shared" si="90"/>
        <v>0</v>
      </c>
      <c r="EH246" s="9">
        <f t="shared" si="91"/>
        <v>0</v>
      </c>
      <c r="EI246" s="9">
        <f t="shared" si="92"/>
        <v>0</v>
      </c>
      <c r="EJ246" s="10">
        <f t="shared" si="93"/>
        <v>0</v>
      </c>
      <c r="EK246" s="10">
        <f t="shared" si="94"/>
        <v>0</v>
      </c>
      <c r="EL246" s="10">
        <f t="shared" ref="EL246:EM246" si="854">IF(OR(ISNUMBER(SEARCH("ai software toolkit", $D246)), ISNUMBER(SEARCH("ai software toolkit", $T246)), ISNUMBER(SEARCH("ai software toolkit", $R246)), ISNUMBER(SEARCH("ai software toolkit", $S246))), 1, 0)</f>
        <v>0</v>
      </c>
      <c r="EM246" s="10">
        <f t="shared" si="854"/>
        <v>0</v>
      </c>
      <c r="EN246" s="10">
        <f t="shared" si="96"/>
        <v>0</v>
      </c>
      <c r="EO246" s="10">
        <f t="shared" si="97"/>
        <v>0</v>
      </c>
      <c r="EP246" s="10">
        <f t="shared" si="98"/>
        <v>0</v>
      </c>
      <c r="EQ246" s="10">
        <f t="shared" si="99"/>
        <v>0</v>
      </c>
      <c r="ER246" s="10">
        <f t="shared" si="100"/>
        <v>0</v>
      </c>
      <c r="ES246" s="10">
        <f t="shared" si="101"/>
        <v>0</v>
      </c>
      <c r="ET246" s="10">
        <f t="shared" si="102"/>
        <v>0</v>
      </c>
      <c r="EU246" s="10">
        <f t="shared" si="103"/>
        <v>0</v>
      </c>
      <c r="EV246" s="10">
        <f t="shared" si="104"/>
        <v>0</v>
      </c>
      <c r="EW246" s="10">
        <f t="shared" si="105"/>
        <v>0</v>
      </c>
      <c r="EX246" s="10">
        <f t="shared" si="106"/>
        <v>0</v>
      </c>
      <c r="EY246" s="10">
        <f t="shared" si="107"/>
        <v>0</v>
      </c>
      <c r="EZ246" s="10">
        <f t="shared" si="108"/>
        <v>0</v>
      </c>
      <c r="FA246" s="10">
        <f t="shared" si="109"/>
        <v>0</v>
      </c>
      <c r="FB246" s="10">
        <f t="shared" si="110"/>
        <v>0</v>
      </c>
      <c r="FC246" s="10">
        <f t="shared" si="111"/>
        <v>0</v>
      </c>
      <c r="FD246" s="10">
        <f t="shared" si="112"/>
        <v>0</v>
      </c>
      <c r="FE246" s="10">
        <f t="shared" si="782"/>
        <v>0</v>
      </c>
      <c r="FF246" s="10">
        <f t="shared" si="114"/>
        <v>0</v>
      </c>
      <c r="FG246" s="10">
        <f t="shared" si="115"/>
        <v>0</v>
      </c>
      <c r="FH246" s="10">
        <f t="shared" si="116"/>
        <v>0</v>
      </c>
      <c r="FI246" s="10">
        <f t="shared" si="117"/>
        <v>0</v>
      </c>
      <c r="FJ246" s="10">
        <f t="shared" si="118"/>
        <v>0</v>
      </c>
      <c r="FK246" s="10">
        <f t="shared" si="119"/>
        <v>0</v>
      </c>
      <c r="FL246" s="10">
        <f t="shared" si="120"/>
        <v>0</v>
      </c>
      <c r="FM246" s="10">
        <f t="shared" si="121"/>
        <v>0</v>
      </c>
      <c r="FN246" s="10">
        <f t="shared" si="122"/>
        <v>0</v>
      </c>
      <c r="FO246" s="10">
        <f t="shared" si="123"/>
        <v>0</v>
      </c>
      <c r="FP246" s="10">
        <f t="shared" si="124"/>
        <v>0</v>
      </c>
      <c r="FQ246" s="10">
        <f t="shared" si="125"/>
        <v>0</v>
      </c>
      <c r="FR246" s="11">
        <f t="shared" si="804"/>
        <v>1</v>
      </c>
      <c r="FS246" s="11">
        <f t="shared" si="127"/>
        <v>0</v>
      </c>
      <c r="FT246" s="11">
        <f t="shared" si="128"/>
        <v>0</v>
      </c>
      <c r="FU246" s="11">
        <f t="shared" si="129"/>
        <v>0</v>
      </c>
      <c r="FV246" s="11">
        <f t="shared" si="130"/>
        <v>0</v>
      </c>
      <c r="FW246" s="11">
        <f t="shared" si="131"/>
        <v>0</v>
      </c>
      <c r="FX246" s="11">
        <f t="shared" si="132"/>
        <v>0</v>
      </c>
      <c r="FY246" s="11">
        <f t="shared" si="133"/>
        <v>0</v>
      </c>
      <c r="FZ246" s="11">
        <f t="shared" si="134"/>
        <v>0</v>
      </c>
      <c r="GA246" s="11">
        <f t="shared" si="135"/>
        <v>0</v>
      </c>
      <c r="GB246" s="11">
        <f t="shared" si="136"/>
        <v>0</v>
      </c>
      <c r="GC246" s="11">
        <f t="shared" si="137"/>
        <v>0</v>
      </c>
      <c r="GD246" s="11">
        <f t="shared" si="138"/>
        <v>0</v>
      </c>
      <c r="GE246" s="11">
        <f t="shared" si="139"/>
        <v>0</v>
      </c>
      <c r="GF246" s="11">
        <f t="shared" si="140"/>
        <v>0</v>
      </c>
      <c r="GG246" s="11">
        <f t="shared" si="141"/>
        <v>0</v>
      </c>
      <c r="GH246" s="11">
        <f t="shared" si="142"/>
        <v>0</v>
      </c>
      <c r="GI246" s="11">
        <f t="shared" si="143"/>
        <v>0</v>
      </c>
      <c r="GJ246" s="11">
        <f t="shared" si="144"/>
        <v>0</v>
      </c>
      <c r="GK246" s="11">
        <f t="shared" si="145"/>
        <v>0</v>
      </c>
      <c r="GL246" s="11">
        <f t="shared" si="146"/>
        <v>0</v>
      </c>
      <c r="GM246" s="11">
        <f t="shared" si="147"/>
        <v>0</v>
      </c>
      <c r="GN246" s="11">
        <f t="shared" si="148"/>
        <v>0</v>
      </c>
      <c r="GO246" s="11">
        <f t="shared" si="149"/>
        <v>0</v>
      </c>
      <c r="GP246" s="11">
        <f t="shared" si="150"/>
        <v>0</v>
      </c>
      <c r="GQ246" s="11">
        <f t="shared" si="151"/>
        <v>0</v>
      </c>
      <c r="GR246" s="11">
        <f t="shared" si="152"/>
        <v>0</v>
      </c>
      <c r="GS246" s="11">
        <f t="shared" si="153"/>
        <v>0</v>
      </c>
      <c r="GT246" s="11">
        <f t="shared" si="154"/>
        <v>0</v>
      </c>
      <c r="GU246" s="12">
        <f t="shared" si="155"/>
        <v>0</v>
      </c>
      <c r="GV246" s="12">
        <f t="shared" si="156"/>
        <v>0</v>
      </c>
      <c r="GW246" s="12">
        <f t="shared" si="157"/>
        <v>0</v>
      </c>
      <c r="GX246" s="12">
        <f t="shared" si="158"/>
        <v>0</v>
      </c>
      <c r="GY246" s="12">
        <f t="shared" si="159"/>
        <v>0</v>
      </c>
      <c r="GZ246" s="12">
        <f t="shared" si="160"/>
        <v>0</v>
      </c>
      <c r="HA246" s="12">
        <f t="shared" si="161"/>
        <v>0</v>
      </c>
      <c r="HB246" s="12">
        <f t="shared" si="162"/>
        <v>0</v>
      </c>
      <c r="HC246" s="12">
        <f t="shared" si="163"/>
        <v>0</v>
      </c>
      <c r="HD246" s="12">
        <f t="shared" si="164"/>
        <v>0</v>
      </c>
      <c r="HE246" s="12">
        <f t="shared" si="165"/>
        <v>0</v>
      </c>
      <c r="HF246" s="12">
        <f t="shared" si="166"/>
        <v>0</v>
      </c>
      <c r="HG246" s="12">
        <f t="shared" si="167"/>
        <v>0</v>
      </c>
      <c r="HH246" s="12">
        <f t="shared" si="168"/>
        <v>0</v>
      </c>
      <c r="HI246" s="12">
        <f t="shared" si="169"/>
        <v>0</v>
      </c>
      <c r="HJ246" s="12">
        <f t="shared" si="170"/>
        <v>0</v>
      </c>
      <c r="HK246" s="12">
        <f t="shared" si="171"/>
        <v>0</v>
      </c>
      <c r="HL246" s="12">
        <f t="shared" si="172"/>
        <v>0</v>
      </c>
      <c r="HM246" s="12">
        <f t="shared" si="173"/>
        <v>0</v>
      </c>
      <c r="HN246" s="12">
        <f t="shared" si="174"/>
        <v>0</v>
      </c>
      <c r="HO246" s="12">
        <f t="shared" si="175"/>
        <v>0</v>
      </c>
      <c r="HP246" s="12">
        <f t="shared" si="176"/>
        <v>0</v>
      </c>
      <c r="HQ246" s="12">
        <f t="shared" si="177"/>
        <v>0</v>
      </c>
      <c r="HR246" s="12">
        <f t="shared" si="178"/>
        <v>0</v>
      </c>
      <c r="HS246" s="12">
        <f t="shared" si="179"/>
        <v>0</v>
      </c>
      <c r="HT246" s="12">
        <f t="shared" si="180"/>
        <v>0</v>
      </c>
      <c r="HU246" s="12">
        <f t="shared" si="181"/>
        <v>0</v>
      </c>
      <c r="HV246" s="12">
        <f t="shared" si="182"/>
        <v>1</v>
      </c>
      <c r="HW246" s="12">
        <f t="shared" si="183"/>
        <v>0</v>
      </c>
      <c r="HX246" s="12">
        <f t="shared" si="184"/>
        <v>0</v>
      </c>
      <c r="HY246" s="12">
        <f t="shared" si="185"/>
        <v>0</v>
      </c>
      <c r="HZ246" s="12">
        <f t="shared" si="186"/>
        <v>0</v>
      </c>
      <c r="IA246" s="12">
        <f t="shared" si="187"/>
        <v>0</v>
      </c>
      <c r="IB246" s="12">
        <f t="shared" si="188"/>
        <v>0</v>
      </c>
      <c r="IC246" s="12">
        <f t="shared" si="189"/>
        <v>0</v>
      </c>
      <c r="ID246" s="12">
        <f t="shared" si="190"/>
        <v>0</v>
      </c>
      <c r="IE246" s="12">
        <f t="shared" si="191"/>
        <v>0</v>
      </c>
      <c r="IF246" s="12">
        <f t="shared" si="192"/>
        <v>0</v>
      </c>
      <c r="IG246" s="12">
        <f t="shared" si="193"/>
        <v>0</v>
      </c>
      <c r="IH246" s="12">
        <f t="shared" si="194"/>
        <v>0</v>
      </c>
      <c r="II246" s="12">
        <f t="shared" si="195"/>
        <v>0</v>
      </c>
      <c r="IJ246" s="12">
        <f t="shared" si="196"/>
        <v>0</v>
      </c>
      <c r="IK246" s="12">
        <f t="shared" si="197"/>
        <v>0</v>
      </c>
      <c r="IL246" s="12">
        <f t="shared" si="198"/>
        <v>0</v>
      </c>
      <c r="IM246" s="12">
        <f t="shared" si="199"/>
        <v>0</v>
      </c>
      <c r="IN246" s="12">
        <f t="shared" si="200"/>
        <v>0</v>
      </c>
      <c r="IO246" s="12">
        <f t="shared" si="201"/>
        <v>0</v>
      </c>
      <c r="IP246" s="12">
        <f t="shared" si="202"/>
        <v>0</v>
      </c>
      <c r="IQ246" s="12">
        <f t="shared" si="203"/>
        <v>0</v>
      </c>
      <c r="IR246" s="12">
        <f t="shared" si="204"/>
        <v>0</v>
      </c>
      <c r="IS246" s="12">
        <f t="shared" si="205"/>
        <v>0</v>
      </c>
      <c r="IT246" s="12">
        <f t="shared" si="206"/>
        <v>0</v>
      </c>
      <c r="IU246" s="12">
        <f t="shared" si="207"/>
        <v>0</v>
      </c>
      <c r="IV246" s="12">
        <f t="shared" si="208"/>
        <v>0</v>
      </c>
      <c r="IW246" s="12">
        <f t="shared" si="209"/>
        <v>0</v>
      </c>
      <c r="IX246" s="12">
        <f t="shared" si="210"/>
        <v>0</v>
      </c>
      <c r="IY246" s="12">
        <f t="shared" si="211"/>
        <v>0</v>
      </c>
      <c r="IZ246" s="12">
        <f t="shared" si="212"/>
        <v>0</v>
      </c>
      <c r="JA246" s="13">
        <f t="shared" si="213"/>
        <v>0</v>
      </c>
      <c r="JB246" s="13">
        <f t="shared" si="214"/>
        <v>0</v>
      </c>
      <c r="JC246" s="13">
        <f t="shared" si="215"/>
        <v>0</v>
      </c>
      <c r="JD246" s="13">
        <f t="shared" si="216"/>
        <v>0</v>
      </c>
      <c r="JE246" s="13">
        <f t="shared" si="217"/>
        <v>0</v>
      </c>
      <c r="JF246" s="13">
        <f t="shared" si="218"/>
        <v>0</v>
      </c>
      <c r="JG246" s="13">
        <f t="shared" si="219"/>
        <v>0</v>
      </c>
      <c r="JH246" s="13">
        <f t="shared" si="220"/>
        <v>0</v>
      </c>
      <c r="JI246" s="13">
        <f t="shared" si="221"/>
        <v>0</v>
      </c>
      <c r="JJ246" s="13">
        <f t="shared" si="222"/>
        <v>0</v>
      </c>
      <c r="JK246" s="13">
        <f t="shared" si="223"/>
        <v>0</v>
      </c>
      <c r="JL246" s="13">
        <f t="shared" si="224"/>
        <v>0</v>
      </c>
      <c r="JM246" s="13">
        <f t="shared" si="225"/>
        <v>0</v>
      </c>
      <c r="JN246" s="13">
        <f t="shared" si="226"/>
        <v>0</v>
      </c>
      <c r="JO246" s="13">
        <f t="shared" si="227"/>
        <v>0</v>
      </c>
      <c r="JP246" s="13">
        <f t="shared" si="228"/>
        <v>0</v>
      </c>
      <c r="JQ246" s="13">
        <f t="shared" si="229"/>
        <v>0</v>
      </c>
      <c r="JR246" s="13">
        <f t="shared" si="230"/>
        <v>0</v>
      </c>
      <c r="JS246" s="13">
        <f t="shared" si="231"/>
        <v>0</v>
      </c>
      <c r="JT246" s="13">
        <f t="shared" si="232"/>
        <v>0</v>
      </c>
      <c r="JU246" s="13">
        <f t="shared" si="233"/>
        <v>0</v>
      </c>
      <c r="JV246" s="12">
        <f t="shared" si="234"/>
        <v>0</v>
      </c>
      <c r="JW246" s="12">
        <f t="shared" si="235"/>
        <v>0</v>
      </c>
      <c r="JX246" s="12">
        <f t="shared" si="236"/>
        <v>0</v>
      </c>
      <c r="JY246" s="12">
        <f t="shared" si="237"/>
        <v>0</v>
      </c>
      <c r="JZ246" s="12">
        <f t="shared" si="238"/>
        <v>0</v>
      </c>
      <c r="KA246" s="12">
        <f t="shared" si="239"/>
        <v>0</v>
      </c>
      <c r="KB246" s="12">
        <f t="shared" si="240"/>
        <v>0</v>
      </c>
      <c r="KC246" s="12">
        <f t="shared" si="241"/>
        <v>0</v>
      </c>
      <c r="KD246" s="12">
        <f t="shared" si="797"/>
        <v>0</v>
      </c>
      <c r="KE246" s="12">
        <f t="shared" si="243"/>
        <v>0</v>
      </c>
      <c r="KF246" s="12">
        <f t="shared" si="244"/>
        <v>0</v>
      </c>
      <c r="KG246" s="12">
        <f t="shared" si="245"/>
        <v>0</v>
      </c>
      <c r="KH246" s="12">
        <f t="shared" si="246"/>
        <v>0</v>
      </c>
      <c r="KI246" s="12">
        <f t="shared" si="247"/>
        <v>0</v>
      </c>
      <c r="KJ246" s="12">
        <f t="shared" si="248"/>
        <v>0</v>
      </c>
      <c r="KK246" s="12">
        <f t="shared" si="249"/>
        <v>0</v>
      </c>
      <c r="KL246" s="12">
        <f t="shared" si="250"/>
        <v>0</v>
      </c>
      <c r="KM246" s="12">
        <f t="shared" si="251"/>
        <v>0</v>
      </c>
      <c r="KN246" s="12">
        <f t="shared" si="252"/>
        <v>0</v>
      </c>
      <c r="KO246" s="12">
        <f t="shared" si="253"/>
        <v>0</v>
      </c>
      <c r="KP246" s="12">
        <f t="shared" si="254"/>
        <v>0</v>
      </c>
      <c r="KQ246" s="12">
        <f t="shared" si="255"/>
        <v>0</v>
      </c>
      <c r="KR246" s="12">
        <f t="shared" si="256"/>
        <v>0</v>
      </c>
      <c r="KS246" s="12">
        <f t="shared" si="257"/>
        <v>0</v>
      </c>
      <c r="KT246" s="12">
        <f t="shared" si="258"/>
        <v>0</v>
      </c>
      <c r="KU246" s="12">
        <f t="shared" si="259"/>
        <v>0</v>
      </c>
      <c r="KV246" s="12">
        <f t="shared" si="260"/>
        <v>0</v>
      </c>
      <c r="KW246" s="12">
        <f t="shared" si="261"/>
        <v>0</v>
      </c>
      <c r="KX246" s="12">
        <f t="shared" si="262"/>
        <v>0</v>
      </c>
      <c r="KY246" s="12">
        <f t="shared" si="263"/>
        <v>0</v>
      </c>
      <c r="KZ246" s="12">
        <f t="shared" si="264"/>
        <v>0</v>
      </c>
      <c r="LA246" s="12">
        <f t="shared" si="265"/>
        <v>0</v>
      </c>
      <c r="LB246" s="12">
        <f t="shared" si="266"/>
        <v>0</v>
      </c>
      <c r="LC246" s="12">
        <f t="shared" si="267"/>
        <v>0</v>
      </c>
      <c r="LD246" s="12">
        <f t="shared" si="268"/>
        <v>0</v>
      </c>
      <c r="LE246" s="12">
        <f t="shared" si="269"/>
        <v>0</v>
      </c>
      <c r="LF246" s="12">
        <f t="shared" si="270"/>
        <v>0</v>
      </c>
      <c r="LG246" s="12">
        <f t="shared" si="271"/>
        <v>0</v>
      </c>
      <c r="LH246" s="12">
        <f t="shared" si="272"/>
        <v>0</v>
      </c>
      <c r="LI246" s="12">
        <f t="shared" si="273"/>
        <v>0</v>
      </c>
      <c r="LJ246" s="12">
        <f t="shared" si="274"/>
        <v>0</v>
      </c>
      <c r="LK246" s="12">
        <f t="shared" si="275"/>
        <v>0</v>
      </c>
      <c r="LL246" s="12">
        <f t="shared" si="276"/>
        <v>0</v>
      </c>
      <c r="LM246" s="12">
        <f t="shared" si="277"/>
        <v>0</v>
      </c>
      <c r="LN246" s="12">
        <f t="shared" si="278"/>
        <v>0</v>
      </c>
      <c r="LO246" s="12">
        <f t="shared" si="279"/>
        <v>0</v>
      </c>
      <c r="LP246" s="12">
        <f t="shared" si="280"/>
        <v>0</v>
      </c>
      <c r="LQ246" s="12">
        <f t="shared" si="281"/>
        <v>0</v>
      </c>
      <c r="LR246" s="12">
        <f t="shared" si="282"/>
        <v>0</v>
      </c>
      <c r="LS246" s="12">
        <f t="shared" si="283"/>
        <v>0</v>
      </c>
      <c r="LT246" s="13">
        <f t="shared" si="284"/>
        <v>0</v>
      </c>
      <c r="LU246" s="13">
        <f t="shared" si="285"/>
        <v>0</v>
      </c>
      <c r="LV246" s="13">
        <f t="shared" si="286"/>
        <v>0</v>
      </c>
      <c r="LW246" s="13">
        <f t="shared" si="287"/>
        <v>0</v>
      </c>
      <c r="LX246" s="13">
        <f t="shared" si="288"/>
        <v>0</v>
      </c>
      <c r="LY246" s="13">
        <f t="shared" si="289"/>
        <v>0</v>
      </c>
      <c r="LZ246" s="13">
        <f t="shared" si="290"/>
        <v>0</v>
      </c>
      <c r="MA246" s="13">
        <f t="shared" si="291"/>
        <v>0</v>
      </c>
      <c r="MB246" s="13">
        <f t="shared" si="292"/>
        <v>0</v>
      </c>
      <c r="MC246" s="13">
        <f t="shared" si="293"/>
        <v>0</v>
      </c>
      <c r="MD246" s="13">
        <f t="shared" si="294"/>
        <v>0</v>
      </c>
      <c r="ME246" s="13">
        <f t="shared" si="295"/>
        <v>0</v>
      </c>
      <c r="MF246" s="13">
        <f t="shared" si="296"/>
        <v>0</v>
      </c>
      <c r="MG246" s="13">
        <f t="shared" si="297"/>
        <v>0</v>
      </c>
      <c r="MH246" s="13">
        <f t="shared" si="298"/>
        <v>0</v>
      </c>
      <c r="MI246" s="13">
        <f t="shared" si="299"/>
        <v>0</v>
      </c>
      <c r="MJ246" s="13">
        <f t="shared" si="300"/>
        <v>0</v>
      </c>
      <c r="MK246" s="13">
        <f t="shared" si="301"/>
        <v>0</v>
      </c>
      <c r="ML246" s="14">
        <f t="shared" si="302"/>
        <v>0</v>
      </c>
      <c r="MM246" s="14">
        <f t="shared" si="303"/>
        <v>0</v>
      </c>
      <c r="MN246" s="14">
        <f t="shared" si="304"/>
        <v>0</v>
      </c>
      <c r="MO246" s="14">
        <f t="shared" si="305"/>
        <v>0</v>
      </c>
      <c r="MP246" s="14">
        <f t="shared" si="306"/>
        <v>0</v>
      </c>
      <c r="MQ246" s="14">
        <f t="shared" si="307"/>
        <v>0</v>
      </c>
      <c r="MR246" s="14">
        <f t="shared" si="308"/>
        <v>0</v>
      </c>
      <c r="MS246" s="14">
        <f t="shared" si="309"/>
        <v>0</v>
      </c>
      <c r="MT246" s="14">
        <f t="shared" si="310"/>
        <v>0</v>
      </c>
      <c r="MU246" s="14">
        <f t="shared" si="311"/>
        <v>0</v>
      </c>
      <c r="MV246" s="14">
        <f t="shared" si="312"/>
        <v>0</v>
      </c>
      <c r="MW246" s="14">
        <f t="shared" si="313"/>
        <v>0</v>
      </c>
      <c r="MX246" s="14">
        <f t="shared" si="314"/>
        <v>0</v>
      </c>
      <c r="MY246" s="14">
        <f t="shared" si="315"/>
        <v>0</v>
      </c>
      <c r="MZ246" s="14">
        <f t="shared" si="316"/>
        <v>0</v>
      </c>
      <c r="NA246" s="14">
        <f t="shared" si="317"/>
        <v>0</v>
      </c>
      <c r="NB246" s="14">
        <f t="shared" si="318"/>
        <v>0</v>
      </c>
    </row>
    <row r="247" ht="15.75" customHeight="1">
      <c r="A247" s="2">
        <v>697.0</v>
      </c>
      <c r="B247" s="2" t="s">
        <v>4427</v>
      </c>
      <c r="C247" s="2" t="s">
        <v>4428</v>
      </c>
      <c r="D247" s="2" t="s">
        <v>4429</v>
      </c>
      <c r="E247" s="2">
        <v>2022.0</v>
      </c>
      <c r="F247" s="2" t="s">
        <v>4430</v>
      </c>
      <c r="G247" s="2">
        <v>16.0</v>
      </c>
      <c r="H247" s="2" t="s">
        <v>510</v>
      </c>
      <c r="J247" s="2" t="s">
        <v>4431</v>
      </c>
      <c r="K247" s="2" t="s">
        <v>4432</v>
      </c>
      <c r="N247" s="2" t="s">
        <v>4433</v>
      </c>
      <c r="O247" s="2" t="s">
        <v>4434</v>
      </c>
      <c r="P247" s="2" t="s">
        <v>4435</v>
      </c>
      <c r="Q247" s="2" t="s">
        <v>4436</v>
      </c>
      <c r="R247" s="2" t="s">
        <v>4437</v>
      </c>
      <c r="S247" s="2" t="s">
        <v>4438</v>
      </c>
      <c r="Y247" s="2" t="s">
        <v>4439</v>
      </c>
      <c r="AB247" s="2" t="s">
        <v>4440</v>
      </c>
      <c r="AG247" s="2" t="s">
        <v>4441</v>
      </c>
      <c r="AK247" s="2" t="s">
        <v>4442</v>
      </c>
      <c r="AL247" s="2" t="s">
        <v>384</v>
      </c>
      <c r="AM247" s="2" t="s">
        <v>1306</v>
      </c>
      <c r="AN247" s="2" t="s">
        <v>386</v>
      </c>
      <c r="AO247" s="2" t="s">
        <v>4443</v>
      </c>
      <c r="AP247" s="2" t="s">
        <v>386</v>
      </c>
      <c r="AQ247" s="2">
        <v>2747.0</v>
      </c>
      <c r="AR247" s="2" t="s">
        <v>4444</v>
      </c>
      <c r="AS247" s="2" t="b">
        <v>0</v>
      </c>
      <c r="AT247" s="3">
        <v>0.0</v>
      </c>
      <c r="AU247" s="4"/>
      <c r="AV247" s="4"/>
      <c r="AW247" s="5">
        <f t="shared" si="432"/>
        <v>0</v>
      </c>
      <c r="AX247" s="5">
        <f t="shared" si="4"/>
        <v>0</v>
      </c>
      <c r="AY247" s="5">
        <f t="shared" si="5"/>
        <v>0</v>
      </c>
      <c r="AZ247" s="5">
        <f t="shared" si="6"/>
        <v>0</v>
      </c>
      <c r="BA247" s="5">
        <f t="shared" si="7"/>
        <v>0</v>
      </c>
      <c r="BB247" s="5">
        <f t="shared" si="8"/>
        <v>0</v>
      </c>
      <c r="BC247" s="5">
        <f t="shared" si="9"/>
        <v>0</v>
      </c>
      <c r="BD247" s="5">
        <f t="shared" si="10"/>
        <v>0</v>
      </c>
      <c r="BE247" s="5">
        <f t="shared" si="11"/>
        <v>0</v>
      </c>
      <c r="BF247" s="5">
        <f t="shared" si="12"/>
        <v>0</v>
      </c>
      <c r="BG247" s="5">
        <f t="shared" si="13"/>
        <v>0</v>
      </c>
      <c r="BH247" s="5">
        <f t="shared" si="14"/>
        <v>0</v>
      </c>
      <c r="BI247" s="5">
        <f t="shared" si="15"/>
        <v>0</v>
      </c>
      <c r="BJ247" s="5">
        <f t="shared" si="16"/>
        <v>0</v>
      </c>
      <c r="BK247" s="5">
        <f t="shared" si="17"/>
        <v>0</v>
      </c>
      <c r="BL247" s="5">
        <f t="shared" si="18"/>
        <v>0</v>
      </c>
      <c r="BM247" s="5">
        <f t="shared" si="19"/>
        <v>0</v>
      </c>
      <c r="BN247" s="5">
        <f t="shared" si="20"/>
        <v>0</v>
      </c>
      <c r="BO247" s="5">
        <f t="shared" si="21"/>
        <v>0</v>
      </c>
      <c r="BP247" s="5">
        <f t="shared" si="22"/>
        <v>0</v>
      </c>
      <c r="BQ247" s="5">
        <f t="shared" si="23"/>
        <v>0</v>
      </c>
      <c r="BR247" s="5">
        <f t="shared" si="24"/>
        <v>0</v>
      </c>
      <c r="BS247" s="5">
        <f t="shared" si="25"/>
        <v>0</v>
      </c>
      <c r="BT247" s="5">
        <f t="shared" si="26"/>
        <v>0</v>
      </c>
      <c r="BU247" s="5">
        <f t="shared" si="27"/>
        <v>0</v>
      </c>
      <c r="BV247" s="5">
        <f t="shared" ref="BV247:BW247" si="855">IF(OR(ISNUMBER(SEARCH("grit",$D247)),ISNUMBER(SEARCH("grit",$T247)),ISNUMBER(SEARCH("grit",$R247)),ISNUMBER(SEARCH("grit",$S247)),
ISNUMBER(SEARCH("determination",$D247)),ISNUMBER(SEARCH("determination",$T247)),ISNUMBER(SEARCH("determination",$R247)),ISNUMBER(SEARCH("determination",$S247)),
ISNUMBER(SEARCH("tenacity",$D247)),ISNUMBER(SEARCH("tenacity",$T247)),ISNUMBER(SEARCH("tenacity",$R247)),ISNUMBER(SEARCH("tenacity",$S247)),
ISNUMBER(SEARCH("endurance",$D247)),ISNUMBER(SEARCH("endurance",$T247)),ISNUMBER(SEARCH("endurance",$R247)),ISNUMBER(SEARCH("endurance",$S247)),
ISNUMBER(SEARCH("fortitude",$D247)),ISNUMBER(SEARCH("fortitude",$T247)),ISNUMBER(SEARCH("fortitude",$R247)),ISNUMBER(SEARCH("fortitude",$S247)),
ISNUMBER(SEARCH("resolve",$D247)),ISNUMBER(SEARCH("resolve",$T247)),ISNUMBER(SEARCH("resolve",$R247)),ISNUMBER(SEARCH("resolve",$S247)),
ISNUMBER(SEARCH("stamina",$D247)),ISNUMBER(SEARCH("stamina",$T247)),ISNUMBER(SEARCH("stamina",$R247)),ISNUMBER(SEARCH("stamina",$S247)),
ISNUMBER(SEARCH("guts",$D247)),ISNUMBER(SEARCH("guts",$T247)),ISNUMBER(SEARCH("guts",$R247)),ISNUMBER(SEARCH("guts",$S247)),
ISNUMBER(SEARCH("spunk",$D247)),ISNUMBER(SEARCH("spunk",$T247)),ISNUMBER(SEARCH("spunk",$R247)),ISNUMBER(SEARCH("spunk",$S247))), 1, 0)</f>
        <v>0</v>
      </c>
      <c r="BW247" s="5">
        <f t="shared" si="855"/>
        <v>0</v>
      </c>
      <c r="BX247" s="5">
        <f t="shared" si="29"/>
        <v>0</v>
      </c>
      <c r="BY247" s="5">
        <f t="shared" si="30"/>
        <v>0</v>
      </c>
      <c r="BZ247" s="5">
        <f t="shared" si="31"/>
        <v>0</v>
      </c>
      <c r="CA247" s="5">
        <f t="shared" si="32"/>
        <v>0</v>
      </c>
      <c r="CB247" s="5">
        <f t="shared" si="33"/>
        <v>0</v>
      </c>
      <c r="CC247" s="5">
        <f t="shared" si="34"/>
        <v>0</v>
      </c>
      <c r="CD247" s="5">
        <f t="shared" si="35"/>
        <v>0</v>
      </c>
      <c r="CE247" s="5">
        <f t="shared" si="36"/>
        <v>0</v>
      </c>
      <c r="CF247" s="5">
        <f t="shared" si="37"/>
        <v>0</v>
      </c>
      <c r="CG247" s="5">
        <f t="shared" si="38"/>
        <v>0</v>
      </c>
      <c r="CH247" s="5">
        <f t="shared" si="39"/>
        <v>0</v>
      </c>
      <c r="CI247" s="5">
        <f t="shared" si="40"/>
        <v>0</v>
      </c>
      <c r="CJ247" s="5">
        <f t="shared" si="41"/>
        <v>0</v>
      </c>
      <c r="CK247" s="5">
        <f t="shared" si="42"/>
        <v>0</v>
      </c>
      <c r="CL247" s="5">
        <f t="shared" si="43"/>
        <v>0</v>
      </c>
      <c r="CM247" s="5">
        <f t="shared" si="44"/>
        <v>0</v>
      </c>
      <c r="CN247" s="5">
        <f t="shared" si="45"/>
        <v>0</v>
      </c>
      <c r="CO247" s="5">
        <f t="shared" si="46"/>
        <v>0</v>
      </c>
      <c r="CP247" s="6">
        <f t="shared" si="47"/>
        <v>0</v>
      </c>
      <c r="CQ247" s="6">
        <f t="shared" si="48"/>
        <v>0</v>
      </c>
      <c r="CR247" s="6">
        <f t="shared" si="49"/>
        <v>0</v>
      </c>
      <c r="CS247" s="6">
        <f t="shared" si="50"/>
        <v>0</v>
      </c>
      <c r="CT247" s="6">
        <f t="shared" si="584"/>
        <v>0</v>
      </c>
      <c r="CU247" s="6">
        <f t="shared" si="52"/>
        <v>0</v>
      </c>
      <c r="CV247" s="6">
        <f t="shared" si="53"/>
        <v>0</v>
      </c>
      <c r="CW247" s="6">
        <f t="shared" si="54"/>
        <v>0</v>
      </c>
      <c r="CX247" s="6">
        <f t="shared" si="55"/>
        <v>0</v>
      </c>
      <c r="CY247" s="6">
        <f t="shared" si="56"/>
        <v>0</v>
      </c>
      <c r="CZ247" s="6">
        <f t="shared" si="57"/>
        <v>0</v>
      </c>
      <c r="DA247" s="6">
        <f t="shared" si="58"/>
        <v>0</v>
      </c>
      <c r="DB247" s="6">
        <f t="shared" si="59"/>
        <v>0</v>
      </c>
      <c r="DC247" s="6">
        <f t="shared" si="60"/>
        <v>0</v>
      </c>
      <c r="DD247" s="6">
        <f t="shared" si="61"/>
        <v>0</v>
      </c>
      <c r="DE247" s="6">
        <f t="shared" si="62"/>
        <v>0</v>
      </c>
      <c r="DF247" s="6">
        <f t="shared" si="63"/>
        <v>0</v>
      </c>
      <c r="DG247" s="6">
        <f t="shared" si="64"/>
        <v>0</v>
      </c>
      <c r="DH247" s="6">
        <f t="shared" si="697"/>
        <v>0</v>
      </c>
      <c r="DI247" s="6">
        <f t="shared" si="66"/>
        <v>0</v>
      </c>
      <c r="DJ247" s="6">
        <f t="shared" si="653"/>
        <v>0</v>
      </c>
      <c r="DK247" s="7">
        <f t="shared" si="68"/>
        <v>0</v>
      </c>
      <c r="DL247" s="7">
        <f t="shared" si="498"/>
        <v>0</v>
      </c>
      <c r="DM247" s="7">
        <f t="shared" si="70"/>
        <v>0</v>
      </c>
      <c r="DN247" s="7">
        <f t="shared" si="71"/>
        <v>0</v>
      </c>
      <c r="DO247" s="7">
        <f t="shared" si="72"/>
        <v>0</v>
      </c>
      <c r="DP247" s="8">
        <f t="shared" si="73"/>
        <v>0</v>
      </c>
      <c r="DQ247" s="8">
        <f t="shared" si="74"/>
        <v>1</v>
      </c>
      <c r="DR247" s="7">
        <f t="shared" si="75"/>
        <v>0</v>
      </c>
      <c r="DS247" s="7">
        <f t="shared" si="76"/>
        <v>0</v>
      </c>
      <c r="DT247" s="7">
        <f t="shared" si="77"/>
        <v>0</v>
      </c>
      <c r="DU247" s="9">
        <f t="shared" si="78"/>
        <v>0</v>
      </c>
      <c r="DV247" s="9">
        <f t="shared" si="79"/>
        <v>0</v>
      </c>
      <c r="DW247" s="9">
        <f t="shared" si="80"/>
        <v>0</v>
      </c>
      <c r="DX247" s="9">
        <f t="shared" si="81"/>
        <v>0</v>
      </c>
      <c r="DY247" s="9">
        <f t="shared" si="82"/>
        <v>0</v>
      </c>
      <c r="DZ247" s="9">
        <f t="shared" si="83"/>
        <v>0</v>
      </c>
      <c r="EA247" s="9">
        <f t="shared" si="84"/>
        <v>0</v>
      </c>
      <c r="EB247" s="9">
        <f t="shared" si="85"/>
        <v>0</v>
      </c>
      <c r="EC247" s="9">
        <f t="shared" si="86"/>
        <v>0</v>
      </c>
      <c r="ED247" s="9">
        <f t="shared" si="87"/>
        <v>0</v>
      </c>
      <c r="EE247" s="9">
        <f t="shared" si="88"/>
        <v>0</v>
      </c>
      <c r="EF247" s="9">
        <f t="shared" si="89"/>
        <v>0</v>
      </c>
      <c r="EG247" s="9">
        <f t="shared" si="90"/>
        <v>0</v>
      </c>
      <c r="EH247" s="9">
        <f t="shared" si="91"/>
        <v>0</v>
      </c>
      <c r="EI247" s="9">
        <f t="shared" si="92"/>
        <v>0</v>
      </c>
      <c r="EJ247" s="10">
        <f t="shared" si="93"/>
        <v>0</v>
      </c>
      <c r="EK247" s="10">
        <f t="shared" si="94"/>
        <v>0</v>
      </c>
      <c r="EL247" s="10">
        <f t="shared" ref="EL247:EM247" si="856">IF(OR(ISNUMBER(SEARCH("ai software toolkit", $D247)), ISNUMBER(SEARCH("ai software toolkit", $T247)), ISNUMBER(SEARCH("ai software toolkit", $R247)), ISNUMBER(SEARCH("ai software toolkit", $S247))), 1, 0)</f>
        <v>0</v>
      </c>
      <c r="EM247" s="10">
        <f t="shared" si="856"/>
        <v>0</v>
      </c>
      <c r="EN247" s="10">
        <f t="shared" si="96"/>
        <v>0</v>
      </c>
      <c r="EO247" s="10">
        <f t="shared" si="97"/>
        <v>0</v>
      </c>
      <c r="EP247" s="10">
        <f t="shared" si="98"/>
        <v>0</v>
      </c>
      <c r="EQ247" s="10">
        <f t="shared" si="99"/>
        <v>0</v>
      </c>
      <c r="ER247" s="10">
        <f t="shared" si="100"/>
        <v>0</v>
      </c>
      <c r="ES247" s="10">
        <f t="shared" si="101"/>
        <v>0</v>
      </c>
      <c r="ET247" s="10">
        <f t="shared" si="102"/>
        <v>0</v>
      </c>
      <c r="EU247" s="10">
        <f t="shared" si="103"/>
        <v>0</v>
      </c>
      <c r="EV247" s="10">
        <f t="shared" si="104"/>
        <v>0</v>
      </c>
      <c r="EW247" s="10">
        <f t="shared" si="105"/>
        <v>0</v>
      </c>
      <c r="EX247" s="10">
        <f t="shared" si="106"/>
        <v>0</v>
      </c>
      <c r="EY247" s="10">
        <f t="shared" si="107"/>
        <v>0</v>
      </c>
      <c r="EZ247" s="10">
        <f t="shared" si="108"/>
        <v>0</v>
      </c>
      <c r="FA247" s="10">
        <f t="shared" si="109"/>
        <v>0</v>
      </c>
      <c r="FB247" s="10">
        <f t="shared" si="110"/>
        <v>0</v>
      </c>
      <c r="FC247" s="10">
        <f t="shared" si="111"/>
        <v>0</v>
      </c>
      <c r="FD247" s="10">
        <f t="shared" si="112"/>
        <v>0</v>
      </c>
      <c r="FE247" s="10">
        <f t="shared" si="782"/>
        <v>0</v>
      </c>
      <c r="FF247" s="10">
        <f t="shared" si="114"/>
        <v>0</v>
      </c>
      <c r="FG247" s="10">
        <f t="shared" si="115"/>
        <v>0</v>
      </c>
      <c r="FH247" s="10">
        <f t="shared" si="116"/>
        <v>0</v>
      </c>
      <c r="FI247" s="10">
        <f t="shared" si="117"/>
        <v>0</v>
      </c>
      <c r="FJ247" s="10">
        <f t="shared" si="118"/>
        <v>0</v>
      </c>
      <c r="FK247" s="10">
        <f t="shared" si="119"/>
        <v>0</v>
      </c>
      <c r="FL247" s="10">
        <f t="shared" si="120"/>
        <v>0</v>
      </c>
      <c r="FM247" s="10">
        <f t="shared" si="121"/>
        <v>0</v>
      </c>
      <c r="FN247" s="10">
        <f t="shared" si="122"/>
        <v>0</v>
      </c>
      <c r="FO247" s="10">
        <f t="shared" si="123"/>
        <v>0</v>
      </c>
      <c r="FP247" s="10">
        <f t="shared" si="124"/>
        <v>0</v>
      </c>
      <c r="FQ247" s="10">
        <f t="shared" si="125"/>
        <v>0</v>
      </c>
      <c r="FR247" s="11">
        <f t="shared" si="804"/>
        <v>0</v>
      </c>
      <c r="FS247" s="11">
        <f t="shared" si="127"/>
        <v>0</v>
      </c>
      <c r="FT247" s="11">
        <f t="shared" si="128"/>
        <v>0</v>
      </c>
      <c r="FU247" s="11">
        <f t="shared" si="129"/>
        <v>0</v>
      </c>
      <c r="FV247" s="11">
        <f t="shared" si="130"/>
        <v>0</v>
      </c>
      <c r="FW247" s="11">
        <f t="shared" si="131"/>
        <v>0</v>
      </c>
      <c r="FX247" s="11">
        <f t="shared" si="132"/>
        <v>0</v>
      </c>
      <c r="FY247" s="11">
        <f t="shared" si="133"/>
        <v>0</v>
      </c>
      <c r="FZ247" s="11">
        <f t="shared" si="134"/>
        <v>0</v>
      </c>
      <c r="GA247" s="11">
        <f t="shared" si="135"/>
        <v>0</v>
      </c>
      <c r="GB247" s="11">
        <f t="shared" si="136"/>
        <v>0</v>
      </c>
      <c r="GC247" s="11">
        <f t="shared" si="137"/>
        <v>0</v>
      </c>
      <c r="GD247" s="11">
        <f t="shared" si="138"/>
        <v>0</v>
      </c>
      <c r="GE247" s="11">
        <f t="shared" si="139"/>
        <v>0</v>
      </c>
      <c r="GF247" s="11">
        <f t="shared" si="140"/>
        <v>0</v>
      </c>
      <c r="GG247" s="11">
        <f t="shared" si="141"/>
        <v>0</v>
      </c>
      <c r="GH247" s="11">
        <f t="shared" si="142"/>
        <v>0</v>
      </c>
      <c r="GI247" s="11">
        <f t="shared" si="143"/>
        <v>0</v>
      </c>
      <c r="GJ247" s="11">
        <f t="shared" si="144"/>
        <v>0</v>
      </c>
      <c r="GK247" s="11">
        <f t="shared" si="145"/>
        <v>0</v>
      </c>
      <c r="GL247" s="11">
        <f t="shared" si="146"/>
        <v>0</v>
      </c>
      <c r="GM247" s="11">
        <f t="shared" si="147"/>
        <v>0</v>
      </c>
      <c r="GN247" s="11">
        <f t="shared" si="148"/>
        <v>0</v>
      </c>
      <c r="GO247" s="11">
        <f t="shared" si="149"/>
        <v>0</v>
      </c>
      <c r="GP247" s="11">
        <f t="shared" si="150"/>
        <v>0</v>
      </c>
      <c r="GQ247" s="11">
        <f t="shared" si="151"/>
        <v>0</v>
      </c>
      <c r="GR247" s="11">
        <f t="shared" si="152"/>
        <v>0</v>
      </c>
      <c r="GS247" s="11">
        <f t="shared" si="153"/>
        <v>0</v>
      </c>
      <c r="GT247" s="11">
        <f t="shared" si="154"/>
        <v>0</v>
      </c>
      <c r="GU247" s="12">
        <f t="shared" si="155"/>
        <v>0</v>
      </c>
      <c r="GV247" s="12">
        <f t="shared" si="156"/>
        <v>0</v>
      </c>
      <c r="GW247" s="12">
        <f t="shared" si="157"/>
        <v>0</v>
      </c>
      <c r="GX247" s="12">
        <f t="shared" si="158"/>
        <v>0</v>
      </c>
      <c r="GY247" s="12">
        <f t="shared" si="159"/>
        <v>0</v>
      </c>
      <c r="GZ247" s="12">
        <f t="shared" si="160"/>
        <v>0</v>
      </c>
      <c r="HA247" s="12">
        <f t="shared" si="161"/>
        <v>0</v>
      </c>
      <c r="HB247" s="12">
        <f t="shared" si="162"/>
        <v>0</v>
      </c>
      <c r="HC247" s="12">
        <f t="shared" si="163"/>
        <v>0</v>
      </c>
      <c r="HD247" s="12">
        <f t="shared" si="164"/>
        <v>0</v>
      </c>
      <c r="HE247" s="12">
        <f t="shared" si="165"/>
        <v>0</v>
      </c>
      <c r="HF247" s="12">
        <f t="shared" si="166"/>
        <v>0</v>
      </c>
      <c r="HG247" s="12">
        <f t="shared" si="167"/>
        <v>0</v>
      </c>
      <c r="HH247" s="12">
        <f t="shared" si="168"/>
        <v>0</v>
      </c>
      <c r="HI247" s="12">
        <f t="shared" si="169"/>
        <v>0</v>
      </c>
      <c r="HJ247" s="12">
        <f t="shared" si="170"/>
        <v>0</v>
      </c>
      <c r="HK247" s="12">
        <f t="shared" si="171"/>
        <v>0</v>
      </c>
      <c r="HL247" s="12">
        <f t="shared" si="172"/>
        <v>0</v>
      </c>
      <c r="HM247" s="12">
        <f t="shared" si="173"/>
        <v>0</v>
      </c>
      <c r="HN247" s="12">
        <f t="shared" si="174"/>
        <v>0</v>
      </c>
      <c r="HO247" s="12">
        <f t="shared" si="175"/>
        <v>0</v>
      </c>
      <c r="HP247" s="12">
        <f t="shared" si="176"/>
        <v>0</v>
      </c>
      <c r="HQ247" s="12">
        <f t="shared" si="177"/>
        <v>0</v>
      </c>
      <c r="HR247" s="12">
        <f t="shared" si="178"/>
        <v>0</v>
      </c>
      <c r="HS247" s="12">
        <f t="shared" si="179"/>
        <v>0</v>
      </c>
      <c r="HT247" s="12">
        <f t="shared" si="180"/>
        <v>0</v>
      </c>
      <c r="HU247" s="12">
        <f t="shared" si="181"/>
        <v>0</v>
      </c>
      <c r="HV247" s="12">
        <f t="shared" si="182"/>
        <v>0</v>
      </c>
      <c r="HW247" s="12">
        <f t="shared" si="183"/>
        <v>0</v>
      </c>
      <c r="HX247" s="12">
        <f t="shared" si="184"/>
        <v>0</v>
      </c>
      <c r="HY247" s="12">
        <f t="shared" si="185"/>
        <v>0</v>
      </c>
      <c r="HZ247" s="12">
        <f t="shared" si="186"/>
        <v>0</v>
      </c>
      <c r="IA247" s="12">
        <f t="shared" si="187"/>
        <v>0</v>
      </c>
      <c r="IB247" s="12">
        <f t="shared" si="188"/>
        <v>0</v>
      </c>
      <c r="IC247" s="12">
        <f t="shared" si="189"/>
        <v>0</v>
      </c>
      <c r="ID247" s="12">
        <f t="shared" si="190"/>
        <v>0</v>
      </c>
      <c r="IE247" s="12">
        <f t="shared" si="191"/>
        <v>0</v>
      </c>
      <c r="IF247" s="12">
        <f t="shared" si="192"/>
        <v>0</v>
      </c>
      <c r="IG247" s="12">
        <f t="shared" si="193"/>
        <v>0</v>
      </c>
      <c r="IH247" s="12">
        <f t="shared" si="194"/>
        <v>0</v>
      </c>
      <c r="II247" s="12">
        <f t="shared" si="195"/>
        <v>0</v>
      </c>
      <c r="IJ247" s="12">
        <f t="shared" si="196"/>
        <v>0</v>
      </c>
      <c r="IK247" s="12">
        <f t="shared" si="197"/>
        <v>0</v>
      </c>
      <c r="IL247" s="12">
        <f t="shared" si="198"/>
        <v>0</v>
      </c>
      <c r="IM247" s="12">
        <f t="shared" si="199"/>
        <v>0</v>
      </c>
      <c r="IN247" s="12">
        <f t="shared" si="200"/>
        <v>0</v>
      </c>
      <c r="IO247" s="12">
        <f t="shared" si="201"/>
        <v>0</v>
      </c>
      <c r="IP247" s="12">
        <f t="shared" si="202"/>
        <v>0</v>
      </c>
      <c r="IQ247" s="12">
        <f t="shared" si="203"/>
        <v>0</v>
      </c>
      <c r="IR247" s="12">
        <f t="shared" si="204"/>
        <v>0</v>
      </c>
      <c r="IS247" s="12">
        <f t="shared" si="205"/>
        <v>0</v>
      </c>
      <c r="IT247" s="12">
        <f t="shared" si="206"/>
        <v>0</v>
      </c>
      <c r="IU247" s="12">
        <f t="shared" si="207"/>
        <v>0</v>
      </c>
      <c r="IV247" s="12">
        <f t="shared" si="208"/>
        <v>0</v>
      </c>
      <c r="IW247" s="12">
        <f t="shared" si="209"/>
        <v>0</v>
      </c>
      <c r="IX247" s="12">
        <f t="shared" si="210"/>
        <v>0</v>
      </c>
      <c r="IY247" s="12">
        <f t="shared" si="211"/>
        <v>0</v>
      </c>
      <c r="IZ247" s="12">
        <f t="shared" si="212"/>
        <v>1</v>
      </c>
      <c r="JA247" s="13">
        <f t="shared" si="213"/>
        <v>0</v>
      </c>
      <c r="JB247" s="13">
        <f t="shared" si="214"/>
        <v>0</v>
      </c>
      <c r="JC247" s="13">
        <f t="shared" si="215"/>
        <v>0</v>
      </c>
      <c r="JD247" s="13">
        <f t="shared" si="216"/>
        <v>0</v>
      </c>
      <c r="JE247" s="13">
        <f t="shared" si="217"/>
        <v>0</v>
      </c>
      <c r="JF247" s="13">
        <f t="shared" si="218"/>
        <v>0</v>
      </c>
      <c r="JG247" s="13">
        <f t="shared" si="219"/>
        <v>0</v>
      </c>
      <c r="JH247" s="13">
        <f t="shared" si="220"/>
        <v>0</v>
      </c>
      <c r="JI247" s="13">
        <f t="shared" si="221"/>
        <v>0</v>
      </c>
      <c r="JJ247" s="13">
        <f t="shared" si="222"/>
        <v>0</v>
      </c>
      <c r="JK247" s="13">
        <f t="shared" si="223"/>
        <v>0</v>
      </c>
      <c r="JL247" s="13">
        <f t="shared" si="224"/>
        <v>0</v>
      </c>
      <c r="JM247" s="13">
        <f t="shared" si="225"/>
        <v>0</v>
      </c>
      <c r="JN247" s="13">
        <f t="shared" si="226"/>
        <v>0</v>
      </c>
      <c r="JO247" s="13">
        <f t="shared" si="227"/>
        <v>0</v>
      </c>
      <c r="JP247" s="13">
        <f t="shared" si="228"/>
        <v>0</v>
      </c>
      <c r="JQ247" s="13">
        <f t="shared" si="229"/>
        <v>0</v>
      </c>
      <c r="JR247" s="13">
        <f t="shared" si="230"/>
        <v>0</v>
      </c>
      <c r="JS247" s="13">
        <f t="shared" si="231"/>
        <v>0</v>
      </c>
      <c r="JT247" s="13">
        <f t="shared" si="232"/>
        <v>0</v>
      </c>
      <c r="JU247" s="13">
        <f t="shared" si="233"/>
        <v>0</v>
      </c>
      <c r="JV247" s="12">
        <f t="shared" si="234"/>
        <v>0</v>
      </c>
      <c r="JW247" s="12">
        <f t="shared" si="235"/>
        <v>0</v>
      </c>
      <c r="JX247" s="12">
        <f t="shared" si="236"/>
        <v>0</v>
      </c>
      <c r="JY247" s="12">
        <f t="shared" si="237"/>
        <v>0</v>
      </c>
      <c r="JZ247" s="12">
        <f t="shared" si="238"/>
        <v>0</v>
      </c>
      <c r="KA247" s="12">
        <f t="shared" si="239"/>
        <v>0</v>
      </c>
      <c r="KB247" s="12">
        <f t="shared" si="240"/>
        <v>0</v>
      </c>
      <c r="KC247" s="12">
        <f t="shared" si="241"/>
        <v>0</v>
      </c>
      <c r="KD247" s="12">
        <f t="shared" si="797"/>
        <v>0</v>
      </c>
      <c r="KE247" s="12">
        <f t="shared" si="243"/>
        <v>0</v>
      </c>
      <c r="KF247" s="12">
        <f t="shared" si="244"/>
        <v>0</v>
      </c>
      <c r="KG247" s="12">
        <f t="shared" si="245"/>
        <v>0</v>
      </c>
      <c r="KH247" s="12">
        <f t="shared" si="246"/>
        <v>0</v>
      </c>
      <c r="KI247" s="12">
        <f t="shared" si="247"/>
        <v>0</v>
      </c>
      <c r="KJ247" s="12">
        <f t="shared" si="248"/>
        <v>0</v>
      </c>
      <c r="KK247" s="12">
        <f t="shared" si="249"/>
        <v>0</v>
      </c>
      <c r="KL247" s="12">
        <f t="shared" si="250"/>
        <v>0</v>
      </c>
      <c r="KM247" s="12">
        <f t="shared" si="251"/>
        <v>0</v>
      </c>
      <c r="KN247" s="12">
        <f t="shared" si="252"/>
        <v>0</v>
      </c>
      <c r="KO247" s="12">
        <f t="shared" si="253"/>
        <v>0</v>
      </c>
      <c r="KP247" s="12">
        <f t="shared" si="254"/>
        <v>0</v>
      </c>
      <c r="KQ247" s="12">
        <f t="shared" si="255"/>
        <v>0</v>
      </c>
      <c r="KR247" s="12">
        <f t="shared" si="256"/>
        <v>0</v>
      </c>
      <c r="KS247" s="12">
        <f t="shared" si="257"/>
        <v>0</v>
      </c>
      <c r="KT247" s="12">
        <f t="shared" si="258"/>
        <v>0</v>
      </c>
      <c r="KU247" s="12">
        <f t="shared" si="259"/>
        <v>0</v>
      </c>
      <c r="KV247" s="12">
        <f t="shared" si="260"/>
        <v>0</v>
      </c>
      <c r="KW247" s="12">
        <f t="shared" si="261"/>
        <v>0</v>
      </c>
      <c r="KX247" s="12">
        <f t="shared" si="262"/>
        <v>0</v>
      </c>
      <c r="KY247" s="12">
        <f t="shared" si="263"/>
        <v>0</v>
      </c>
      <c r="KZ247" s="12">
        <f t="shared" si="264"/>
        <v>0</v>
      </c>
      <c r="LA247" s="12">
        <f t="shared" si="265"/>
        <v>0</v>
      </c>
      <c r="LB247" s="12">
        <f t="shared" si="266"/>
        <v>0</v>
      </c>
      <c r="LC247" s="12">
        <f t="shared" si="267"/>
        <v>0</v>
      </c>
      <c r="LD247" s="12">
        <f t="shared" si="268"/>
        <v>0</v>
      </c>
      <c r="LE247" s="12">
        <f t="shared" si="269"/>
        <v>0</v>
      </c>
      <c r="LF247" s="12">
        <f t="shared" si="270"/>
        <v>0</v>
      </c>
      <c r="LG247" s="12">
        <f t="shared" si="271"/>
        <v>0</v>
      </c>
      <c r="LH247" s="12">
        <f t="shared" si="272"/>
        <v>0</v>
      </c>
      <c r="LI247" s="12">
        <f t="shared" si="273"/>
        <v>0</v>
      </c>
      <c r="LJ247" s="12">
        <f t="shared" si="274"/>
        <v>0</v>
      </c>
      <c r="LK247" s="12">
        <f t="shared" si="275"/>
        <v>0</v>
      </c>
      <c r="LL247" s="12">
        <f t="shared" si="276"/>
        <v>0</v>
      </c>
      <c r="LM247" s="12">
        <f t="shared" si="277"/>
        <v>0</v>
      </c>
      <c r="LN247" s="12">
        <f t="shared" si="278"/>
        <v>0</v>
      </c>
      <c r="LO247" s="12">
        <f t="shared" si="279"/>
        <v>0</v>
      </c>
      <c r="LP247" s="12">
        <f t="shared" si="280"/>
        <v>0</v>
      </c>
      <c r="LQ247" s="12">
        <f t="shared" si="281"/>
        <v>0</v>
      </c>
      <c r="LR247" s="12">
        <f t="shared" si="282"/>
        <v>0</v>
      </c>
      <c r="LS247" s="12">
        <f t="shared" si="283"/>
        <v>0</v>
      </c>
      <c r="LT247" s="13">
        <f t="shared" si="284"/>
        <v>0</v>
      </c>
      <c r="LU247" s="13">
        <f t="shared" si="285"/>
        <v>0</v>
      </c>
      <c r="LV247" s="13">
        <f t="shared" si="286"/>
        <v>0</v>
      </c>
      <c r="LW247" s="13">
        <f t="shared" si="287"/>
        <v>0</v>
      </c>
      <c r="LX247" s="13">
        <f t="shared" si="288"/>
        <v>0</v>
      </c>
      <c r="LY247" s="13">
        <f t="shared" si="289"/>
        <v>0</v>
      </c>
      <c r="LZ247" s="13">
        <f t="shared" si="290"/>
        <v>0</v>
      </c>
      <c r="MA247" s="13">
        <f t="shared" si="291"/>
        <v>0</v>
      </c>
      <c r="MB247" s="13">
        <f t="shared" si="292"/>
        <v>0</v>
      </c>
      <c r="MC247" s="13">
        <f t="shared" si="293"/>
        <v>0</v>
      </c>
      <c r="MD247" s="13">
        <f t="shared" si="294"/>
        <v>0</v>
      </c>
      <c r="ME247" s="13">
        <f t="shared" si="295"/>
        <v>0</v>
      </c>
      <c r="MF247" s="13">
        <f t="shared" si="296"/>
        <v>0</v>
      </c>
      <c r="MG247" s="13">
        <f t="shared" si="297"/>
        <v>0</v>
      </c>
      <c r="MH247" s="13">
        <f t="shared" si="298"/>
        <v>0</v>
      </c>
      <c r="MI247" s="13">
        <f t="shared" si="299"/>
        <v>0</v>
      </c>
      <c r="MJ247" s="13">
        <f t="shared" si="300"/>
        <v>0</v>
      </c>
      <c r="MK247" s="13">
        <f t="shared" si="301"/>
        <v>0</v>
      </c>
      <c r="ML247" s="14">
        <f t="shared" si="302"/>
        <v>0</v>
      </c>
      <c r="MM247" s="14">
        <f t="shared" si="303"/>
        <v>0</v>
      </c>
      <c r="MN247" s="14">
        <f t="shared" si="304"/>
        <v>0</v>
      </c>
      <c r="MO247" s="14">
        <f t="shared" si="305"/>
        <v>0</v>
      </c>
      <c r="MP247" s="14">
        <f t="shared" si="306"/>
        <v>0</v>
      </c>
      <c r="MQ247" s="14">
        <f t="shared" si="307"/>
        <v>0</v>
      </c>
      <c r="MR247" s="14">
        <f t="shared" si="308"/>
        <v>0</v>
      </c>
      <c r="MS247" s="14">
        <f t="shared" si="309"/>
        <v>0</v>
      </c>
      <c r="MT247" s="14">
        <f t="shared" si="310"/>
        <v>0</v>
      </c>
      <c r="MU247" s="14">
        <f t="shared" si="311"/>
        <v>0</v>
      </c>
      <c r="MV247" s="14">
        <f t="shared" si="312"/>
        <v>0</v>
      </c>
      <c r="MW247" s="14">
        <f t="shared" si="313"/>
        <v>0</v>
      </c>
      <c r="MX247" s="14">
        <f t="shared" si="314"/>
        <v>0</v>
      </c>
      <c r="MY247" s="14">
        <f t="shared" si="315"/>
        <v>0</v>
      </c>
      <c r="MZ247" s="14">
        <f t="shared" si="316"/>
        <v>0</v>
      </c>
      <c r="NA247" s="14">
        <f t="shared" si="317"/>
        <v>0</v>
      </c>
      <c r="NB247" s="14">
        <f t="shared" si="318"/>
        <v>0</v>
      </c>
    </row>
    <row r="248" ht="15.75" customHeight="1">
      <c r="A248" s="2">
        <v>644.0</v>
      </c>
      <c r="B248" s="2" t="s">
        <v>4445</v>
      </c>
      <c r="C248" s="2" t="s">
        <v>4446</v>
      </c>
      <c r="D248" s="2" t="s">
        <v>4447</v>
      </c>
      <c r="E248" s="2">
        <v>2019.0</v>
      </c>
      <c r="F248" s="2" t="s">
        <v>4029</v>
      </c>
      <c r="G248" s="2" t="s">
        <v>603</v>
      </c>
      <c r="H248" s="2" t="s">
        <v>510</v>
      </c>
      <c r="J248" s="2" t="s">
        <v>782</v>
      </c>
      <c r="K248" s="2" t="s">
        <v>4448</v>
      </c>
      <c r="N248" s="2" t="s">
        <v>4449</v>
      </c>
      <c r="O248" s="2" t="s">
        <v>4450</v>
      </c>
      <c r="P248" s="2" t="s">
        <v>4451</v>
      </c>
      <c r="Q248" s="2" t="s">
        <v>4452</v>
      </c>
      <c r="R248" s="2" t="s">
        <v>4453</v>
      </c>
      <c r="S248" s="2" t="s">
        <v>4454</v>
      </c>
      <c r="Y248" s="2" t="s">
        <v>4455</v>
      </c>
      <c r="AB248" s="2" t="s">
        <v>4037</v>
      </c>
      <c r="AG248" s="2" t="s">
        <v>4038</v>
      </c>
      <c r="AK248" s="2" t="s">
        <v>4039</v>
      </c>
      <c r="AL248" s="2" t="s">
        <v>384</v>
      </c>
      <c r="AN248" s="2" t="s">
        <v>386</v>
      </c>
      <c r="AO248" s="2" t="s">
        <v>4456</v>
      </c>
      <c r="AP248" s="2" t="s">
        <v>386</v>
      </c>
      <c r="AQ248" s="2">
        <v>1080.0</v>
      </c>
      <c r="AR248" s="2" t="s">
        <v>4457</v>
      </c>
      <c r="AS248" s="2" t="b">
        <v>0</v>
      </c>
      <c r="AT248" s="3">
        <v>0.0</v>
      </c>
      <c r="AU248" s="4"/>
      <c r="AV248" s="4"/>
      <c r="AW248" s="5">
        <f t="shared" si="432"/>
        <v>0</v>
      </c>
      <c r="AX248" s="5">
        <f t="shared" si="4"/>
        <v>0</v>
      </c>
      <c r="AY248" s="5">
        <f t="shared" si="5"/>
        <v>0</v>
      </c>
      <c r="AZ248" s="5">
        <f t="shared" si="6"/>
        <v>0</v>
      </c>
      <c r="BA248" s="5">
        <f t="shared" si="7"/>
        <v>0</v>
      </c>
      <c r="BB248" s="5">
        <f t="shared" si="8"/>
        <v>1</v>
      </c>
      <c r="BC248" s="5">
        <f t="shared" si="9"/>
        <v>0</v>
      </c>
      <c r="BD248" s="5">
        <f t="shared" si="10"/>
        <v>0</v>
      </c>
      <c r="BE248" s="5">
        <f t="shared" si="11"/>
        <v>0</v>
      </c>
      <c r="BF248" s="5">
        <f t="shared" si="12"/>
        <v>0</v>
      </c>
      <c r="BG248" s="5">
        <f t="shared" si="13"/>
        <v>0</v>
      </c>
      <c r="BH248" s="5">
        <f t="shared" si="14"/>
        <v>0</v>
      </c>
      <c r="BI248" s="5">
        <f t="shared" si="15"/>
        <v>0</v>
      </c>
      <c r="BJ248" s="5">
        <f t="shared" si="16"/>
        <v>0</v>
      </c>
      <c r="BK248" s="5">
        <f t="shared" si="17"/>
        <v>0</v>
      </c>
      <c r="BL248" s="5">
        <f t="shared" si="18"/>
        <v>0</v>
      </c>
      <c r="BM248" s="5">
        <f t="shared" si="19"/>
        <v>0</v>
      </c>
      <c r="BN248" s="5">
        <f t="shared" si="20"/>
        <v>0</v>
      </c>
      <c r="BO248" s="5">
        <f t="shared" si="21"/>
        <v>0</v>
      </c>
      <c r="BP248" s="5">
        <f t="shared" si="22"/>
        <v>0</v>
      </c>
      <c r="BQ248" s="5">
        <f t="shared" si="23"/>
        <v>0</v>
      </c>
      <c r="BR248" s="5">
        <f t="shared" si="24"/>
        <v>0</v>
      </c>
      <c r="BS248" s="5">
        <f t="shared" si="25"/>
        <v>1</v>
      </c>
      <c r="BT248" s="5">
        <f t="shared" si="26"/>
        <v>0</v>
      </c>
      <c r="BU248" s="5">
        <f t="shared" si="27"/>
        <v>0</v>
      </c>
      <c r="BV248" s="5">
        <f t="shared" ref="BV248:BW248" si="857">IF(OR(ISNUMBER(SEARCH("grit",$D248)),ISNUMBER(SEARCH("grit",$T248)),ISNUMBER(SEARCH("grit",$R248)),ISNUMBER(SEARCH("grit",$S248)),
ISNUMBER(SEARCH("determination",$D248)),ISNUMBER(SEARCH("determination",$T248)),ISNUMBER(SEARCH("determination",$R248)),ISNUMBER(SEARCH("determination",$S248)),
ISNUMBER(SEARCH("tenacity",$D248)),ISNUMBER(SEARCH("tenacity",$T248)),ISNUMBER(SEARCH("tenacity",$R248)),ISNUMBER(SEARCH("tenacity",$S248)),
ISNUMBER(SEARCH("endurance",$D248)),ISNUMBER(SEARCH("endurance",$T248)),ISNUMBER(SEARCH("endurance",$R248)),ISNUMBER(SEARCH("endurance",$S248)),
ISNUMBER(SEARCH("fortitude",$D248)),ISNUMBER(SEARCH("fortitude",$T248)),ISNUMBER(SEARCH("fortitude",$R248)),ISNUMBER(SEARCH("fortitude",$S248)),
ISNUMBER(SEARCH("resolve",$D248)),ISNUMBER(SEARCH("resolve",$T248)),ISNUMBER(SEARCH("resolve",$R248)),ISNUMBER(SEARCH("resolve",$S248)),
ISNUMBER(SEARCH("stamina",$D248)),ISNUMBER(SEARCH("stamina",$T248)),ISNUMBER(SEARCH("stamina",$R248)),ISNUMBER(SEARCH("stamina",$S248)),
ISNUMBER(SEARCH("guts",$D248)),ISNUMBER(SEARCH("guts",$T248)),ISNUMBER(SEARCH("guts",$R248)),ISNUMBER(SEARCH("guts",$S248)),
ISNUMBER(SEARCH("spunk",$D248)),ISNUMBER(SEARCH("spunk",$T248)),ISNUMBER(SEARCH("spunk",$R248)),ISNUMBER(SEARCH("spunk",$S248))), 1, 0)</f>
        <v>0</v>
      </c>
      <c r="BW248" s="5">
        <f t="shared" si="857"/>
        <v>0</v>
      </c>
      <c r="BX248" s="5">
        <f t="shared" si="29"/>
        <v>0</v>
      </c>
      <c r="BY248" s="5">
        <f t="shared" si="30"/>
        <v>0</v>
      </c>
      <c r="BZ248" s="5">
        <f t="shared" si="31"/>
        <v>0</v>
      </c>
      <c r="CA248" s="5">
        <f t="shared" si="32"/>
        <v>0</v>
      </c>
      <c r="CB248" s="5">
        <f t="shared" si="33"/>
        <v>0</v>
      </c>
      <c r="CC248" s="5">
        <f t="shared" si="34"/>
        <v>0</v>
      </c>
      <c r="CD248" s="5">
        <f t="shared" si="35"/>
        <v>0</v>
      </c>
      <c r="CE248" s="5">
        <f t="shared" si="36"/>
        <v>0</v>
      </c>
      <c r="CF248" s="5">
        <f t="shared" si="37"/>
        <v>0</v>
      </c>
      <c r="CG248" s="5">
        <f t="shared" si="38"/>
        <v>0</v>
      </c>
      <c r="CH248" s="5">
        <f t="shared" si="39"/>
        <v>0</v>
      </c>
      <c r="CI248" s="5">
        <f t="shared" si="40"/>
        <v>0</v>
      </c>
      <c r="CJ248" s="5">
        <f t="shared" si="41"/>
        <v>0</v>
      </c>
      <c r="CK248" s="5">
        <f t="shared" si="42"/>
        <v>0</v>
      </c>
      <c r="CL248" s="5">
        <f t="shared" si="43"/>
        <v>0</v>
      </c>
      <c r="CM248" s="5">
        <f t="shared" si="44"/>
        <v>0</v>
      </c>
      <c r="CN248" s="5">
        <f t="shared" si="45"/>
        <v>0</v>
      </c>
      <c r="CO248" s="5">
        <f t="shared" si="46"/>
        <v>0</v>
      </c>
      <c r="CP248" s="6">
        <f t="shared" si="47"/>
        <v>0</v>
      </c>
      <c r="CQ248" s="6">
        <f t="shared" si="48"/>
        <v>0</v>
      </c>
      <c r="CR248" s="6">
        <f t="shared" si="49"/>
        <v>0</v>
      </c>
      <c r="CS248" s="6">
        <f t="shared" si="50"/>
        <v>0</v>
      </c>
      <c r="CT248" s="6">
        <f t="shared" si="584"/>
        <v>0</v>
      </c>
      <c r="CU248" s="6">
        <f t="shared" si="52"/>
        <v>0</v>
      </c>
      <c r="CV248" s="6">
        <f t="shared" si="53"/>
        <v>0</v>
      </c>
      <c r="CW248" s="6">
        <f t="shared" si="54"/>
        <v>0</v>
      </c>
      <c r="CX248" s="6">
        <f t="shared" si="55"/>
        <v>0</v>
      </c>
      <c r="CY248" s="6">
        <f t="shared" si="56"/>
        <v>0</v>
      </c>
      <c r="CZ248" s="6">
        <f t="shared" si="57"/>
        <v>0</v>
      </c>
      <c r="DA248" s="6">
        <f t="shared" si="58"/>
        <v>1</v>
      </c>
      <c r="DB248" s="6">
        <f t="shared" si="59"/>
        <v>0</v>
      </c>
      <c r="DC248" s="6">
        <f t="shared" si="60"/>
        <v>0</v>
      </c>
      <c r="DD248" s="6">
        <f t="shared" si="61"/>
        <v>0</v>
      </c>
      <c r="DE248" s="6">
        <f t="shared" si="62"/>
        <v>0</v>
      </c>
      <c r="DF248" s="6">
        <f t="shared" si="63"/>
        <v>0</v>
      </c>
      <c r="DG248" s="6">
        <f t="shared" si="64"/>
        <v>0</v>
      </c>
      <c r="DH248" s="6">
        <f t="shared" si="697"/>
        <v>0</v>
      </c>
      <c r="DI248" s="6">
        <f t="shared" si="66"/>
        <v>0</v>
      </c>
      <c r="DJ248" s="6">
        <f t="shared" si="653"/>
        <v>0</v>
      </c>
      <c r="DK248" s="7">
        <f t="shared" si="68"/>
        <v>0</v>
      </c>
      <c r="DL248" s="7">
        <f t="shared" si="498"/>
        <v>0</v>
      </c>
      <c r="DM248" s="7">
        <f t="shared" si="70"/>
        <v>0</v>
      </c>
      <c r="DN248" s="7">
        <f t="shared" si="71"/>
        <v>0</v>
      </c>
      <c r="DO248" s="7">
        <f t="shared" si="72"/>
        <v>1</v>
      </c>
      <c r="DP248" s="8">
        <f t="shared" si="73"/>
        <v>0</v>
      </c>
      <c r="DQ248" s="8">
        <f t="shared" si="74"/>
        <v>0</v>
      </c>
      <c r="DR248" s="7">
        <f t="shared" si="75"/>
        <v>0</v>
      </c>
      <c r="DS248" s="7">
        <f t="shared" si="76"/>
        <v>0</v>
      </c>
      <c r="DT248" s="7">
        <f t="shared" si="77"/>
        <v>0</v>
      </c>
      <c r="DU248" s="9">
        <f t="shared" si="78"/>
        <v>0</v>
      </c>
      <c r="DV248" s="9">
        <f t="shared" si="79"/>
        <v>0</v>
      </c>
      <c r="DW248" s="9">
        <f t="shared" si="80"/>
        <v>0</v>
      </c>
      <c r="DX248" s="9">
        <f t="shared" si="81"/>
        <v>0</v>
      </c>
      <c r="DY248" s="9">
        <f t="shared" si="82"/>
        <v>0</v>
      </c>
      <c r="DZ248" s="9">
        <f t="shared" si="83"/>
        <v>0</v>
      </c>
      <c r="EA248" s="9">
        <f t="shared" si="84"/>
        <v>0</v>
      </c>
      <c r="EB248" s="9">
        <f t="shared" si="85"/>
        <v>0</v>
      </c>
      <c r="EC248" s="9">
        <f t="shared" si="86"/>
        <v>0</v>
      </c>
      <c r="ED248" s="9">
        <f t="shared" si="87"/>
        <v>0</v>
      </c>
      <c r="EE248" s="9">
        <f t="shared" si="88"/>
        <v>0</v>
      </c>
      <c r="EF248" s="9">
        <f t="shared" si="89"/>
        <v>0</v>
      </c>
      <c r="EG248" s="9">
        <f t="shared" si="90"/>
        <v>0</v>
      </c>
      <c r="EH248" s="9">
        <f t="shared" si="91"/>
        <v>0</v>
      </c>
      <c r="EI248" s="9">
        <f t="shared" si="92"/>
        <v>0</v>
      </c>
      <c r="EJ248" s="10">
        <f t="shared" si="93"/>
        <v>0</v>
      </c>
      <c r="EK248" s="10">
        <f t="shared" si="94"/>
        <v>0</v>
      </c>
      <c r="EL248" s="10">
        <f t="shared" ref="EL248:EM248" si="858">IF(OR(ISNUMBER(SEARCH("ai software toolkit", $D248)), ISNUMBER(SEARCH("ai software toolkit", $T248)), ISNUMBER(SEARCH("ai software toolkit", $R248)), ISNUMBER(SEARCH("ai software toolkit", $S248))), 1, 0)</f>
        <v>0</v>
      </c>
      <c r="EM248" s="10">
        <f t="shared" si="858"/>
        <v>0</v>
      </c>
      <c r="EN248" s="10">
        <f t="shared" si="96"/>
        <v>0</v>
      </c>
      <c r="EO248" s="10">
        <f t="shared" si="97"/>
        <v>0</v>
      </c>
      <c r="EP248" s="10">
        <f t="shared" si="98"/>
        <v>0</v>
      </c>
      <c r="EQ248" s="10">
        <f t="shared" si="99"/>
        <v>0</v>
      </c>
      <c r="ER248" s="10">
        <f t="shared" si="100"/>
        <v>0</v>
      </c>
      <c r="ES248" s="10">
        <f t="shared" si="101"/>
        <v>0</v>
      </c>
      <c r="ET248" s="10">
        <f t="shared" si="102"/>
        <v>0</v>
      </c>
      <c r="EU248" s="10">
        <f t="shared" si="103"/>
        <v>0</v>
      </c>
      <c r="EV248" s="10">
        <f t="shared" si="104"/>
        <v>0</v>
      </c>
      <c r="EW248" s="10">
        <f t="shared" si="105"/>
        <v>0</v>
      </c>
      <c r="EX248" s="10">
        <f t="shared" si="106"/>
        <v>0</v>
      </c>
      <c r="EY248" s="10">
        <f t="shared" si="107"/>
        <v>0</v>
      </c>
      <c r="EZ248" s="10">
        <f t="shared" si="108"/>
        <v>0</v>
      </c>
      <c r="FA248" s="10">
        <f t="shared" si="109"/>
        <v>0</v>
      </c>
      <c r="FB248" s="10">
        <f t="shared" si="110"/>
        <v>0</v>
      </c>
      <c r="FC248" s="10">
        <f t="shared" si="111"/>
        <v>0</v>
      </c>
      <c r="FD248" s="10">
        <f t="shared" si="112"/>
        <v>0</v>
      </c>
      <c r="FE248" s="10">
        <f t="shared" si="782"/>
        <v>0</v>
      </c>
      <c r="FF248" s="10">
        <f t="shared" si="114"/>
        <v>0</v>
      </c>
      <c r="FG248" s="10">
        <f t="shared" si="115"/>
        <v>0</v>
      </c>
      <c r="FH248" s="10">
        <f t="shared" si="116"/>
        <v>0</v>
      </c>
      <c r="FI248" s="10">
        <f t="shared" si="117"/>
        <v>0</v>
      </c>
      <c r="FJ248" s="10">
        <f t="shared" si="118"/>
        <v>0</v>
      </c>
      <c r="FK248" s="10">
        <f t="shared" si="119"/>
        <v>0</v>
      </c>
      <c r="FL248" s="10">
        <f t="shared" si="120"/>
        <v>0</v>
      </c>
      <c r="FM248" s="10">
        <f t="shared" si="121"/>
        <v>0</v>
      </c>
      <c r="FN248" s="10">
        <f t="shared" si="122"/>
        <v>0</v>
      </c>
      <c r="FO248" s="10">
        <f t="shared" si="123"/>
        <v>0</v>
      </c>
      <c r="FP248" s="10">
        <f t="shared" si="124"/>
        <v>0</v>
      </c>
      <c r="FQ248" s="10">
        <f t="shared" si="125"/>
        <v>0</v>
      </c>
      <c r="FR248" s="11">
        <f t="shared" si="804"/>
        <v>0</v>
      </c>
      <c r="FS248" s="11">
        <f t="shared" si="127"/>
        <v>0</v>
      </c>
      <c r="FT248" s="11">
        <f t="shared" si="128"/>
        <v>0</v>
      </c>
      <c r="FU248" s="11">
        <f t="shared" si="129"/>
        <v>0</v>
      </c>
      <c r="FV248" s="11">
        <f t="shared" si="130"/>
        <v>0</v>
      </c>
      <c r="FW248" s="11">
        <f t="shared" si="131"/>
        <v>0</v>
      </c>
      <c r="FX248" s="11">
        <f t="shared" si="132"/>
        <v>0</v>
      </c>
      <c r="FY248" s="11">
        <f t="shared" si="133"/>
        <v>0</v>
      </c>
      <c r="FZ248" s="11">
        <f t="shared" si="134"/>
        <v>0</v>
      </c>
      <c r="GA248" s="11">
        <f t="shared" si="135"/>
        <v>0</v>
      </c>
      <c r="GB248" s="11">
        <f t="shared" si="136"/>
        <v>0</v>
      </c>
      <c r="GC248" s="11">
        <f t="shared" si="137"/>
        <v>0</v>
      </c>
      <c r="GD248" s="11">
        <f t="shared" si="138"/>
        <v>0</v>
      </c>
      <c r="GE248" s="11">
        <f t="shared" si="139"/>
        <v>0</v>
      </c>
      <c r="GF248" s="11">
        <f t="shared" si="140"/>
        <v>0</v>
      </c>
      <c r="GG248" s="11">
        <f t="shared" si="141"/>
        <v>0</v>
      </c>
      <c r="GH248" s="11">
        <f t="shared" si="142"/>
        <v>0</v>
      </c>
      <c r="GI248" s="11">
        <f t="shared" si="143"/>
        <v>0</v>
      </c>
      <c r="GJ248" s="11">
        <f t="shared" si="144"/>
        <v>0</v>
      </c>
      <c r="GK248" s="11">
        <f t="shared" si="145"/>
        <v>0</v>
      </c>
      <c r="GL248" s="11">
        <f t="shared" si="146"/>
        <v>0</v>
      </c>
      <c r="GM248" s="11">
        <f t="shared" si="147"/>
        <v>0</v>
      </c>
      <c r="GN248" s="11">
        <f t="shared" si="148"/>
        <v>0</v>
      </c>
      <c r="GO248" s="11">
        <f t="shared" si="149"/>
        <v>0</v>
      </c>
      <c r="GP248" s="11">
        <f t="shared" si="150"/>
        <v>0</v>
      </c>
      <c r="GQ248" s="11">
        <f t="shared" si="151"/>
        <v>0</v>
      </c>
      <c r="GR248" s="11">
        <f t="shared" si="152"/>
        <v>0</v>
      </c>
      <c r="GS248" s="11">
        <f t="shared" si="153"/>
        <v>0</v>
      </c>
      <c r="GT248" s="11">
        <f t="shared" si="154"/>
        <v>0</v>
      </c>
      <c r="GU248" s="12">
        <f t="shared" si="155"/>
        <v>0</v>
      </c>
      <c r="GV248" s="12">
        <f t="shared" si="156"/>
        <v>0</v>
      </c>
      <c r="GW248" s="12">
        <f t="shared" si="157"/>
        <v>0</v>
      </c>
      <c r="GX248" s="12">
        <f t="shared" si="158"/>
        <v>0</v>
      </c>
      <c r="GY248" s="12">
        <f t="shared" si="159"/>
        <v>0</v>
      </c>
      <c r="GZ248" s="12">
        <f t="shared" si="160"/>
        <v>0</v>
      </c>
      <c r="HA248" s="12">
        <f t="shared" si="161"/>
        <v>0</v>
      </c>
      <c r="HB248" s="12">
        <f t="shared" si="162"/>
        <v>0</v>
      </c>
      <c r="HC248" s="12">
        <f t="shared" si="163"/>
        <v>0</v>
      </c>
      <c r="HD248" s="12">
        <f t="shared" si="164"/>
        <v>0</v>
      </c>
      <c r="HE248" s="12">
        <f t="shared" si="165"/>
        <v>0</v>
      </c>
      <c r="HF248" s="12">
        <f t="shared" si="166"/>
        <v>0</v>
      </c>
      <c r="HG248" s="12">
        <f t="shared" si="167"/>
        <v>0</v>
      </c>
      <c r="HH248" s="12">
        <f t="shared" si="168"/>
        <v>0</v>
      </c>
      <c r="HI248" s="12">
        <f t="shared" si="169"/>
        <v>0</v>
      </c>
      <c r="HJ248" s="12">
        <f t="shared" si="170"/>
        <v>0</v>
      </c>
      <c r="HK248" s="12">
        <f t="shared" si="171"/>
        <v>0</v>
      </c>
      <c r="HL248" s="12">
        <f t="shared" si="172"/>
        <v>0</v>
      </c>
      <c r="HM248" s="12">
        <f t="shared" si="173"/>
        <v>0</v>
      </c>
      <c r="HN248" s="12">
        <f t="shared" si="174"/>
        <v>0</v>
      </c>
      <c r="HO248" s="12">
        <f t="shared" si="175"/>
        <v>0</v>
      </c>
      <c r="HP248" s="12">
        <f t="shared" si="176"/>
        <v>0</v>
      </c>
      <c r="HQ248" s="12">
        <f t="shared" si="177"/>
        <v>0</v>
      </c>
      <c r="HR248" s="12">
        <f t="shared" si="178"/>
        <v>0</v>
      </c>
      <c r="HS248" s="12">
        <f t="shared" si="179"/>
        <v>0</v>
      </c>
      <c r="HT248" s="12">
        <f t="shared" si="180"/>
        <v>0</v>
      </c>
      <c r="HU248" s="12">
        <f t="shared" si="181"/>
        <v>0</v>
      </c>
      <c r="HV248" s="12">
        <f t="shared" si="182"/>
        <v>1</v>
      </c>
      <c r="HW248" s="12">
        <f t="shared" si="183"/>
        <v>0</v>
      </c>
      <c r="HX248" s="12">
        <f t="shared" si="184"/>
        <v>0</v>
      </c>
      <c r="HY248" s="12">
        <f t="shared" si="185"/>
        <v>0</v>
      </c>
      <c r="HZ248" s="12">
        <f t="shared" si="186"/>
        <v>0</v>
      </c>
      <c r="IA248" s="12">
        <f t="shared" si="187"/>
        <v>0</v>
      </c>
      <c r="IB248" s="12">
        <f t="shared" si="188"/>
        <v>0</v>
      </c>
      <c r="IC248" s="12">
        <f t="shared" si="189"/>
        <v>0</v>
      </c>
      <c r="ID248" s="12">
        <f t="shared" si="190"/>
        <v>0</v>
      </c>
      <c r="IE248" s="12">
        <f t="shared" si="191"/>
        <v>0</v>
      </c>
      <c r="IF248" s="12">
        <f t="shared" si="192"/>
        <v>0</v>
      </c>
      <c r="IG248" s="12">
        <f t="shared" si="193"/>
        <v>0</v>
      </c>
      <c r="IH248" s="12">
        <f t="shared" si="194"/>
        <v>0</v>
      </c>
      <c r="II248" s="12">
        <f t="shared" si="195"/>
        <v>0</v>
      </c>
      <c r="IJ248" s="12">
        <f t="shared" si="196"/>
        <v>0</v>
      </c>
      <c r="IK248" s="12">
        <f t="shared" si="197"/>
        <v>0</v>
      </c>
      <c r="IL248" s="12">
        <f t="shared" si="198"/>
        <v>0</v>
      </c>
      <c r="IM248" s="12">
        <f t="shared" si="199"/>
        <v>0</v>
      </c>
      <c r="IN248" s="12">
        <f t="shared" si="200"/>
        <v>0</v>
      </c>
      <c r="IO248" s="12">
        <f t="shared" si="201"/>
        <v>0</v>
      </c>
      <c r="IP248" s="12">
        <f t="shared" si="202"/>
        <v>0</v>
      </c>
      <c r="IQ248" s="12">
        <f t="shared" si="203"/>
        <v>0</v>
      </c>
      <c r="IR248" s="12">
        <f t="shared" si="204"/>
        <v>0</v>
      </c>
      <c r="IS248" s="12">
        <f t="shared" si="205"/>
        <v>0</v>
      </c>
      <c r="IT248" s="12">
        <f t="shared" si="206"/>
        <v>0</v>
      </c>
      <c r="IU248" s="12">
        <f t="shared" si="207"/>
        <v>0</v>
      </c>
      <c r="IV248" s="12">
        <f t="shared" si="208"/>
        <v>0</v>
      </c>
      <c r="IW248" s="12">
        <f t="shared" si="209"/>
        <v>0</v>
      </c>
      <c r="IX248" s="12">
        <f t="shared" si="210"/>
        <v>0</v>
      </c>
      <c r="IY248" s="12">
        <f t="shared" si="211"/>
        <v>0</v>
      </c>
      <c r="IZ248" s="12">
        <f t="shared" si="212"/>
        <v>1</v>
      </c>
      <c r="JA248" s="13">
        <f t="shared" si="213"/>
        <v>0</v>
      </c>
      <c r="JB248" s="13">
        <f t="shared" si="214"/>
        <v>0</v>
      </c>
      <c r="JC248" s="13">
        <f t="shared" si="215"/>
        <v>0</v>
      </c>
      <c r="JD248" s="13">
        <f t="shared" si="216"/>
        <v>0</v>
      </c>
      <c r="JE248" s="13">
        <f t="shared" si="217"/>
        <v>0</v>
      </c>
      <c r="JF248" s="13">
        <f t="shared" si="218"/>
        <v>0</v>
      </c>
      <c r="JG248" s="13">
        <f t="shared" si="219"/>
        <v>0</v>
      </c>
      <c r="JH248" s="13">
        <f t="shared" si="220"/>
        <v>0</v>
      </c>
      <c r="JI248" s="13">
        <f t="shared" si="221"/>
        <v>0</v>
      </c>
      <c r="JJ248" s="13">
        <f t="shared" si="222"/>
        <v>0</v>
      </c>
      <c r="JK248" s="13">
        <f t="shared" si="223"/>
        <v>0</v>
      </c>
      <c r="JL248" s="13">
        <f t="shared" si="224"/>
        <v>0</v>
      </c>
      <c r="JM248" s="13">
        <f t="shared" si="225"/>
        <v>0</v>
      </c>
      <c r="JN248" s="13">
        <f t="shared" si="226"/>
        <v>0</v>
      </c>
      <c r="JO248" s="13">
        <f t="shared" si="227"/>
        <v>0</v>
      </c>
      <c r="JP248" s="13">
        <f t="shared" si="228"/>
        <v>0</v>
      </c>
      <c r="JQ248" s="13">
        <f t="shared" si="229"/>
        <v>0</v>
      </c>
      <c r="JR248" s="13">
        <f t="shared" si="230"/>
        <v>0</v>
      </c>
      <c r="JS248" s="13">
        <f t="shared" si="231"/>
        <v>0</v>
      </c>
      <c r="JT248" s="13">
        <f t="shared" si="232"/>
        <v>0</v>
      </c>
      <c r="JU248" s="13">
        <f t="shared" si="233"/>
        <v>0</v>
      </c>
      <c r="JV248" s="12">
        <f t="shared" si="234"/>
        <v>0</v>
      </c>
      <c r="JW248" s="12">
        <f t="shared" si="235"/>
        <v>0</v>
      </c>
      <c r="JX248" s="12">
        <f t="shared" si="236"/>
        <v>0</v>
      </c>
      <c r="JY248" s="12">
        <f t="shared" si="237"/>
        <v>0</v>
      </c>
      <c r="JZ248" s="12">
        <f t="shared" si="238"/>
        <v>0</v>
      </c>
      <c r="KA248" s="12">
        <f t="shared" si="239"/>
        <v>0</v>
      </c>
      <c r="KB248" s="12">
        <f t="shared" si="240"/>
        <v>0</v>
      </c>
      <c r="KC248" s="12">
        <f t="shared" si="241"/>
        <v>0</v>
      </c>
      <c r="KD248" s="12">
        <f t="shared" si="797"/>
        <v>0</v>
      </c>
      <c r="KE248" s="12">
        <f t="shared" si="243"/>
        <v>0</v>
      </c>
      <c r="KF248" s="12">
        <f t="shared" si="244"/>
        <v>0</v>
      </c>
      <c r="KG248" s="12">
        <f t="shared" si="245"/>
        <v>0</v>
      </c>
      <c r="KH248" s="12">
        <f t="shared" si="246"/>
        <v>0</v>
      </c>
      <c r="KI248" s="12">
        <f t="shared" si="247"/>
        <v>0</v>
      </c>
      <c r="KJ248" s="12">
        <f t="shared" si="248"/>
        <v>0</v>
      </c>
      <c r="KK248" s="12">
        <f t="shared" si="249"/>
        <v>0</v>
      </c>
      <c r="KL248" s="12">
        <f t="shared" si="250"/>
        <v>0</v>
      </c>
      <c r="KM248" s="12">
        <f t="shared" si="251"/>
        <v>0</v>
      </c>
      <c r="KN248" s="12">
        <f t="shared" si="252"/>
        <v>0</v>
      </c>
      <c r="KO248" s="12">
        <f t="shared" si="253"/>
        <v>0</v>
      </c>
      <c r="KP248" s="12">
        <f t="shared" si="254"/>
        <v>0</v>
      </c>
      <c r="KQ248" s="12">
        <f t="shared" si="255"/>
        <v>0</v>
      </c>
      <c r="KR248" s="12">
        <f t="shared" si="256"/>
        <v>0</v>
      </c>
      <c r="KS248" s="12">
        <f t="shared" si="257"/>
        <v>0</v>
      </c>
      <c r="KT248" s="12">
        <f t="shared" si="258"/>
        <v>0</v>
      </c>
      <c r="KU248" s="12">
        <f t="shared" si="259"/>
        <v>0</v>
      </c>
      <c r="KV248" s="12">
        <f t="shared" si="260"/>
        <v>0</v>
      </c>
      <c r="KW248" s="12">
        <f t="shared" si="261"/>
        <v>0</v>
      </c>
      <c r="KX248" s="12">
        <f t="shared" si="262"/>
        <v>0</v>
      </c>
      <c r="KY248" s="12">
        <f t="shared" si="263"/>
        <v>0</v>
      </c>
      <c r="KZ248" s="12">
        <f t="shared" si="264"/>
        <v>0</v>
      </c>
      <c r="LA248" s="12">
        <f t="shared" si="265"/>
        <v>0</v>
      </c>
      <c r="LB248" s="12">
        <f t="shared" si="266"/>
        <v>0</v>
      </c>
      <c r="LC248" s="12">
        <f t="shared" si="267"/>
        <v>0</v>
      </c>
      <c r="LD248" s="12">
        <f t="shared" si="268"/>
        <v>0</v>
      </c>
      <c r="LE248" s="12">
        <f t="shared" si="269"/>
        <v>0</v>
      </c>
      <c r="LF248" s="12">
        <f t="shared" si="270"/>
        <v>0</v>
      </c>
      <c r="LG248" s="12">
        <f t="shared" si="271"/>
        <v>0</v>
      </c>
      <c r="LH248" s="12">
        <f t="shared" si="272"/>
        <v>0</v>
      </c>
      <c r="LI248" s="12">
        <f t="shared" si="273"/>
        <v>0</v>
      </c>
      <c r="LJ248" s="12">
        <f t="shared" si="274"/>
        <v>0</v>
      </c>
      <c r="LK248" s="12">
        <f t="shared" si="275"/>
        <v>0</v>
      </c>
      <c r="LL248" s="12">
        <f t="shared" si="276"/>
        <v>0</v>
      </c>
      <c r="LM248" s="12">
        <f t="shared" si="277"/>
        <v>0</v>
      </c>
      <c r="LN248" s="12">
        <f t="shared" si="278"/>
        <v>0</v>
      </c>
      <c r="LO248" s="12">
        <f t="shared" si="279"/>
        <v>0</v>
      </c>
      <c r="LP248" s="12">
        <f t="shared" si="280"/>
        <v>0</v>
      </c>
      <c r="LQ248" s="12">
        <f t="shared" si="281"/>
        <v>0</v>
      </c>
      <c r="LR248" s="12">
        <f t="shared" si="282"/>
        <v>0</v>
      </c>
      <c r="LS248" s="12">
        <f t="shared" si="283"/>
        <v>0</v>
      </c>
      <c r="LT248" s="13">
        <f t="shared" si="284"/>
        <v>0</v>
      </c>
      <c r="LU248" s="13">
        <f t="shared" si="285"/>
        <v>0</v>
      </c>
      <c r="LV248" s="13">
        <f t="shared" si="286"/>
        <v>0</v>
      </c>
      <c r="LW248" s="13">
        <f t="shared" si="287"/>
        <v>0</v>
      </c>
      <c r="LX248" s="13">
        <f t="shared" si="288"/>
        <v>0</v>
      </c>
      <c r="LY248" s="13">
        <f t="shared" si="289"/>
        <v>0</v>
      </c>
      <c r="LZ248" s="13">
        <f t="shared" si="290"/>
        <v>0</v>
      </c>
      <c r="MA248" s="13">
        <f t="shared" si="291"/>
        <v>0</v>
      </c>
      <c r="MB248" s="13">
        <f t="shared" si="292"/>
        <v>0</v>
      </c>
      <c r="MC248" s="13">
        <f t="shared" si="293"/>
        <v>0</v>
      </c>
      <c r="MD248" s="13">
        <f t="shared" si="294"/>
        <v>0</v>
      </c>
      <c r="ME248" s="13">
        <f t="shared" si="295"/>
        <v>0</v>
      </c>
      <c r="MF248" s="13">
        <f t="shared" si="296"/>
        <v>0</v>
      </c>
      <c r="MG248" s="13">
        <f t="shared" si="297"/>
        <v>0</v>
      </c>
      <c r="MH248" s="13">
        <f t="shared" si="298"/>
        <v>0</v>
      </c>
      <c r="MI248" s="13">
        <f t="shared" si="299"/>
        <v>0</v>
      </c>
      <c r="MJ248" s="13">
        <f t="shared" si="300"/>
        <v>0</v>
      </c>
      <c r="MK248" s="13">
        <f t="shared" si="301"/>
        <v>0</v>
      </c>
      <c r="ML248" s="14">
        <f t="shared" si="302"/>
        <v>0</v>
      </c>
      <c r="MM248" s="14">
        <f t="shared" si="303"/>
        <v>0</v>
      </c>
      <c r="MN248" s="14">
        <f t="shared" si="304"/>
        <v>0</v>
      </c>
      <c r="MO248" s="14">
        <f t="shared" si="305"/>
        <v>0</v>
      </c>
      <c r="MP248" s="14">
        <f t="shared" si="306"/>
        <v>0</v>
      </c>
      <c r="MQ248" s="14">
        <f t="shared" si="307"/>
        <v>0</v>
      </c>
      <c r="MR248" s="14">
        <f t="shared" si="308"/>
        <v>0</v>
      </c>
      <c r="MS248" s="14">
        <f t="shared" si="309"/>
        <v>0</v>
      </c>
      <c r="MT248" s="14">
        <f t="shared" si="310"/>
        <v>0</v>
      </c>
      <c r="MU248" s="14">
        <f t="shared" si="311"/>
        <v>0</v>
      </c>
      <c r="MV248" s="14">
        <f t="shared" si="312"/>
        <v>0</v>
      </c>
      <c r="MW248" s="14">
        <f t="shared" si="313"/>
        <v>0</v>
      </c>
      <c r="MX248" s="14">
        <f t="shared" si="314"/>
        <v>0</v>
      </c>
      <c r="MY248" s="14">
        <f t="shared" si="315"/>
        <v>0</v>
      </c>
      <c r="MZ248" s="14">
        <f t="shared" si="316"/>
        <v>0</v>
      </c>
      <c r="NA248" s="14">
        <f t="shared" si="317"/>
        <v>0</v>
      </c>
      <c r="NB248" s="14">
        <f t="shared" si="318"/>
        <v>0</v>
      </c>
    </row>
    <row r="249" ht="15.75" customHeight="1">
      <c r="A249" s="2">
        <v>536.0</v>
      </c>
      <c r="B249" s="2" t="s">
        <v>4458</v>
      </c>
      <c r="C249" s="2" t="s">
        <v>4459</v>
      </c>
      <c r="D249" s="2" t="s">
        <v>4460</v>
      </c>
      <c r="E249" s="2">
        <v>2023.0</v>
      </c>
      <c r="F249" s="2" t="s">
        <v>4461</v>
      </c>
      <c r="G249" s="2">
        <v>83.0</v>
      </c>
      <c r="H249" s="2" t="s">
        <v>392</v>
      </c>
      <c r="J249" s="2" t="s">
        <v>4462</v>
      </c>
      <c r="K249" s="2" t="s">
        <v>4463</v>
      </c>
      <c r="N249" s="2" t="s">
        <v>4464</v>
      </c>
      <c r="O249" s="2" t="s">
        <v>4465</v>
      </c>
      <c r="P249" s="2" t="s">
        <v>4466</v>
      </c>
      <c r="Q249" s="2" t="s">
        <v>4467</v>
      </c>
      <c r="R249" s="2" t="s">
        <v>4468</v>
      </c>
      <c r="S249" s="2" t="s">
        <v>4469</v>
      </c>
      <c r="T249" s="2" t="s">
        <v>4470</v>
      </c>
      <c r="Y249" s="2" t="s">
        <v>4471</v>
      </c>
      <c r="AB249" s="2" t="s">
        <v>1169</v>
      </c>
      <c r="AG249" s="2" t="s">
        <v>4472</v>
      </c>
      <c r="AI249" s="2" t="s">
        <v>4473</v>
      </c>
      <c r="AK249" s="2" t="s">
        <v>4474</v>
      </c>
      <c r="AL249" s="2" t="s">
        <v>384</v>
      </c>
      <c r="AM249" s="2" t="s">
        <v>579</v>
      </c>
      <c r="AN249" s="2" t="s">
        <v>386</v>
      </c>
      <c r="AO249" s="2" t="s">
        <v>4475</v>
      </c>
      <c r="AP249" s="2" t="s">
        <v>386</v>
      </c>
      <c r="AQ249" s="2">
        <v>2084.0</v>
      </c>
      <c r="AR249" s="2" t="s">
        <v>4476</v>
      </c>
      <c r="AS249" s="2" t="b">
        <v>0</v>
      </c>
      <c r="AT249" s="3">
        <v>0.0</v>
      </c>
      <c r="AU249" s="4"/>
      <c r="AV249" s="4"/>
      <c r="AW249" s="5">
        <f t="shared" si="432"/>
        <v>0</v>
      </c>
      <c r="AX249" s="5">
        <f t="shared" si="4"/>
        <v>0</v>
      </c>
      <c r="AY249" s="5">
        <f t="shared" si="5"/>
        <v>0</v>
      </c>
      <c r="AZ249" s="5">
        <f t="shared" si="6"/>
        <v>0</v>
      </c>
      <c r="BA249" s="5">
        <f t="shared" si="7"/>
        <v>0</v>
      </c>
      <c r="BB249" s="5">
        <f t="shared" si="8"/>
        <v>0</v>
      </c>
      <c r="BC249" s="5">
        <f t="shared" si="9"/>
        <v>0</v>
      </c>
      <c r="BD249" s="5">
        <f t="shared" si="10"/>
        <v>0</v>
      </c>
      <c r="BE249" s="5">
        <f t="shared" si="11"/>
        <v>0</v>
      </c>
      <c r="BF249" s="5">
        <f t="shared" si="12"/>
        <v>0</v>
      </c>
      <c r="BG249" s="5">
        <f t="shared" si="13"/>
        <v>0</v>
      </c>
      <c r="BH249" s="5">
        <f t="shared" si="14"/>
        <v>0</v>
      </c>
      <c r="BI249" s="5">
        <f t="shared" si="15"/>
        <v>0</v>
      </c>
      <c r="BJ249" s="5">
        <f t="shared" si="16"/>
        <v>0</v>
      </c>
      <c r="BK249" s="5">
        <f t="shared" si="17"/>
        <v>0</v>
      </c>
      <c r="BL249" s="5">
        <f t="shared" si="18"/>
        <v>0</v>
      </c>
      <c r="BM249" s="5">
        <f t="shared" si="19"/>
        <v>0</v>
      </c>
      <c r="BN249" s="5">
        <f t="shared" si="20"/>
        <v>0</v>
      </c>
      <c r="BO249" s="5">
        <f t="shared" si="21"/>
        <v>0</v>
      </c>
      <c r="BP249" s="5">
        <f t="shared" si="22"/>
        <v>0</v>
      </c>
      <c r="BQ249" s="5">
        <f t="shared" si="23"/>
        <v>0</v>
      </c>
      <c r="BR249" s="5">
        <f t="shared" si="24"/>
        <v>0</v>
      </c>
      <c r="BS249" s="5">
        <f t="shared" si="25"/>
        <v>0</v>
      </c>
      <c r="BT249" s="5">
        <f t="shared" si="26"/>
        <v>0</v>
      </c>
      <c r="BU249" s="5">
        <f t="shared" si="27"/>
        <v>0</v>
      </c>
      <c r="BV249" s="5">
        <f t="shared" ref="BV249:BW249" si="859">IF(OR(ISNUMBER(SEARCH("grit",$D249)),ISNUMBER(SEARCH("grit",$T249)),ISNUMBER(SEARCH("grit",$R249)),ISNUMBER(SEARCH("grit",$S249)),
ISNUMBER(SEARCH("determination",$D249)),ISNUMBER(SEARCH("determination",$T249)),ISNUMBER(SEARCH("determination",$R249)),ISNUMBER(SEARCH("determination",$S249)),
ISNUMBER(SEARCH("tenacity",$D249)),ISNUMBER(SEARCH("tenacity",$T249)),ISNUMBER(SEARCH("tenacity",$R249)),ISNUMBER(SEARCH("tenacity",$S249)),
ISNUMBER(SEARCH("endurance",$D249)),ISNUMBER(SEARCH("endurance",$T249)),ISNUMBER(SEARCH("endurance",$R249)),ISNUMBER(SEARCH("endurance",$S249)),
ISNUMBER(SEARCH("fortitude",$D249)),ISNUMBER(SEARCH("fortitude",$T249)),ISNUMBER(SEARCH("fortitude",$R249)),ISNUMBER(SEARCH("fortitude",$S249)),
ISNUMBER(SEARCH("resolve",$D249)),ISNUMBER(SEARCH("resolve",$T249)),ISNUMBER(SEARCH("resolve",$R249)),ISNUMBER(SEARCH("resolve",$S249)),
ISNUMBER(SEARCH("stamina",$D249)),ISNUMBER(SEARCH("stamina",$T249)),ISNUMBER(SEARCH("stamina",$R249)),ISNUMBER(SEARCH("stamina",$S249)),
ISNUMBER(SEARCH("guts",$D249)),ISNUMBER(SEARCH("guts",$T249)),ISNUMBER(SEARCH("guts",$R249)),ISNUMBER(SEARCH("guts",$S249)),
ISNUMBER(SEARCH("spunk",$D249)),ISNUMBER(SEARCH("spunk",$T249)),ISNUMBER(SEARCH("spunk",$R249)),ISNUMBER(SEARCH("spunk",$S249))), 1, 0)</f>
        <v>0</v>
      </c>
      <c r="BW249" s="5">
        <f t="shared" si="859"/>
        <v>0</v>
      </c>
      <c r="BX249" s="5">
        <f t="shared" si="29"/>
        <v>0</v>
      </c>
      <c r="BY249" s="5">
        <f t="shared" si="30"/>
        <v>0</v>
      </c>
      <c r="BZ249" s="5">
        <f t="shared" si="31"/>
        <v>0</v>
      </c>
      <c r="CA249" s="5">
        <f t="shared" si="32"/>
        <v>0</v>
      </c>
      <c r="CB249" s="5">
        <f t="shared" si="33"/>
        <v>0</v>
      </c>
      <c r="CC249" s="5">
        <f t="shared" si="34"/>
        <v>0</v>
      </c>
      <c r="CD249" s="5">
        <f t="shared" si="35"/>
        <v>0</v>
      </c>
      <c r="CE249" s="5">
        <f t="shared" si="36"/>
        <v>0</v>
      </c>
      <c r="CF249" s="5">
        <f t="shared" si="37"/>
        <v>0</v>
      </c>
      <c r="CG249" s="5">
        <f t="shared" si="38"/>
        <v>0</v>
      </c>
      <c r="CH249" s="5">
        <f t="shared" si="39"/>
        <v>0</v>
      </c>
      <c r="CI249" s="5">
        <f t="shared" si="40"/>
        <v>0</v>
      </c>
      <c r="CJ249" s="5">
        <f t="shared" si="41"/>
        <v>0</v>
      </c>
      <c r="CK249" s="5">
        <f t="shared" si="42"/>
        <v>0</v>
      </c>
      <c r="CL249" s="5">
        <f t="shared" si="43"/>
        <v>0</v>
      </c>
      <c r="CM249" s="5">
        <f t="shared" si="44"/>
        <v>0</v>
      </c>
      <c r="CN249" s="5">
        <f t="shared" si="45"/>
        <v>0</v>
      </c>
      <c r="CO249" s="5">
        <f t="shared" si="46"/>
        <v>0</v>
      </c>
      <c r="CP249" s="6">
        <f t="shared" si="47"/>
        <v>0</v>
      </c>
      <c r="CQ249" s="6">
        <f t="shared" si="48"/>
        <v>0</v>
      </c>
      <c r="CR249" s="6">
        <f t="shared" si="49"/>
        <v>0</v>
      </c>
      <c r="CS249" s="6">
        <f t="shared" si="50"/>
        <v>0</v>
      </c>
      <c r="CT249" s="6">
        <f t="shared" si="584"/>
        <v>0</v>
      </c>
      <c r="CU249" s="6">
        <f t="shared" si="52"/>
        <v>0</v>
      </c>
      <c r="CV249" s="6">
        <f t="shared" si="53"/>
        <v>0</v>
      </c>
      <c r="CW249" s="6">
        <f t="shared" si="54"/>
        <v>0</v>
      </c>
      <c r="CX249" s="6">
        <f t="shared" si="55"/>
        <v>0</v>
      </c>
      <c r="CY249" s="6">
        <f t="shared" si="56"/>
        <v>0</v>
      </c>
      <c r="CZ249" s="6">
        <f t="shared" si="57"/>
        <v>0</v>
      </c>
      <c r="DA249" s="6">
        <f t="shared" si="58"/>
        <v>0</v>
      </c>
      <c r="DB249" s="6">
        <f t="shared" si="59"/>
        <v>0</v>
      </c>
      <c r="DC249" s="6">
        <f t="shared" si="60"/>
        <v>0</v>
      </c>
      <c r="DD249" s="6">
        <f t="shared" si="61"/>
        <v>0</v>
      </c>
      <c r="DE249" s="6">
        <f t="shared" si="62"/>
        <v>0</v>
      </c>
      <c r="DF249" s="6">
        <f t="shared" si="63"/>
        <v>0</v>
      </c>
      <c r="DG249" s="6">
        <f t="shared" si="64"/>
        <v>0</v>
      </c>
      <c r="DH249" s="6">
        <f t="shared" si="697"/>
        <v>0</v>
      </c>
      <c r="DI249" s="6">
        <f t="shared" si="66"/>
        <v>0</v>
      </c>
      <c r="DJ249" s="6">
        <f t="shared" si="653"/>
        <v>0</v>
      </c>
      <c r="DK249" s="7">
        <f t="shared" si="68"/>
        <v>0</v>
      </c>
      <c r="DL249" s="7">
        <f t="shared" si="498"/>
        <v>0</v>
      </c>
      <c r="DM249" s="7">
        <f t="shared" si="70"/>
        <v>0</v>
      </c>
      <c r="DN249" s="7">
        <f t="shared" si="71"/>
        <v>0</v>
      </c>
      <c r="DO249" s="7">
        <f t="shared" si="72"/>
        <v>1</v>
      </c>
      <c r="DP249" s="8">
        <f t="shared" si="73"/>
        <v>0</v>
      </c>
      <c r="DQ249" s="8">
        <f t="shared" si="74"/>
        <v>0</v>
      </c>
      <c r="DR249" s="7">
        <f t="shared" si="75"/>
        <v>0</v>
      </c>
      <c r="DS249" s="7">
        <f t="shared" si="76"/>
        <v>0</v>
      </c>
      <c r="DT249" s="7">
        <f t="shared" si="77"/>
        <v>0</v>
      </c>
      <c r="DU249" s="9">
        <f t="shared" si="78"/>
        <v>0</v>
      </c>
      <c r="DV249" s="9">
        <f t="shared" si="79"/>
        <v>0</v>
      </c>
      <c r="DW249" s="9">
        <f t="shared" si="80"/>
        <v>0</v>
      </c>
      <c r="DX249" s="9">
        <f t="shared" si="81"/>
        <v>0</v>
      </c>
      <c r="DY249" s="9">
        <f t="shared" si="82"/>
        <v>0</v>
      </c>
      <c r="DZ249" s="9">
        <f t="shared" si="83"/>
        <v>0</v>
      </c>
      <c r="EA249" s="9">
        <f t="shared" si="84"/>
        <v>0</v>
      </c>
      <c r="EB249" s="9">
        <f t="shared" si="85"/>
        <v>0</v>
      </c>
      <c r="EC249" s="9">
        <f t="shared" si="86"/>
        <v>0</v>
      </c>
      <c r="ED249" s="9">
        <f t="shared" si="87"/>
        <v>0</v>
      </c>
      <c r="EE249" s="9">
        <f t="shared" si="88"/>
        <v>0</v>
      </c>
      <c r="EF249" s="9">
        <f t="shared" si="89"/>
        <v>0</v>
      </c>
      <c r="EG249" s="9">
        <f t="shared" si="90"/>
        <v>0</v>
      </c>
      <c r="EH249" s="9">
        <f t="shared" si="91"/>
        <v>0</v>
      </c>
      <c r="EI249" s="9">
        <f t="shared" si="92"/>
        <v>0</v>
      </c>
      <c r="EJ249" s="10">
        <f t="shared" si="93"/>
        <v>0</v>
      </c>
      <c r="EK249" s="10">
        <f t="shared" si="94"/>
        <v>0</v>
      </c>
      <c r="EL249" s="10">
        <f t="shared" ref="EL249:EM249" si="860">IF(OR(ISNUMBER(SEARCH("ai software toolkit", $D249)), ISNUMBER(SEARCH("ai software toolkit", $T249)), ISNUMBER(SEARCH("ai software toolkit", $R249)), ISNUMBER(SEARCH("ai software toolkit", $S249))), 1, 0)</f>
        <v>0</v>
      </c>
      <c r="EM249" s="10">
        <f t="shared" si="860"/>
        <v>0</v>
      </c>
      <c r="EN249" s="10">
        <f t="shared" si="96"/>
        <v>0</v>
      </c>
      <c r="EO249" s="10">
        <f t="shared" si="97"/>
        <v>0</v>
      </c>
      <c r="EP249" s="10">
        <f t="shared" si="98"/>
        <v>0</v>
      </c>
      <c r="EQ249" s="10">
        <f t="shared" si="99"/>
        <v>0</v>
      </c>
      <c r="ER249" s="10">
        <f t="shared" si="100"/>
        <v>0</v>
      </c>
      <c r="ES249" s="10">
        <f t="shared" si="101"/>
        <v>0</v>
      </c>
      <c r="ET249" s="10">
        <f t="shared" si="102"/>
        <v>0</v>
      </c>
      <c r="EU249" s="10">
        <f t="shared" si="103"/>
        <v>0</v>
      </c>
      <c r="EV249" s="10">
        <f t="shared" si="104"/>
        <v>0</v>
      </c>
      <c r="EW249" s="10">
        <f t="shared" si="105"/>
        <v>0</v>
      </c>
      <c r="EX249" s="10">
        <f t="shared" si="106"/>
        <v>0</v>
      </c>
      <c r="EY249" s="10">
        <f t="shared" si="107"/>
        <v>0</v>
      </c>
      <c r="EZ249" s="10">
        <f t="shared" si="108"/>
        <v>0</v>
      </c>
      <c r="FA249" s="10">
        <f t="shared" si="109"/>
        <v>0</v>
      </c>
      <c r="FB249" s="10">
        <f t="shared" si="110"/>
        <v>0</v>
      </c>
      <c r="FC249" s="10">
        <f t="shared" si="111"/>
        <v>0</v>
      </c>
      <c r="FD249" s="10">
        <f t="shared" si="112"/>
        <v>0</v>
      </c>
      <c r="FE249" s="10">
        <f t="shared" si="782"/>
        <v>0</v>
      </c>
      <c r="FF249" s="10">
        <f t="shared" si="114"/>
        <v>0</v>
      </c>
      <c r="FG249" s="10">
        <f t="shared" si="115"/>
        <v>0</v>
      </c>
      <c r="FH249" s="10">
        <f t="shared" si="116"/>
        <v>0</v>
      </c>
      <c r="FI249" s="10">
        <f t="shared" si="117"/>
        <v>0</v>
      </c>
      <c r="FJ249" s="10">
        <f t="shared" si="118"/>
        <v>0</v>
      </c>
      <c r="FK249" s="10">
        <f t="shared" si="119"/>
        <v>0</v>
      </c>
      <c r="FL249" s="10">
        <f t="shared" si="120"/>
        <v>0</v>
      </c>
      <c r="FM249" s="10">
        <f t="shared" si="121"/>
        <v>0</v>
      </c>
      <c r="FN249" s="10">
        <f t="shared" si="122"/>
        <v>0</v>
      </c>
      <c r="FO249" s="10">
        <f t="shared" si="123"/>
        <v>0</v>
      </c>
      <c r="FP249" s="10">
        <f t="shared" si="124"/>
        <v>0</v>
      </c>
      <c r="FQ249" s="10">
        <f t="shared" si="125"/>
        <v>0</v>
      </c>
      <c r="FR249" s="11">
        <f t="shared" si="804"/>
        <v>0</v>
      </c>
      <c r="FS249" s="11">
        <f t="shared" si="127"/>
        <v>0</v>
      </c>
      <c r="FT249" s="11">
        <f t="shared" si="128"/>
        <v>0</v>
      </c>
      <c r="FU249" s="11">
        <f t="shared" si="129"/>
        <v>0</v>
      </c>
      <c r="FV249" s="11">
        <f t="shared" si="130"/>
        <v>0</v>
      </c>
      <c r="FW249" s="11">
        <f t="shared" si="131"/>
        <v>0</v>
      </c>
      <c r="FX249" s="11">
        <f t="shared" si="132"/>
        <v>0</v>
      </c>
      <c r="FY249" s="11">
        <f t="shared" si="133"/>
        <v>0</v>
      </c>
      <c r="FZ249" s="11">
        <f t="shared" si="134"/>
        <v>0</v>
      </c>
      <c r="GA249" s="11">
        <f t="shared" si="135"/>
        <v>0</v>
      </c>
      <c r="GB249" s="11">
        <f t="shared" si="136"/>
        <v>0</v>
      </c>
      <c r="GC249" s="11">
        <f t="shared" si="137"/>
        <v>0</v>
      </c>
      <c r="GD249" s="11">
        <f t="shared" si="138"/>
        <v>0</v>
      </c>
      <c r="GE249" s="11">
        <f t="shared" si="139"/>
        <v>0</v>
      </c>
      <c r="GF249" s="11">
        <f t="shared" si="140"/>
        <v>0</v>
      </c>
      <c r="GG249" s="11">
        <f t="shared" si="141"/>
        <v>0</v>
      </c>
      <c r="GH249" s="11">
        <f t="shared" si="142"/>
        <v>0</v>
      </c>
      <c r="GI249" s="11">
        <f t="shared" si="143"/>
        <v>0</v>
      </c>
      <c r="GJ249" s="11">
        <f t="shared" si="144"/>
        <v>0</v>
      </c>
      <c r="GK249" s="11">
        <f t="shared" si="145"/>
        <v>0</v>
      </c>
      <c r="GL249" s="11">
        <f t="shared" si="146"/>
        <v>0</v>
      </c>
      <c r="GM249" s="11">
        <f t="shared" si="147"/>
        <v>0</v>
      </c>
      <c r="GN249" s="11">
        <f t="shared" si="148"/>
        <v>0</v>
      </c>
      <c r="GO249" s="11">
        <f t="shared" si="149"/>
        <v>0</v>
      </c>
      <c r="GP249" s="11">
        <f t="shared" si="150"/>
        <v>0</v>
      </c>
      <c r="GQ249" s="11">
        <f t="shared" si="151"/>
        <v>0</v>
      </c>
      <c r="GR249" s="11">
        <f t="shared" si="152"/>
        <v>0</v>
      </c>
      <c r="GS249" s="11">
        <f t="shared" si="153"/>
        <v>0</v>
      </c>
      <c r="GT249" s="11">
        <f t="shared" si="154"/>
        <v>0</v>
      </c>
      <c r="GU249" s="12">
        <f t="shared" si="155"/>
        <v>0</v>
      </c>
      <c r="GV249" s="12">
        <f t="shared" si="156"/>
        <v>0</v>
      </c>
      <c r="GW249" s="12">
        <f t="shared" si="157"/>
        <v>0</v>
      </c>
      <c r="GX249" s="12">
        <f t="shared" si="158"/>
        <v>0</v>
      </c>
      <c r="GY249" s="12">
        <f t="shared" si="159"/>
        <v>0</v>
      </c>
      <c r="GZ249" s="12">
        <f t="shared" si="160"/>
        <v>0</v>
      </c>
      <c r="HA249" s="12">
        <f t="shared" si="161"/>
        <v>0</v>
      </c>
      <c r="HB249" s="12">
        <f t="shared" si="162"/>
        <v>0</v>
      </c>
      <c r="HC249" s="12">
        <f t="shared" si="163"/>
        <v>0</v>
      </c>
      <c r="HD249" s="12">
        <f t="shared" si="164"/>
        <v>0</v>
      </c>
      <c r="HE249" s="12">
        <f t="shared" si="165"/>
        <v>0</v>
      </c>
      <c r="HF249" s="12">
        <f t="shared" si="166"/>
        <v>0</v>
      </c>
      <c r="HG249" s="12">
        <f t="shared" si="167"/>
        <v>0</v>
      </c>
      <c r="HH249" s="12">
        <f t="shared" si="168"/>
        <v>0</v>
      </c>
      <c r="HI249" s="12">
        <f t="shared" si="169"/>
        <v>0</v>
      </c>
      <c r="HJ249" s="12">
        <f t="shared" si="170"/>
        <v>0</v>
      </c>
      <c r="HK249" s="12">
        <f t="shared" si="171"/>
        <v>0</v>
      </c>
      <c r="HL249" s="12">
        <f t="shared" si="172"/>
        <v>0</v>
      </c>
      <c r="HM249" s="12">
        <f t="shared" si="173"/>
        <v>0</v>
      </c>
      <c r="HN249" s="12">
        <f t="shared" si="174"/>
        <v>0</v>
      </c>
      <c r="HO249" s="12">
        <f t="shared" si="175"/>
        <v>0</v>
      </c>
      <c r="HP249" s="12">
        <f t="shared" si="176"/>
        <v>0</v>
      </c>
      <c r="HQ249" s="12">
        <f t="shared" si="177"/>
        <v>0</v>
      </c>
      <c r="HR249" s="12">
        <f t="shared" si="178"/>
        <v>0</v>
      </c>
      <c r="HS249" s="12">
        <f t="shared" si="179"/>
        <v>0</v>
      </c>
      <c r="HT249" s="12">
        <f t="shared" si="180"/>
        <v>0</v>
      </c>
      <c r="HU249" s="12">
        <f t="shared" si="181"/>
        <v>0</v>
      </c>
      <c r="HV249" s="12">
        <f t="shared" si="182"/>
        <v>0</v>
      </c>
      <c r="HW249" s="12">
        <f t="shared" si="183"/>
        <v>0</v>
      </c>
      <c r="HX249" s="12">
        <f t="shared" si="184"/>
        <v>0</v>
      </c>
      <c r="HY249" s="12">
        <f t="shared" si="185"/>
        <v>0</v>
      </c>
      <c r="HZ249" s="12">
        <f t="shared" si="186"/>
        <v>0</v>
      </c>
      <c r="IA249" s="12">
        <f t="shared" si="187"/>
        <v>0</v>
      </c>
      <c r="IB249" s="12">
        <f t="shared" si="188"/>
        <v>0</v>
      </c>
      <c r="IC249" s="12">
        <f t="shared" si="189"/>
        <v>0</v>
      </c>
      <c r="ID249" s="12">
        <f t="shared" si="190"/>
        <v>0</v>
      </c>
      <c r="IE249" s="12">
        <f t="shared" si="191"/>
        <v>0</v>
      </c>
      <c r="IF249" s="12">
        <f t="shared" si="192"/>
        <v>0</v>
      </c>
      <c r="IG249" s="12">
        <f t="shared" si="193"/>
        <v>0</v>
      </c>
      <c r="IH249" s="12">
        <f t="shared" si="194"/>
        <v>0</v>
      </c>
      <c r="II249" s="12">
        <f t="shared" si="195"/>
        <v>0</v>
      </c>
      <c r="IJ249" s="12">
        <f t="shared" si="196"/>
        <v>0</v>
      </c>
      <c r="IK249" s="12">
        <f t="shared" si="197"/>
        <v>0</v>
      </c>
      <c r="IL249" s="12">
        <f t="shared" si="198"/>
        <v>0</v>
      </c>
      <c r="IM249" s="12">
        <f t="shared" si="199"/>
        <v>0</v>
      </c>
      <c r="IN249" s="12">
        <f t="shared" si="200"/>
        <v>0</v>
      </c>
      <c r="IO249" s="12">
        <f t="shared" si="201"/>
        <v>0</v>
      </c>
      <c r="IP249" s="12">
        <f t="shared" si="202"/>
        <v>0</v>
      </c>
      <c r="IQ249" s="12">
        <f t="shared" si="203"/>
        <v>0</v>
      </c>
      <c r="IR249" s="12">
        <f t="shared" si="204"/>
        <v>0</v>
      </c>
      <c r="IS249" s="12">
        <f t="shared" si="205"/>
        <v>0</v>
      </c>
      <c r="IT249" s="12">
        <f t="shared" si="206"/>
        <v>0</v>
      </c>
      <c r="IU249" s="12">
        <f t="shared" si="207"/>
        <v>0</v>
      </c>
      <c r="IV249" s="12">
        <f t="shared" si="208"/>
        <v>0</v>
      </c>
      <c r="IW249" s="12">
        <f t="shared" si="209"/>
        <v>0</v>
      </c>
      <c r="IX249" s="12">
        <f t="shared" si="210"/>
        <v>0</v>
      </c>
      <c r="IY249" s="12">
        <f t="shared" si="211"/>
        <v>0</v>
      </c>
      <c r="IZ249" s="12">
        <f t="shared" si="212"/>
        <v>0</v>
      </c>
      <c r="JA249" s="13">
        <f t="shared" si="213"/>
        <v>0</v>
      </c>
      <c r="JB249" s="13">
        <f t="shared" si="214"/>
        <v>0</v>
      </c>
      <c r="JC249" s="13">
        <f t="shared" si="215"/>
        <v>0</v>
      </c>
      <c r="JD249" s="13">
        <f t="shared" si="216"/>
        <v>0</v>
      </c>
      <c r="JE249" s="13">
        <f t="shared" si="217"/>
        <v>0</v>
      </c>
      <c r="JF249" s="13">
        <f t="shared" si="218"/>
        <v>0</v>
      </c>
      <c r="JG249" s="13">
        <f t="shared" si="219"/>
        <v>0</v>
      </c>
      <c r="JH249" s="13">
        <f t="shared" si="220"/>
        <v>0</v>
      </c>
      <c r="JI249" s="13">
        <f t="shared" si="221"/>
        <v>0</v>
      </c>
      <c r="JJ249" s="13">
        <f t="shared" si="222"/>
        <v>0</v>
      </c>
      <c r="JK249" s="13">
        <f t="shared" si="223"/>
        <v>0</v>
      </c>
      <c r="JL249" s="13">
        <f t="shared" si="224"/>
        <v>0</v>
      </c>
      <c r="JM249" s="13">
        <f t="shared" si="225"/>
        <v>0</v>
      </c>
      <c r="JN249" s="13">
        <f t="shared" si="226"/>
        <v>0</v>
      </c>
      <c r="JO249" s="13">
        <f t="shared" si="227"/>
        <v>0</v>
      </c>
      <c r="JP249" s="13">
        <f t="shared" si="228"/>
        <v>0</v>
      </c>
      <c r="JQ249" s="13">
        <f t="shared" si="229"/>
        <v>0</v>
      </c>
      <c r="JR249" s="13">
        <f t="shared" si="230"/>
        <v>0</v>
      </c>
      <c r="JS249" s="13">
        <f t="shared" si="231"/>
        <v>0</v>
      </c>
      <c r="JT249" s="13">
        <f t="shared" si="232"/>
        <v>0</v>
      </c>
      <c r="JU249" s="13">
        <f t="shared" si="233"/>
        <v>0</v>
      </c>
      <c r="JV249" s="12">
        <f t="shared" si="234"/>
        <v>0</v>
      </c>
      <c r="JW249" s="12">
        <f t="shared" si="235"/>
        <v>0</v>
      </c>
      <c r="JX249" s="12">
        <f t="shared" si="236"/>
        <v>0</v>
      </c>
      <c r="JY249" s="12">
        <f t="shared" si="237"/>
        <v>0</v>
      </c>
      <c r="JZ249" s="12">
        <f t="shared" si="238"/>
        <v>0</v>
      </c>
      <c r="KA249" s="12">
        <f t="shared" si="239"/>
        <v>0</v>
      </c>
      <c r="KB249" s="12">
        <f t="shared" si="240"/>
        <v>0</v>
      </c>
      <c r="KC249" s="12">
        <f t="shared" si="241"/>
        <v>0</v>
      </c>
      <c r="KD249" s="12">
        <f t="shared" si="797"/>
        <v>0</v>
      </c>
      <c r="KE249" s="12">
        <f t="shared" si="243"/>
        <v>0</v>
      </c>
      <c r="KF249" s="12">
        <f t="shared" si="244"/>
        <v>0</v>
      </c>
      <c r="KG249" s="12">
        <f t="shared" si="245"/>
        <v>0</v>
      </c>
      <c r="KH249" s="12">
        <f t="shared" si="246"/>
        <v>0</v>
      </c>
      <c r="KI249" s="12">
        <f t="shared" si="247"/>
        <v>0</v>
      </c>
      <c r="KJ249" s="12">
        <f t="shared" si="248"/>
        <v>0</v>
      </c>
      <c r="KK249" s="12">
        <f t="shared" si="249"/>
        <v>0</v>
      </c>
      <c r="KL249" s="12">
        <f t="shared" si="250"/>
        <v>0</v>
      </c>
      <c r="KM249" s="12">
        <f t="shared" si="251"/>
        <v>0</v>
      </c>
      <c r="KN249" s="12">
        <f t="shared" si="252"/>
        <v>0</v>
      </c>
      <c r="KO249" s="12">
        <f t="shared" si="253"/>
        <v>0</v>
      </c>
      <c r="KP249" s="12">
        <f t="shared" si="254"/>
        <v>0</v>
      </c>
      <c r="KQ249" s="12">
        <f t="shared" si="255"/>
        <v>0</v>
      </c>
      <c r="KR249" s="12">
        <f t="shared" si="256"/>
        <v>0</v>
      </c>
      <c r="KS249" s="12">
        <f t="shared" si="257"/>
        <v>0</v>
      </c>
      <c r="KT249" s="12">
        <f t="shared" si="258"/>
        <v>0</v>
      </c>
      <c r="KU249" s="12">
        <f t="shared" si="259"/>
        <v>0</v>
      </c>
      <c r="KV249" s="12">
        <f t="shared" si="260"/>
        <v>0</v>
      </c>
      <c r="KW249" s="12">
        <f t="shared" si="261"/>
        <v>0</v>
      </c>
      <c r="KX249" s="12">
        <f t="shared" si="262"/>
        <v>0</v>
      </c>
      <c r="KY249" s="12">
        <f t="shared" si="263"/>
        <v>0</v>
      </c>
      <c r="KZ249" s="12">
        <f t="shared" si="264"/>
        <v>0</v>
      </c>
      <c r="LA249" s="12">
        <f t="shared" si="265"/>
        <v>0</v>
      </c>
      <c r="LB249" s="12">
        <f t="shared" si="266"/>
        <v>0</v>
      </c>
      <c r="LC249" s="12">
        <f t="shared" si="267"/>
        <v>0</v>
      </c>
      <c r="LD249" s="12">
        <f t="shared" si="268"/>
        <v>0</v>
      </c>
      <c r="LE249" s="12">
        <f t="shared" si="269"/>
        <v>0</v>
      </c>
      <c r="LF249" s="12">
        <f t="shared" si="270"/>
        <v>0</v>
      </c>
      <c r="LG249" s="12">
        <f t="shared" si="271"/>
        <v>0</v>
      </c>
      <c r="LH249" s="12">
        <f t="shared" si="272"/>
        <v>0</v>
      </c>
      <c r="LI249" s="12">
        <f t="shared" si="273"/>
        <v>0</v>
      </c>
      <c r="LJ249" s="12">
        <f t="shared" si="274"/>
        <v>0</v>
      </c>
      <c r="LK249" s="12">
        <f t="shared" si="275"/>
        <v>0</v>
      </c>
      <c r="LL249" s="12">
        <f t="shared" si="276"/>
        <v>0</v>
      </c>
      <c r="LM249" s="12">
        <f t="shared" si="277"/>
        <v>0</v>
      </c>
      <c r="LN249" s="12">
        <f t="shared" si="278"/>
        <v>0</v>
      </c>
      <c r="LO249" s="12">
        <f t="shared" si="279"/>
        <v>0</v>
      </c>
      <c r="LP249" s="12">
        <f t="shared" si="280"/>
        <v>0</v>
      </c>
      <c r="LQ249" s="12">
        <f t="shared" si="281"/>
        <v>0</v>
      </c>
      <c r="LR249" s="12">
        <f t="shared" si="282"/>
        <v>0</v>
      </c>
      <c r="LS249" s="12">
        <f t="shared" si="283"/>
        <v>0</v>
      </c>
      <c r="LT249" s="13">
        <f t="shared" si="284"/>
        <v>0</v>
      </c>
      <c r="LU249" s="13">
        <f t="shared" si="285"/>
        <v>0</v>
      </c>
      <c r="LV249" s="13">
        <f t="shared" si="286"/>
        <v>0</v>
      </c>
      <c r="LW249" s="13">
        <f t="shared" si="287"/>
        <v>0</v>
      </c>
      <c r="LX249" s="13">
        <f t="shared" si="288"/>
        <v>0</v>
      </c>
      <c r="LY249" s="13">
        <f t="shared" si="289"/>
        <v>0</v>
      </c>
      <c r="LZ249" s="13">
        <f t="shared" si="290"/>
        <v>0</v>
      </c>
      <c r="MA249" s="13">
        <f t="shared" si="291"/>
        <v>0</v>
      </c>
      <c r="MB249" s="13">
        <f t="shared" si="292"/>
        <v>0</v>
      </c>
      <c r="MC249" s="13">
        <f t="shared" si="293"/>
        <v>0</v>
      </c>
      <c r="MD249" s="13">
        <f t="shared" si="294"/>
        <v>0</v>
      </c>
      <c r="ME249" s="13">
        <f t="shared" si="295"/>
        <v>0</v>
      </c>
      <c r="MF249" s="13">
        <f t="shared" si="296"/>
        <v>0</v>
      </c>
      <c r="MG249" s="13">
        <f t="shared" si="297"/>
        <v>0</v>
      </c>
      <c r="MH249" s="13">
        <f t="shared" si="298"/>
        <v>0</v>
      </c>
      <c r="MI249" s="13">
        <f t="shared" si="299"/>
        <v>0</v>
      </c>
      <c r="MJ249" s="13">
        <f t="shared" si="300"/>
        <v>0</v>
      </c>
      <c r="MK249" s="13">
        <f t="shared" si="301"/>
        <v>0</v>
      </c>
      <c r="ML249" s="14">
        <f t="shared" si="302"/>
        <v>1</v>
      </c>
      <c r="MM249" s="14">
        <f t="shared" si="303"/>
        <v>0</v>
      </c>
      <c r="MN249" s="14">
        <f t="shared" si="304"/>
        <v>1</v>
      </c>
      <c r="MO249" s="14">
        <f t="shared" si="305"/>
        <v>1</v>
      </c>
      <c r="MP249" s="14">
        <f t="shared" si="306"/>
        <v>0</v>
      </c>
      <c r="MQ249" s="14">
        <f t="shared" si="307"/>
        <v>0</v>
      </c>
      <c r="MR249" s="14">
        <f t="shared" si="308"/>
        <v>0</v>
      </c>
      <c r="MS249" s="14">
        <f t="shared" si="309"/>
        <v>0</v>
      </c>
      <c r="MT249" s="14">
        <f t="shared" si="310"/>
        <v>0</v>
      </c>
      <c r="MU249" s="14">
        <f t="shared" si="311"/>
        <v>0</v>
      </c>
      <c r="MV249" s="14">
        <f t="shared" si="312"/>
        <v>0</v>
      </c>
      <c r="MW249" s="14">
        <f t="shared" si="313"/>
        <v>0</v>
      </c>
      <c r="MX249" s="14">
        <f t="shared" si="314"/>
        <v>0</v>
      </c>
      <c r="MY249" s="14">
        <f t="shared" si="315"/>
        <v>0</v>
      </c>
      <c r="MZ249" s="14">
        <f t="shared" si="316"/>
        <v>0</v>
      </c>
      <c r="NA249" s="14">
        <f t="shared" si="317"/>
        <v>0</v>
      </c>
      <c r="NB249" s="14">
        <f t="shared" si="318"/>
        <v>0</v>
      </c>
    </row>
    <row r="250" ht="15.75" customHeight="1">
      <c r="A250" s="2">
        <v>617.0</v>
      </c>
      <c r="B250" s="2" t="s">
        <v>4477</v>
      </c>
      <c r="C250" s="2" t="s">
        <v>4478</v>
      </c>
      <c r="D250" s="2" t="s">
        <v>4479</v>
      </c>
      <c r="E250" s="2">
        <v>2023.0</v>
      </c>
      <c r="F250" s="2" t="s">
        <v>562</v>
      </c>
      <c r="G250" s="2">
        <v>120.0</v>
      </c>
      <c r="H250" s="2" t="s">
        <v>371</v>
      </c>
      <c r="I250" s="2" t="s">
        <v>4480</v>
      </c>
      <c r="N250" s="2" t="s">
        <v>4481</v>
      </c>
      <c r="O250" s="2" t="s">
        <v>4482</v>
      </c>
      <c r="P250" s="2" t="s">
        <v>4483</v>
      </c>
      <c r="Q250" s="2" t="s">
        <v>4484</v>
      </c>
      <c r="R250" s="2" t="s">
        <v>4485</v>
      </c>
      <c r="S250" s="2" t="s">
        <v>4486</v>
      </c>
      <c r="T250" s="2" t="s">
        <v>4487</v>
      </c>
      <c r="V250" s="2" t="s">
        <v>969</v>
      </c>
      <c r="Y250" s="2" t="s">
        <v>4488</v>
      </c>
      <c r="AB250" s="2" t="s">
        <v>575</v>
      </c>
      <c r="AG250" s="2" t="s">
        <v>576</v>
      </c>
      <c r="AI250" s="2" t="s">
        <v>577</v>
      </c>
      <c r="AJ250" s="2">
        <v>3.6913594E7</v>
      </c>
      <c r="AK250" s="2" t="s">
        <v>578</v>
      </c>
      <c r="AL250" s="2" t="s">
        <v>384</v>
      </c>
      <c r="AM250" s="2" t="s">
        <v>579</v>
      </c>
      <c r="AN250" s="2" t="s">
        <v>386</v>
      </c>
      <c r="AO250" s="2" t="s">
        <v>4489</v>
      </c>
      <c r="AP250" s="2" t="s">
        <v>386</v>
      </c>
      <c r="AQ250" s="2">
        <v>1881.0</v>
      </c>
      <c r="AR250" s="2" t="s">
        <v>4479</v>
      </c>
      <c r="AS250" s="2" t="b">
        <v>0</v>
      </c>
      <c r="AT250" s="3">
        <v>0.0</v>
      </c>
      <c r="AU250" s="4"/>
      <c r="AV250" s="4"/>
      <c r="AW250" s="5">
        <f t="shared" si="432"/>
        <v>0</v>
      </c>
      <c r="AX250" s="5">
        <f t="shared" si="4"/>
        <v>0</v>
      </c>
      <c r="AY250" s="5">
        <f t="shared" si="5"/>
        <v>0</v>
      </c>
      <c r="AZ250" s="5">
        <f t="shared" si="6"/>
        <v>0</v>
      </c>
      <c r="BA250" s="5">
        <f t="shared" si="7"/>
        <v>0</v>
      </c>
      <c r="BB250" s="5">
        <f t="shared" si="8"/>
        <v>0</v>
      </c>
      <c r="BC250" s="5">
        <f t="shared" si="9"/>
        <v>0</v>
      </c>
      <c r="BD250" s="5">
        <f t="shared" si="10"/>
        <v>0</v>
      </c>
      <c r="BE250" s="5">
        <f t="shared" si="11"/>
        <v>0</v>
      </c>
      <c r="BF250" s="5">
        <f t="shared" si="12"/>
        <v>0</v>
      </c>
      <c r="BG250" s="5">
        <f t="shared" si="13"/>
        <v>0</v>
      </c>
      <c r="BH250" s="5">
        <f t="shared" si="14"/>
        <v>0</v>
      </c>
      <c r="BI250" s="5">
        <f t="shared" si="15"/>
        <v>0</v>
      </c>
      <c r="BJ250" s="5">
        <f t="shared" si="16"/>
        <v>0</v>
      </c>
      <c r="BK250" s="5">
        <f t="shared" si="17"/>
        <v>1</v>
      </c>
      <c r="BL250" s="5">
        <f t="shared" si="18"/>
        <v>0</v>
      </c>
      <c r="BM250" s="5">
        <f t="shared" si="19"/>
        <v>0</v>
      </c>
      <c r="BN250" s="5">
        <f t="shared" si="20"/>
        <v>0</v>
      </c>
      <c r="BO250" s="5">
        <f t="shared" si="21"/>
        <v>0</v>
      </c>
      <c r="BP250" s="5">
        <f t="shared" si="22"/>
        <v>0</v>
      </c>
      <c r="BQ250" s="5">
        <f t="shared" si="23"/>
        <v>0</v>
      </c>
      <c r="BR250" s="5">
        <f t="shared" si="24"/>
        <v>0</v>
      </c>
      <c r="BS250" s="5">
        <f t="shared" si="25"/>
        <v>0</v>
      </c>
      <c r="BT250" s="5">
        <f t="shared" si="26"/>
        <v>0</v>
      </c>
      <c r="BU250" s="5">
        <f t="shared" si="27"/>
        <v>0</v>
      </c>
      <c r="BV250" s="5">
        <f t="shared" ref="BV250:BW250" si="861">IF(OR(ISNUMBER(SEARCH("grit",$D250)),ISNUMBER(SEARCH("grit",$T250)),ISNUMBER(SEARCH("grit",$R250)),ISNUMBER(SEARCH("grit",$S250)),
ISNUMBER(SEARCH("determination",$D250)),ISNUMBER(SEARCH("determination",$T250)),ISNUMBER(SEARCH("determination",$R250)),ISNUMBER(SEARCH("determination",$S250)),
ISNUMBER(SEARCH("tenacity",$D250)),ISNUMBER(SEARCH("tenacity",$T250)),ISNUMBER(SEARCH("tenacity",$R250)),ISNUMBER(SEARCH("tenacity",$S250)),
ISNUMBER(SEARCH("endurance",$D250)),ISNUMBER(SEARCH("endurance",$T250)),ISNUMBER(SEARCH("endurance",$R250)),ISNUMBER(SEARCH("endurance",$S250)),
ISNUMBER(SEARCH("fortitude",$D250)),ISNUMBER(SEARCH("fortitude",$T250)),ISNUMBER(SEARCH("fortitude",$R250)),ISNUMBER(SEARCH("fortitude",$S250)),
ISNUMBER(SEARCH("resolve",$D250)),ISNUMBER(SEARCH("resolve",$T250)),ISNUMBER(SEARCH("resolve",$R250)),ISNUMBER(SEARCH("resolve",$S250)),
ISNUMBER(SEARCH("stamina",$D250)),ISNUMBER(SEARCH("stamina",$T250)),ISNUMBER(SEARCH("stamina",$R250)),ISNUMBER(SEARCH("stamina",$S250)),
ISNUMBER(SEARCH("guts",$D250)),ISNUMBER(SEARCH("guts",$T250)),ISNUMBER(SEARCH("guts",$R250)),ISNUMBER(SEARCH("guts",$S250)),
ISNUMBER(SEARCH("spunk",$D250)),ISNUMBER(SEARCH("spunk",$T250)),ISNUMBER(SEARCH("spunk",$R250)),ISNUMBER(SEARCH("spunk",$S250))), 1, 0)</f>
        <v>0</v>
      </c>
      <c r="BW250" s="5">
        <f t="shared" si="861"/>
        <v>0</v>
      </c>
      <c r="BX250" s="5">
        <f t="shared" si="29"/>
        <v>0</v>
      </c>
      <c r="BY250" s="5">
        <f t="shared" si="30"/>
        <v>0</v>
      </c>
      <c r="BZ250" s="5">
        <f t="shared" si="31"/>
        <v>0</v>
      </c>
      <c r="CA250" s="5">
        <f t="shared" si="32"/>
        <v>0</v>
      </c>
      <c r="CB250" s="5">
        <f t="shared" si="33"/>
        <v>0</v>
      </c>
      <c r="CC250" s="5">
        <f t="shared" si="34"/>
        <v>0</v>
      </c>
      <c r="CD250" s="5">
        <f t="shared" si="35"/>
        <v>0</v>
      </c>
      <c r="CE250" s="5">
        <f t="shared" si="36"/>
        <v>0</v>
      </c>
      <c r="CF250" s="5">
        <f t="shared" si="37"/>
        <v>0</v>
      </c>
      <c r="CG250" s="5">
        <f t="shared" si="38"/>
        <v>0</v>
      </c>
      <c r="CH250" s="5">
        <f t="shared" si="39"/>
        <v>0</v>
      </c>
      <c r="CI250" s="5">
        <f t="shared" si="40"/>
        <v>0</v>
      </c>
      <c r="CJ250" s="5">
        <f t="shared" si="41"/>
        <v>0</v>
      </c>
      <c r="CK250" s="5">
        <f t="shared" si="42"/>
        <v>0</v>
      </c>
      <c r="CL250" s="5">
        <f t="shared" si="43"/>
        <v>0</v>
      </c>
      <c r="CM250" s="5">
        <f t="shared" si="44"/>
        <v>0</v>
      </c>
      <c r="CN250" s="5">
        <f t="shared" si="45"/>
        <v>0</v>
      </c>
      <c r="CO250" s="5">
        <f t="shared" si="46"/>
        <v>0</v>
      </c>
      <c r="CP250" s="6">
        <f t="shared" si="47"/>
        <v>0</v>
      </c>
      <c r="CQ250" s="6">
        <f t="shared" si="48"/>
        <v>0</v>
      </c>
      <c r="CR250" s="6">
        <f t="shared" si="49"/>
        <v>0</v>
      </c>
      <c r="CS250" s="6">
        <f t="shared" si="50"/>
        <v>0</v>
      </c>
      <c r="CT250" s="6">
        <f t="shared" si="584"/>
        <v>0</v>
      </c>
      <c r="CU250" s="6">
        <f t="shared" si="52"/>
        <v>0</v>
      </c>
      <c r="CV250" s="6">
        <f t="shared" si="53"/>
        <v>0</v>
      </c>
      <c r="CW250" s="6">
        <f t="shared" si="54"/>
        <v>0</v>
      </c>
      <c r="CX250" s="6">
        <f t="shared" si="55"/>
        <v>0</v>
      </c>
      <c r="CY250" s="6">
        <f t="shared" si="56"/>
        <v>0</v>
      </c>
      <c r="CZ250" s="6">
        <f t="shared" si="57"/>
        <v>0</v>
      </c>
      <c r="DA250" s="6">
        <f t="shared" si="58"/>
        <v>0</v>
      </c>
      <c r="DB250" s="6">
        <f t="shared" si="59"/>
        <v>0</v>
      </c>
      <c r="DC250" s="6">
        <f t="shared" si="60"/>
        <v>0</v>
      </c>
      <c r="DD250" s="6">
        <f t="shared" si="61"/>
        <v>0</v>
      </c>
      <c r="DE250" s="6">
        <f t="shared" si="62"/>
        <v>1</v>
      </c>
      <c r="DF250" s="6">
        <f t="shared" si="63"/>
        <v>0</v>
      </c>
      <c r="DG250" s="6">
        <f t="shared" si="64"/>
        <v>1</v>
      </c>
      <c r="DH250" s="6">
        <f t="shared" si="697"/>
        <v>0</v>
      </c>
      <c r="DI250" s="6">
        <f t="shared" si="66"/>
        <v>0</v>
      </c>
      <c r="DJ250" s="6">
        <f t="shared" si="653"/>
        <v>0</v>
      </c>
      <c r="DK250" s="7">
        <f t="shared" si="68"/>
        <v>0</v>
      </c>
      <c r="DL250" s="7">
        <f t="shared" si="498"/>
        <v>0</v>
      </c>
      <c r="DM250" s="7">
        <f t="shared" si="70"/>
        <v>0</v>
      </c>
      <c r="DN250" s="7">
        <f t="shared" si="71"/>
        <v>0</v>
      </c>
      <c r="DO250" s="7">
        <f t="shared" si="72"/>
        <v>1</v>
      </c>
      <c r="DP250" s="8">
        <f t="shared" si="73"/>
        <v>0</v>
      </c>
      <c r="DQ250" s="8">
        <f t="shared" si="74"/>
        <v>1</v>
      </c>
      <c r="DR250" s="7">
        <f t="shared" si="75"/>
        <v>0</v>
      </c>
      <c r="DS250" s="7">
        <f t="shared" si="76"/>
        <v>0</v>
      </c>
      <c r="DT250" s="7">
        <f t="shared" si="77"/>
        <v>0</v>
      </c>
      <c r="DU250" s="9">
        <f t="shared" si="78"/>
        <v>0</v>
      </c>
      <c r="DV250" s="9">
        <f t="shared" si="79"/>
        <v>0</v>
      </c>
      <c r="DW250" s="9">
        <f t="shared" si="80"/>
        <v>0</v>
      </c>
      <c r="DX250" s="9">
        <f t="shared" si="81"/>
        <v>0</v>
      </c>
      <c r="DY250" s="9">
        <f t="shared" si="82"/>
        <v>0</v>
      </c>
      <c r="DZ250" s="9">
        <f t="shared" si="83"/>
        <v>0</v>
      </c>
      <c r="EA250" s="9">
        <f t="shared" si="84"/>
        <v>0</v>
      </c>
      <c r="EB250" s="9">
        <f t="shared" si="85"/>
        <v>0</v>
      </c>
      <c r="EC250" s="9">
        <f t="shared" si="86"/>
        <v>0</v>
      </c>
      <c r="ED250" s="9">
        <f t="shared" si="87"/>
        <v>0</v>
      </c>
      <c r="EE250" s="9">
        <f t="shared" si="88"/>
        <v>0</v>
      </c>
      <c r="EF250" s="9">
        <f t="shared" si="89"/>
        <v>0</v>
      </c>
      <c r="EG250" s="9">
        <f t="shared" si="90"/>
        <v>0</v>
      </c>
      <c r="EH250" s="9">
        <f t="shared" si="91"/>
        <v>0</v>
      </c>
      <c r="EI250" s="9">
        <f t="shared" si="92"/>
        <v>0</v>
      </c>
      <c r="EJ250" s="10">
        <f t="shared" si="93"/>
        <v>0</v>
      </c>
      <c r="EK250" s="10">
        <f t="shared" si="94"/>
        <v>0</v>
      </c>
      <c r="EL250" s="10">
        <f t="shared" ref="EL250:EM250" si="862">IF(OR(ISNUMBER(SEARCH("ai software toolkit", $D250)), ISNUMBER(SEARCH("ai software toolkit", $T250)), ISNUMBER(SEARCH("ai software toolkit", $R250)), ISNUMBER(SEARCH("ai software toolkit", $S250))), 1, 0)</f>
        <v>0</v>
      </c>
      <c r="EM250" s="10">
        <f t="shared" si="862"/>
        <v>0</v>
      </c>
      <c r="EN250" s="10">
        <f t="shared" si="96"/>
        <v>0</v>
      </c>
      <c r="EO250" s="10">
        <f t="shared" si="97"/>
        <v>0</v>
      </c>
      <c r="EP250" s="10">
        <f t="shared" si="98"/>
        <v>0</v>
      </c>
      <c r="EQ250" s="10">
        <f t="shared" si="99"/>
        <v>0</v>
      </c>
      <c r="ER250" s="10">
        <f t="shared" si="100"/>
        <v>0</v>
      </c>
      <c r="ES250" s="10">
        <f t="shared" si="101"/>
        <v>0</v>
      </c>
      <c r="ET250" s="10">
        <f t="shared" si="102"/>
        <v>0</v>
      </c>
      <c r="EU250" s="10">
        <f t="shared" si="103"/>
        <v>0</v>
      </c>
      <c r="EV250" s="10">
        <f t="shared" si="104"/>
        <v>0</v>
      </c>
      <c r="EW250" s="10">
        <f t="shared" si="105"/>
        <v>0</v>
      </c>
      <c r="EX250" s="10">
        <f t="shared" si="106"/>
        <v>0</v>
      </c>
      <c r="EY250" s="10">
        <f t="shared" si="107"/>
        <v>0</v>
      </c>
      <c r="EZ250" s="10">
        <f t="shared" si="108"/>
        <v>0</v>
      </c>
      <c r="FA250" s="10">
        <f t="shared" si="109"/>
        <v>0</v>
      </c>
      <c r="FB250" s="10">
        <f t="shared" si="110"/>
        <v>0</v>
      </c>
      <c r="FC250" s="10">
        <f t="shared" si="111"/>
        <v>0</v>
      </c>
      <c r="FD250" s="10">
        <f t="shared" si="112"/>
        <v>0</v>
      </c>
      <c r="FE250" s="10">
        <f t="shared" si="782"/>
        <v>0</v>
      </c>
      <c r="FF250" s="10">
        <f t="shared" si="114"/>
        <v>0</v>
      </c>
      <c r="FG250" s="10">
        <f t="shared" si="115"/>
        <v>0</v>
      </c>
      <c r="FH250" s="10">
        <f t="shared" si="116"/>
        <v>0</v>
      </c>
      <c r="FI250" s="10">
        <f t="shared" si="117"/>
        <v>0</v>
      </c>
      <c r="FJ250" s="10">
        <f t="shared" si="118"/>
        <v>0</v>
      </c>
      <c r="FK250" s="10">
        <f t="shared" si="119"/>
        <v>0</v>
      </c>
      <c r="FL250" s="10">
        <f t="shared" si="120"/>
        <v>0</v>
      </c>
      <c r="FM250" s="10">
        <f t="shared" si="121"/>
        <v>0</v>
      </c>
      <c r="FN250" s="10">
        <f t="shared" si="122"/>
        <v>0</v>
      </c>
      <c r="FO250" s="10">
        <f t="shared" si="123"/>
        <v>0</v>
      </c>
      <c r="FP250" s="10">
        <f t="shared" si="124"/>
        <v>0</v>
      </c>
      <c r="FQ250" s="10">
        <f t="shared" si="125"/>
        <v>0</v>
      </c>
      <c r="FR250" s="11">
        <f t="shared" si="804"/>
        <v>0</v>
      </c>
      <c r="FS250" s="11">
        <f t="shared" si="127"/>
        <v>0</v>
      </c>
      <c r="FT250" s="11">
        <f t="shared" si="128"/>
        <v>0</v>
      </c>
      <c r="FU250" s="11">
        <f t="shared" si="129"/>
        <v>0</v>
      </c>
      <c r="FV250" s="11">
        <f t="shared" si="130"/>
        <v>0</v>
      </c>
      <c r="FW250" s="11">
        <f t="shared" si="131"/>
        <v>0</v>
      </c>
      <c r="FX250" s="11">
        <f t="shared" si="132"/>
        <v>0</v>
      </c>
      <c r="FY250" s="11">
        <f t="shared" si="133"/>
        <v>0</v>
      </c>
      <c r="FZ250" s="11">
        <f t="shared" si="134"/>
        <v>0</v>
      </c>
      <c r="GA250" s="11">
        <f t="shared" si="135"/>
        <v>0</v>
      </c>
      <c r="GB250" s="11">
        <f t="shared" si="136"/>
        <v>0</v>
      </c>
      <c r="GC250" s="11">
        <f t="shared" si="137"/>
        <v>0</v>
      </c>
      <c r="GD250" s="11">
        <f t="shared" si="138"/>
        <v>0</v>
      </c>
      <c r="GE250" s="11">
        <f t="shared" si="139"/>
        <v>0</v>
      </c>
      <c r="GF250" s="11">
        <f t="shared" si="140"/>
        <v>0</v>
      </c>
      <c r="GG250" s="11">
        <f t="shared" si="141"/>
        <v>0</v>
      </c>
      <c r="GH250" s="11">
        <f t="shared" si="142"/>
        <v>0</v>
      </c>
      <c r="GI250" s="11">
        <f t="shared" si="143"/>
        <v>0</v>
      </c>
      <c r="GJ250" s="11">
        <f t="shared" si="144"/>
        <v>0</v>
      </c>
      <c r="GK250" s="11">
        <f t="shared" si="145"/>
        <v>0</v>
      </c>
      <c r="GL250" s="11">
        <f t="shared" si="146"/>
        <v>0</v>
      </c>
      <c r="GM250" s="11">
        <f t="shared" si="147"/>
        <v>0</v>
      </c>
      <c r="GN250" s="11">
        <f t="shared" si="148"/>
        <v>0</v>
      </c>
      <c r="GO250" s="11">
        <f t="shared" si="149"/>
        <v>0</v>
      </c>
      <c r="GP250" s="11">
        <f t="shared" si="150"/>
        <v>0</v>
      </c>
      <c r="GQ250" s="11">
        <f t="shared" si="151"/>
        <v>0</v>
      </c>
      <c r="GR250" s="11">
        <f t="shared" si="152"/>
        <v>0</v>
      </c>
      <c r="GS250" s="11">
        <f t="shared" si="153"/>
        <v>0</v>
      </c>
      <c r="GT250" s="11">
        <f t="shared" si="154"/>
        <v>0</v>
      </c>
      <c r="GU250" s="12">
        <f t="shared" si="155"/>
        <v>0</v>
      </c>
      <c r="GV250" s="12">
        <f t="shared" si="156"/>
        <v>0</v>
      </c>
      <c r="GW250" s="12">
        <f t="shared" si="157"/>
        <v>0</v>
      </c>
      <c r="GX250" s="12">
        <f t="shared" si="158"/>
        <v>0</v>
      </c>
      <c r="GY250" s="12">
        <f t="shared" si="159"/>
        <v>0</v>
      </c>
      <c r="GZ250" s="12">
        <f t="shared" si="160"/>
        <v>0</v>
      </c>
      <c r="HA250" s="12">
        <f t="shared" si="161"/>
        <v>0</v>
      </c>
      <c r="HB250" s="12">
        <f t="shared" si="162"/>
        <v>0</v>
      </c>
      <c r="HC250" s="12">
        <f t="shared" si="163"/>
        <v>0</v>
      </c>
      <c r="HD250" s="12">
        <f t="shared" si="164"/>
        <v>0</v>
      </c>
      <c r="HE250" s="12">
        <f t="shared" si="165"/>
        <v>0</v>
      </c>
      <c r="HF250" s="12">
        <f t="shared" si="166"/>
        <v>0</v>
      </c>
      <c r="HG250" s="12">
        <f t="shared" si="167"/>
        <v>0</v>
      </c>
      <c r="HH250" s="12">
        <f t="shared" si="168"/>
        <v>0</v>
      </c>
      <c r="HI250" s="12">
        <f t="shared" si="169"/>
        <v>0</v>
      </c>
      <c r="HJ250" s="12">
        <f t="shared" si="170"/>
        <v>0</v>
      </c>
      <c r="HK250" s="12">
        <f t="shared" si="171"/>
        <v>0</v>
      </c>
      <c r="HL250" s="12">
        <f t="shared" si="172"/>
        <v>0</v>
      </c>
      <c r="HM250" s="12">
        <f t="shared" si="173"/>
        <v>0</v>
      </c>
      <c r="HN250" s="12">
        <f t="shared" si="174"/>
        <v>1</v>
      </c>
      <c r="HO250" s="12">
        <f t="shared" si="175"/>
        <v>0</v>
      </c>
      <c r="HP250" s="12">
        <f t="shared" si="176"/>
        <v>0</v>
      </c>
      <c r="HQ250" s="12">
        <f t="shared" si="177"/>
        <v>0</v>
      </c>
      <c r="HR250" s="12">
        <f t="shared" si="178"/>
        <v>0</v>
      </c>
      <c r="HS250" s="12">
        <f t="shared" si="179"/>
        <v>0</v>
      </c>
      <c r="HT250" s="12">
        <f t="shared" si="180"/>
        <v>0</v>
      </c>
      <c r="HU250" s="12">
        <f t="shared" si="181"/>
        <v>0</v>
      </c>
      <c r="HV250" s="12">
        <f t="shared" si="182"/>
        <v>0</v>
      </c>
      <c r="HW250" s="12">
        <f t="shared" si="183"/>
        <v>0</v>
      </c>
      <c r="HX250" s="12">
        <f t="shared" si="184"/>
        <v>0</v>
      </c>
      <c r="HY250" s="12">
        <f t="shared" si="185"/>
        <v>0</v>
      </c>
      <c r="HZ250" s="12">
        <f t="shared" si="186"/>
        <v>0</v>
      </c>
      <c r="IA250" s="12">
        <f t="shared" si="187"/>
        <v>0</v>
      </c>
      <c r="IB250" s="12">
        <f t="shared" si="188"/>
        <v>0</v>
      </c>
      <c r="IC250" s="12">
        <f t="shared" si="189"/>
        <v>0</v>
      </c>
      <c r="ID250" s="12">
        <f t="shared" si="190"/>
        <v>0</v>
      </c>
      <c r="IE250" s="12">
        <f t="shared" si="191"/>
        <v>0</v>
      </c>
      <c r="IF250" s="12">
        <f t="shared" si="192"/>
        <v>0</v>
      </c>
      <c r="IG250" s="12">
        <f t="shared" si="193"/>
        <v>0</v>
      </c>
      <c r="IH250" s="12">
        <f t="shared" si="194"/>
        <v>0</v>
      </c>
      <c r="II250" s="12">
        <f t="shared" si="195"/>
        <v>0</v>
      </c>
      <c r="IJ250" s="12">
        <f t="shared" si="196"/>
        <v>0</v>
      </c>
      <c r="IK250" s="12">
        <f t="shared" si="197"/>
        <v>0</v>
      </c>
      <c r="IL250" s="12">
        <f t="shared" si="198"/>
        <v>0</v>
      </c>
      <c r="IM250" s="12">
        <f t="shared" si="199"/>
        <v>0</v>
      </c>
      <c r="IN250" s="12">
        <f t="shared" si="200"/>
        <v>0</v>
      </c>
      <c r="IO250" s="12">
        <f t="shared" si="201"/>
        <v>0</v>
      </c>
      <c r="IP250" s="12">
        <f t="shared" si="202"/>
        <v>0</v>
      </c>
      <c r="IQ250" s="12">
        <f t="shared" si="203"/>
        <v>0</v>
      </c>
      <c r="IR250" s="12">
        <f t="shared" si="204"/>
        <v>0</v>
      </c>
      <c r="IS250" s="12">
        <f t="shared" si="205"/>
        <v>0</v>
      </c>
      <c r="IT250" s="12">
        <f t="shared" si="206"/>
        <v>0</v>
      </c>
      <c r="IU250" s="12">
        <f t="shared" si="207"/>
        <v>0</v>
      </c>
      <c r="IV250" s="12">
        <f t="shared" si="208"/>
        <v>0</v>
      </c>
      <c r="IW250" s="12">
        <f t="shared" si="209"/>
        <v>0</v>
      </c>
      <c r="IX250" s="12">
        <f t="shared" si="210"/>
        <v>0</v>
      </c>
      <c r="IY250" s="12">
        <f t="shared" si="211"/>
        <v>0</v>
      </c>
      <c r="IZ250" s="12">
        <f t="shared" si="212"/>
        <v>1</v>
      </c>
      <c r="JA250" s="13">
        <f t="shared" si="213"/>
        <v>0</v>
      </c>
      <c r="JB250" s="13">
        <f t="shared" si="214"/>
        <v>0</v>
      </c>
      <c r="JC250" s="13">
        <f t="shared" si="215"/>
        <v>0</v>
      </c>
      <c r="JD250" s="13">
        <f t="shared" si="216"/>
        <v>0</v>
      </c>
      <c r="JE250" s="13">
        <f t="shared" si="217"/>
        <v>0</v>
      </c>
      <c r="JF250" s="13">
        <f t="shared" si="218"/>
        <v>0</v>
      </c>
      <c r="JG250" s="13">
        <f t="shared" si="219"/>
        <v>0</v>
      </c>
      <c r="JH250" s="13">
        <f t="shared" si="220"/>
        <v>0</v>
      </c>
      <c r="JI250" s="13">
        <f t="shared" si="221"/>
        <v>0</v>
      </c>
      <c r="JJ250" s="13">
        <f t="shared" si="222"/>
        <v>0</v>
      </c>
      <c r="JK250" s="13">
        <f t="shared" si="223"/>
        <v>0</v>
      </c>
      <c r="JL250" s="13">
        <f t="shared" si="224"/>
        <v>0</v>
      </c>
      <c r="JM250" s="13">
        <f t="shared" si="225"/>
        <v>0</v>
      </c>
      <c r="JN250" s="13">
        <f t="shared" si="226"/>
        <v>0</v>
      </c>
      <c r="JO250" s="13">
        <f t="shared" si="227"/>
        <v>0</v>
      </c>
      <c r="JP250" s="13">
        <f t="shared" si="228"/>
        <v>0</v>
      </c>
      <c r="JQ250" s="13">
        <f t="shared" si="229"/>
        <v>0</v>
      </c>
      <c r="JR250" s="13">
        <f t="shared" si="230"/>
        <v>0</v>
      </c>
      <c r="JS250" s="13">
        <f t="shared" si="231"/>
        <v>0</v>
      </c>
      <c r="JT250" s="13">
        <f t="shared" si="232"/>
        <v>0</v>
      </c>
      <c r="JU250" s="13">
        <f t="shared" si="233"/>
        <v>0</v>
      </c>
      <c r="JV250" s="12">
        <f t="shared" si="234"/>
        <v>0</v>
      </c>
      <c r="JW250" s="12">
        <f t="shared" si="235"/>
        <v>0</v>
      </c>
      <c r="JX250" s="12">
        <f t="shared" si="236"/>
        <v>0</v>
      </c>
      <c r="JY250" s="12">
        <f t="shared" si="237"/>
        <v>0</v>
      </c>
      <c r="JZ250" s="12">
        <f t="shared" si="238"/>
        <v>0</v>
      </c>
      <c r="KA250" s="12">
        <f t="shared" si="239"/>
        <v>0</v>
      </c>
      <c r="KB250" s="12">
        <f t="shared" si="240"/>
        <v>0</v>
      </c>
      <c r="KC250" s="12">
        <f t="shared" si="241"/>
        <v>0</v>
      </c>
      <c r="KD250" s="12">
        <f t="shared" si="797"/>
        <v>0</v>
      </c>
      <c r="KE250" s="12">
        <f t="shared" si="243"/>
        <v>0</v>
      </c>
      <c r="KF250" s="12">
        <f t="shared" si="244"/>
        <v>0</v>
      </c>
      <c r="KG250" s="12">
        <f t="shared" si="245"/>
        <v>0</v>
      </c>
      <c r="KH250" s="12">
        <f t="shared" si="246"/>
        <v>0</v>
      </c>
      <c r="KI250" s="12">
        <f t="shared" si="247"/>
        <v>0</v>
      </c>
      <c r="KJ250" s="12">
        <f t="shared" si="248"/>
        <v>0</v>
      </c>
      <c r="KK250" s="12">
        <f t="shared" si="249"/>
        <v>0</v>
      </c>
      <c r="KL250" s="12">
        <f t="shared" si="250"/>
        <v>0</v>
      </c>
      <c r="KM250" s="12">
        <f t="shared" si="251"/>
        <v>0</v>
      </c>
      <c r="KN250" s="12">
        <f t="shared" si="252"/>
        <v>0</v>
      </c>
      <c r="KO250" s="12">
        <f t="shared" si="253"/>
        <v>0</v>
      </c>
      <c r="KP250" s="12">
        <f t="shared" si="254"/>
        <v>0</v>
      </c>
      <c r="KQ250" s="12">
        <f t="shared" si="255"/>
        <v>0</v>
      </c>
      <c r="KR250" s="12">
        <f t="shared" si="256"/>
        <v>0</v>
      </c>
      <c r="KS250" s="12">
        <f t="shared" si="257"/>
        <v>0</v>
      </c>
      <c r="KT250" s="12">
        <f t="shared" si="258"/>
        <v>0</v>
      </c>
      <c r="KU250" s="12">
        <f t="shared" si="259"/>
        <v>0</v>
      </c>
      <c r="KV250" s="12">
        <f t="shared" si="260"/>
        <v>0</v>
      </c>
      <c r="KW250" s="12">
        <f t="shared" si="261"/>
        <v>0</v>
      </c>
      <c r="KX250" s="12">
        <f t="shared" si="262"/>
        <v>0</v>
      </c>
      <c r="KY250" s="12">
        <f t="shared" si="263"/>
        <v>0</v>
      </c>
      <c r="KZ250" s="12">
        <f t="shared" si="264"/>
        <v>0</v>
      </c>
      <c r="LA250" s="12">
        <f t="shared" si="265"/>
        <v>0</v>
      </c>
      <c r="LB250" s="12">
        <f t="shared" si="266"/>
        <v>0</v>
      </c>
      <c r="LC250" s="12">
        <f t="shared" si="267"/>
        <v>0</v>
      </c>
      <c r="LD250" s="12">
        <f t="shared" si="268"/>
        <v>0</v>
      </c>
      <c r="LE250" s="12">
        <f t="shared" si="269"/>
        <v>0</v>
      </c>
      <c r="LF250" s="12">
        <f t="shared" si="270"/>
        <v>0</v>
      </c>
      <c r="LG250" s="12">
        <f t="shared" si="271"/>
        <v>0</v>
      </c>
      <c r="LH250" s="12">
        <f t="shared" si="272"/>
        <v>0</v>
      </c>
      <c r="LI250" s="12">
        <f t="shared" si="273"/>
        <v>0</v>
      </c>
      <c r="LJ250" s="12">
        <f t="shared" si="274"/>
        <v>0</v>
      </c>
      <c r="LK250" s="12">
        <f t="shared" si="275"/>
        <v>0</v>
      </c>
      <c r="LL250" s="12">
        <f t="shared" si="276"/>
        <v>0</v>
      </c>
      <c r="LM250" s="12">
        <f t="shared" si="277"/>
        <v>0</v>
      </c>
      <c r="LN250" s="12">
        <f t="shared" si="278"/>
        <v>0</v>
      </c>
      <c r="LO250" s="12">
        <f t="shared" si="279"/>
        <v>0</v>
      </c>
      <c r="LP250" s="12">
        <f t="shared" si="280"/>
        <v>0</v>
      </c>
      <c r="LQ250" s="12">
        <f t="shared" si="281"/>
        <v>0</v>
      </c>
      <c r="LR250" s="12">
        <f t="shared" si="282"/>
        <v>0</v>
      </c>
      <c r="LS250" s="12">
        <f t="shared" si="283"/>
        <v>0</v>
      </c>
      <c r="LT250" s="13">
        <f t="shared" si="284"/>
        <v>0</v>
      </c>
      <c r="LU250" s="13">
        <f t="shared" si="285"/>
        <v>0</v>
      </c>
      <c r="LV250" s="13">
        <f t="shared" si="286"/>
        <v>0</v>
      </c>
      <c r="LW250" s="13">
        <f t="shared" si="287"/>
        <v>0</v>
      </c>
      <c r="LX250" s="13">
        <f t="shared" si="288"/>
        <v>0</v>
      </c>
      <c r="LY250" s="13">
        <f t="shared" si="289"/>
        <v>0</v>
      </c>
      <c r="LZ250" s="13">
        <f t="shared" si="290"/>
        <v>0</v>
      </c>
      <c r="MA250" s="13">
        <f t="shared" si="291"/>
        <v>0</v>
      </c>
      <c r="MB250" s="13">
        <f t="shared" si="292"/>
        <v>0</v>
      </c>
      <c r="MC250" s="13">
        <f t="shared" si="293"/>
        <v>0</v>
      </c>
      <c r="MD250" s="13">
        <f t="shared" si="294"/>
        <v>0</v>
      </c>
      <c r="ME250" s="13">
        <f t="shared" si="295"/>
        <v>0</v>
      </c>
      <c r="MF250" s="13">
        <f t="shared" si="296"/>
        <v>0</v>
      </c>
      <c r="MG250" s="13">
        <f t="shared" si="297"/>
        <v>0</v>
      </c>
      <c r="MH250" s="13">
        <f t="shared" si="298"/>
        <v>0</v>
      </c>
      <c r="MI250" s="13">
        <f t="shared" si="299"/>
        <v>0</v>
      </c>
      <c r="MJ250" s="13">
        <f t="shared" si="300"/>
        <v>0</v>
      </c>
      <c r="MK250" s="13">
        <f t="shared" si="301"/>
        <v>0</v>
      </c>
      <c r="ML250" s="14">
        <f t="shared" si="302"/>
        <v>0</v>
      </c>
      <c r="MM250" s="14">
        <f t="shared" si="303"/>
        <v>0</v>
      </c>
      <c r="MN250" s="14">
        <f t="shared" si="304"/>
        <v>0</v>
      </c>
      <c r="MO250" s="14">
        <f t="shared" si="305"/>
        <v>0</v>
      </c>
      <c r="MP250" s="14">
        <f t="shared" si="306"/>
        <v>0</v>
      </c>
      <c r="MQ250" s="14">
        <f t="shared" si="307"/>
        <v>0</v>
      </c>
      <c r="MR250" s="14">
        <f t="shared" si="308"/>
        <v>0</v>
      </c>
      <c r="MS250" s="14">
        <f t="shared" si="309"/>
        <v>0</v>
      </c>
      <c r="MT250" s="14">
        <f t="shared" si="310"/>
        <v>0</v>
      </c>
      <c r="MU250" s="14">
        <f t="shared" si="311"/>
        <v>0</v>
      </c>
      <c r="MV250" s="14">
        <f t="shared" si="312"/>
        <v>0</v>
      </c>
      <c r="MW250" s="14">
        <f t="shared" si="313"/>
        <v>0</v>
      </c>
      <c r="MX250" s="14">
        <f t="shared" si="314"/>
        <v>0</v>
      </c>
      <c r="MY250" s="14">
        <f t="shared" si="315"/>
        <v>0</v>
      </c>
      <c r="MZ250" s="14">
        <f t="shared" si="316"/>
        <v>0</v>
      </c>
      <c r="NA250" s="14">
        <f t="shared" si="317"/>
        <v>0</v>
      </c>
      <c r="NB250" s="14">
        <f t="shared" si="318"/>
        <v>0</v>
      </c>
    </row>
    <row r="251" ht="15.75" customHeight="1">
      <c r="A251" s="2">
        <v>702.0</v>
      </c>
      <c r="B251" s="2" t="s">
        <v>4490</v>
      </c>
      <c r="C251" s="2" t="s">
        <v>4491</v>
      </c>
      <c r="D251" s="2" t="s">
        <v>4492</v>
      </c>
      <c r="E251" s="2">
        <v>2022.0</v>
      </c>
      <c r="F251" s="2" t="s">
        <v>1459</v>
      </c>
      <c r="G251" s="2">
        <v>14.0</v>
      </c>
      <c r="H251" s="2" t="s">
        <v>393</v>
      </c>
      <c r="I251" s="2" t="s">
        <v>4493</v>
      </c>
      <c r="N251" s="2" t="s">
        <v>4494</v>
      </c>
      <c r="O251" s="2" t="s">
        <v>4495</v>
      </c>
      <c r="P251" s="2" t="s">
        <v>4496</v>
      </c>
      <c r="Q251" s="2" t="s">
        <v>4497</v>
      </c>
      <c r="R251" s="2" t="s">
        <v>4498</v>
      </c>
      <c r="S251" s="2" t="s">
        <v>4499</v>
      </c>
      <c r="T251" s="2" t="s">
        <v>4500</v>
      </c>
      <c r="Y251" s="2" t="s">
        <v>4501</v>
      </c>
      <c r="AB251" s="2" t="s">
        <v>1303</v>
      </c>
      <c r="AG251" s="2" t="s">
        <v>1469</v>
      </c>
      <c r="AK251" s="2" t="s">
        <v>1470</v>
      </c>
      <c r="AL251" s="2" t="s">
        <v>384</v>
      </c>
      <c r="AM251" s="2" t="s">
        <v>484</v>
      </c>
      <c r="AN251" s="2" t="s">
        <v>386</v>
      </c>
      <c r="AO251" s="2" t="s">
        <v>4502</v>
      </c>
      <c r="AP251" s="2" t="s">
        <v>386</v>
      </c>
      <c r="AQ251" s="2">
        <v>2306.0</v>
      </c>
      <c r="AR251" s="2" t="s">
        <v>4503</v>
      </c>
      <c r="AS251" s="2" t="b">
        <v>0</v>
      </c>
      <c r="AT251" s="3">
        <v>0.0</v>
      </c>
      <c r="AU251" s="4"/>
      <c r="AV251" s="4"/>
      <c r="AW251" s="5">
        <f t="shared" si="432"/>
        <v>0</v>
      </c>
      <c r="AX251" s="5">
        <f t="shared" si="4"/>
        <v>0</v>
      </c>
      <c r="AY251" s="5">
        <f t="shared" si="5"/>
        <v>0</v>
      </c>
      <c r="AZ251" s="5">
        <f t="shared" si="6"/>
        <v>0</v>
      </c>
      <c r="BA251" s="5">
        <f t="shared" si="7"/>
        <v>0</v>
      </c>
      <c r="BB251" s="5">
        <f t="shared" si="8"/>
        <v>1</v>
      </c>
      <c r="BC251" s="5">
        <f t="shared" si="9"/>
        <v>0</v>
      </c>
      <c r="BD251" s="5">
        <f t="shared" si="10"/>
        <v>0</v>
      </c>
      <c r="BE251" s="5">
        <f t="shared" si="11"/>
        <v>0</v>
      </c>
      <c r="BF251" s="5">
        <f t="shared" si="12"/>
        <v>0</v>
      </c>
      <c r="BG251" s="5">
        <f t="shared" si="13"/>
        <v>0</v>
      </c>
      <c r="BH251" s="5">
        <f t="shared" si="14"/>
        <v>0</v>
      </c>
      <c r="BI251" s="5">
        <f t="shared" si="15"/>
        <v>0</v>
      </c>
      <c r="BJ251" s="5">
        <f t="shared" si="16"/>
        <v>0</v>
      </c>
      <c r="BK251" s="5">
        <f t="shared" si="17"/>
        <v>0</v>
      </c>
      <c r="BL251" s="5">
        <f t="shared" si="18"/>
        <v>0</v>
      </c>
      <c r="BM251" s="5">
        <f t="shared" si="19"/>
        <v>0</v>
      </c>
      <c r="BN251" s="5">
        <f t="shared" si="20"/>
        <v>0</v>
      </c>
      <c r="BO251" s="5">
        <f t="shared" si="21"/>
        <v>0</v>
      </c>
      <c r="BP251" s="5">
        <f t="shared" si="22"/>
        <v>0</v>
      </c>
      <c r="BQ251" s="5">
        <f t="shared" si="23"/>
        <v>0</v>
      </c>
      <c r="BR251" s="5">
        <f t="shared" si="24"/>
        <v>0</v>
      </c>
      <c r="BS251" s="5">
        <f t="shared" si="25"/>
        <v>0</v>
      </c>
      <c r="BT251" s="5">
        <f t="shared" si="26"/>
        <v>0</v>
      </c>
      <c r="BU251" s="5">
        <f t="shared" si="27"/>
        <v>0</v>
      </c>
      <c r="BV251" s="5">
        <f t="shared" ref="BV251:BW251" si="863">IF(OR(ISNUMBER(SEARCH("grit",$D251)),ISNUMBER(SEARCH("grit",$T251)),ISNUMBER(SEARCH("grit",$R251)),ISNUMBER(SEARCH("grit",$S251)),
ISNUMBER(SEARCH("determination",$D251)),ISNUMBER(SEARCH("determination",$T251)),ISNUMBER(SEARCH("determination",$R251)),ISNUMBER(SEARCH("determination",$S251)),
ISNUMBER(SEARCH("tenacity",$D251)),ISNUMBER(SEARCH("tenacity",$T251)),ISNUMBER(SEARCH("tenacity",$R251)),ISNUMBER(SEARCH("tenacity",$S251)),
ISNUMBER(SEARCH("endurance",$D251)),ISNUMBER(SEARCH("endurance",$T251)),ISNUMBER(SEARCH("endurance",$R251)),ISNUMBER(SEARCH("endurance",$S251)),
ISNUMBER(SEARCH("fortitude",$D251)),ISNUMBER(SEARCH("fortitude",$T251)),ISNUMBER(SEARCH("fortitude",$R251)),ISNUMBER(SEARCH("fortitude",$S251)),
ISNUMBER(SEARCH("resolve",$D251)),ISNUMBER(SEARCH("resolve",$T251)),ISNUMBER(SEARCH("resolve",$R251)),ISNUMBER(SEARCH("resolve",$S251)),
ISNUMBER(SEARCH("stamina",$D251)),ISNUMBER(SEARCH("stamina",$T251)),ISNUMBER(SEARCH("stamina",$R251)),ISNUMBER(SEARCH("stamina",$S251)),
ISNUMBER(SEARCH("guts",$D251)),ISNUMBER(SEARCH("guts",$T251)),ISNUMBER(SEARCH("guts",$R251)),ISNUMBER(SEARCH("guts",$S251)),
ISNUMBER(SEARCH("spunk",$D251)),ISNUMBER(SEARCH("spunk",$T251)),ISNUMBER(SEARCH("spunk",$R251)),ISNUMBER(SEARCH("spunk",$S251))), 1, 0)</f>
        <v>0</v>
      </c>
      <c r="BW251" s="5">
        <f t="shared" si="863"/>
        <v>0</v>
      </c>
      <c r="BX251" s="5">
        <f t="shared" si="29"/>
        <v>0</v>
      </c>
      <c r="BY251" s="5">
        <f t="shared" si="30"/>
        <v>0</v>
      </c>
      <c r="BZ251" s="5">
        <f t="shared" si="31"/>
        <v>0</v>
      </c>
      <c r="CA251" s="5">
        <f t="shared" si="32"/>
        <v>0</v>
      </c>
      <c r="CB251" s="5">
        <f t="shared" si="33"/>
        <v>0</v>
      </c>
      <c r="CC251" s="5">
        <f t="shared" si="34"/>
        <v>0</v>
      </c>
      <c r="CD251" s="5">
        <f t="shared" si="35"/>
        <v>0</v>
      </c>
      <c r="CE251" s="5">
        <f t="shared" si="36"/>
        <v>0</v>
      </c>
      <c r="CF251" s="5">
        <f t="shared" si="37"/>
        <v>0</v>
      </c>
      <c r="CG251" s="5">
        <f t="shared" si="38"/>
        <v>0</v>
      </c>
      <c r="CH251" s="5">
        <f t="shared" si="39"/>
        <v>0</v>
      </c>
      <c r="CI251" s="5">
        <f t="shared" si="40"/>
        <v>0</v>
      </c>
      <c r="CJ251" s="5">
        <f t="shared" si="41"/>
        <v>0</v>
      </c>
      <c r="CK251" s="5">
        <f t="shared" si="42"/>
        <v>0</v>
      </c>
      <c r="CL251" s="5">
        <f t="shared" si="43"/>
        <v>0</v>
      </c>
      <c r="CM251" s="5">
        <f t="shared" si="44"/>
        <v>0</v>
      </c>
      <c r="CN251" s="5">
        <f t="shared" si="45"/>
        <v>0</v>
      </c>
      <c r="CO251" s="5">
        <f t="shared" si="46"/>
        <v>0</v>
      </c>
      <c r="CP251" s="6">
        <f t="shared" si="47"/>
        <v>0</v>
      </c>
      <c r="CQ251" s="6">
        <f t="shared" si="48"/>
        <v>0</v>
      </c>
      <c r="CR251" s="6">
        <f t="shared" si="49"/>
        <v>0</v>
      </c>
      <c r="CS251" s="6">
        <f t="shared" si="50"/>
        <v>0</v>
      </c>
      <c r="CT251" s="6">
        <f t="shared" si="584"/>
        <v>0</v>
      </c>
      <c r="CU251" s="6">
        <f t="shared" si="52"/>
        <v>0</v>
      </c>
      <c r="CV251" s="6">
        <f t="shared" si="53"/>
        <v>0</v>
      </c>
      <c r="CW251" s="6">
        <f t="shared" si="54"/>
        <v>0</v>
      </c>
      <c r="CX251" s="6">
        <f t="shared" si="55"/>
        <v>0</v>
      </c>
      <c r="CY251" s="6">
        <f t="shared" si="56"/>
        <v>0</v>
      </c>
      <c r="CZ251" s="6">
        <f t="shared" si="57"/>
        <v>0</v>
      </c>
      <c r="DA251" s="6">
        <f t="shared" si="58"/>
        <v>1</v>
      </c>
      <c r="DB251" s="6">
        <f t="shared" si="59"/>
        <v>0</v>
      </c>
      <c r="DC251" s="6">
        <f t="shared" si="60"/>
        <v>0</v>
      </c>
      <c r="DD251" s="6">
        <f t="shared" si="61"/>
        <v>0</v>
      </c>
      <c r="DE251" s="6">
        <f t="shared" si="62"/>
        <v>0</v>
      </c>
      <c r="DF251" s="6">
        <f t="shared" si="63"/>
        <v>0</v>
      </c>
      <c r="DG251" s="6">
        <f t="shared" si="64"/>
        <v>0</v>
      </c>
      <c r="DH251" s="6">
        <f t="shared" si="697"/>
        <v>0</v>
      </c>
      <c r="DI251" s="6">
        <f t="shared" si="66"/>
        <v>0</v>
      </c>
      <c r="DJ251" s="6">
        <f t="shared" si="653"/>
        <v>0</v>
      </c>
      <c r="DK251" s="7">
        <f t="shared" si="68"/>
        <v>0</v>
      </c>
      <c r="DL251" s="7">
        <f t="shared" si="498"/>
        <v>0</v>
      </c>
      <c r="DM251" s="7">
        <f t="shared" si="70"/>
        <v>0</v>
      </c>
      <c r="DN251" s="7">
        <f t="shared" si="71"/>
        <v>0</v>
      </c>
      <c r="DO251" s="7">
        <f t="shared" si="72"/>
        <v>1</v>
      </c>
      <c r="DP251" s="8">
        <f t="shared" si="73"/>
        <v>0</v>
      </c>
      <c r="DQ251" s="8">
        <f t="shared" si="74"/>
        <v>1</v>
      </c>
      <c r="DR251" s="7">
        <f t="shared" si="75"/>
        <v>0</v>
      </c>
      <c r="DS251" s="7">
        <f t="shared" si="76"/>
        <v>0</v>
      </c>
      <c r="DT251" s="7">
        <f t="shared" si="77"/>
        <v>0</v>
      </c>
      <c r="DU251" s="9">
        <f t="shared" si="78"/>
        <v>0</v>
      </c>
      <c r="DV251" s="9">
        <f t="shared" si="79"/>
        <v>0</v>
      </c>
      <c r="DW251" s="9">
        <f t="shared" si="80"/>
        <v>0</v>
      </c>
      <c r="DX251" s="9">
        <f t="shared" si="81"/>
        <v>0</v>
      </c>
      <c r="DY251" s="9">
        <f t="shared" si="82"/>
        <v>0</v>
      </c>
      <c r="DZ251" s="9">
        <f t="shared" si="83"/>
        <v>0</v>
      </c>
      <c r="EA251" s="9">
        <f t="shared" si="84"/>
        <v>0</v>
      </c>
      <c r="EB251" s="9">
        <f t="shared" si="85"/>
        <v>0</v>
      </c>
      <c r="EC251" s="9">
        <f t="shared" si="86"/>
        <v>0</v>
      </c>
      <c r="ED251" s="9">
        <f t="shared" si="87"/>
        <v>0</v>
      </c>
      <c r="EE251" s="9">
        <f t="shared" si="88"/>
        <v>0</v>
      </c>
      <c r="EF251" s="9">
        <f t="shared" si="89"/>
        <v>0</v>
      </c>
      <c r="EG251" s="9">
        <f t="shared" si="90"/>
        <v>0</v>
      </c>
      <c r="EH251" s="9">
        <f t="shared" si="91"/>
        <v>0</v>
      </c>
      <c r="EI251" s="9">
        <f t="shared" si="92"/>
        <v>0</v>
      </c>
      <c r="EJ251" s="10">
        <f t="shared" si="93"/>
        <v>0</v>
      </c>
      <c r="EK251" s="10">
        <f t="shared" si="94"/>
        <v>0</v>
      </c>
      <c r="EL251" s="10">
        <f t="shared" ref="EL251:EM251" si="864">IF(OR(ISNUMBER(SEARCH("ai software toolkit", $D251)), ISNUMBER(SEARCH("ai software toolkit", $T251)), ISNUMBER(SEARCH("ai software toolkit", $R251)), ISNUMBER(SEARCH("ai software toolkit", $S251))), 1, 0)</f>
        <v>0</v>
      </c>
      <c r="EM251" s="10">
        <f t="shared" si="864"/>
        <v>0</v>
      </c>
      <c r="EN251" s="10">
        <f t="shared" si="96"/>
        <v>0</v>
      </c>
      <c r="EO251" s="10">
        <f t="shared" si="97"/>
        <v>0</v>
      </c>
      <c r="EP251" s="10">
        <f t="shared" si="98"/>
        <v>0</v>
      </c>
      <c r="EQ251" s="10">
        <f t="shared" si="99"/>
        <v>0</v>
      </c>
      <c r="ER251" s="10">
        <f t="shared" si="100"/>
        <v>0</v>
      </c>
      <c r="ES251" s="10">
        <f t="shared" si="101"/>
        <v>0</v>
      </c>
      <c r="ET251" s="10">
        <f t="shared" si="102"/>
        <v>0</v>
      </c>
      <c r="EU251" s="10">
        <f t="shared" si="103"/>
        <v>0</v>
      </c>
      <c r="EV251" s="10">
        <f t="shared" si="104"/>
        <v>0</v>
      </c>
      <c r="EW251" s="10">
        <f t="shared" si="105"/>
        <v>0</v>
      </c>
      <c r="EX251" s="10">
        <f t="shared" si="106"/>
        <v>0</v>
      </c>
      <c r="EY251" s="10">
        <f t="shared" si="107"/>
        <v>0</v>
      </c>
      <c r="EZ251" s="10">
        <f t="shared" si="108"/>
        <v>0</v>
      </c>
      <c r="FA251" s="10">
        <f t="shared" si="109"/>
        <v>0</v>
      </c>
      <c r="FB251" s="10">
        <f t="shared" si="110"/>
        <v>0</v>
      </c>
      <c r="FC251" s="10">
        <f t="shared" si="111"/>
        <v>0</v>
      </c>
      <c r="FD251" s="10">
        <f t="shared" si="112"/>
        <v>0</v>
      </c>
      <c r="FE251" s="10">
        <f t="shared" si="782"/>
        <v>0</v>
      </c>
      <c r="FF251" s="10">
        <f t="shared" si="114"/>
        <v>0</v>
      </c>
      <c r="FG251" s="10">
        <f t="shared" si="115"/>
        <v>0</v>
      </c>
      <c r="FH251" s="10">
        <f t="shared" si="116"/>
        <v>0</v>
      </c>
      <c r="FI251" s="10">
        <f t="shared" si="117"/>
        <v>0</v>
      </c>
      <c r="FJ251" s="10">
        <f t="shared" si="118"/>
        <v>0</v>
      </c>
      <c r="FK251" s="10">
        <f t="shared" si="119"/>
        <v>0</v>
      </c>
      <c r="FL251" s="10">
        <f t="shared" si="120"/>
        <v>0</v>
      </c>
      <c r="FM251" s="10">
        <f t="shared" si="121"/>
        <v>0</v>
      </c>
      <c r="FN251" s="10">
        <f t="shared" si="122"/>
        <v>0</v>
      </c>
      <c r="FO251" s="10">
        <f t="shared" si="123"/>
        <v>0</v>
      </c>
      <c r="FP251" s="10">
        <f t="shared" si="124"/>
        <v>0</v>
      </c>
      <c r="FQ251" s="10">
        <f t="shared" si="125"/>
        <v>0</v>
      </c>
      <c r="FR251" s="11">
        <f t="shared" si="804"/>
        <v>0</v>
      </c>
      <c r="FS251" s="11">
        <f t="shared" si="127"/>
        <v>0</v>
      </c>
      <c r="FT251" s="11">
        <f t="shared" si="128"/>
        <v>0</v>
      </c>
      <c r="FU251" s="11">
        <f t="shared" si="129"/>
        <v>0</v>
      </c>
      <c r="FV251" s="11">
        <f t="shared" si="130"/>
        <v>0</v>
      </c>
      <c r="FW251" s="11">
        <f t="shared" si="131"/>
        <v>0</v>
      </c>
      <c r="FX251" s="11">
        <f t="shared" si="132"/>
        <v>0</v>
      </c>
      <c r="FY251" s="11">
        <f t="shared" si="133"/>
        <v>0</v>
      </c>
      <c r="FZ251" s="11">
        <f t="shared" si="134"/>
        <v>0</v>
      </c>
      <c r="GA251" s="11">
        <f t="shared" si="135"/>
        <v>0</v>
      </c>
      <c r="GB251" s="11">
        <f t="shared" si="136"/>
        <v>0</v>
      </c>
      <c r="GC251" s="11">
        <f t="shared" si="137"/>
        <v>0</v>
      </c>
      <c r="GD251" s="11">
        <f t="shared" si="138"/>
        <v>0</v>
      </c>
      <c r="GE251" s="11">
        <f t="shared" si="139"/>
        <v>0</v>
      </c>
      <c r="GF251" s="11">
        <f t="shared" si="140"/>
        <v>0</v>
      </c>
      <c r="GG251" s="11">
        <f t="shared" si="141"/>
        <v>0</v>
      </c>
      <c r="GH251" s="11">
        <f t="shared" si="142"/>
        <v>0</v>
      </c>
      <c r="GI251" s="11">
        <f t="shared" si="143"/>
        <v>0</v>
      </c>
      <c r="GJ251" s="11">
        <f t="shared" si="144"/>
        <v>0</v>
      </c>
      <c r="GK251" s="11">
        <f t="shared" si="145"/>
        <v>0</v>
      </c>
      <c r="GL251" s="11">
        <f t="shared" si="146"/>
        <v>0</v>
      </c>
      <c r="GM251" s="11">
        <f t="shared" si="147"/>
        <v>0</v>
      </c>
      <c r="GN251" s="11">
        <f t="shared" si="148"/>
        <v>0</v>
      </c>
      <c r="GO251" s="11">
        <f t="shared" si="149"/>
        <v>0</v>
      </c>
      <c r="GP251" s="11">
        <f t="shared" si="150"/>
        <v>0</v>
      </c>
      <c r="GQ251" s="11">
        <f t="shared" si="151"/>
        <v>0</v>
      </c>
      <c r="GR251" s="11">
        <f t="shared" si="152"/>
        <v>0</v>
      </c>
      <c r="GS251" s="11">
        <f t="shared" si="153"/>
        <v>0</v>
      </c>
      <c r="GT251" s="11">
        <f t="shared" si="154"/>
        <v>0</v>
      </c>
      <c r="GU251" s="12">
        <f t="shared" si="155"/>
        <v>0</v>
      </c>
      <c r="GV251" s="12">
        <f t="shared" si="156"/>
        <v>0</v>
      </c>
      <c r="GW251" s="12">
        <f t="shared" si="157"/>
        <v>0</v>
      </c>
      <c r="GX251" s="12">
        <f t="shared" si="158"/>
        <v>0</v>
      </c>
      <c r="GY251" s="12">
        <f t="shared" si="159"/>
        <v>0</v>
      </c>
      <c r="GZ251" s="12">
        <f t="shared" si="160"/>
        <v>0</v>
      </c>
      <c r="HA251" s="12">
        <f t="shared" si="161"/>
        <v>0</v>
      </c>
      <c r="HB251" s="12">
        <f t="shared" si="162"/>
        <v>0</v>
      </c>
      <c r="HC251" s="12">
        <f t="shared" si="163"/>
        <v>0</v>
      </c>
      <c r="HD251" s="12">
        <f t="shared" si="164"/>
        <v>0</v>
      </c>
      <c r="HE251" s="12">
        <f t="shared" si="165"/>
        <v>0</v>
      </c>
      <c r="HF251" s="12">
        <f t="shared" si="166"/>
        <v>0</v>
      </c>
      <c r="HG251" s="12">
        <f t="shared" si="167"/>
        <v>0</v>
      </c>
      <c r="HH251" s="12">
        <f t="shared" si="168"/>
        <v>0</v>
      </c>
      <c r="HI251" s="12">
        <f t="shared" si="169"/>
        <v>0</v>
      </c>
      <c r="HJ251" s="12">
        <f t="shared" si="170"/>
        <v>0</v>
      </c>
      <c r="HK251" s="12">
        <f t="shared" si="171"/>
        <v>0</v>
      </c>
      <c r="HL251" s="12">
        <f t="shared" si="172"/>
        <v>0</v>
      </c>
      <c r="HM251" s="12">
        <f t="shared" si="173"/>
        <v>0</v>
      </c>
      <c r="HN251" s="12">
        <f t="shared" si="174"/>
        <v>0</v>
      </c>
      <c r="HO251" s="12">
        <f t="shared" si="175"/>
        <v>0</v>
      </c>
      <c r="HP251" s="12">
        <f t="shared" si="176"/>
        <v>0</v>
      </c>
      <c r="HQ251" s="12">
        <f t="shared" si="177"/>
        <v>0</v>
      </c>
      <c r="HR251" s="12">
        <f t="shared" si="178"/>
        <v>0</v>
      </c>
      <c r="HS251" s="12">
        <f t="shared" si="179"/>
        <v>0</v>
      </c>
      <c r="HT251" s="12">
        <f t="shared" si="180"/>
        <v>0</v>
      </c>
      <c r="HU251" s="12">
        <f t="shared" si="181"/>
        <v>0</v>
      </c>
      <c r="HV251" s="12">
        <f t="shared" si="182"/>
        <v>0</v>
      </c>
      <c r="HW251" s="12">
        <f t="shared" si="183"/>
        <v>0</v>
      </c>
      <c r="HX251" s="12">
        <f t="shared" si="184"/>
        <v>0</v>
      </c>
      <c r="HY251" s="12">
        <f t="shared" si="185"/>
        <v>0</v>
      </c>
      <c r="HZ251" s="12">
        <f t="shared" si="186"/>
        <v>0</v>
      </c>
      <c r="IA251" s="12">
        <f t="shared" si="187"/>
        <v>0</v>
      </c>
      <c r="IB251" s="12">
        <f t="shared" si="188"/>
        <v>0</v>
      </c>
      <c r="IC251" s="12">
        <f t="shared" si="189"/>
        <v>0</v>
      </c>
      <c r="ID251" s="12">
        <f t="shared" si="190"/>
        <v>0</v>
      </c>
      <c r="IE251" s="12">
        <f t="shared" si="191"/>
        <v>0</v>
      </c>
      <c r="IF251" s="12">
        <f t="shared" si="192"/>
        <v>0</v>
      </c>
      <c r="IG251" s="12">
        <f t="shared" si="193"/>
        <v>0</v>
      </c>
      <c r="IH251" s="12">
        <f t="shared" si="194"/>
        <v>0</v>
      </c>
      <c r="II251" s="12">
        <f t="shared" si="195"/>
        <v>0</v>
      </c>
      <c r="IJ251" s="12">
        <f t="shared" si="196"/>
        <v>0</v>
      </c>
      <c r="IK251" s="12">
        <f t="shared" si="197"/>
        <v>0</v>
      </c>
      <c r="IL251" s="12">
        <f t="shared" si="198"/>
        <v>0</v>
      </c>
      <c r="IM251" s="12">
        <f t="shared" si="199"/>
        <v>0</v>
      </c>
      <c r="IN251" s="12">
        <f t="shared" si="200"/>
        <v>0</v>
      </c>
      <c r="IO251" s="12">
        <f t="shared" si="201"/>
        <v>0</v>
      </c>
      <c r="IP251" s="12">
        <f t="shared" si="202"/>
        <v>0</v>
      </c>
      <c r="IQ251" s="12">
        <f t="shared" si="203"/>
        <v>0</v>
      </c>
      <c r="IR251" s="12">
        <f t="shared" si="204"/>
        <v>0</v>
      </c>
      <c r="IS251" s="12">
        <f t="shared" si="205"/>
        <v>0</v>
      </c>
      <c r="IT251" s="12">
        <f t="shared" si="206"/>
        <v>0</v>
      </c>
      <c r="IU251" s="12">
        <f t="shared" si="207"/>
        <v>0</v>
      </c>
      <c r="IV251" s="12">
        <f t="shared" si="208"/>
        <v>0</v>
      </c>
      <c r="IW251" s="12">
        <f t="shared" si="209"/>
        <v>0</v>
      </c>
      <c r="IX251" s="12">
        <f t="shared" si="210"/>
        <v>0</v>
      </c>
      <c r="IY251" s="12">
        <f t="shared" si="211"/>
        <v>0</v>
      </c>
      <c r="IZ251" s="12">
        <f t="shared" si="212"/>
        <v>0</v>
      </c>
      <c r="JA251" s="13">
        <f t="shared" si="213"/>
        <v>0</v>
      </c>
      <c r="JB251" s="13">
        <f t="shared" si="214"/>
        <v>0</v>
      </c>
      <c r="JC251" s="13">
        <f t="shared" si="215"/>
        <v>0</v>
      </c>
      <c r="JD251" s="13">
        <f t="shared" si="216"/>
        <v>0</v>
      </c>
      <c r="JE251" s="13">
        <f t="shared" si="217"/>
        <v>0</v>
      </c>
      <c r="JF251" s="13">
        <f t="shared" si="218"/>
        <v>0</v>
      </c>
      <c r="JG251" s="13">
        <f t="shared" si="219"/>
        <v>0</v>
      </c>
      <c r="JH251" s="13">
        <f t="shared" si="220"/>
        <v>0</v>
      </c>
      <c r="JI251" s="13">
        <f t="shared" si="221"/>
        <v>0</v>
      </c>
      <c r="JJ251" s="13">
        <f t="shared" si="222"/>
        <v>0</v>
      </c>
      <c r="JK251" s="13">
        <f t="shared" si="223"/>
        <v>0</v>
      </c>
      <c r="JL251" s="13">
        <f t="shared" si="224"/>
        <v>0</v>
      </c>
      <c r="JM251" s="13">
        <f t="shared" si="225"/>
        <v>0</v>
      </c>
      <c r="JN251" s="13">
        <f t="shared" si="226"/>
        <v>0</v>
      </c>
      <c r="JO251" s="13">
        <f t="shared" si="227"/>
        <v>0</v>
      </c>
      <c r="JP251" s="13">
        <f t="shared" si="228"/>
        <v>0</v>
      </c>
      <c r="JQ251" s="13">
        <f t="shared" si="229"/>
        <v>0</v>
      </c>
      <c r="JR251" s="13">
        <f t="shared" si="230"/>
        <v>0</v>
      </c>
      <c r="JS251" s="13">
        <f t="shared" si="231"/>
        <v>0</v>
      </c>
      <c r="JT251" s="13">
        <f t="shared" si="232"/>
        <v>0</v>
      </c>
      <c r="JU251" s="13">
        <f t="shared" si="233"/>
        <v>0</v>
      </c>
      <c r="JV251" s="12">
        <f t="shared" si="234"/>
        <v>0</v>
      </c>
      <c r="JW251" s="12">
        <f t="shared" si="235"/>
        <v>0</v>
      </c>
      <c r="JX251" s="12">
        <f t="shared" si="236"/>
        <v>0</v>
      </c>
      <c r="JY251" s="12">
        <f t="shared" si="237"/>
        <v>0</v>
      </c>
      <c r="JZ251" s="12">
        <f t="shared" si="238"/>
        <v>0</v>
      </c>
      <c r="KA251" s="12">
        <f t="shared" si="239"/>
        <v>0</v>
      </c>
      <c r="KB251" s="12">
        <f t="shared" si="240"/>
        <v>0</v>
      </c>
      <c r="KC251" s="12">
        <f t="shared" si="241"/>
        <v>0</v>
      </c>
      <c r="KD251" s="12">
        <f t="shared" si="797"/>
        <v>0</v>
      </c>
      <c r="KE251" s="12">
        <f t="shared" si="243"/>
        <v>0</v>
      </c>
      <c r="KF251" s="12">
        <f t="shared" si="244"/>
        <v>0</v>
      </c>
      <c r="KG251" s="12">
        <f t="shared" si="245"/>
        <v>0</v>
      </c>
      <c r="KH251" s="12">
        <f t="shared" si="246"/>
        <v>0</v>
      </c>
      <c r="KI251" s="12">
        <f t="shared" si="247"/>
        <v>0</v>
      </c>
      <c r="KJ251" s="12">
        <f t="shared" si="248"/>
        <v>0</v>
      </c>
      <c r="KK251" s="12">
        <f t="shared" si="249"/>
        <v>0</v>
      </c>
      <c r="KL251" s="12">
        <f t="shared" si="250"/>
        <v>0</v>
      </c>
      <c r="KM251" s="12">
        <f t="shared" si="251"/>
        <v>0</v>
      </c>
      <c r="KN251" s="12">
        <f t="shared" si="252"/>
        <v>0</v>
      </c>
      <c r="KO251" s="12">
        <f t="shared" si="253"/>
        <v>0</v>
      </c>
      <c r="KP251" s="12">
        <f t="shared" si="254"/>
        <v>0</v>
      </c>
      <c r="KQ251" s="12">
        <f t="shared" si="255"/>
        <v>0</v>
      </c>
      <c r="KR251" s="12">
        <f t="shared" si="256"/>
        <v>0</v>
      </c>
      <c r="KS251" s="12">
        <f t="shared" si="257"/>
        <v>0</v>
      </c>
      <c r="KT251" s="12">
        <f t="shared" si="258"/>
        <v>0</v>
      </c>
      <c r="KU251" s="12">
        <f t="shared" si="259"/>
        <v>0</v>
      </c>
      <c r="KV251" s="12">
        <f t="shared" si="260"/>
        <v>0</v>
      </c>
      <c r="KW251" s="12">
        <f t="shared" si="261"/>
        <v>0</v>
      </c>
      <c r="KX251" s="12">
        <f t="shared" si="262"/>
        <v>0</v>
      </c>
      <c r="KY251" s="12">
        <f t="shared" si="263"/>
        <v>0</v>
      </c>
      <c r="KZ251" s="12">
        <f t="shared" si="264"/>
        <v>0</v>
      </c>
      <c r="LA251" s="12">
        <f t="shared" si="265"/>
        <v>0</v>
      </c>
      <c r="LB251" s="12">
        <f t="shared" si="266"/>
        <v>0</v>
      </c>
      <c r="LC251" s="12">
        <f t="shared" si="267"/>
        <v>0</v>
      </c>
      <c r="LD251" s="12">
        <f t="shared" si="268"/>
        <v>0</v>
      </c>
      <c r="LE251" s="12">
        <f t="shared" si="269"/>
        <v>0</v>
      </c>
      <c r="LF251" s="12">
        <f t="shared" si="270"/>
        <v>0</v>
      </c>
      <c r="LG251" s="12">
        <f t="shared" si="271"/>
        <v>0</v>
      </c>
      <c r="LH251" s="12">
        <f t="shared" si="272"/>
        <v>0</v>
      </c>
      <c r="LI251" s="12">
        <f t="shared" si="273"/>
        <v>0</v>
      </c>
      <c r="LJ251" s="12">
        <f t="shared" si="274"/>
        <v>0</v>
      </c>
      <c r="LK251" s="12">
        <f t="shared" si="275"/>
        <v>0</v>
      </c>
      <c r="LL251" s="12">
        <f t="shared" si="276"/>
        <v>0</v>
      </c>
      <c r="LM251" s="12">
        <f t="shared" si="277"/>
        <v>0</v>
      </c>
      <c r="LN251" s="12">
        <f t="shared" si="278"/>
        <v>0</v>
      </c>
      <c r="LO251" s="12">
        <f t="shared" si="279"/>
        <v>0</v>
      </c>
      <c r="LP251" s="12">
        <f t="shared" si="280"/>
        <v>0</v>
      </c>
      <c r="LQ251" s="12">
        <f t="shared" si="281"/>
        <v>0</v>
      </c>
      <c r="LR251" s="12">
        <f t="shared" si="282"/>
        <v>0</v>
      </c>
      <c r="LS251" s="12">
        <f t="shared" si="283"/>
        <v>0</v>
      </c>
      <c r="LT251" s="13">
        <f t="shared" si="284"/>
        <v>0</v>
      </c>
      <c r="LU251" s="13">
        <f t="shared" si="285"/>
        <v>0</v>
      </c>
      <c r="LV251" s="13">
        <f t="shared" si="286"/>
        <v>0</v>
      </c>
      <c r="LW251" s="13">
        <f t="shared" si="287"/>
        <v>0</v>
      </c>
      <c r="LX251" s="13">
        <f t="shared" si="288"/>
        <v>0</v>
      </c>
      <c r="LY251" s="13">
        <f t="shared" si="289"/>
        <v>0</v>
      </c>
      <c r="LZ251" s="13">
        <f t="shared" si="290"/>
        <v>0</v>
      </c>
      <c r="MA251" s="13">
        <f t="shared" si="291"/>
        <v>0</v>
      </c>
      <c r="MB251" s="13">
        <f t="shared" si="292"/>
        <v>0</v>
      </c>
      <c r="MC251" s="13">
        <f t="shared" si="293"/>
        <v>0</v>
      </c>
      <c r="MD251" s="13">
        <f t="shared" si="294"/>
        <v>0</v>
      </c>
      <c r="ME251" s="13">
        <f t="shared" si="295"/>
        <v>0</v>
      </c>
      <c r="MF251" s="13">
        <f t="shared" si="296"/>
        <v>0</v>
      </c>
      <c r="MG251" s="13">
        <f t="shared" si="297"/>
        <v>0</v>
      </c>
      <c r="MH251" s="13">
        <f t="shared" si="298"/>
        <v>0</v>
      </c>
      <c r="MI251" s="13">
        <f t="shared" si="299"/>
        <v>0</v>
      </c>
      <c r="MJ251" s="13">
        <f t="shared" si="300"/>
        <v>0</v>
      </c>
      <c r="MK251" s="13">
        <f t="shared" si="301"/>
        <v>0</v>
      </c>
      <c r="ML251" s="14">
        <f t="shared" si="302"/>
        <v>0</v>
      </c>
      <c r="MM251" s="14">
        <f t="shared" si="303"/>
        <v>0</v>
      </c>
      <c r="MN251" s="14">
        <f t="shared" si="304"/>
        <v>0</v>
      </c>
      <c r="MO251" s="14">
        <f t="shared" si="305"/>
        <v>0</v>
      </c>
      <c r="MP251" s="14">
        <f t="shared" si="306"/>
        <v>0</v>
      </c>
      <c r="MQ251" s="14">
        <f t="shared" si="307"/>
        <v>0</v>
      </c>
      <c r="MR251" s="14">
        <f t="shared" si="308"/>
        <v>0</v>
      </c>
      <c r="MS251" s="14">
        <f t="shared" si="309"/>
        <v>0</v>
      </c>
      <c r="MT251" s="14">
        <f t="shared" si="310"/>
        <v>0</v>
      </c>
      <c r="MU251" s="14">
        <f t="shared" si="311"/>
        <v>0</v>
      </c>
      <c r="MV251" s="14">
        <f t="shared" si="312"/>
        <v>0</v>
      </c>
      <c r="MW251" s="14">
        <f t="shared" si="313"/>
        <v>0</v>
      </c>
      <c r="MX251" s="14">
        <f t="shared" si="314"/>
        <v>0</v>
      </c>
      <c r="MY251" s="14">
        <f t="shared" si="315"/>
        <v>0</v>
      </c>
      <c r="MZ251" s="14">
        <f t="shared" si="316"/>
        <v>0</v>
      </c>
      <c r="NA251" s="14">
        <f t="shared" si="317"/>
        <v>0</v>
      </c>
      <c r="NB251" s="14">
        <f t="shared" si="318"/>
        <v>0</v>
      </c>
    </row>
    <row r="252" ht="15.75" customHeight="1">
      <c r="A252" s="2">
        <v>725.0</v>
      </c>
      <c r="B252" s="2" t="s">
        <v>4504</v>
      </c>
      <c r="C252" s="2" t="s">
        <v>4505</v>
      </c>
      <c r="D252" s="2" t="s">
        <v>4506</v>
      </c>
      <c r="E252" s="2">
        <v>2022.0</v>
      </c>
      <c r="F252" s="2" t="s">
        <v>2471</v>
      </c>
      <c r="G252" s="2">
        <v>2022.0</v>
      </c>
      <c r="I252" s="2" t="s">
        <v>4507</v>
      </c>
      <c r="N252" s="2" t="s">
        <v>4508</v>
      </c>
      <c r="O252" s="2" t="s">
        <v>4509</v>
      </c>
      <c r="P252" s="2" t="s">
        <v>4510</v>
      </c>
      <c r="Q252" s="2" t="s">
        <v>4511</v>
      </c>
      <c r="R252" s="2" t="s">
        <v>4512</v>
      </c>
      <c r="T252" s="2" t="s">
        <v>4513</v>
      </c>
      <c r="Y252" s="2" t="s">
        <v>4514</v>
      </c>
      <c r="AB252" s="2" t="s">
        <v>1237</v>
      </c>
      <c r="AG252" s="2" t="s">
        <v>2480</v>
      </c>
      <c r="AK252" s="2" t="s">
        <v>2481</v>
      </c>
      <c r="AL252" s="2" t="s">
        <v>384</v>
      </c>
      <c r="AM252" s="2" t="s">
        <v>1306</v>
      </c>
      <c r="AN252" s="2" t="s">
        <v>386</v>
      </c>
      <c r="AO252" s="2" t="s">
        <v>4515</v>
      </c>
      <c r="AP252" s="2" t="s">
        <v>386</v>
      </c>
      <c r="AQ252" s="2">
        <v>2856.0</v>
      </c>
      <c r="AR252" s="2" t="s">
        <v>4516</v>
      </c>
      <c r="AS252" s="2" t="b">
        <v>1</v>
      </c>
      <c r="AT252" s="3">
        <v>0.0</v>
      </c>
      <c r="AU252" s="4"/>
      <c r="AV252" s="4"/>
      <c r="AW252" s="5">
        <f t="shared" si="432"/>
        <v>0</v>
      </c>
      <c r="AX252" s="5">
        <f t="shared" si="4"/>
        <v>0</v>
      </c>
      <c r="AY252" s="5">
        <f t="shared" si="5"/>
        <v>0</v>
      </c>
      <c r="AZ252" s="5">
        <f t="shared" si="6"/>
        <v>0</v>
      </c>
      <c r="BA252" s="5">
        <f t="shared" si="7"/>
        <v>0</v>
      </c>
      <c r="BB252" s="5">
        <f t="shared" si="8"/>
        <v>0</v>
      </c>
      <c r="BC252" s="5">
        <f t="shared" si="9"/>
        <v>0</v>
      </c>
      <c r="BD252" s="5">
        <f t="shared" si="10"/>
        <v>0</v>
      </c>
      <c r="BE252" s="5">
        <f t="shared" si="11"/>
        <v>0</v>
      </c>
      <c r="BF252" s="5">
        <f t="shared" si="12"/>
        <v>0</v>
      </c>
      <c r="BG252" s="5">
        <f t="shared" si="13"/>
        <v>0</v>
      </c>
      <c r="BH252" s="5">
        <f t="shared" si="14"/>
        <v>0</v>
      </c>
      <c r="BI252" s="5">
        <f t="shared" si="15"/>
        <v>0</v>
      </c>
      <c r="BJ252" s="5">
        <f t="shared" si="16"/>
        <v>0</v>
      </c>
      <c r="BK252" s="5">
        <f t="shared" si="17"/>
        <v>0</v>
      </c>
      <c r="BL252" s="5">
        <f t="shared" si="18"/>
        <v>0</v>
      </c>
      <c r="BM252" s="5">
        <f t="shared" si="19"/>
        <v>0</v>
      </c>
      <c r="BN252" s="5">
        <f t="shared" si="20"/>
        <v>0</v>
      </c>
      <c r="BO252" s="5">
        <f t="shared" si="21"/>
        <v>0</v>
      </c>
      <c r="BP252" s="5">
        <f t="shared" si="22"/>
        <v>0</v>
      </c>
      <c r="BQ252" s="5">
        <f t="shared" si="23"/>
        <v>0</v>
      </c>
      <c r="BR252" s="5">
        <f t="shared" si="24"/>
        <v>0</v>
      </c>
      <c r="BS252" s="5">
        <f t="shared" si="25"/>
        <v>0</v>
      </c>
      <c r="BT252" s="5">
        <f t="shared" si="26"/>
        <v>0</v>
      </c>
      <c r="BU252" s="5">
        <f t="shared" si="27"/>
        <v>0</v>
      </c>
      <c r="BV252" s="5">
        <f t="shared" ref="BV252:BW252" si="865">IF(OR(ISNUMBER(SEARCH("grit",$D252)),ISNUMBER(SEARCH("grit",$T252)),ISNUMBER(SEARCH("grit",$R252)),ISNUMBER(SEARCH("grit",$S252)),
ISNUMBER(SEARCH("determination",$D252)),ISNUMBER(SEARCH("determination",$T252)),ISNUMBER(SEARCH("determination",$R252)),ISNUMBER(SEARCH("determination",$S252)),
ISNUMBER(SEARCH("tenacity",$D252)),ISNUMBER(SEARCH("tenacity",$T252)),ISNUMBER(SEARCH("tenacity",$R252)),ISNUMBER(SEARCH("tenacity",$S252)),
ISNUMBER(SEARCH("endurance",$D252)),ISNUMBER(SEARCH("endurance",$T252)),ISNUMBER(SEARCH("endurance",$R252)),ISNUMBER(SEARCH("endurance",$S252)),
ISNUMBER(SEARCH("fortitude",$D252)),ISNUMBER(SEARCH("fortitude",$T252)),ISNUMBER(SEARCH("fortitude",$R252)),ISNUMBER(SEARCH("fortitude",$S252)),
ISNUMBER(SEARCH("resolve",$D252)),ISNUMBER(SEARCH("resolve",$T252)),ISNUMBER(SEARCH("resolve",$R252)),ISNUMBER(SEARCH("resolve",$S252)),
ISNUMBER(SEARCH("stamina",$D252)),ISNUMBER(SEARCH("stamina",$T252)),ISNUMBER(SEARCH("stamina",$R252)),ISNUMBER(SEARCH("stamina",$S252)),
ISNUMBER(SEARCH("guts",$D252)),ISNUMBER(SEARCH("guts",$T252)),ISNUMBER(SEARCH("guts",$R252)),ISNUMBER(SEARCH("guts",$S252)),
ISNUMBER(SEARCH("spunk",$D252)),ISNUMBER(SEARCH("spunk",$T252)),ISNUMBER(SEARCH("spunk",$R252)),ISNUMBER(SEARCH("spunk",$S252))), 1, 0)</f>
        <v>0</v>
      </c>
      <c r="BW252" s="5">
        <f t="shared" si="865"/>
        <v>0</v>
      </c>
      <c r="BX252" s="5">
        <f t="shared" si="29"/>
        <v>0</v>
      </c>
      <c r="BY252" s="5">
        <f t="shared" si="30"/>
        <v>0</v>
      </c>
      <c r="BZ252" s="5">
        <f t="shared" si="31"/>
        <v>0</v>
      </c>
      <c r="CA252" s="5">
        <f t="shared" si="32"/>
        <v>0</v>
      </c>
      <c r="CB252" s="5">
        <f t="shared" si="33"/>
        <v>0</v>
      </c>
      <c r="CC252" s="5">
        <f t="shared" si="34"/>
        <v>0</v>
      </c>
      <c r="CD252" s="5">
        <f t="shared" si="35"/>
        <v>0</v>
      </c>
      <c r="CE252" s="5">
        <f t="shared" si="36"/>
        <v>0</v>
      </c>
      <c r="CF252" s="5">
        <f t="shared" si="37"/>
        <v>0</v>
      </c>
      <c r="CG252" s="5">
        <f t="shared" si="38"/>
        <v>0</v>
      </c>
      <c r="CH252" s="5">
        <f t="shared" si="39"/>
        <v>0</v>
      </c>
      <c r="CI252" s="5">
        <f t="shared" si="40"/>
        <v>0</v>
      </c>
      <c r="CJ252" s="5">
        <f t="shared" si="41"/>
        <v>0</v>
      </c>
      <c r="CK252" s="5">
        <f t="shared" si="42"/>
        <v>0</v>
      </c>
      <c r="CL252" s="5">
        <f t="shared" si="43"/>
        <v>0</v>
      </c>
      <c r="CM252" s="5">
        <f t="shared" si="44"/>
        <v>0</v>
      </c>
      <c r="CN252" s="5">
        <f t="shared" si="45"/>
        <v>0</v>
      </c>
      <c r="CO252" s="5">
        <f t="shared" si="46"/>
        <v>0</v>
      </c>
      <c r="CP252" s="6">
        <f t="shared" si="47"/>
        <v>0</v>
      </c>
      <c r="CQ252" s="6">
        <f t="shared" si="48"/>
        <v>0</v>
      </c>
      <c r="CR252" s="6">
        <f t="shared" si="49"/>
        <v>0</v>
      </c>
      <c r="CS252" s="6">
        <f t="shared" si="50"/>
        <v>0</v>
      </c>
      <c r="CT252" s="6">
        <f t="shared" si="584"/>
        <v>0</v>
      </c>
      <c r="CU252" s="6">
        <f t="shared" si="52"/>
        <v>0</v>
      </c>
      <c r="CV252" s="6">
        <f t="shared" si="53"/>
        <v>0</v>
      </c>
      <c r="CW252" s="6">
        <f t="shared" si="54"/>
        <v>0</v>
      </c>
      <c r="CX252" s="6">
        <f t="shared" si="55"/>
        <v>0</v>
      </c>
      <c r="CY252" s="6">
        <f t="shared" si="56"/>
        <v>0</v>
      </c>
      <c r="CZ252" s="6">
        <f t="shared" si="57"/>
        <v>0</v>
      </c>
      <c r="DA252" s="6">
        <f t="shared" si="58"/>
        <v>0</v>
      </c>
      <c r="DB252" s="6">
        <f t="shared" si="59"/>
        <v>0</v>
      </c>
      <c r="DC252" s="6">
        <f t="shared" si="60"/>
        <v>0</v>
      </c>
      <c r="DD252" s="6">
        <f t="shared" si="61"/>
        <v>0</v>
      </c>
      <c r="DE252" s="6">
        <f t="shared" si="62"/>
        <v>0</v>
      </c>
      <c r="DF252" s="6">
        <f t="shared" si="63"/>
        <v>0</v>
      </c>
      <c r="DG252" s="6">
        <f t="shared" si="64"/>
        <v>0</v>
      </c>
      <c r="DH252" s="6">
        <f t="shared" si="697"/>
        <v>0</v>
      </c>
      <c r="DI252" s="6">
        <f t="shared" si="66"/>
        <v>0</v>
      </c>
      <c r="DJ252" s="6">
        <f t="shared" si="653"/>
        <v>0</v>
      </c>
      <c r="DK252" s="7">
        <f t="shared" si="68"/>
        <v>0</v>
      </c>
      <c r="DL252" s="7">
        <f t="shared" si="498"/>
        <v>0</v>
      </c>
      <c r="DM252" s="7">
        <f t="shared" si="70"/>
        <v>0</v>
      </c>
      <c r="DN252" s="7">
        <f t="shared" si="71"/>
        <v>0</v>
      </c>
      <c r="DO252" s="7">
        <f t="shared" si="72"/>
        <v>0</v>
      </c>
      <c r="DP252" s="8">
        <f t="shared" si="73"/>
        <v>0</v>
      </c>
      <c r="DQ252" s="8">
        <f t="shared" si="74"/>
        <v>0</v>
      </c>
      <c r="DR252" s="7">
        <f t="shared" si="75"/>
        <v>0</v>
      </c>
      <c r="DS252" s="7">
        <f t="shared" si="76"/>
        <v>0</v>
      </c>
      <c r="DT252" s="7">
        <f t="shared" si="77"/>
        <v>0</v>
      </c>
      <c r="DU252" s="9">
        <f t="shared" si="78"/>
        <v>0</v>
      </c>
      <c r="DV252" s="9">
        <f t="shared" si="79"/>
        <v>0</v>
      </c>
      <c r="DW252" s="9">
        <f t="shared" si="80"/>
        <v>0</v>
      </c>
      <c r="DX252" s="9">
        <f t="shared" si="81"/>
        <v>0</v>
      </c>
      <c r="DY252" s="9">
        <f t="shared" si="82"/>
        <v>0</v>
      </c>
      <c r="DZ252" s="9">
        <f t="shared" si="83"/>
        <v>0</v>
      </c>
      <c r="EA252" s="9">
        <f t="shared" si="84"/>
        <v>0</v>
      </c>
      <c r="EB252" s="9">
        <f t="shared" si="85"/>
        <v>0</v>
      </c>
      <c r="EC252" s="9">
        <f t="shared" si="86"/>
        <v>0</v>
      </c>
      <c r="ED252" s="9">
        <f t="shared" si="87"/>
        <v>0</v>
      </c>
      <c r="EE252" s="9">
        <f t="shared" si="88"/>
        <v>0</v>
      </c>
      <c r="EF252" s="9">
        <f t="shared" si="89"/>
        <v>0</v>
      </c>
      <c r="EG252" s="9">
        <f t="shared" si="90"/>
        <v>0</v>
      </c>
      <c r="EH252" s="9">
        <f t="shared" si="91"/>
        <v>0</v>
      </c>
      <c r="EI252" s="9">
        <f t="shared" si="92"/>
        <v>0</v>
      </c>
      <c r="EJ252" s="10">
        <f t="shared" si="93"/>
        <v>0</v>
      </c>
      <c r="EK252" s="10">
        <f t="shared" si="94"/>
        <v>0</v>
      </c>
      <c r="EL252" s="10">
        <f t="shared" ref="EL252:EM252" si="866">IF(OR(ISNUMBER(SEARCH("ai software toolkit", $D252)), ISNUMBER(SEARCH("ai software toolkit", $T252)), ISNUMBER(SEARCH("ai software toolkit", $R252)), ISNUMBER(SEARCH("ai software toolkit", $S252))), 1, 0)</f>
        <v>0</v>
      </c>
      <c r="EM252" s="10">
        <f t="shared" si="866"/>
        <v>0</v>
      </c>
      <c r="EN252" s="10">
        <f t="shared" si="96"/>
        <v>0</v>
      </c>
      <c r="EO252" s="10">
        <f t="shared" si="97"/>
        <v>0</v>
      </c>
      <c r="EP252" s="10">
        <f t="shared" si="98"/>
        <v>0</v>
      </c>
      <c r="EQ252" s="10">
        <f t="shared" si="99"/>
        <v>0</v>
      </c>
      <c r="ER252" s="10">
        <f t="shared" si="100"/>
        <v>0</v>
      </c>
      <c r="ES252" s="10">
        <f t="shared" si="101"/>
        <v>0</v>
      </c>
      <c r="ET252" s="10">
        <f t="shared" si="102"/>
        <v>0</v>
      </c>
      <c r="EU252" s="10">
        <f t="shared" si="103"/>
        <v>0</v>
      </c>
      <c r="EV252" s="10">
        <f t="shared" si="104"/>
        <v>0</v>
      </c>
      <c r="EW252" s="10">
        <f t="shared" si="105"/>
        <v>0</v>
      </c>
      <c r="EX252" s="10">
        <f t="shared" si="106"/>
        <v>0</v>
      </c>
      <c r="EY252" s="10">
        <f t="shared" si="107"/>
        <v>0</v>
      </c>
      <c r="EZ252" s="10">
        <f t="shared" si="108"/>
        <v>0</v>
      </c>
      <c r="FA252" s="10">
        <f t="shared" si="109"/>
        <v>0</v>
      </c>
      <c r="FB252" s="10">
        <f t="shared" si="110"/>
        <v>0</v>
      </c>
      <c r="FC252" s="10">
        <f t="shared" si="111"/>
        <v>0</v>
      </c>
      <c r="FD252" s="10">
        <f t="shared" si="112"/>
        <v>0</v>
      </c>
      <c r="FE252" s="10">
        <f t="shared" si="782"/>
        <v>1</v>
      </c>
      <c r="FF252" s="10">
        <f t="shared" si="114"/>
        <v>0</v>
      </c>
      <c r="FG252" s="10">
        <f t="shared" si="115"/>
        <v>0</v>
      </c>
      <c r="FH252" s="10">
        <f t="shared" si="116"/>
        <v>0</v>
      </c>
      <c r="FI252" s="10">
        <f t="shared" si="117"/>
        <v>0</v>
      </c>
      <c r="FJ252" s="10">
        <f t="shared" si="118"/>
        <v>0</v>
      </c>
      <c r="FK252" s="10">
        <f t="shared" si="119"/>
        <v>0</v>
      </c>
      <c r="FL252" s="10">
        <f t="shared" si="120"/>
        <v>0</v>
      </c>
      <c r="FM252" s="10">
        <f t="shared" si="121"/>
        <v>0</v>
      </c>
      <c r="FN252" s="10">
        <f t="shared" si="122"/>
        <v>0</v>
      </c>
      <c r="FO252" s="10">
        <f t="shared" si="123"/>
        <v>0</v>
      </c>
      <c r="FP252" s="10">
        <f t="shared" si="124"/>
        <v>1</v>
      </c>
      <c r="FQ252" s="10">
        <f t="shared" si="125"/>
        <v>0</v>
      </c>
      <c r="FR252" s="11">
        <f>IF(
OR(
ISNUMBER(SEARCH("chatbot",$D252)),ISNUMBER(SEARCH("chatbot",$T252)),ISNUMBER(SEARCH("chatbot",$R251)),ISNUMBER(SEARCH("chatbot",$S252)),
ISNUMBER(SEARCH("virtual assistance",$D252)),ISNUMBER(SEARCH("virtual assistance",$T252)),ISNUMBER(SEARCH("virtual assistance",$R252)),ISNUMBER(SEARCH("virtual assistance",$S252))), 1, 0)</f>
        <v>0</v>
      </c>
      <c r="FS252" s="11">
        <f t="shared" si="127"/>
        <v>0</v>
      </c>
      <c r="FT252" s="11">
        <f t="shared" si="128"/>
        <v>0</v>
      </c>
      <c r="FU252" s="11">
        <f t="shared" si="129"/>
        <v>0</v>
      </c>
      <c r="FV252" s="11">
        <f t="shared" si="130"/>
        <v>0</v>
      </c>
      <c r="FW252" s="11">
        <f t="shared" si="131"/>
        <v>0</v>
      </c>
      <c r="FX252" s="11">
        <f t="shared" si="132"/>
        <v>0</v>
      </c>
      <c r="FY252" s="11">
        <f t="shared" si="133"/>
        <v>0</v>
      </c>
      <c r="FZ252" s="11">
        <f t="shared" si="134"/>
        <v>0</v>
      </c>
      <c r="GA252" s="11">
        <f t="shared" si="135"/>
        <v>0</v>
      </c>
      <c r="GB252" s="11">
        <f t="shared" si="136"/>
        <v>0</v>
      </c>
      <c r="GC252" s="11">
        <f t="shared" si="137"/>
        <v>0</v>
      </c>
      <c r="GD252" s="11">
        <f t="shared" si="138"/>
        <v>0</v>
      </c>
      <c r="GE252" s="11">
        <f t="shared" si="139"/>
        <v>0</v>
      </c>
      <c r="GF252" s="11">
        <f t="shared" si="140"/>
        <v>0</v>
      </c>
      <c r="GG252" s="11">
        <f t="shared" si="141"/>
        <v>0</v>
      </c>
      <c r="GH252" s="11">
        <f t="shared" si="142"/>
        <v>0</v>
      </c>
      <c r="GI252" s="11">
        <f t="shared" si="143"/>
        <v>0</v>
      </c>
      <c r="GJ252" s="11">
        <f t="shared" si="144"/>
        <v>0</v>
      </c>
      <c r="GK252" s="11">
        <f t="shared" si="145"/>
        <v>0</v>
      </c>
      <c r="GL252" s="11">
        <f t="shared" si="146"/>
        <v>0</v>
      </c>
      <c r="GM252" s="11">
        <f t="shared" si="147"/>
        <v>0</v>
      </c>
      <c r="GN252" s="11">
        <f t="shared" si="148"/>
        <v>0</v>
      </c>
      <c r="GO252" s="11">
        <f t="shared" si="149"/>
        <v>0</v>
      </c>
      <c r="GP252" s="11">
        <f t="shared" si="150"/>
        <v>0</v>
      </c>
      <c r="GQ252" s="11">
        <f t="shared" si="151"/>
        <v>1</v>
      </c>
      <c r="GR252" s="11">
        <f t="shared" si="152"/>
        <v>0</v>
      </c>
      <c r="GS252" s="11">
        <f t="shared" si="153"/>
        <v>0</v>
      </c>
      <c r="GT252" s="11">
        <f t="shared" si="154"/>
        <v>0</v>
      </c>
      <c r="GU252" s="12">
        <f t="shared" si="155"/>
        <v>0</v>
      </c>
      <c r="GV252" s="12">
        <f t="shared" si="156"/>
        <v>0</v>
      </c>
      <c r="GW252" s="12">
        <f t="shared" si="157"/>
        <v>0</v>
      </c>
      <c r="GX252" s="12">
        <f t="shared" si="158"/>
        <v>0</v>
      </c>
      <c r="GY252" s="12">
        <f t="shared" si="159"/>
        <v>0</v>
      </c>
      <c r="GZ252" s="12">
        <f t="shared" si="160"/>
        <v>0</v>
      </c>
      <c r="HA252" s="12">
        <f t="shared" si="161"/>
        <v>0</v>
      </c>
      <c r="HB252" s="12">
        <f t="shared" si="162"/>
        <v>0</v>
      </c>
      <c r="HC252" s="12">
        <f t="shared" si="163"/>
        <v>0</v>
      </c>
      <c r="HD252" s="12">
        <f t="shared" si="164"/>
        <v>0</v>
      </c>
      <c r="HE252" s="12">
        <f t="shared" si="165"/>
        <v>0</v>
      </c>
      <c r="HF252" s="12">
        <f t="shared" si="166"/>
        <v>0</v>
      </c>
      <c r="HG252" s="12">
        <f t="shared" si="167"/>
        <v>0</v>
      </c>
      <c r="HH252" s="12">
        <f t="shared" si="168"/>
        <v>0</v>
      </c>
      <c r="HI252" s="12">
        <f t="shared" si="169"/>
        <v>0</v>
      </c>
      <c r="HJ252" s="12">
        <f t="shared" si="170"/>
        <v>0</v>
      </c>
      <c r="HK252" s="12">
        <f t="shared" si="171"/>
        <v>0</v>
      </c>
      <c r="HL252" s="12">
        <f t="shared" si="172"/>
        <v>0</v>
      </c>
      <c r="HM252" s="12">
        <f t="shared" si="173"/>
        <v>0</v>
      </c>
      <c r="HN252" s="12">
        <f t="shared" si="174"/>
        <v>0</v>
      </c>
      <c r="HO252" s="12">
        <f t="shared" si="175"/>
        <v>0</v>
      </c>
      <c r="HP252" s="12">
        <f t="shared" si="176"/>
        <v>0</v>
      </c>
      <c r="HQ252" s="12">
        <f t="shared" si="177"/>
        <v>0</v>
      </c>
      <c r="HR252" s="12">
        <f t="shared" si="178"/>
        <v>0</v>
      </c>
      <c r="HS252" s="12">
        <f t="shared" si="179"/>
        <v>0</v>
      </c>
      <c r="HT252" s="12">
        <f t="shared" si="180"/>
        <v>0</v>
      </c>
      <c r="HU252" s="12">
        <f t="shared" si="181"/>
        <v>0</v>
      </c>
      <c r="HV252" s="12">
        <f t="shared" si="182"/>
        <v>0</v>
      </c>
      <c r="HW252" s="12">
        <f t="shared" si="183"/>
        <v>0</v>
      </c>
      <c r="HX252" s="12">
        <f t="shared" si="184"/>
        <v>0</v>
      </c>
      <c r="HY252" s="12">
        <f t="shared" si="185"/>
        <v>0</v>
      </c>
      <c r="HZ252" s="12">
        <f t="shared" si="186"/>
        <v>0</v>
      </c>
      <c r="IA252" s="12">
        <f t="shared" si="187"/>
        <v>0</v>
      </c>
      <c r="IB252" s="12">
        <f t="shared" si="188"/>
        <v>0</v>
      </c>
      <c r="IC252" s="12">
        <f t="shared" si="189"/>
        <v>0</v>
      </c>
      <c r="ID252" s="12">
        <f t="shared" si="190"/>
        <v>0</v>
      </c>
      <c r="IE252" s="12">
        <f t="shared" si="191"/>
        <v>0</v>
      </c>
      <c r="IF252" s="12">
        <f t="shared" si="192"/>
        <v>0</v>
      </c>
      <c r="IG252" s="12">
        <f t="shared" si="193"/>
        <v>0</v>
      </c>
      <c r="IH252" s="12">
        <f t="shared" si="194"/>
        <v>0</v>
      </c>
      <c r="II252" s="12">
        <f t="shared" si="195"/>
        <v>0</v>
      </c>
      <c r="IJ252" s="12">
        <f t="shared" si="196"/>
        <v>0</v>
      </c>
      <c r="IK252" s="12">
        <f t="shared" si="197"/>
        <v>0</v>
      </c>
      <c r="IL252" s="12">
        <f t="shared" si="198"/>
        <v>0</v>
      </c>
      <c r="IM252" s="12">
        <f t="shared" si="199"/>
        <v>0</v>
      </c>
      <c r="IN252" s="12">
        <f t="shared" si="200"/>
        <v>0</v>
      </c>
      <c r="IO252" s="12">
        <f t="shared" si="201"/>
        <v>0</v>
      </c>
      <c r="IP252" s="12">
        <f t="shared" si="202"/>
        <v>0</v>
      </c>
      <c r="IQ252" s="12">
        <f t="shared" si="203"/>
        <v>0</v>
      </c>
      <c r="IR252" s="12">
        <f t="shared" si="204"/>
        <v>0</v>
      </c>
      <c r="IS252" s="12">
        <f t="shared" si="205"/>
        <v>0</v>
      </c>
      <c r="IT252" s="12">
        <f t="shared" si="206"/>
        <v>0</v>
      </c>
      <c r="IU252" s="12">
        <f t="shared" si="207"/>
        <v>0</v>
      </c>
      <c r="IV252" s="12">
        <f t="shared" si="208"/>
        <v>0</v>
      </c>
      <c r="IW252" s="12">
        <f t="shared" si="209"/>
        <v>0</v>
      </c>
      <c r="IX252" s="12">
        <f t="shared" si="210"/>
        <v>0</v>
      </c>
      <c r="IY252" s="12">
        <f t="shared" si="211"/>
        <v>0</v>
      </c>
      <c r="IZ252" s="12">
        <f t="shared" si="212"/>
        <v>0</v>
      </c>
      <c r="JA252" s="13">
        <f t="shared" si="213"/>
        <v>0</v>
      </c>
      <c r="JB252" s="13">
        <f t="shared" si="214"/>
        <v>0</v>
      </c>
      <c r="JC252" s="13">
        <f t="shared" si="215"/>
        <v>0</v>
      </c>
      <c r="JD252" s="13">
        <f t="shared" si="216"/>
        <v>0</v>
      </c>
      <c r="JE252" s="13">
        <f t="shared" si="217"/>
        <v>0</v>
      </c>
      <c r="JF252" s="13">
        <f t="shared" si="218"/>
        <v>0</v>
      </c>
      <c r="JG252" s="13">
        <f t="shared" si="219"/>
        <v>0</v>
      </c>
      <c r="JH252" s="13">
        <f t="shared" si="220"/>
        <v>0</v>
      </c>
      <c r="JI252" s="13">
        <f t="shared" si="221"/>
        <v>0</v>
      </c>
      <c r="JJ252" s="13">
        <f t="shared" si="222"/>
        <v>0</v>
      </c>
      <c r="JK252" s="13">
        <f t="shared" si="223"/>
        <v>0</v>
      </c>
      <c r="JL252" s="13">
        <f t="shared" si="224"/>
        <v>0</v>
      </c>
      <c r="JM252" s="13">
        <f t="shared" si="225"/>
        <v>0</v>
      </c>
      <c r="JN252" s="13">
        <f t="shared" si="226"/>
        <v>0</v>
      </c>
      <c r="JO252" s="13">
        <f t="shared" si="227"/>
        <v>0</v>
      </c>
      <c r="JP252" s="13">
        <f t="shared" si="228"/>
        <v>0</v>
      </c>
      <c r="JQ252" s="13">
        <f t="shared" si="229"/>
        <v>0</v>
      </c>
      <c r="JR252" s="13">
        <f t="shared" si="230"/>
        <v>0</v>
      </c>
      <c r="JS252" s="13">
        <f t="shared" si="231"/>
        <v>0</v>
      </c>
      <c r="JT252" s="13">
        <f t="shared" si="232"/>
        <v>0</v>
      </c>
      <c r="JU252" s="13">
        <f t="shared" si="233"/>
        <v>0</v>
      </c>
      <c r="JV252" s="12">
        <f t="shared" si="234"/>
        <v>0</v>
      </c>
      <c r="JW252" s="12">
        <f t="shared" si="235"/>
        <v>0</v>
      </c>
      <c r="JX252" s="12">
        <f t="shared" si="236"/>
        <v>0</v>
      </c>
      <c r="JY252" s="12">
        <f t="shared" si="237"/>
        <v>0</v>
      </c>
      <c r="JZ252" s="12">
        <f t="shared" si="238"/>
        <v>0</v>
      </c>
      <c r="KA252" s="12">
        <f t="shared" si="239"/>
        <v>0</v>
      </c>
      <c r="KB252" s="12">
        <f t="shared" si="240"/>
        <v>0</v>
      </c>
      <c r="KC252" s="12">
        <f t="shared" si="241"/>
        <v>0</v>
      </c>
      <c r="KD252" s="12">
        <f t="shared" si="797"/>
        <v>0</v>
      </c>
      <c r="KE252" s="12">
        <f t="shared" si="243"/>
        <v>0</v>
      </c>
      <c r="KF252" s="12">
        <f t="shared" si="244"/>
        <v>0</v>
      </c>
      <c r="KG252" s="12">
        <f t="shared" si="245"/>
        <v>0</v>
      </c>
      <c r="KH252" s="12">
        <f t="shared" si="246"/>
        <v>0</v>
      </c>
      <c r="KI252" s="12">
        <f t="shared" si="247"/>
        <v>0</v>
      </c>
      <c r="KJ252" s="12">
        <f t="shared" si="248"/>
        <v>0</v>
      </c>
      <c r="KK252" s="12">
        <f t="shared" si="249"/>
        <v>0</v>
      </c>
      <c r="KL252" s="12">
        <f t="shared" si="250"/>
        <v>0</v>
      </c>
      <c r="KM252" s="12">
        <f t="shared" si="251"/>
        <v>0</v>
      </c>
      <c r="KN252" s="12">
        <f t="shared" si="252"/>
        <v>0</v>
      </c>
      <c r="KO252" s="12">
        <f t="shared" si="253"/>
        <v>0</v>
      </c>
      <c r="KP252" s="12">
        <f t="shared" si="254"/>
        <v>0</v>
      </c>
      <c r="KQ252" s="12">
        <f t="shared" si="255"/>
        <v>0</v>
      </c>
      <c r="KR252" s="12">
        <f t="shared" si="256"/>
        <v>0</v>
      </c>
      <c r="KS252" s="12">
        <f t="shared" si="257"/>
        <v>0</v>
      </c>
      <c r="KT252" s="12">
        <f t="shared" si="258"/>
        <v>0</v>
      </c>
      <c r="KU252" s="12">
        <f t="shared" si="259"/>
        <v>0</v>
      </c>
      <c r="KV252" s="12">
        <f t="shared" si="260"/>
        <v>0</v>
      </c>
      <c r="KW252" s="12">
        <f t="shared" si="261"/>
        <v>0</v>
      </c>
      <c r="KX252" s="12">
        <f t="shared" si="262"/>
        <v>0</v>
      </c>
      <c r="KY252" s="12">
        <f t="shared" si="263"/>
        <v>0</v>
      </c>
      <c r="KZ252" s="12">
        <f t="shared" si="264"/>
        <v>0</v>
      </c>
      <c r="LA252" s="12">
        <f t="shared" si="265"/>
        <v>0</v>
      </c>
      <c r="LB252" s="12">
        <f t="shared" si="266"/>
        <v>0</v>
      </c>
      <c r="LC252" s="12">
        <f t="shared" si="267"/>
        <v>0</v>
      </c>
      <c r="LD252" s="12">
        <f t="shared" si="268"/>
        <v>0</v>
      </c>
      <c r="LE252" s="12">
        <f t="shared" si="269"/>
        <v>0</v>
      </c>
      <c r="LF252" s="12">
        <f t="shared" si="270"/>
        <v>0</v>
      </c>
      <c r="LG252" s="12">
        <f t="shared" si="271"/>
        <v>0</v>
      </c>
      <c r="LH252" s="12">
        <f t="shared" si="272"/>
        <v>0</v>
      </c>
      <c r="LI252" s="12">
        <f t="shared" si="273"/>
        <v>0</v>
      </c>
      <c r="LJ252" s="12">
        <f t="shared" si="274"/>
        <v>0</v>
      </c>
      <c r="LK252" s="12">
        <f t="shared" si="275"/>
        <v>0</v>
      </c>
      <c r="LL252" s="12">
        <f t="shared" si="276"/>
        <v>0</v>
      </c>
      <c r="LM252" s="12">
        <f t="shared" si="277"/>
        <v>0</v>
      </c>
      <c r="LN252" s="12">
        <f t="shared" si="278"/>
        <v>0</v>
      </c>
      <c r="LO252" s="12">
        <f t="shared" si="279"/>
        <v>0</v>
      </c>
      <c r="LP252" s="12">
        <f t="shared" si="280"/>
        <v>0</v>
      </c>
      <c r="LQ252" s="12">
        <f t="shared" si="281"/>
        <v>0</v>
      </c>
      <c r="LR252" s="12">
        <f t="shared" si="282"/>
        <v>0</v>
      </c>
      <c r="LS252" s="12">
        <f t="shared" si="283"/>
        <v>0</v>
      </c>
      <c r="LT252" s="13">
        <f t="shared" si="284"/>
        <v>0</v>
      </c>
      <c r="LU252" s="13">
        <f t="shared" si="285"/>
        <v>0</v>
      </c>
      <c r="LV252" s="13">
        <f t="shared" si="286"/>
        <v>0</v>
      </c>
      <c r="LW252" s="13">
        <f t="shared" si="287"/>
        <v>0</v>
      </c>
      <c r="LX252" s="13">
        <f t="shared" si="288"/>
        <v>0</v>
      </c>
      <c r="LY252" s="13">
        <f t="shared" si="289"/>
        <v>0</v>
      </c>
      <c r="LZ252" s="13">
        <f t="shared" si="290"/>
        <v>0</v>
      </c>
      <c r="MA252" s="13">
        <f t="shared" si="291"/>
        <v>0</v>
      </c>
      <c r="MB252" s="13">
        <f t="shared" si="292"/>
        <v>0</v>
      </c>
      <c r="MC252" s="13">
        <f t="shared" si="293"/>
        <v>0</v>
      </c>
      <c r="MD252" s="13">
        <f t="shared" si="294"/>
        <v>0</v>
      </c>
      <c r="ME252" s="13">
        <f t="shared" si="295"/>
        <v>0</v>
      </c>
      <c r="MF252" s="13">
        <f t="shared" si="296"/>
        <v>0</v>
      </c>
      <c r="MG252" s="13">
        <f t="shared" si="297"/>
        <v>0</v>
      </c>
      <c r="MH252" s="13">
        <f t="shared" si="298"/>
        <v>0</v>
      </c>
      <c r="MI252" s="13">
        <f t="shared" si="299"/>
        <v>0</v>
      </c>
      <c r="MJ252" s="13">
        <f t="shared" si="300"/>
        <v>0</v>
      </c>
      <c r="MK252" s="13">
        <f t="shared" si="301"/>
        <v>0</v>
      </c>
      <c r="ML252" s="14">
        <f t="shared" si="302"/>
        <v>0</v>
      </c>
      <c r="MM252" s="14">
        <f t="shared" si="303"/>
        <v>0</v>
      </c>
      <c r="MN252" s="14">
        <f t="shared" si="304"/>
        <v>0</v>
      </c>
      <c r="MO252" s="14">
        <f t="shared" si="305"/>
        <v>0</v>
      </c>
      <c r="MP252" s="14">
        <f t="shared" si="306"/>
        <v>0</v>
      </c>
      <c r="MQ252" s="14">
        <f t="shared" si="307"/>
        <v>0</v>
      </c>
      <c r="MR252" s="14">
        <f t="shared" si="308"/>
        <v>0</v>
      </c>
      <c r="MS252" s="14">
        <f t="shared" si="309"/>
        <v>0</v>
      </c>
      <c r="MT252" s="14">
        <f t="shared" si="310"/>
        <v>0</v>
      </c>
      <c r="MU252" s="14">
        <f t="shared" si="311"/>
        <v>0</v>
      </c>
      <c r="MV252" s="14">
        <f t="shared" si="312"/>
        <v>0</v>
      </c>
      <c r="MW252" s="14">
        <f t="shared" si="313"/>
        <v>0</v>
      </c>
      <c r="MX252" s="14">
        <f t="shared" si="314"/>
        <v>0</v>
      </c>
      <c r="MY252" s="14">
        <f t="shared" si="315"/>
        <v>0</v>
      </c>
      <c r="MZ252" s="14">
        <f t="shared" si="316"/>
        <v>0</v>
      </c>
      <c r="NA252" s="14">
        <f t="shared" si="317"/>
        <v>0</v>
      </c>
      <c r="NB252" s="14">
        <f t="shared" si="318"/>
        <v>0</v>
      </c>
    </row>
    <row r="253" ht="15.75" customHeight="1">
      <c r="A253" s="2">
        <v>603.0</v>
      </c>
      <c r="B253" s="2" t="s">
        <v>4517</v>
      </c>
      <c r="C253" s="2" t="s">
        <v>4518</v>
      </c>
      <c r="D253" s="2" t="s">
        <v>4519</v>
      </c>
      <c r="E253" s="2">
        <v>2022.0</v>
      </c>
      <c r="F253" s="2" t="s">
        <v>4520</v>
      </c>
      <c r="G253" s="2">
        <v>191.0</v>
      </c>
      <c r="H253" s="2" t="s">
        <v>603</v>
      </c>
      <c r="J253" s="2" t="s">
        <v>4521</v>
      </c>
      <c r="K253" s="2" t="s">
        <v>4522</v>
      </c>
      <c r="N253" s="2" t="s">
        <v>4523</v>
      </c>
      <c r="O253" s="2" t="s">
        <v>4524</v>
      </c>
      <c r="P253" s="2" t="s">
        <v>4525</v>
      </c>
      <c r="Q253" s="2" t="s">
        <v>4526</v>
      </c>
      <c r="R253" s="2" t="s">
        <v>4527</v>
      </c>
      <c r="S253" s="2" t="s">
        <v>4528</v>
      </c>
      <c r="T253" s="2" t="s">
        <v>4529</v>
      </c>
      <c r="Y253" s="2" t="s">
        <v>4530</v>
      </c>
      <c r="AB253" s="2" t="s">
        <v>2311</v>
      </c>
      <c r="AG253" s="2" t="s">
        <v>4531</v>
      </c>
      <c r="AI253" s="2" t="s">
        <v>4532</v>
      </c>
      <c r="AJ253" s="2">
        <v>3.4783968E7</v>
      </c>
      <c r="AK253" s="2" t="s">
        <v>4533</v>
      </c>
      <c r="AL253" s="2" t="s">
        <v>384</v>
      </c>
      <c r="AN253" s="2" t="s">
        <v>386</v>
      </c>
      <c r="AO253" s="2" t="s">
        <v>4534</v>
      </c>
      <c r="AP253" s="2" t="s">
        <v>386</v>
      </c>
      <c r="AQ253" s="2">
        <v>2348.0</v>
      </c>
      <c r="AR253" s="2" t="s">
        <v>4535</v>
      </c>
      <c r="AS253" s="2" t="b">
        <v>1</v>
      </c>
      <c r="AT253" s="3">
        <v>0.0</v>
      </c>
      <c r="AU253" s="4"/>
      <c r="AV253" s="4"/>
      <c r="AW253" s="5">
        <f t="shared" si="432"/>
        <v>0</v>
      </c>
      <c r="AX253" s="5">
        <f t="shared" si="4"/>
        <v>0</v>
      </c>
      <c r="AY253" s="5">
        <f t="shared" si="5"/>
        <v>0</v>
      </c>
      <c r="AZ253" s="5">
        <f t="shared" si="6"/>
        <v>0</v>
      </c>
      <c r="BA253" s="5">
        <f t="shared" si="7"/>
        <v>0</v>
      </c>
      <c r="BB253" s="5">
        <f t="shared" si="8"/>
        <v>0</v>
      </c>
      <c r="BC253" s="5">
        <f t="shared" si="9"/>
        <v>0</v>
      </c>
      <c r="BD253" s="5">
        <f t="shared" si="10"/>
        <v>0</v>
      </c>
      <c r="BE253" s="5">
        <f t="shared" si="11"/>
        <v>0</v>
      </c>
      <c r="BF253" s="5">
        <f t="shared" si="12"/>
        <v>0</v>
      </c>
      <c r="BG253" s="5">
        <f t="shared" si="13"/>
        <v>0</v>
      </c>
      <c r="BH253" s="5">
        <f t="shared" si="14"/>
        <v>0</v>
      </c>
      <c r="BI253" s="5">
        <f t="shared" si="15"/>
        <v>0</v>
      </c>
      <c r="BJ253" s="5">
        <f t="shared" si="16"/>
        <v>0</v>
      </c>
      <c r="BK253" s="5">
        <f t="shared" si="17"/>
        <v>0</v>
      </c>
      <c r="BL253" s="5">
        <f t="shared" si="18"/>
        <v>0</v>
      </c>
      <c r="BM253" s="5">
        <f t="shared" si="19"/>
        <v>0</v>
      </c>
      <c r="BN253" s="5">
        <f t="shared" si="20"/>
        <v>0</v>
      </c>
      <c r="BO253" s="5">
        <f t="shared" si="21"/>
        <v>0</v>
      </c>
      <c r="BP253" s="5">
        <f t="shared" si="22"/>
        <v>0</v>
      </c>
      <c r="BQ253" s="5">
        <f t="shared" si="23"/>
        <v>0</v>
      </c>
      <c r="BR253" s="5">
        <f t="shared" si="24"/>
        <v>0</v>
      </c>
      <c r="BS253" s="5">
        <f t="shared" si="25"/>
        <v>0</v>
      </c>
      <c r="BT253" s="5">
        <f t="shared" si="26"/>
        <v>0</v>
      </c>
      <c r="BU253" s="5">
        <f t="shared" si="27"/>
        <v>0</v>
      </c>
      <c r="BV253" s="5">
        <f t="shared" ref="BV253:BW253" si="867">IF(OR(ISNUMBER(SEARCH("grit",$D253)),ISNUMBER(SEARCH("grit",$T253)),ISNUMBER(SEARCH("grit",$R253)),ISNUMBER(SEARCH("grit",$S253)),
ISNUMBER(SEARCH("determination",$D253)),ISNUMBER(SEARCH("determination",$T253)),ISNUMBER(SEARCH("determination",$R253)),ISNUMBER(SEARCH("determination",$S253)),
ISNUMBER(SEARCH("tenacity",$D253)),ISNUMBER(SEARCH("tenacity",$T253)),ISNUMBER(SEARCH("tenacity",$R253)),ISNUMBER(SEARCH("tenacity",$S253)),
ISNUMBER(SEARCH("endurance",$D253)),ISNUMBER(SEARCH("endurance",$T253)),ISNUMBER(SEARCH("endurance",$R253)),ISNUMBER(SEARCH("endurance",$S253)),
ISNUMBER(SEARCH("fortitude",$D253)),ISNUMBER(SEARCH("fortitude",$T253)),ISNUMBER(SEARCH("fortitude",$R253)),ISNUMBER(SEARCH("fortitude",$S253)),
ISNUMBER(SEARCH("resolve",$D253)),ISNUMBER(SEARCH("resolve",$T253)),ISNUMBER(SEARCH("resolve",$R253)),ISNUMBER(SEARCH("resolve",$S253)),
ISNUMBER(SEARCH("stamina",$D253)),ISNUMBER(SEARCH("stamina",$T253)),ISNUMBER(SEARCH("stamina",$R253)),ISNUMBER(SEARCH("stamina",$S253)),
ISNUMBER(SEARCH("guts",$D253)),ISNUMBER(SEARCH("guts",$T253)),ISNUMBER(SEARCH("guts",$R253)),ISNUMBER(SEARCH("guts",$S253)),
ISNUMBER(SEARCH("spunk",$D253)),ISNUMBER(SEARCH("spunk",$T253)),ISNUMBER(SEARCH("spunk",$R253)),ISNUMBER(SEARCH("spunk",$S253))), 1, 0)</f>
        <v>0</v>
      </c>
      <c r="BW253" s="5">
        <f t="shared" si="867"/>
        <v>0</v>
      </c>
      <c r="BX253" s="5">
        <f t="shared" si="29"/>
        <v>0</v>
      </c>
      <c r="BY253" s="5">
        <f t="shared" si="30"/>
        <v>0</v>
      </c>
      <c r="BZ253" s="5">
        <f t="shared" si="31"/>
        <v>0</v>
      </c>
      <c r="CA253" s="5">
        <f t="shared" si="32"/>
        <v>0</v>
      </c>
      <c r="CB253" s="5">
        <f t="shared" si="33"/>
        <v>0</v>
      </c>
      <c r="CC253" s="5">
        <f t="shared" si="34"/>
        <v>0</v>
      </c>
      <c r="CD253" s="5">
        <f t="shared" si="35"/>
        <v>0</v>
      </c>
      <c r="CE253" s="5">
        <f t="shared" si="36"/>
        <v>0</v>
      </c>
      <c r="CF253" s="5">
        <f t="shared" si="37"/>
        <v>0</v>
      </c>
      <c r="CG253" s="5">
        <f t="shared" si="38"/>
        <v>0</v>
      </c>
      <c r="CH253" s="5">
        <f t="shared" si="39"/>
        <v>0</v>
      </c>
      <c r="CI253" s="5">
        <f t="shared" si="40"/>
        <v>0</v>
      </c>
      <c r="CJ253" s="5">
        <f t="shared" si="41"/>
        <v>0</v>
      </c>
      <c r="CK253" s="5">
        <f t="shared" si="42"/>
        <v>0</v>
      </c>
      <c r="CL253" s="5">
        <f t="shared" si="43"/>
        <v>0</v>
      </c>
      <c r="CM253" s="5">
        <f t="shared" si="44"/>
        <v>0</v>
      </c>
      <c r="CN253" s="5">
        <f t="shared" si="45"/>
        <v>0</v>
      </c>
      <c r="CO253" s="5">
        <f t="shared" si="46"/>
        <v>0</v>
      </c>
      <c r="CP253" s="6">
        <f t="shared" si="47"/>
        <v>0</v>
      </c>
      <c r="CQ253" s="6">
        <f t="shared" si="48"/>
        <v>0</v>
      </c>
      <c r="CR253" s="6">
        <f t="shared" si="49"/>
        <v>0</v>
      </c>
      <c r="CS253" s="6">
        <f t="shared" si="50"/>
        <v>0</v>
      </c>
      <c r="CT253" s="6">
        <f t="shared" si="584"/>
        <v>0</v>
      </c>
      <c r="CU253" s="6">
        <f t="shared" si="52"/>
        <v>0</v>
      </c>
      <c r="CV253" s="6">
        <f t="shared" si="53"/>
        <v>0</v>
      </c>
      <c r="CW253" s="6">
        <f t="shared" si="54"/>
        <v>0</v>
      </c>
      <c r="CX253" s="6">
        <f t="shared" si="55"/>
        <v>0</v>
      </c>
      <c r="CY253" s="6">
        <f t="shared" si="56"/>
        <v>0</v>
      </c>
      <c r="CZ253" s="6">
        <f t="shared" si="57"/>
        <v>0</v>
      </c>
      <c r="DA253" s="6">
        <f t="shared" si="58"/>
        <v>0</v>
      </c>
      <c r="DB253" s="6">
        <f t="shared" si="59"/>
        <v>0</v>
      </c>
      <c r="DC253" s="6">
        <f t="shared" si="60"/>
        <v>0</v>
      </c>
      <c r="DD253" s="6">
        <f t="shared" si="61"/>
        <v>0</v>
      </c>
      <c r="DE253" s="6">
        <f t="shared" si="62"/>
        <v>0</v>
      </c>
      <c r="DF253" s="6">
        <f t="shared" si="63"/>
        <v>0</v>
      </c>
      <c r="DG253" s="6">
        <f t="shared" si="64"/>
        <v>0</v>
      </c>
      <c r="DH253" s="6">
        <f t="shared" si="697"/>
        <v>0</v>
      </c>
      <c r="DI253" s="6">
        <f t="shared" si="66"/>
        <v>0</v>
      </c>
      <c r="DJ253" s="6">
        <f t="shared" si="653"/>
        <v>0</v>
      </c>
      <c r="DK253" s="7">
        <f t="shared" si="68"/>
        <v>0</v>
      </c>
      <c r="DL253" s="7">
        <f t="shared" si="498"/>
        <v>0</v>
      </c>
      <c r="DM253" s="7">
        <f t="shared" si="70"/>
        <v>0</v>
      </c>
      <c r="DN253" s="7">
        <f t="shared" si="71"/>
        <v>0</v>
      </c>
      <c r="DO253" s="7">
        <f t="shared" si="72"/>
        <v>0</v>
      </c>
      <c r="DP253" s="8">
        <f t="shared" si="73"/>
        <v>0</v>
      </c>
      <c r="DQ253" s="8">
        <f t="shared" si="74"/>
        <v>0</v>
      </c>
      <c r="DR253" s="7">
        <f t="shared" si="75"/>
        <v>0</v>
      </c>
      <c r="DS253" s="7">
        <f t="shared" si="76"/>
        <v>0</v>
      </c>
      <c r="DT253" s="7">
        <f t="shared" si="77"/>
        <v>0</v>
      </c>
      <c r="DU253" s="9">
        <f t="shared" si="78"/>
        <v>0</v>
      </c>
      <c r="DV253" s="9">
        <f t="shared" si="79"/>
        <v>0</v>
      </c>
      <c r="DW253" s="9">
        <f t="shared" si="80"/>
        <v>0</v>
      </c>
      <c r="DX253" s="9">
        <f t="shared" si="81"/>
        <v>0</v>
      </c>
      <c r="DY253" s="9">
        <f t="shared" si="82"/>
        <v>0</v>
      </c>
      <c r="DZ253" s="9">
        <f t="shared" si="83"/>
        <v>0</v>
      </c>
      <c r="EA253" s="9">
        <f t="shared" si="84"/>
        <v>0</v>
      </c>
      <c r="EB253" s="9">
        <f t="shared" si="85"/>
        <v>0</v>
      </c>
      <c r="EC253" s="9">
        <f t="shared" si="86"/>
        <v>0</v>
      </c>
      <c r="ED253" s="9">
        <f t="shared" si="87"/>
        <v>0</v>
      </c>
      <c r="EE253" s="9">
        <f t="shared" si="88"/>
        <v>0</v>
      </c>
      <c r="EF253" s="9">
        <f t="shared" si="89"/>
        <v>0</v>
      </c>
      <c r="EG253" s="9">
        <f t="shared" si="90"/>
        <v>0</v>
      </c>
      <c r="EH253" s="9">
        <f t="shared" si="91"/>
        <v>0</v>
      </c>
      <c r="EI253" s="9">
        <f t="shared" si="92"/>
        <v>0</v>
      </c>
      <c r="EJ253" s="10">
        <f t="shared" si="93"/>
        <v>0</v>
      </c>
      <c r="EK253" s="10">
        <f t="shared" si="94"/>
        <v>0</v>
      </c>
      <c r="EL253" s="10">
        <f t="shared" ref="EL253:EM253" si="868">IF(OR(ISNUMBER(SEARCH("ai software toolkit", $D253)), ISNUMBER(SEARCH("ai software toolkit", $T253)), ISNUMBER(SEARCH("ai software toolkit", $R253)), ISNUMBER(SEARCH("ai software toolkit", $S253))), 1, 0)</f>
        <v>0</v>
      </c>
      <c r="EM253" s="10">
        <f t="shared" si="868"/>
        <v>0</v>
      </c>
      <c r="EN253" s="10">
        <f t="shared" si="96"/>
        <v>0</v>
      </c>
      <c r="EO253" s="10">
        <f t="shared" si="97"/>
        <v>0</v>
      </c>
      <c r="EP253" s="10">
        <f t="shared" si="98"/>
        <v>0</v>
      </c>
      <c r="EQ253" s="10">
        <f t="shared" si="99"/>
        <v>0</v>
      </c>
      <c r="ER253" s="10">
        <f t="shared" si="100"/>
        <v>0</v>
      </c>
      <c r="ES253" s="10">
        <f t="shared" si="101"/>
        <v>0</v>
      </c>
      <c r="ET253" s="10">
        <f t="shared" si="102"/>
        <v>0</v>
      </c>
      <c r="EU253" s="10">
        <f t="shared" si="103"/>
        <v>0</v>
      </c>
      <c r="EV253" s="10">
        <f t="shared" si="104"/>
        <v>0</v>
      </c>
      <c r="EW253" s="10">
        <f t="shared" si="105"/>
        <v>0</v>
      </c>
      <c r="EX253" s="10">
        <f t="shared" si="106"/>
        <v>0</v>
      </c>
      <c r="EY253" s="10">
        <f t="shared" si="107"/>
        <v>0</v>
      </c>
      <c r="EZ253" s="10">
        <f t="shared" si="108"/>
        <v>0</v>
      </c>
      <c r="FA253" s="10">
        <f t="shared" si="109"/>
        <v>0</v>
      </c>
      <c r="FB253" s="10">
        <f t="shared" si="110"/>
        <v>0</v>
      </c>
      <c r="FC253" s="10">
        <f t="shared" si="111"/>
        <v>0</v>
      </c>
      <c r="FD253" s="10">
        <f t="shared" si="112"/>
        <v>0</v>
      </c>
      <c r="FE253" s="10">
        <f t="shared" si="782"/>
        <v>1</v>
      </c>
      <c r="FF253" s="10">
        <f t="shared" si="114"/>
        <v>0</v>
      </c>
      <c r="FG253" s="10">
        <f t="shared" si="115"/>
        <v>0</v>
      </c>
      <c r="FH253" s="10">
        <f t="shared" si="116"/>
        <v>0</v>
      </c>
      <c r="FI253" s="10">
        <f t="shared" si="117"/>
        <v>0</v>
      </c>
      <c r="FJ253" s="10">
        <f t="shared" si="118"/>
        <v>0</v>
      </c>
      <c r="FK253" s="10">
        <f t="shared" si="119"/>
        <v>0</v>
      </c>
      <c r="FL253" s="10">
        <f t="shared" si="120"/>
        <v>0</v>
      </c>
      <c r="FM253" s="10">
        <f t="shared" si="121"/>
        <v>0</v>
      </c>
      <c r="FN253" s="10">
        <f t="shared" si="122"/>
        <v>0</v>
      </c>
      <c r="FO253" s="10">
        <f t="shared" si="123"/>
        <v>0</v>
      </c>
      <c r="FP253" s="10">
        <f t="shared" si="124"/>
        <v>0</v>
      </c>
      <c r="FQ253" s="10">
        <f t="shared" si="125"/>
        <v>0</v>
      </c>
      <c r="FR253" s="11">
        <f t="shared" ref="FR253:FR257" si="871">IF(
OR(
ISNUMBER(SEARCH("chatbot",$D253)),ISNUMBER(SEARCH("chatbot",$T253)),ISNUMBER(SEARCH("chatbot",#REF!)),ISNUMBER(SEARCH("chatbot",$S253)),
ISNUMBER(SEARCH("virtual assistance",$D253)),ISNUMBER(SEARCH("virtual assistance",$T253)),ISNUMBER(SEARCH("virtual assistance",$R253)),ISNUMBER(SEARCH("virtual assistance",$S253))), 1, 0)</f>
        <v>0</v>
      </c>
      <c r="FS253" s="11">
        <f t="shared" si="127"/>
        <v>0</v>
      </c>
      <c r="FT253" s="11">
        <f t="shared" si="128"/>
        <v>0</v>
      </c>
      <c r="FU253" s="11">
        <f t="shared" si="129"/>
        <v>0</v>
      </c>
      <c r="FV253" s="11">
        <f t="shared" si="130"/>
        <v>0</v>
      </c>
      <c r="FW253" s="11">
        <f t="shared" si="131"/>
        <v>0</v>
      </c>
      <c r="FX253" s="11">
        <f t="shared" si="132"/>
        <v>0</v>
      </c>
      <c r="FY253" s="11">
        <f t="shared" si="133"/>
        <v>0</v>
      </c>
      <c r="FZ253" s="11">
        <f t="shared" si="134"/>
        <v>0</v>
      </c>
      <c r="GA253" s="11">
        <f t="shared" si="135"/>
        <v>0</v>
      </c>
      <c r="GB253" s="11">
        <f t="shared" si="136"/>
        <v>0</v>
      </c>
      <c r="GC253" s="11">
        <f t="shared" si="137"/>
        <v>0</v>
      </c>
      <c r="GD253" s="11">
        <f t="shared" si="138"/>
        <v>0</v>
      </c>
      <c r="GE253" s="11">
        <f t="shared" si="139"/>
        <v>0</v>
      </c>
      <c r="GF253" s="11">
        <f t="shared" si="140"/>
        <v>0</v>
      </c>
      <c r="GG253" s="11">
        <f t="shared" si="141"/>
        <v>0</v>
      </c>
      <c r="GH253" s="11">
        <f t="shared" si="142"/>
        <v>0</v>
      </c>
      <c r="GI253" s="11">
        <f t="shared" si="143"/>
        <v>0</v>
      </c>
      <c r="GJ253" s="11">
        <f t="shared" si="144"/>
        <v>0</v>
      </c>
      <c r="GK253" s="11">
        <f t="shared" si="145"/>
        <v>0</v>
      </c>
      <c r="GL253" s="11">
        <f t="shared" si="146"/>
        <v>0</v>
      </c>
      <c r="GM253" s="11">
        <f t="shared" si="147"/>
        <v>0</v>
      </c>
      <c r="GN253" s="11">
        <f t="shared" si="148"/>
        <v>0</v>
      </c>
      <c r="GO253" s="11">
        <f t="shared" si="149"/>
        <v>0</v>
      </c>
      <c r="GP253" s="11">
        <f t="shared" si="150"/>
        <v>0</v>
      </c>
      <c r="GQ253" s="11">
        <f t="shared" si="151"/>
        <v>0</v>
      </c>
      <c r="GR253" s="11">
        <f t="shared" si="152"/>
        <v>0</v>
      </c>
      <c r="GS253" s="11">
        <f t="shared" si="153"/>
        <v>0</v>
      </c>
      <c r="GT253" s="11">
        <f t="shared" si="154"/>
        <v>0</v>
      </c>
      <c r="GU253" s="12">
        <f t="shared" si="155"/>
        <v>0</v>
      </c>
      <c r="GV253" s="12">
        <f t="shared" si="156"/>
        <v>0</v>
      </c>
      <c r="GW253" s="12">
        <f t="shared" si="157"/>
        <v>0</v>
      </c>
      <c r="GX253" s="12">
        <f t="shared" si="158"/>
        <v>0</v>
      </c>
      <c r="GY253" s="12">
        <f t="shared" si="159"/>
        <v>0</v>
      </c>
      <c r="GZ253" s="12">
        <f t="shared" si="160"/>
        <v>0</v>
      </c>
      <c r="HA253" s="12">
        <f t="shared" si="161"/>
        <v>0</v>
      </c>
      <c r="HB253" s="12">
        <f t="shared" si="162"/>
        <v>0</v>
      </c>
      <c r="HC253" s="12">
        <f t="shared" si="163"/>
        <v>0</v>
      </c>
      <c r="HD253" s="12">
        <f t="shared" si="164"/>
        <v>0</v>
      </c>
      <c r="HE253" s="12">
        <f t="shared" si="165"/>
        <v>0</v>
      </c>
      <c r="HF253" s="12">
        <f t="shared" si="166"/>
        <v>0</v>
      </c>
      <c r="HG253" s="12">
        <f t="shared" si="167"/>
        <v>0</v>
      </c>
      <c r="HH253" s="12">
        <f t="shared" si="168"/>
        <v>0</v>
      </c>
      <c r="HI253" s="12">
        <f t="shared" si="169"/>
        <v>0</v>
      </c>
      <c r="HJ253" s="12">
        <f t="shared" si="170"/>
        <v>0</v>
      </c>
      <c r="HK253" s="12">
        <f t="shared" si="171"/>
        <v>0</v>
      </c>
      <c r="HL253" s="12">
        <f t="shared" si="172"/>
        <v>0</v>
      </c>
      <c r="HM253" s="12">
        <f t="shared" si="173"/>
        <v>0</v>
      </c>
      <c r="HN253" s="12">
        <f t="shared" si="174"/>
        <v>0</v>
      </c>
      <c r="HO253" s="12">
        <f t="shared" si="175"/>
        <v>0</v>
      </c>
      <c r="HP253" s="12">
        <f t="shared" si="176"/>
        <v>0</v>
      </c>
      <c r="HQ253" s="12">
        <f t="shared" si="177"/>
        <v>0</v>
      </c>
      <c r="HR253" s="12">
        <f t="shared" si="178"/>
        <v>0</v>
      </c>
      <c r="HS253" s="12">
        <f t="shared" si="179"/>
        <v>0</v>
      </c>
      <c r="HT253" s="12">
        <f t="shared" si="180"/>
        <v>0</v>
      </c>
      <c r="HU253" s="12">
        <f t="shared" si="181"/>
        <v>0</v>
      </c>
      <c r="HV253" s="12">
        <f t="shared" si="182"/>
        <v>0</v>
      </c>
      <c r="HW253" s="12">
        <f t="shared" si="183"/>
        <v>0</v>
      </c>
      <c r="HX253" s="12">
        <f t="shared" si="184"/>
        <v>0</v>
      </c>
      <c r="HY253" s="12">
        <f t="shared" si="185"/>
        <v>0</v>
      </c>
      <c r="HZ253" s="12">
        <f t="shared" si="186"/>
        <v>0</v>
      </c>
      <c r="IA253" s="12">
        <f t="shared" si="187"/>
        <v>0</v>
      </c>
      <c r="IB253" s="12">
        <f t="shared" si="188"/>
        <v>0</v>
      </c>
      <c r="IC253" s="12">
        <f t="shared" si="189"/>
        <v>0</v>
      </c>
      <c r="ID253" s="12">
        <f t="shared" si="190"/>
        <v>0</v>
      </c>
      <c r="IE253" s="12">
        <f t="shared" si="191"/>
        <v>0</v>
      </c>
      <c r="IF253" s="12">
        <f t="shared" si="192"/>
        <v>0</v>
      </c>
      <c r="IG253" s="12">
        <f t="shared" si="193"/>
        <v>0</v>
      </c>
      <c r="IH253" s="12">
        <f t="shared" si="194"/>
        <v>0</v>
      </c>
      <c r="II253" s="12">
        <f t="shared" si="195"/>
        <v>0</v>
      </c>
      <c r="IJ253" s="12">
        <f t="shared" si="196"/>
        <v>0</v>
      </c>
      <c r="IK253" s="12">
        <f t="shared" si="197"/>
        <v>0</v>
      </c>
      <c r="IL253" s="12">
        <f t="shared" si="198"/>
        <v>0</v>
      </c>
      <c r="IM253" s="12">
        <f t="shared" si="199"/>
        <v>0</v>
      </c>
      <c r="IN253" s="12">
        <f t="shared" si="200"/>
        <v>0</v>
      </c>
      <c r="IO253" s="12">
        <f t="shared" si="201"/>
        <v>0</v>
      </c>
      <c r="IP253" s="12">
        <f t="shared" si="202"/>
        <v>0</v>
      </c>
      <c r="IQ253" s="12">
        <f t="shared" si="203"/>
        <v>0</v>
      </c>
      <c r="IR253" s="12">
        <f t="shared" si="204"/>
        <v>0</v>
      </c>
      <c r="IS253" s="12">
        <f t="shared" si="205"/>
        <v>0</v>
      </c>
      <c r="IT253" s="12">
        <f t="shared" si="206"/>
        <v>0</v>
      </c>
      <c r="IU253" s="12">
        <f t="shared" si="207"/>
        <v>0</v>
      </c>
      <c r="IV253" s="12">
        <f t="shared" si="208"/>
        <v>0</v>
      </c>
      <c r="IW253" s="12">
        <f t="shared" si="209"/>
        <v>0</v>
      </c>
      <c r="IX253" s="12">
        <f t="shared" si="210"/>
        <v>0</v>
      </c>
      <c r="IY253" s="12">
        <f t="shared" si="211"/>
        <v>0</v>
      </c>
      <c r="IZ253" s="12">
        <f t="shared" si="212"/>
        <v>1</v>
      </c>
      <c r="JA253" s="13">
        <f t="shared" si="213"/>
        <v>0</v>
      </c>
      <c r="JB253" s="13">
        <f t="shared" si="214"/>
        <v>0</v>
      </c>
      <c r="JC253" s="13">
        <f t="shared" si="215"/>
        <v>0</v>
      </c>
      <c r="JD253" s="13">
        <f t="shared" si="216"/>
        <v>0</v>
      </c>
      <c r="JE253" s="13">
        <f t="shared" si="217"/>
        <v>0</v>
      </c>
      <c r="JF253" s="13">
        <f t="shared" si="218"/>
        <v>0</v>
      </c>
      <c r="JG253" s="13">
        <f t="shared" si="219"/>
        <v>0</v>
      </c>
      <c r="JH253" s="13">
        <f t="shared" si="220"/>
        <v>0</v>
      </c>
      <c r="JI253" s="13">
        <f t="shared" si="221"/>
        <v>0</v>
      </c>
      <c r="JJ253" s="13">
        <f t="shared" si="222"/>
        <v>0</v>
      </c>
      <c r="JK253" s="13">
        <f t="shared" si="223"/>
        <v>0</v>
      </c>
      <c r="JL253" s="13">
        <f t="shared" si="224"/>
        <v>0</v>
      </c>
      <c r="JM253" s="13">
        <f t="shared" si="225"/>
        <v>0</v>
      </c>
      <c r="JN253" s="13">
        <f t="shared" si="226"/>
        <v>0</v>
      </c>
      <c r="JO253" s="13">
        <f t="shared" si="227"/>
        <v>0</v>
      </c>
      <c r="JP253" s="13">
        <f t="shared" si="228"/>
        <v>0</v>
      </c>
      <c r="JQ253" s="13">
        <f t="shared" si="229"/>
        <v>0</v>
      </c>
      <c r="JR253" s="13">
        <f t="shared" si="230"/>
        <v>0</v>
      </c>
      <c r="JS253" s="13">
        <f t="shared" si="231"/>
        <v>0</v>
      </c>
      <c r="JT253" s="13">
        <f t="shared" si="232"/>
        <v>0</v>
      </c>
      <c r="JU253" s="13">
        <f t="shared" si="233"/>
        <v>0</v>
      </c>
      <c r="JV253" s="12">
        <f t="shared" si="234"/>
        <v>0</v>
      </c>
      <c r="JW253" s="12">
        <f t="shared" si="235"/>
        <v>0</v>
      </c>
      <c r="JX253" s="12">
        <f t="shared" si="236"/>
        <v>0</v>
      </c>
      <c r="JY253" s="12">
        <f t="shared" si="237"/>
        <v>0</v>
      </c>
      <c r="JZ253" s="12">
        <f t="shared" si="238"/>
        <v>0</v>
      </c>
      <c r="KA253" s="12">
        <f t="shared" si="239"/>
        <v>0</v>
      </c>
      <c r="KB253" s="12">
        <f t="shared" si="240"/>
        <v>0</v>
      </c>
      <c r="KC253" s="12">
        <f t="shared" si="241"/>
        <v>0</v>
      </c>
      <c r="KD253" s="12">
        <f t="shared" si="797"/>
        <v>0</v>
      </c>
      <c r="KE253" s="12">
        <f t="shared" si="243"/>
        <v>0</v>
      </c>
      <c r="KF253" s="12">
        <f t="shared" si="244"/>
        <v>0</v>
      </c>
      <c r="KG253" s="12">
        <f t="shared" si="245"/>
        <v>0</v>
      </c>
      <c r="KH253" s="12">
        <f t="shared" si="246"/>
        <v>0</v>
      </c>
      <c r="KI253" s="12">
        <f t="shared" si="247"/>
        <v>0</v>
      </c>
      <c r="KJ253" s="12">
        <f t="shared" si="248"/>
        <v>0</v>
      </c>
      <c r="KK253" s="12">
        <f t="shared" si="249"/>
        <v>0</v>
      </c>
      <c r="KL253" s="12">
        <f t="shared" si="250"/>
        <v>0</v>
      </c>
      <c r="KM253" s="12">
        <f t="shared" si="251"/>
        <v>0</v>
      </c>
      <c r="KN253" s="12">
        <f t="shared" si="252"/>
        <v>0</v>
      </c>
      <c r="KO253" s="12">
        <f t="shared" si="253"/>
        <v>0</v>
      </c>
      <c r="KP253" s="12">
        <f t="shared" si="254"/>
        <v>0</v>
      </c>
      <c r="KQ253" s="12">
        <f t="shared" si="255"/>
        <v>0</v>
      </c>
      <c r="KR253" s="12">
        <f t="shared" si="256"/>
        <v>0</v>
      </c>
      <c r="KS253" s="12">
        <f t="shared" si="257"/>
        <v>0</v>
      </c>
      <c r="KT253" s="12">
        <f t="shared" si="258"/>
        <v>0</v>
      </c>
      <c r="KU253" s="12">
        <f t="shared" si="259"/>
        <v>0</v>
      </c>
      <c r="KV253" s="12">
        <f t="shared" si="260"/>
        <v>0</v>
      </c>
      <c r="KW253" s="12">
        <f t="shared" si="261"/>
        <v>0</v>
      </c>
      <c r="KX253" s="12">
        <f t="shared" si="262"/>
        <v>0</v>
      </c>
      <c r="KY253" s="12">
        <f t="shared" si="263"/>
        <v>0</v>
      </c>
      <c r="KZ253" s="12">
        <f t="shared" si="264"/>
        <v>0</v>
      </c>
      <c r="LA253" s="12">
        <f t="shared" si="265"/>
        <v>0</v>
      </c>
      <c r="LB253" s="12">
        <f t="shared" si="266"/>
        <v>0</v>
      </c>
      <c r="LC253" s="12">
        <f t="shared" si="267"/>
        <v>0</v>
      </c>
      <c r="LD253" s="12">
        <f t="shared" si="268"/>
        <v>0</v>
      </c>
      <c r="LE253" s="12">
        <f t="shared" si="269"/>
        <v>0</v>
      </c>
      <c r="LF253" s="12">
        <f t="shared" si="270"/>
        <v>0</v>
      </c>
      <c r="LG253" s="12">
        <f t="shared" si="271"/>
        <v>0</v>
      </c>
      <c r="LH253" s="12">
        <f t="shared" si="272"/>
        <v>0</v>
      </c>
      <c r="LI253" s="12">
        <f t="shared" si="273"/>
        <v>0</v>
      </c>
      <c r="LJ253" s="12">
        <f t="shared" si="274"/>
        <v>0</v>
      </c>
      <c r="LK253" s="12">
        <f t="shared" si="275"/>
        <v>0</v>
      </c>
      <c r="LL253" s="12">
        <f t="shared" si="276"/>
        <v>0</v>
      </c>
      <c r="LM253" s="12">
        <f t="shared" si="277"/>
        <v>0</v>
      </c>
      <c r="LN253" s="12">
        <f t="shared" si="278"/>
        <v>0</v>
      </c>
      <c r="LO253" s="12">
        <f t="shared" si="279"/>
        <v>0</v>
      </c>
      <c r="LP253" s="12">
        <f t="shared" si="280"/>
        <v>0</v>
      </c>
      <c r="LQ253" s="12">
        <f t="shared" si="281"/>
        <v>0</v>
      </c>
      <c r="LR253" s="12">
        <f t="shared" si="282"/>
        <v>0</v>
      </c>
      <c r="LS253" s="12">
        <f t="shared" si="283"/>
        <v>0</v>
      </c>
      <c r="LT253" s="13">
        <f t="shared" si="284"/>
        <v>0</v>
      </c>
      <c r="LU253" s="13">
        <f t="shared" si="285"/>
        <v>0</v>
      </c>
      <c r="LV253" s="13">
        <f t="shared" si="286"/>
        <v>0</v>
      </c>
      <c r="LW253" s="13">
        <f t="shared" si="287"/>
        <v>0</v>
      </c>
      <c r="LX253" s="13">
        <f t="shared" si="288"/>
        <v>0</v>
      </c>
      <c r="LY253" s="13">
        <f t="shared" si="289"/>
        <v>0</v>
      </c>
      <c r="LZ253" s="13">
        <f t="shared" si="290"/>
        <v>0</v>
      </c>
      <c r="MA253" s="13">
        <f t="shared" si="291"/>
        <v>0</v>
      </c>
      <c r="MB253" s="13">
        <f t="shared" si="292"/>
        <v>0</v>
      </c>
      <c r="MC253" s="13">
        <f t="shared" si="293"/>
        <v>0</v>
      </c>
      <c r="MD253" s="13">
        <f t="shared" si="294"/>
        <v>0</v>
      </c>
      <c r="ME253" s="13">
        <f t="shared" si="295"/>
        <v>0</v>
      </c>
      <c r="MF253" s="13">
        <f t="shared" si="296"/>
        <v>0</v>
      </c>
      <c r="MG253" s="13">
        <f t="shared" si="297"/>
        <v>0</v>
      </c>
      <c r="MH253" s="13">
        <f t="shared" si="298"/>
        <v>0</v>
      </c>
      <c r="MI253" s="13">
        <f t="shared" si="299"/>
        <v>0</v>
      </c>
      <c r="MJ253" s="13">
        <f t="shared" si="300"/>
        <v>0</v>
      </c>
      <c r="MK253" s="13">
        <f t="shared" si="301"/>
        <v>0</v>
      </c>
      <c r="ML253" s="14">
        <f t="shared" si="302"/>
        <v>0</v>
      </c>
      <c r="MM253" s="14">
        <f t="shared" si="303"/>
        <v>0</v>
      </c>
      <c r="MN253" s="14">
        <f t="shared" si="304"/>
        <v>0</v>
      </c>
      <c r="MO253" s="14">
        <f t="shared" si="305"/>
        <v>1</v>
      </c>
      <c r="MP253" s="14">
        <f t="shared" si="306"/>
        <v>0</v>
      </c>
      <c r="MQ253" s="14">
        <f t="shared" si="307"/>
        <v>0</v>
      </c>
      <c r="MR253" s="14">
        <f t="shared" si="308"/>
        <v>0</v>
      </c>
      <c r="MS253" s="14">
        <f t="shared" si="309"/>
        <v>0</v>
      </c>
      <c r="MT253" s="14">
        <f t="shared" si="310"/>
        <v>0</v>
      </c>
      <c r="MU253" s="14">
        <f t="shared" si="311"/>
        <v>0</v>
      </c>
      <c r="MV253" s="14">
        <f t="shared" si="312"/>
        <v>0</v>
      </c>
      <c r="MW253" s="14">
        <f t="shared" si="313"/>
        <v>0</v>
      </c>
      <c r="MX253" s="14">
        <f t="shared" si="314"/>
        <v>0</v>
      </c>
      <c r="MY253" s="14">
        <f t="shared" si="315"/>
        <v>0</v>
      </c>
      <c r="MZ253" s="14">
        <f t="shared" si="316"/>
        <v>0</v>
      </c>
      <c r="NA253" s="14">
        <f t="shared" si="317"/>
        <v>0</v>
      </c>
      <c r="NB253" s="14">
        <f t="shared" si="318"/>
        <v>1</v>
      </c>
    </row>
    <row r="254" ht="15.75" customHeight="1">
      <c r="A254" s="2">
        <v>708.0</v>
      </c>
      <c r="B254" s="2" t="s">
        <v>4536</v>
      </c>
      <c r="C254" s="2" t="s">
        <v>4537</v>
      </c>
      <c r="D254" s="2" t="s">
        <v>4538</v>
      </c>
      <c r="E254" s="2">
        <v>2022.0</v>
      </c>
      <c r="F254" s="2" t="s">
        <v>3840</v>
      </c>
      <c r="G254" s="2">
        <v>2022.0</v>
      </c>
      <c r="I254" s="2" t="s">
        <v>4539</v>
      </c>
      <c r="N254" s="2" t="s">
        <v>4540</v>
      </c>
      <c r="O254" s="2" t="s">
        <v>4541</v>
      </c>
      <c r="P254" s="2" t="s">
        <v>4542</v>
      </c>
      <c r="Q254" s="2" t="s">
        <v>4543</v>
      </c>
      <c r="R254" s="2" t="s">
        <v>4544</v>
      </c>
      <c r="T254" s="2" t="s">
        <v>4545</v>
      </c>
      <c r="Y254" s="2" t="s">
        <v>4546</v>
      </c>
      <c r="AB254" s="2" t="s">
        <v>1237</v>
      </c>
      <c r="AG254" s="2" t="s">
        <v>3849</v>
      </c>
      <c r="AK254" s="2" t="s">
        <v>3850</v>
      </c>
      <c r="AL254" s="2" t="s">
        <v>384</v>
      </c>
      <c r="AM254" s="2" t="s">
        <v>1306</v>
      </c>
      <c r="AN254" s="2" t="s">
        <v>386</v>
      </c>
      <c r="AO254" s="2" t="s">
        <v>4547</v>
      </c>
      <c r="AP254" s="2" t="s">
        <v>386</v>
      </c>
      <c r="AQ254" s="2">
        <v>2796.0</v>
      </c>
      <c r="AR254" s="2" t="s">
        <v>4548</v>
      </c>
      <c r="AS254" s="2" t="b">
        <v>1</v>
      </c>
      <c r="AT254" s="3">
        <v>0.0</v>
      </c>
      <c r="AU254" s="4"/>
      <c r="AV254" s="4"/>
      <c r="AW254" s="5">
        <f t="shared" si="432"/>
        <v>0</v>
      </c>
      <c r="AX254" s="5">
        <f t="shared" si="4"/>
        <v>0</v>
      </c>
      <c r="AY254" s="5">
        <f t="shared" si="5"/>
        <v>0</v>
      </c>
      <c r="AZ254" s="5">
        <f t="shared" si="6"/>
        <v>0</v>
      </c>
      <c r="BA254" s="5">
        <f t="shared" si="7"/>
        <v>0</v>
      </c>
      <c r="BB254" s="5">
        <f t="shared" si="8"/>
        <v>0</v>
      </c>
      <c r="BC254" s="5">
        <f t="shared" si="9"/>
        <v>0</v>
      </c>
      <c r="BD254" s="5">
        <f t="shared" si="10"/>
        <v>0</v>
      </c>
      <c r="BE254" s="5">
        <f t="shared" si="11"/>
        <v>0</v>
      </c>
      <c r="BF254" s="5">
        <f t="shared" si="12"/>
        <v>0</v>
      </c>
      <c r="BG254" s="5">
        <f t="shared" si="13"/>
        <v>0</v>
      </c>
      <c r="BH254" s="5">
        <f t="shared" si="14"/>
        <v>0</v>
      </c>
      <c r="BI254" s="5">
        <f t="shared" si="15"/>
        <v>0</v>
      </c>
      <c r="BJ254" s="5">
        <f t="shared" si="16"/>
        <v>0</v>
      </c>
      <c r="BK254" s="5">
        <f t="shared" si="17"/>
        <v>0</v>
      </c>
      <c r="BL254" s="5">
        <f t="shared" si="18"/>
        <v>0</v>
      </c>
      <c r="BM254" s="5">
        <f t="shared" si="19"/>
        <v>0</v>
      </c>
      <c r="BN254" s="5">
        <f t="shared" si="20"/>
        <v>0</v>
      </c>
      <c r="BO254" s="5">
        <f t="shared" si="21"/>
        <v>0</v>
      </c>
      <c r="BP254" s="5">
        <f t="shared" si="22"/>
        <v>0</v>
      </c>
      <c r="BQ254" s="5">
        <f t="shared" si="23"/>
        <v>0</v>
      </c>
      <c r="BR254" s="5">
        <f t="shared" si="24"/>
        <v>0</v>
      </c>
      <c r="BS254" s="5">
        <f t="shared" si="25"/>
        <v>1</v>
      </c>
      <c r="BT254" s="5">
        <f t="shared" si="26"/>
        <v>0</v>
      </c>
      <c r="BU254" s="5">
        <f t="shared" si="27"/>
        <v>0</v>
      </c>
      <c r="BV254" s="5">
        <f t="shared" ref="BV254:BW254" si="869">IF(OR(ISNUMBER(SEARCH("grit",$D254)),ISNUMBER(SEARCH("grit",$T254)),ISNUMBER(SEARCH("grit",$R254)),ISNUMBER(SEARCH("grit",$S254)),
ISNUMBER(SEARCH("determination",$D254)),ISNUMBER(SEARCH("determination",$T254)),ISNUMBER(SEARCH("determination",$R254)),ISNUMBER(SEARCH("determination",$S254)),
ISNUMBER(SEARCH("tenacity",$D254)),ISNUMBER(SEARCH("tenacity",$T254)),ISNUMBER(SEARCH("tenacity",$R254)),ISNUMBER(SEARCH("tenacity",$S254)),
ISNUMBER(SEARCH("endurance",$D254)),ISNUMBER(SEARCH("endurance",$T254)),ISNUMBER(SEARCH("endurance",$R254)),ISNUMBER(SEARCH("endurance",$S254)),
ISNUMBER(SEARCH("fortitude",$D254)),ISNUMBER(SEARCH("fortitude",$T254)),ISNUMBER(SEARCH("fortitude",$R254)),ISNUMBER(SEARCH("fortitude",$S254)),
ISNUMBER(SEARCH("resolve",$D254)),ISNUMBER(SEARCH("resolve",$T254)),ISNUMBER(SEARCH("resolve",$R254)),ISNUMBER(SEARCH("resolve",$S254)),
ISNUMBER(SEARCH("stamina",$D254)),ISNUMBER(SEARCH("stamina",$T254)),ISNUMBER(SEARCH("stamina",$R254)),ISNUMBER(SEARCH("stamina",$S254)),
ISNUMBER(SEARCH("guts",$D254)),ISNUMBER(SEARCH("guts",$T254)),ISNUMBER(SEARCH("guts",$R254)),ISNUMBER(SEARCH("guts",$S254)),
ISNUMBER(SEARCH("spunk",$D254)),ISNUMBER(SEARCH("spunk",$T254)),ISNUMBER(SEARCH("spunk",$R254)),ISNUMBER(SEARCH("spunk",$S254))), 1, 0)</f>
        <v>1</v>
      </c>
      <c r="BW254" s="5">
        <f t="shared" si="869"/>
        <v>1</v>
      </c>
      <c r="BX254" s="5">
        <f t="shared" si="29"/>
        <v>0</v>
      </c>
      <c r="BY254" s="5">
        <f t="shared" si="30"/>
        <v>0</v>
      </c>
      <c r="BZ254" s="5">
        <f t="shared" si="31"/>
        <v>0</v>
      </c>
      <c r="CA254" s="5">
        <f t="shared" si="32"/>
        <v>0</v>
      </c>
      <c r="CB254" s="5">
        <f t="shared" si="33"/>
        <v>0</v>
      </c>
      <c r="CC254" s="5">
        <f t="shared" si="34"/>
        <v>0</v>
      </c>
      <c r="CD254" s="5">
        <f t="shared" si="35"/>
        <v>0</v>
      </c>
      <c r="CE254" s="5">
        <f t="shared" si="36"/>
        <v>0</v>
      </c>
      <c r="CF254" s="5">
        <f t="shared" si="37"/>
        <v>0</v>
      </c>
      <c r="CG254" s="5">
        <f t="shared" si="38"/>
        <v>0</v>
      </c>
      <c r="CH254" s="5">
        <f t="shared" si="39"/>
        <v>0</v>
      </c>
      <c r="CI254" s="5">
        <f t="shared" si="40"/>
        <v>0</v>
      </c>
      <c r="CJ254" s="5">
        <f t="shared" si="41"/>
        <v>0</v>
      </c>
      <c r="CK254" s="5">
        <f t="shared" si="42"/>
        <v>0</v>
      </c>
      <c r="CL254" s="5">
        <f t="shared" si="43"/>
        <v>1</v>
      </c>
      <c r="CM254" s="5">
        <f t="shared" si="44"/>
        <v>0</v>
      </c>
      <c r="CN254" s="5">
        <f t="shared" si="45"/>
        <v>0</v>
      </c>
      <c r="CO254" s="5">
        <f t="shared" si="46"/>
        <v>0</v>
      </c>
      <c r="CP254" s="6">
        <f t="shared" si="47"/>
        <v>0</v>
      </c>
      <c r="CQ254" s="6">
        <f t="shared" si="48"/>
        <v>0</v>
      </c>
      <c r="CR254" s="6">
        <f t="shared" si="49"/>
        <v>0</v>
      </c>
      <c r="CS254" s="6">
        <f t="shared" si="50"/>
        <v>0</v>
      </c>
      <c r="CT254" s="6">
        <f t="shared" si="584"/>
        <v>0</v>
      </c>
      <c r="CU254" s="6">
        <f t="shared" si="52"/>
        <v>0</v>
      </c>
      <c r="CV254" s="6">
        <f t="shared" si="53"/>
        <v>0</v>
      </c>
      <c r="CW254" s="6">
        <f t="shared" si="54"/>
        <v>0</v>
      </c>
      <c r="CX254" s="6">
        <f t="shared" si="55"/>
        <v>0</v>
      </c>
      <c r="CY254" s="6">
        <f t="shared" si="56"/>
        <v>0</v>
      </c>
      <c r="CZ254" s="6">
        <f t="shared" si="57"/>
        <v>1</v>
      </c>
      <c r="DA254" s="6">
        <f t="shared" si="58"/>
        <v>0</v>
      </c>
      <c r="DB254" s="6">
        <f t="shared" si="59"/>
        <v>0</v>
      </c>
      <c r="DC254" s="6">
        <f t="shared" si="60"/>
        <v>0</v>
      </c>
      <c r="DD254" s="6">
        <f t="shared" si="61"/>
        <v>1</v>
      </c>
      <c r="DE254" s="6">
        <f t="shared" si="62"/>
        <v>0</v>
      </c>
      <c r="DF254" s="6">
        <f t="shared" si="63"/>
        <v>0</v>
      </c>
      <c r="DG254" s="6">
        <f t="shared" si="64"/>
        <v>0</v>
      </c>
      <c r="DH254" s="6">
        <f t="shared" si="697"/>
        <v>0</v>
      </c>
      <c r="DI254" s="6">
        <f t="shared" si="66"/>
        <v>0</v>
      </c>
      <c r="DJ254" s="6">
        <f t="shared" si="653"/>
        <v>0</v>
      </c>
      <c r="DK254" s="7">
        <f t="shared" si="68"/>
        <v>0</v>
      </c>
      <c r="DL254" s="7">
        <f t="shared" si="498"/>
        <v>0</v>
      </c>
      <c r="DM254" s="7">
        <f t="shared" si="70"/>
        <v>0</v>
      </c>
      <c r="DN254" s="7">
        <f t="shared" si="71"/>
        <v>0</v>
      </c>
      <c r="DO254" s="7">
        <f t="shared" si="72"/>
        <v>0</v>
      </c>
      <c r="DP254" s="8">
        <f t="shared" si="73"/>
        <v>0</v>
      </c>
      <c r="DQ254" s="8">
        <f t="shared" si="74"/>
        <v>0</v>
      </c>
      <c r="DR254" s="7">
        <f t="shared" si="75"/>
        <v>1</v>
      </c>
      <c r="DS254" s="7">
        <f t="shared" si="76"/>
        <v>0</v>
      </c>
      <c r="DT254" s="7">
        <f t="shared" si="77"/>
        <v>0</v>
      </c>
      <c r="DU254" s="9">
        <f t="shared" si="78"/>
        <v>0</v>
      </c>
      <c r="DV254" s="9">
        <f t="shared" si="79"/>
        <v>0</v>
      </c>
      <c r="DW254" s="9">
        <f t="shared" si="80"/>
        <v>0</v>
      </c>
      <c r="DX254" s="9">
        <f t="shared" si="81"/>
        <v>0</v>
      </c>
      <c r="DY254" s="9">
        <f t="shared" si="82"/>
        <v>0</v>
      </c>
      <c r="DZ254" s="9">
        <f t="shared" si="83"/>
        <v>0</v>
      </c>
      <c r="EA254" s="9">
        <f t="shared" si="84"/>
        <v>0</v>
      </c>
      <c r="EB254" s="9">
        <f t="shared" si="85"/>
        <v>0</v>
      </c>
      <c r="EC254" s="9">
        <f t="shared" si="86"/>
        <v>0</v>
      </c>
      <c r="ED254" s="9">
        <f t="shared" si="87"/>
        <v>0</v>
      </c>
      <c r="EE254" s="9">
        <f t="shared" si="88"/>
        <v>0</v>
      </c>
      <c r="EF254" s="9">
        <f t="shared" si="89"/>
        <v>0</v>
      </c>
      <c r="EG254" s="9">
        <f t="shared" si="90"/>
        <v>0</v>
      </c>
      <c r="EH254" s="9">
        <f t="shared" si="91"/>
        <v>0</v>
      </c>
      <c r="EI254" s="9">
        <f t="shared" si="92"/>
        <v>0</v>
      </c>
      <c r="EJ254" s="10">
        <f t="shared" si="93"/>
        <v>0</v>
      </c>
      <c r="EK254" s="10">
        <f t="shared" si="94"/>
        <v>0</v>
      </c>
      <c r="EL254" s="10">
        <f t="shared" ref="EL254:EM254" si="870">IF(OR(ISNUMBER(SEARCH("ai software toolkit", $D254)), ISNUMBER(SEARCH("ai software toolkit", $T254)), ISNUMBER(SEARCH("ai software toolkit", $R254)), ISNUMBER(SEARCH("ai software toolkit", $S254))), 1, 0)</f>
        <v>0</v>
      </c>
      <c r="EM254" s="10">
        <f t="shared" si="870"/>
        <v>0</v>
      </c>
      <c r="EN254" s="10">
        <f t="shared" si="96"/>
        <v>0</v>
      </c>
      <c r="EO254" s="10">
        <f t="shared" si="97"/>
        <v>0</v>
      </c>
      <c r="EP254" s="10">
        <f t="shared" si="98"/>
        <v>0</v>
      </c>
      <c r="EQ254" s="10">
        <f t="shared" si="99"/>
        <v>0</v>
      </c>
      <c r="ER254" s="10">
        <f t="shared" si="100"/>
        <v>0</v>
      </c>
      <c r="ES254" s="10">
        <f t="shared" si="101"/>
        <v>0</v>
      </c>
      <c r="ET254" s="10">
        <f t="shared" si="102"/>
        <v>0</v>
      </c>
      <c r="EU254" s="10">
        <f t="shared" si="103"/>
        <v>0</v>
      </c>
      <c r="EV254" s="10">
        <f t="shared" si="104"/>
        <v>0</v>
      </c>
      <c r="EW254" s="10">
        <f t="shared" si="105"/>
        <v>0</v>
      </c>
      <c r="EX254" s="10">
        <f t="shared" si="106"/>
        <v>0</v>
      </c>
      <c r="EY254" s="10">
        <f t="shared" si="107"/>
        <v>0</v>
      </c>
      <c r="EZ254" s="10">
        <f t="shared" si="108"/>
        <v>0</v>
      </c>
      <c r="FA254" s="10">
        <f t="shared" si="109"/>
        <v>0</v>
      </c>
      <c r="FB254" s="10">
        <f t="shared" si="110"/>
        <v>0</v>
      </c>
      <c r="FC254" s="10">
        <f t="shared" si="111"/>
        <v>0</v>
      </c>
      <c r="FD254" s="10">
        <f t="shared" si="112"/>
        <v>0</v>
      </c>
      <c r="FE254" s="10">
        <f t="shared" si="782"/>
        <v>0</v>
      </c>
      <c r="FF254" s="10">
        <f t="shared" si="114"/>
        <v>0</v>
      </c>
      <c r="FG254" s="10">
        <f t="shared" si="115"/>
        <v>0</v>
      </c>
      <c r="FH254" s="10">
        <f t="shared" si="116"/>
        <v>0</v>
      </c>
      <c r="FI254" s="10">
        <f t="shared" si="117"/>
        <v>0</v>
      </c>
      <c r="FJ254" s="10">
        <f t="shared" si="118"/>
        <v>0</v>
      </c>
      <c r="FK254" s="10">
        <f t="shared" si="119"/>
        <v>0</v>
      </c>
      <c r="FL254" s="10">
        <f t="shared" si="120"/>
        <v>0</v>
      </c>
      <c r="FM254" s="10">
        <f t="shared" si="121"/>
        <v>0</v>
      </c>
      <c r="FN254" s="10">
        <f t="shared" si="122"/>
        <v>0</v>
      </c>
      <c r="FO254" s="10">
        <f t="shared" si="123"/>
        <v>0</v>
      </c>
      <c r="FP254" s="10">
        <f t="shared" si="124"/>
        <v>0</v>
      </c>
      <c r="FQ254" s="10">
        <f t="shared" si="125"/>
        <v>0</v>
      </c>
      <c r="FR254" s="11">
        <f t="shared" si="871"/>
        <v>0</v>
      </c>
      <c r="FS254" s="11">
        <f t="shared" si="127"/>
        <v>0</v>
      </c>
      <c r="FT254" s="11">
        <f t="shared" si="128"/>
        <v>0</v>
      </c>
      <c r="FU254" s="11">
        <f t="shared" si="129"/>
        <v>0</v>
      </c>
      <c r="FV254" s="11">
        <f t="shared" si="130"/>
        <v>0</v>
      </c>
      <c r="FW254" s="11">
        <f t="shared" si="131"/>
        <v>1</v>
      </c>
      <c r="FX254" s="11">
        <f t="shared" si="132"/>
        <v>0</v>
      </c>
      <c r="FY254" s="11">
        <f t="shared" si="133"/>
        <v>0</v>
      </c>
      <c r="FZ254" s="11">
        <f t="shared" si="134"/>
        <v>0</v>
      </c>
      <c r="GA254" s="11">
        <f t="shared" si="135"/>
        <v>0</v>
      </c>
      <c r="GB254" s="11">
        <f t="shared" si="136"/>
        <v>0</v>
      </c>
      <c r="GC254" s="11">
        <f t="shared" si="137"/>
        <v>0</v>
      </c>
      <c r="GD254" s="11">
        <f t="shared" si="138"/>
        <v>0</v>
      </c>
      <c r="GE254" s="11">
        <f t="shared" si="139"/>
        <v>0</v>
      </c>
      <c r="GF254" s="11">
        <f t="shared" si="140"/>
        <v>0</v>
      </c>
      <c r="GG254" s="11">
        <f t="shared" si="141"/>
        <v>0</v>
      </c>
      <c r="GH254" s="11">
        <f t="shared" si="142"/>
        <v>0</v>
      </c>
      <c r="GI254" s="11">
        <f t="shared" si="143"/>
        <v>0</v>
      </c>
      <c r="GJ254" s="11">
        <f t="shared" si="144"/>
        <v>0</v>
      </c>
      <c r="GK254" s="11">
        <f t="shared" si="145"/>
        <v>0</v>
      </c>
      <c r="GL254" s="11">
        <f t="shared" si="146"/>
        <v>0</v>
      </c>
      <c r="GM254" s="11">
        <f t="shared" si="147"/>
        <v>0</v>
      </c>
      <c r="GN254" s="11">
        <f t="shared" si="148"/>
        <v>0</v>
      </c>
      <c r="GO254" s="11">
        <f t="shared" si="149"/>
        <v>0</v>
      </c>
      <c r="GP254" s="11">
        <f t="shared" si="150"/>
        <v>0</v>
      </c>
      <c r="GQ254" s="11">
        <f t="shared" si="151"/>
        <v>0</v>
      </c>
      <c r="GR254" s="11">
        <f t="shared" si="152"/>
        <v>0</v>
      </c>
      <c r="GS254" s="11">
        <f t="shared" si="153"/>
        <v>0</v>
      </c>
      <c r="GT254" s="11">
        <f t="shared" si="154"/>
        <v>0</v>
      </c>
      <c r="GU254" s="12">
        <f t="shared" si="155"/>
        <v>0</v>
      </c>
      <c r="GV254" s="12">
        <f t="shared" si="156"/>
        <v>0</v>
      </c>
      <c r="GW254" s="12">
        <f t="shared" si="157"/>
        <v>0</v>
      </c>
      <c r="GX254" s="12">
        <f t="shared" si="158"/>
        <v>0</v>
      </c>
      <c r="GY254" s="12">
        <f t="shared" si="159"/>
        <v>0</v>
      </c>
      <c r="GZ254" s="12">
        <f t="shared" si="160"/>
        <v>0</v>
      </c>
      <c r="HA254" s="12">
        <f t="shared" si="161"/>
        <v>0</v>
      </c>
      <c r="HB254" s="12">
        <f t="shared" si="162"/>
        <v>0</v>
      </c>
      <c r="HC254" s="12">
        <f t="shared" si="163"/>
        <v>0</v>
      </c>
      <c r="HD254" s="12">
        <f t="shared" si="164"/>
        <v>0</v>
      </c>
      <c r="HE254" s="12">
        <f t="shared" si="165"/>
        <v>0</v>
      </c>
      <c r="HF254" s="12">
        <f t="shared" si="166"/>
        <v>0</v>
      </c>
      <c r="HG254" s="12">
        <f t="shared" si="167"/>
        <v>0</v>
      </c>
      <c r="HH254" s="12">
        <f t="shared" si="168"/>
        <v>0</v>
      </c>
      <c r="HI254" s="12">
        <f t="shared" si="169"/>
        <v>0</v>
      </c>
      <c r="HJ254" s="12">
        <f t="shared" si="170"/>
        <v>0</v>
      </c>
      <c r="HK254" s="12">
        <f t="shared" si="171"/>
        <v>0</v>
      </c>
      <c r="HL254" s="12">
        <f t="shared" si="172"/>
        <v>0</v>
      </c>
      <c r="HM254" s="12">
        <f t="shared" si="173"/>
        <v>0</v>
      </c>
      <c r="HN254" s="12">
        <f t="shared" si="174"/>
        <v>0</v>
      </c>
      <c r="HO254" s="12">
        <f t="shared" si="175"/>
        <v>0</v>
      </c>
      <c r="HP254" s="12">
        <f t="shared" si="176"/>
        <v>0</v>
      </c>
      <c r="HQ254" s="12">
        <f t="shared" si="177"/>
        <v>0</v>
      </c>
      <c r="HR254" s="12">
        <f t="shared" si="178"/>
        <v>0</v>
      </c>
      <c r="HS254" s="12">
        <f t="shared" si="179"/>
        <v>0</v>
      </c>
      <c r="HT254" s="12">
        <f t="shared" si="180"/>
        <v>0</v>
      </c>
      <c r="HU254" s="12">
        <f t="shared" si="181"/>
        <v>0</v>
      </c>
      <c r="HV254" s="12">
        <f t="shared" si="182"/>
        <v>1</v>
      </c>
      <c r="HW254" s="12">
        <f t="shared" si="183"/>
        <v>0</v>
      </c>
      <c r="HX254" s="12">
        <f t="shared" si="184"/>
        <v>0</v>
      </c>
      <c r="HY254" s="12">
        <f t="shared" si="185"/>
        <v>0</v>
      </c>
      <c r="HZ254" s="12">
        <f t="shared" si="186"/>
        <v>0</v>
      </c>
      <c r="IA254" s="12">
        <f t="shared" si="187"/>
        <v>0</v>
      </c>
      <c r="IB254" s="12">
        <f t="shared" si="188"/>
        <v>0</v>
      </c>
      <c r="IC254" s="12">
        <f t="shared" si="189"/>
        <v>0</v>
      </c>
      <c r="ID254" s="12">
        <f t="shared" si="190"/>
        <v>0</v>
      </c>
      <c r="IE254" s="12">
        <f t="shared" si="191"/>
        <v>0</v>
      </c>
      <c r="IF254" s="12">
        <f t="shared" si="192"/>
        <v>0</v>
      </c>
      <c r="IG254" s="12">
        <f t="shared" si="193"/>
        <v>0</v>
      </c>
      <c r="IH254" s="12">
        <f t="shared" si="194"/>
        <v>0</v>
      </c>
      <c r="II254" s="12">
        <f t="shared" si="195"/>
        <v>0</v>
      </c>
      <c r="IJ254" s="12">
        <f t="shared" si="196"/>
        <v>0</v>
      </c>
      <c r="IK254" s="12">
        <f t="shared" si="197"/>
        <v>0</v>
      </c>
      <c r="IL254" s="12">
        <f t="shared" si="198"/>
        <v>0</v>
      </c>
      <c r="IM254" s="12">
        <f t="shared" si="199"/>
        <v>0</v>
      </c>
      <c r="IN254" s="12">
        <f t="shared" si="200"/>
        <v>0</v>
      </c>
      <c r="IO254" s="12">
        <f t="shared" si="201"/>
        <v>0</v>
      </c>
      <c r="IP254" s="12">
        <f t="shared" si="202"/>
        <v>0</v>
      </c>
      <c r="IQ254" s="12">
        <f t="shared" si="203"/>
        <v>0</v>
      </c>
      <c r="IR254" s="12">
        <f t="shared" si="204"/>
        <v>0</v>
      </c>
      <c r="IS254" s="12">
        <f t="shared" si="205"/>
        <v>0</v>
      </c>
      <c r="IT254" s="12">
        <f t="shared" si="206"/>
        <v>0</v>
      </c>
      <c r="IU254" s="12">
        <f t="shared" si="207"/>
        <v>0</v>
      </c>
      <c r="IV254" s="12">
        <f t="shared" si="208"/>
        <v>0</v>
      </c>
      <c r="IW254" s="12">
        <f t="shared" si="209"/>
        <v>0</v>
      </c>
      <c r="IX254" s="12">
        <f t="shared" si="210"/>
        <v>0</v>
      </c>
      <c r="IY254" s="12">
        <f t="shared" si="211"/>
        <v>0</v>
      </c>
      <c r="IZ254" s="12">
        <f t="shared" si="212"/>
        <v>1</v>
      </c>
      <c r="JA254" s="13">
        <f t="shared" si="213"/>
        <v>0</v>
      </c>
      <c r="JB254" s="13">
        <f t="shared" si="214"/>
        <v>0</v>
      </c>
      <c r="JC254" s="13">
        <f t="shared" si="215"/>
        <v>0</v>
      </c>
      <c r="JD254" s="13">
        <f t="shared" si="216"/>
        <v>0</v>
      </c>
      <c r="JE254" s="13">
        <f t="shared" si="217"/>
        <v>0</v>
      </c>
      <c r="JF254" s="13">
        <f t="shared" si="218"/>
        <v>0</v>
      </c>
      <c r="JG254" s="13">
        <f t="shared" si="219"/>
        <v>0</v>
      </c>
      <c r="JH254" s="13">
        <f t="shared" si="220"/>
        <v>0</v>
      </c>
      <c r="JI254" s="13">
        <f t="shared" si="221"/>
        <v>0</v>
      </c>
      <c r="JJ254" s="13">
        <f t="shared" si="222"/>
        <v>0</v>
      </c>
      <c r="JK254" s="13">
        <f t="shared" si="223"/>
        <v>0</v>
      </c>
      <c r="JL254" s="13">
        <f t="shared" si="224"/>
        <v>0</v>
      </c>
      <c r="JM254" s="13">
        <f t="shared" si="225"/>
        <v>0</v>
      </c>
      <c r="JN254" s="13">
        <f t="shared" si="226"/>
        <v>0</v>
      </c>
      <c r="JO254" s="13">
        <f t="shared" si="227"/>
        <v>0</v>
      </c>
      <c r="JP254" s="13">
        <f t="shared" si="228"/>
        <v>0</v>
      </c>
      <c r="JQ254" s="13">
        <f t="shared" si="229"/>
        <v>0</v>
      </c>
      <c r="JR254" s="13">
        <f t="shared" si="230"/>
        <v>0</v>
      </c>
      <c r="JS254" s="13">
        <f t="shared" si="231"/>
        <v>0</v>
      </c>
      <c r="JT254" s="13">
        <f t="shared" si="232"/>
        <v>0</v>
      </c>
      <c r="JU254" s="13">
        <f t="shared" si="233"/>
        <v>0</v>
      </c>
      <c r="JV254" s="12">
        <f t="shared" si="234"/>
        <v>0</v>
      </c>
      <c r="JW254" s="12">
        <f t="shared" si="235"/>
        <v>0</v>
      </c>
      <c r="JX254" s="12">
        <f t="shared" si="236"/>
        <v>0</v>
      </c>
      <c r="JY254" s="12">
        <f t="shared" si="237"/>
        <v>0</v>
      </c>
      <c r="JZ254" s="12">
        <f t="shared" si="238"/>
        <v>0</v>
      </c>
      <c r="KA254" s="12">
        <f t="shared" si="239"/>
        <v>0</v>
      </c>
      <c r="KB254" s="12">
        <f t="shared" si="240"/>
        <v>0</v>
      </c>
      <c r="KC254" s="12">
        <f t="shared" si="241"/>
        <v>0</v>
      </c>
      <c r="KD254" s="12">
        <f t="shared" si="797"/>
        <v>0</v>
      </c>
      <c r="KE254" s="12">
        <f t="shared" si="243"/>
        <v>0</v>
      </c>
      <c r="KF254" s="12">
        <f t="shared" si="244"/>
        <v>1</v>
      </c>
      <c r="KG254" s="12">
        <f t="shared" si="245"/>
        <v>0</v>
      </c>
      <c r="KH254" s="12">
        <f t="shared" si="246"/>
        <v>0</v>
      </c>
      <c r="KI254" s="12">
        <f t="shared" si="247"/>
        <v>0</v>
      </c>
      <c r="KJ254" s="12">
        <f t="shared" si="248"/>
        <v>0</v>
      </c>
      <c r="KK254" s="12">
        <f t="shared" si="249"/>
        <v>0</v>
      </c>
      <c r="KL254" s="12">
        <f t="shared" si="250"/>
        <v>0</v>
      </c>
      <c r="KM254" s="12">
        <f t="shared" si="251"/>
        <v>0</v>
      </c>
      <c r="KN254" s="12">
        <f t="shared" si="252"/>
        <v>0</v>
      </c>
      <c r="KO254" s="12">
        <f t="shared" si="253"/>
        <v>0</v>
      </c>
      <c r="KP254" s="12">
        <f t="shared" si="254"/>
        <v>0</v>
      </c>
      <c r="KQ254" s="12">
        <f t="shared" si="255"/>
        <v>0</v>
      </c>
      <c r="KR254" s="12">
        <f t="shared" si="256"/>
        <v>0</v>
      </c>
      <c r="KS254" s="12">
        <f t="shared" si="257"/>
        <v>0</v>
      </c>
      <c r="KT254" s="12">
        <f t="shared" si="258"/>
        <v>0</v>
      </c>
      <c r="KU254" s="12">
        <f t="shared" si="259"/>
        <v>0</v>
      </c>
      <c r="KV254" s="12">
        <f t="shared" si="260"/>
        <v>0</v>
      </c>
      <c r="KW254" s="12">
        <f t="shared" si="261"/>
        <v>0</v>
      </c>
      <c r="KX254" s="12">
        <f t="shared" si="262"/>
        <v>0</v>
      </c>
      <c r="KY254" s="12">
        <f t="shared" si="263"/>
        <v>0</v>
      </c>
      <c r="KZ254" s="12">
        <f t="shared" si="264"/>
        <v>0</v>
      </c>
      <c r="LA254" s="12">
        <f t="shared" si="265"/>
        <v>0</v>
      </c>
      <c r="LB254" s="12">
        <f t="shared" si="266"/>
        <v>0</v>
      </c>
      <c r="LC254" s="12">
        <f t="shared" si="267"/>
        <v>0</v>
      </c>
      <c r="LD254" s="12">
        <f t="shared" si="268"/>
        <v>0</v>
      </c>
      <c r="LE254" s="12">
        <f t="shared" si="269"/>
        <v>0</v>
      </c>
      <c r="LF254" s="12">
        <f t="shared" si="270"/>
        <v>0</v>
      </c>
      <c r="LG254" s="12">
        <f t="shared" si="271"/>
        <v>0</v>
      </c>
      <c r="LH254" s="12">
        <f t="shared" si="272"/>
        <v>0</v>
      </c>
      <c r="LI254" s="12">
        <f t="shared" si="273"/>
        <v>0</v>
      </c>
      <c r="LJ254" s="12">
        <f t="shared" si="274"/>
        <v>0</v>
      </c>
      <c r="LK254" s="12">
        <f t="shared" si="275"/>
        <v>0</v>
      </c>
      <c r="LL254" s="12">
        <f t="shared" si="276"/>
        <v>0</v>
      </c>
      <c r="LM254" s="12">
        <f t="shared" si="277"/>
        <v>0</v>
      </c>
      <c r="LN254" s="12">
        <f t="shared" si="278"/>
        <v>0</v>
      </c>
      <c r="LO254" s="12">
        <f t="shared" si="279"/>
        <v>1</v>
      </c>
      <c r="LP254" s="12">
        <f t="shared" si="280"/>
        <v>0</v>
      </c>
      <c r="LQ254" s="12">
        <f t="shared" si="281"/>
        <v>0</v>
      </c>
      <c r="LR254" s="12">
        <f t="shared" si="282"/>
        <v>1</v>
      </c>
      <c r="LS254" s="12">
        <f t="shared" si="283"/>
        <v>0</v>
      </c>
      <c r="LT254" s="13">
        <f t="shared" si="284"/>
        <v>0</v>
      </c>
      <c r="LU254" s="13">
        <f t="shared" si="285"/>
        <v>0</v>
      </c>
      <c r="LV254" s="13">
        <f t="shared" si="286"/>
        <v>0</v>
      </c>
      <c r="LW254" s="13">
        <f t="shared" si="287"/>
        <v>0</v>
      </c>
      <c r="LX254" s="13">
        <f t="shared" si="288"/>
        <v>0</v>
      </c>
      <c r="LY254" s="13">
        <f t="shared" si="289"/>
        <v>0</v>
      </c>
      <c r="LZ254" s="13">
        <f t="shared" si="290"/>
        <v>0</v>
      </c>
      <c r="MA254" s="13">
        <f t="shared" si="291"/>
        <v>0</v>
      </c>
      <c r="MB254" s="13">
        <f t="shared" si="292"/>
        <v>0</v>
      </c>
      <c r="MC254" s="13">
        <f t="shared" si="293"/>
        <v>0</v>
      </c>
      <c r="MD254" s="13">
        <f t="shared" si="294"/>
        <v>0</v>
      </c>
      <c r="ME254" s="13">
        <f t="shared" si="295"/>
        <v>0</v>
      </c>
      <c r="MF254" s="13">
        <f t="shared" si="296"/>
        <v>0</v>
      </c>
      <c r="MG254" s="13">
        <f t="shared" si="297"/>
        <v>0</v>
      </c>
      <c r="MH254" s="13">
        <f t="shared" si="298"/>
        <v>0</v>
      </c>
      <c r="MI254" s="13">
        <f t="shared" si="299"/>
        <v>0</v>
      </c>
      <c r="MJ254" s="13">
        <f t="shared" si="300"/>
        <v>0</v>
      </c>
      <c r="MK254" s="13">
        <f t="shared" si="301"/>
        <v>0</v>
      </c>
      <c r="ML254" s="14">
        <f t="shared" si="302"/>
        <v>0</v>
      </c>
      <c r="MM254" s="14">
        <f t="shared" si="303"/>
        <v>0</v>
      </c>
      <c r="MN254" s="14">
        <f t="shared" si="304"/>
        <v>0</v>
      </c>
      <c r="MO254" s="14">
        <f t="shared" si="305"/>
        <v>0</v>
      </c>
      <c r="MP254" s="14">
        <f t="shared" si="306"/>
        <v>0</v>
      </c>
      <c r="MQ254" s="14">
        <f t="shared" si="307"/>
        <v>0</v>
      </c>
      <c r="MR254" s="14">
        <f t="shared" si="308"/>
        <v>0</v>
      </c>
      <c r="MS254" s="14">
        <f t="shared" si="309"/>
        <v>0</v>
      </c>
      <c r="MT254" s="14">
        <f t="shared" si="310"/>
        <v>0</v>
      </c>
      <c r="MU254" s="14">
        <f t="shared" si="311"/>
        <v>0</v>
      </c>
      <c r="MV254" s="14">
        <f t="shared" si="312"/>
        <v>0</v>
      </c>
      <c r="MW254" s="14">
        <f t="shared" si="313"/>
        <v>0</v>
      </c>
      <c r="MX254" s="14">
        <f t="shared" si="314"/>
        <v>0</v>
      </c>
      <c r="MY254" s="14">
        <f t="shared" si="315"/>
        <v>0</v>
      </c>
      <c r="MZ254" s="14">
        <f t="shared" si="316"/>
        <v>0</v>
      </c>
      <c r="NA254" s="14">
        <f t="shared" si="317"/>
        <v>0</v>
      </c>
      <c r="NB254" s="14">
        <f t="shared" si="318"/>
        <v>0</v>
      </c>
    </row>
    <row r="255" ht="15.75" customHeight="1">
      <c r="A255" s="2">
        <v>655.0</v>
      </c>
      <c r="B255" s="2" t="s">
        <v>4549</v>
      </c>
      <c r="C255" s="2" t="s">
        <v>4550</v>
      </c>
      <c r="D255" s="2" t="s">
        <v>4551</v>
      </c>
      <c r="E255" s="2">
        <v>2022.0</v>
      </c>
      <c r="F255" s="2" t="s">
        <v>4552</v>
      </c>
      <c r="G255" s="2">
        <v>12.0</v>
      </c>
      <c r="H255" s="2" t="s">
        <v>603</v>
      </c>
      <c r="I255" s="2" t="s">
        <v>4553</v>
      </c>
      <c r="N255" s="2" t="s">
        <v>4554</v>
      </c>
      <c r="O255" s="2" t="s">
        <v>4555</v>
      </c>
      <c r="P255" s="2" t="s">
        <v>4556</v>
      </c>
      <c r="Q255" s="2" t="s">
        <v>4557</v>
      </c>
      <c r="R255" s="2" t="s">
        <v>4558</v>
      </c>
      <c r="S255" s="2" t="s">
        <v>4559</v>
      </c>
      <c r="T255" s="2" t="s">
        <v>4560</v>
      </c>
      <c r="Y255" s="2" t="s">
        <v>4561</v>
      </c>
      <c r="AB255" s="2" t="s">
        <v>1303</v>
      </c>
      <c r="AG255" s="2" t="s">
        <v>4562</v>
      </c>
      <c r="AK255" s="2" t="s">
        <v>4563</v>
      </c>
      <c r="AL255" s="2" t="s">
        <v>384</v>
      </c>
      <c r="AM255" s="2" t="s">
        <v>484</v>
      </c>
      <c r="AN255" s="2" t="s">
        <v>386</v>
      </c>
      <c r="AO255" s="2" t="s">
        <v>4564</v>
      </c>
      <c r="AP255" s="2" t="s">
        <v>386</v>
      </c>
      <c r="AQ255" s="2">
        <v>2578.0</v>
      </c>
      <c r="AR255" s="2" t="s">
        <v>4565</v>
      </c>
      <c r="AS255" s="2" t="b">
        <v>1</v>
      </c>
      <c r="AT255" s="3">
        <v>0.0</v>
      </c>
      <c r="AU255" s="4"/>
      <c r="AV255" s="4"/>
      <c r="AW255" s="5">
        <f t="shared" si="432"/>
        <v>0</v>
      </c>
      <c r="AX255" s="5">
        <f t="shared" si="4"/>
        <v>0</v>
      </c>
      <c r="AY255" s="5">
        <f t="shared" si="5"/>
        <v>0</v>
      </c>
      <c r="AZ255" s="5">
        <f t="shared" si="6"/>
        <v>0</v>
      </c>
      <c r="BA255" s="5">
        <f t="shared" si="7"/>
        <v>0</v>
      </c>
      <c r="BB255" s="5">
        <f t="shared" si="8"/>
        <v>0</v>
      </c>
      <c r="BC255" s="5">
        <f t="shared" si="9"/>
        <v>0</v>
      </c>
      <c r="BD255" s="5">
        <f t="shared" si="10"/>
        <v>0</v>
      </c>
      <c r="BE255" s="5">
        <f t="shared" si="11"/>
        <v>0</v>
      </c>
      <c r="BF255" s="5">
        <f t="shared" si="12"/>
        <v>0</v>
      </c>
      <c r="BG255" s="5">
        <f t="shared" si="13"/>
        <v>0</v>
      </c>
      <c r="BH255" s="5">
        <f t="shared" si="14"/>
        <v>0</v>
      </c>
      <c r="BI255" s="5">
        <f t="shared" si="15"/>
        <v>0</v>
      </c>
      <c r="BJ255" s="5">
        <f t="shared" si="16"/>
        <v>0</v>
      </c>
      <c r="BK255" s="5">
        <f t="shared" si="17"/>
        <v>0</v>
      </c>
      <c r="BL255" s="5">
        <f t="shared" si="18"/>
        <v>0</v>
      </c>
      <c r="BM255" s="5">
        <f t="shared" si="19"/>
        <v>0</v>
      </c>
      <c r="BN255" s="5">
        <f t="shared" si="20"/>
        <v>0</v>
      </c>
      <c r="BO255" s="5">
        <f t="shared" si="21"/>
        <v>0</v>
      </c>
      <c r="BP255" s="5">
        <f t="shared" si="22"/>
        <v>0</v>
      </c>
      <c r="BQ255" s="5">
        <f t="shared" si="23"/>
        <v>0</v>
      </c>
      <c r="BR255" s="5">
        <f t="shared" si="24"/>
        <v>0</v>
      </c>
      <c r="BS255" s="5">
        <f t="shared" si="25"/>
        <v>0</v>
      </c>
      <c r="BT255" s="5">
        <f t="shared" si="26"/>
        <v>0</v>
      </c>
      <c r="BU255" s="5">
        <f t="shared" si="27"/>
        <v>0</v>
      </c>
      <c r="BV255" s="5">
        <f t="shared" ref="BV255:BW255" si="872">IF(OR(ISNUMBER(SEARCH("grit",$D255)),ISNUMBER(SEARCH("grit",$T255)),ISNUMBER(SEARCH("grit",$R255)),ISNUMBER(SEARCH("grit",$S255)),
ISNUMBER(SEARCH("determination",$D255)),ISNUMBER(SEARCH("determination",$T255)),ISNUMBER(SEARCH("determination",$R255)),ISNUMBER(SEARCH("determination",$S255)),
ISNUMBER(SEARCH("tenacity",$D255)),ISNUMBER(SEARCH("tenacity",$T255)),ISNUMBER(SEARCH("tenacity",$R255)),ISNUMBER(SEARCH("tenacity",$S255)),
ISNUMBER(SEARCH("endurance",$D255)),ISNUMBER(SEARCH("endurance",$T255)),ISNUMBER(SEARCH("endurance",$R255)),ISNUMBER(SEARCH("endurance",$S255)),
ISNUMBER(SEARCH("fortitude",$D255)),ISNUMBER(SEARCH("fortitude",$T255)),ISNUMBER(SEARCH("fortitude",$R255)),ISNUMBER(SEARCH("fortitude",$S255)),
ISNUMBER(SEARCH("resolve",$D255)),ISNUMBER(SEARCH("resolve",$T255)),ISNUMBER(SEARCH("resolve",$R255)),ISNUMBER(SEARCH("resolve",$S255)),
ISNUMBER(SEARCH("stamina",$D255)),ISNUMBER(SEARCH("stamina",$T255)),ISNUMBER(SEARCH("stamina",$R255)),ISNUMBER(SEARCH("stamina",$S255)),
ISNUMBER(SEARCH("guts",$D255)),ISNUMBER(SEARCH("guts",$T255)),ISNUMBER(SEARCH("guts",$R255)),ISNUMBER(SEARCH("guts",$S255)),
ISNUMBER(SEARCH("spunk",$D255)),ISNUMBER(SEARCH("spunk",$T255)),ISNUMBER(SEARCH("spunk",$R255)),ISNUMBER(SEARCH("spunk",$S255))), 1, 0)</f>
        <v>0</v>
      </c>
      <c r="BW255" s="5">
        <f t="shared" si="872"/>
        <v>0</v>
      </c>
      <c r="BX255" s="5">
        <f t="shared" si="29"/>
        <v>0</v>
      </c>
      <c r="BY255" s="5">
        <f t="shared" si="30"/>
        <v>0</v>
      </c>
      <c r="BZ255" s="5">
        <f t="shared" si="31"/>
        <v>0</v>
      </c>
      <c r="CA255" s="5">
        <f t="shared" si="32"/>
        <v>0</v>
      </c>
      <c r="CB255" s="5">
        <f t="shared" si="33"/>
        <v>0</v>
      </c>
      <c r="CC255" s="5">
        <f t="shared" si="34"/>
        <v>0</v>
      </c>
      <c r="CD255" s="5">
        <f t="shared" si="35"/>
        <v>0</v>
      </c>
      <c r="CE255" s="5">
        <f t="shared" si="36"/>
        <v>0</v>
      </c>
      <c r="CF255" s="5">
        <f t="shared" si="37"/>
        <v>0</v>
      </c>
      <c r="CG255" s="5">
        <f t="shared" si="38"/>
        <v>0</v>
      </c>
      <c r="CH255" s="5">
        <f t="shared" si="39"/>
        <v>0</v>
      </c>
      <c r="CI255" s="5">
        <f t="shared" si="40"/>
        <v>0</v>
      </c>
      <c r="CJ255" s="5">
        <f t="shared" si="41"/>
        <v>0</v>
      </c>
      <c r="CK255" s="5">
        <f t="shared" si="42"/>
        <v>0</v>
      </c>
      <c r="CL255" s="5">
        <f t="shared" si="43"/>
        <v>0</v>
      </c>
      <c r="CM255" s="5">
        <f t="shared" si="44"/>
        <v>0</v>
      </c>
      <c r="CN255" s="5">
        <f t="shared" si="45"/>
        <v>0</v>
      </c>
      <c r="CO255" s="5">
        <f t="shared" si="46"/>
        <v>0</v>
      </c>
      <c r="CP255" s="6">
        <f t="shared" si="47"/>
        <v>0</v>
      </c>
      <c r="CQ255" s="6">
        <f t="shared" si="48"/>
        <v>0</v>
      </c>
      <c r="CR255" s="6">
        <f t="shared" si="49"/>
        <v>0</v>
      </c>
      <c r="CS255" s="6">
        <f t="shared" si="50"/>
        <v>0</v>
      </c>
      <c r="CT255" s="6">
        <f t="shared" si="584"/>
        <v>0</v>
      </c>
      <c r="CU255" s="6">
        <f t="shared" si="52"/>
        <v>0</v>
      </c>
      <c r="CV255" s="6">
        <f t="shared" si="53"/>
        <v>0</v>
      </c>
      <c r="CW255" s="6">
        <f t="shared" si="54"/>
        <v>0</v>
      </c>
      <c r="CX255" s="6">
        <f t="shared" si="55"/>
        <v>0</v>
      </c>
      <c r="CY255" s="6">
        <f t="shared" si="56"/>
        <v>0</v>
      </c>
      <c r="CZ255" s="6">
        <f t="shared" si="57"/>
        <v>0</v>
      </c>
      <c r="DA255" s="6">
        <f t="shared" si="58"/>
        <v>0</v>
      </c>
      <c r="DB255" s="6">
        <f t="shared" si="59"/>
        <v>0</v>
      </c>
      <c r="DC255" s="6">
        <f t="shared" si="60"/>
        <v>1</v>
      </c>
      <c r="DD255" s="6">
        <f t="shared" si="61"/>
        <v>0</v>
      </c>
      <c r="DE255" s="6">
        <f t="shared" si="62"/>
        <v>0</v>
      </c>
      <c r="DF255" s="6">
        <f t="shared" si="63"/>
        <v>0</v>
      </c>
      <c r="DG255" s="6">
        <f t="shared" si="64"/>
        <v>0</v>
      </c>
      <c r="DH255" s="6">
        <f t="shared" si="697"/>
        <v>0</v>
      </c>
      <c r="DI255" s="6">
        <f t="shared" si="66"/>
        <v>0</v>
      </c>
      <c r="DJ255" s="6">
        <f t="shared" si="653"/>
        <v>0</v>
      </c>
      <c r="DK255" s="7">
        <f t="shared" si="68"/>
        <v>0</v>
      </c>
      <c r="DL255" s="7">
        <f t="shared" si="498"/>
        <v>0</v>
      </c>
      <c r="DM255" s="7">
        <f t="shared" si="70"/>
        <v>0</v>
      </c>
      <c r="DN255" s="7">
        <f t="shared" si="71"/>
        <v>0</v>
      </c>
      <c r="DO255" s="7">
        <f t="shared" si="72"/>
        <v>1</v>
      </c>
      <c r="DP255" s="8">
        <f t="shared" si="73"/>
        <v>0</v>
      </c>
      <c r="DQ255" s="8">
        <f t="shared" si="74"/>
        <v>1</v>
      </c>
      <c r="DR255" s="7">
        <f t="shared" si="75"/>
        <v>0</v>
      </c>
      <c r="DS255" s="7">
        <f t="shared" si="76"/>
        <v>0</v>
      </c>
      <c r="DT255" s="7">
        <f t="shared" si="77"/>
        <v>0</v>
      </c>
      <c r="DU255" s="9">
        <f t="shared" si="78"/>
        <v>0</v>
      </c>
      <c r="DV255" s="9">
        <f t="shared" si="79"/>
        <v>0</v>
      </c>
      <c r="DW255" s="9">
        <f t="shared" si="80"/>
        <v>0</v>
      </c>
      <c r="DX255" s="9">
        <f t="shared" si="81"/>
        <v>0</v>
      </c>
      <c r="DY255" s="9">
        <f t="shared" si="82"/>
        <v>0</v>
      </c>
      <c r="DZ255" s="9">
        <f t="shared" si="83"/>
        <v>0</v>
      </c>
      <c r="EA255" s="9">
        <f t="shared" si="84"/>
        <v>0</v>
      </c>
      <c r="EB255" s="9">
        <f t="shared" si="85"/>
        <v>0</v>
      </c>
      <c r="EC255" s="9">
        <f t="shared" si="86"/>
        <v>0</v>
      </c>
      <c r="ED255" s="9">
        <f t="shared" si="87"/>
        <v>0</v>
      </c>
      <c r="EE255" s="9">
        <f t="shared" si="88"/>
        <v>0</v>
      </c>
      <c r="EF255" s="9">
        <f t="shared" si="89"/>
        <v>0</v>
      </c>
      <c r="EG255" s="9">
        <f t="shared" si="90"/>
        <v>0</v>
      </c>
      <c r="EH255" s="9">
        <f t="shared" si="91"/>
        <v>0</v>
      </c>
      <c r="EI255" s="9">
        <f t="shared" si="92"/>
        <v>0</v>
      </c>
      <c r="EJ255" s="10">
        <f t="shared" si="93"/>
        <v>0</v>
      </c>
      <c r="EK255" s="10">
        <f t="shared" si="94"/>
        <v>0</v>
      </c>
      <c r="EL255" s="10">
        <f t="shared" ref="EL255:EM255" si="873">IF(OR(ISNUMBER(SEARCH("ai software toolkit", $D255)), ISNUMBER(SEARCH("ai software toolkit", $T255)), ISNUMBER(SEARCH("ai software toolkit", $R255)), ISNUMBER(SEARCH("ai software toolkit", $S255))), 1, 0)</f>
        <v>0</v>
      </c>
      <c r="EM255" s="10">
        <f t="shared" si="873"/>
        <v>0</v>
      </c>
      <c r="EN255" s="10">
        <f t="shared" si="96"/>
        <v>0</v>
      </c>
      <c r="EO255" s="10">
        <f t="shared" si="97"/>
        <v>0</v>
      </c>
      <c r="EP255" s="10">
        <f t="shared" si="98"/>
        <v>0</v>
      </c>
      <c r="EQ255" s="10">
        <f t="shared" si="99"/>
        <v>0</v>
      </c>
      <c r="ER255" s="10">
        <f t="shared" si="100"/>
        <v>0</v>
      </c>
      <c r="ES255" s="10">
        <f t="shared" si="101"/>
        <v>0</v>
      </c>
      <c r="ET255" s="10">
        <f t="shared" si="102"/>
        <v>0</v>
      </c>
      <c r="EU255" s="10">
        <f t="shared" si="103"/>
        <v>0</v>
      </c>
      <c r="EV255" s="10">
        <f t="shared" si="104"/>
        <v>0</v>
      </c>
      <c r="EW255" s="10">
        <f t="shared" si="105"/>
        <v>0</v>
      </c>
      <c r="EX255" s="10">
        <f t="shared" si="106"/>
        <v>0</v>
      </c>
      <c r="EY255" s="10">
        <f t="shared" si="107"/>
        <v>0</v>
      </c>
      <c r="EZ255" s="10">
        <f t="shared" si="108"/>
        <v>0</v>
      </c>
      <c r="FA255" s="10">
        <f t="shared" si="109"/>
        <v>0</v>
      </c>
      <c r="FB255" s="10">
        <f t="shared" si="110"/>
        <v>0</v>
      </c>
      <c r="FC255" s="10">
        <f t="shared" si="111"/>
        <v>0</v>
      </c>
      <c r="FD255" s="10">
        <f t="shared" si="112"/>
        <v>0</v>
      </c>
      <c r="FE255" s="10">
        <f>IF(
OR(
ISNUMBER(SEARCH("internet of things",$D255)),ISNUMBER(SEARCH("internet of things",$T255)),ISNUMBER(SEARCH("internet of things",$R255)),ISNUMBER(SEARCH("internet of things",$S255)), ISNUMBER(SEARCH("wearable",$D256)),ISNUMBER(SEARCH("wearable",$T256)),ISNUMBER(SEARCH("wearable",$R256)),ISNUMBER(SEARCH("wearable",$S256)),
ISNUMBER(SEARCH("IOT",$D255)),ISNUMBER(SEARCH("IOT",$T255)),ISNUMBER(SEARCH("IOT",$R255)),ISNUMBER(SEARCH("IOT",$S255))), 1, 0)</f>
        <v>1</v>
      </c>
      <c r="FF255" s="10">
        <f t="shared" si="114"/>
        <v>0</v>
      </c>
      <c r="FG255" s="10">
        <f t="shared" si="115"/>
        <v>0</v>
      </c>
      <c r="FH255" s="10">
        <f t="shared" si="116"/>
        <v>0</v>
      </c>
      <c r="FI255" s="10">
        <f t="shared" si="117"/>
        <v>0</v>
      </c>
      <c r="FJ255" s="10">
        <f t="shared" si="118"/>
        <v>0</v>
      </c>
      <c r="FK255" s="10">
        <f t="shared" si="119"/>
        <v>0</v>
      </c>
      <c r="FL255" s="10">
        <f t="shared" si="120"/>
        <v>0</v>
      </c>
      <c r="FM255" s="10">
        <f t="shared" si="121"/>
        <v>0</v>
      </c>
      <c r="FN255" s="10">
        <f t="shared" si="122"/>
        <v>0</v>
      </c>
      <c r="FO255" s="10">
        <f t="shared" si="123"/>
        <v>0</v>
      </c>
      <c r="FP255" s="10">
        <f t="shared" si="124"/>
        <v>0</v>
      </c>
      <c r="FQ255" s="10">
        <f t="shared" si="125"/>
        <v>0</v>
      </c>
      <c r="FR255" s="11">
        <f t="shared" si="871"/>
        <v>0</v>
      </c>
      <c r="FS255" s="11">
        <f t="shared" si="127"/>
        <v>0</v>
      </c>
      <c r="FT255" s="11">
        <f t="shared" si="128"/>
        <v>0</v>
      </c>
      <c r="FU255" s="11">
        <f t="shared" si="129"/>
        <v>0</v>
      </c>
      <c r="FV255" s="11">
        <f t="shared" si="130"/>
        <v>0</v>
      </c>
      <c r="FW255" s="11">
        <f t="shared" si="131"/>
        <v>0</v>
      </c>
      <c r="FX255" s="11">
        <f t="shared" si="132"/>
        <v>0</v>
      </c>
      <c r="FY255" s="11">
        <f t="shared" si="133"/>
        <v>0</v>
      </c>
      <c r="FZ255" s="11">
        <f t="shared" si="134"/>
        <v>0</v>
      </c>
      <c r="GA255" s="11">
        <f t="shared" si="135"/>
        <v>0</v>
      </c>
      <c r="GB255" s="11">
        <f t="shared" si="136"/>
        <v>0</v>
      </c>
      <c r="GC255" s="11">
        <f t="shared" si="137"/>
        <v>0</v>
      </c>
      <c r="GD255" s="11">
        <f t="shared" si="138"/>
        <v>0</v>
      </c>
      <c r="GE255" s="11">
        <f t="shared" si="139"/>
        <v>0</v>
      </c>
      <c r="GF255" s="11">
        <f t="shared" si="140"/>
        <v>0</v>
      </c>
      <c r="GG255" s="11">
        <f t="shared" si="141"/>
        <v>0</v>
      </c>
      <c r="GH255" s="11">
        <f t="shared" si="142"/>
        <v>0</v>
      </c>
      <c r="GI255" s="11">
        <f t="shared" si="143"/>
        <v>0</v>
      </c>
      <c r="GJ255" s="11">
        <f t="shared" si="144"/>
        <v>0</v>
      </c>
      <c r="GK255" s="11">
        <f t="shared" si="145"/>
        <v>0</v>
      </c>
      <c r="GL255" s="11">
        <f t="shared" si="146"/>
        <v>0</v>
      </c>
      <c r="GM255" s="11">
        <f t="shared" si="147"/>
        <v>0</v>
      </c>
      <c r="GN255" s="11">
        <f t="shared" si="148"/>
        <v>0</v>
      </c>
      <c r="GO255" s="11">
        <f t="shared" si="149"/>
        <v>0</v>
      </c>
      <c r="GP255" s="11">
        <f t="shared" si="150"/>
        <v>0</v>
      </c>
      <c r="GQ255" s="11">
        <f t="shared" si="151"/>
        <v>0</v>
      </c>
      <c r="GR255" s="11">
        <f t="shared" si="152"/>
        <v>0</v>
      </c>
      <c r="GS255" s="11">
        <f t="shared" si="153"/>
        <v>0</v>
      </c>
      <c r="GT255" s="11">
        <f t="shared" si="154"/>
        <v>0</v>
      </c>
      <c r="GU255" s="12">
        <f t="shared" si="155"/>
        <v>0</v>
      </c>
      <c r="GV255" s="12">
        <f t="shared" si="156"/>
        <v>0</v>
      </c>
      <c r="GW255" s="12">
        <f t="shared" si="157"/>
        <v>0</v>
      </c>
      <c r="GX255" s="12">
        <f t="shared" si="158"/>
        <v>0</v>
      </c>
      <c r="GY255" s="12">
        <f t="shared" si="159"/>
        <v>0</v>
      </c>
      <c r="GZ255" s="12">
        <f t="shared" si="160"/>
        <v>0</v>
      </c>
      <c r="HA255" s="12">
        <f t="shared" si="161"/>
        <v>0</v>
      </c>
      <c r="HB255" s="12">
        <f t="shared" si="162"/>
        <v>0</v>
      </c>
      <c r="HC255" s="12">
        <f t="shared" si="163"/>
        <v>0</v>
      </c>
      <c r="HD255" s="12">
        <f t="shared" si="164"/>
        <v>0</v>
      </c>
      <c r="HE255" s="12">
        <f t="shared" si="165"/>
        <v>0</v>
      </c>
      <c r="HF255" s="12">
        <f t="shared" si="166"/>
        <v>0</v>
      </c>
      <c r="HG255" s="12">
        <f t="shared" si="167"/>
        <v>0</v>
      </c>
      <c r="HH255" s="12">
        <f t="shared" si="168"/>
        <v>0</v>
      </c>
      <c r="HI255" s="12">
        <f t="shared" si="169"/>
        <v>0</v>
      </c>
      <c r="HJ255" s="12">
        <f t="shared" si="170"/>
        <v>0</v>
      </c>
      <c r="HK255" s="12">
        <f t="shared" si="171"/>
        <v>0</v>
      </c>
      <c r="HL255" s="12">
        <f t="shared" si="172"/>
        <v>0</v>
      </c>
      <c r="HM255" s="12">
        <f t="shared" si="173"/>
        <v>0</v>
      </c>
      <c r="HN255" s="12">
        <f t="shared" si="174"/>
        <v>0</v>
      </c>
      <c r="HO255" s="12">
        <f t="shared" si="175"/>
        <v>0</v>
      </c>
      <c r="HP255" s="12">
        <f t="shared" si="176"/>
        <v>0</v>
      </c>
      <c r="HQ255" s="12">
        <f t="shared" si="177"/>
        <v>0</v>
      </c>
      <c r="HR255" s="12">
        <f t="shared" si="178"/>
        <v>0</v>
      </c>
      <c r="HS255" s="12">
        <f t="shared" si="179"/>
        <v>0</v>
      </c>
      <c r="HT255" s="12">
        <f t="shared" si="180"/>
        <v>0</v>
      </c>
      <c r="HU255" s="12">
        <f t="shared" si="181"/>
        <v>0</v>
      </c>
      <c r="HV255" s="12">
        <f t="shared" si="182"/>
        <v>0</v>
      </c>
      <c r="HW255" s="12">
        <f t="shared" si="183"/>
        <v>0</v>
      </c>
      <c r="HX255" s="12">
        <f t="shared" si="184"/>
        <v>0</v>
      </c>
      <c r="HY255" s="12">
        <f t="shared" si="185"/>
        <v>0</v>
      </c>
      <c r="HZ255" s="12">
        <f t="shared" si="186"/>
        <v>0</v>
      </c>
      <c r="IA255" s="12">
        <f t="shared" si="187"/>
        <v>0</v>
      </c>
      <c r="IB255" s="12">
        <f t="shared" si="188"/>
        <v>0</v>
      </c>
      <c r="IC255" s="12">
        <f t="shared" si="189"/>
        <v>0</v>
      </c>
      <c r="ID255" s="12">
        <f t="shared" si="190"/>
        <v>0</v>
      </c>
      <c r="IE255" s="12">
        <f t="shared" si="191"/>
        <v>0</v>
      </c>
      <c r="IF255" s="12">
        <f t="shared" si="192"/>
        <v>0</v>
      </c>
      <c r="IG255" s="12">
        <f t="shared" si="193"/>
        <v>0</v>
      </c>
      <c r="IH255" s="12">
        <f t="shared" si="194"/>
        <v>0</v>
      </c>
      <c r="II255" s="12">
        <f t="shared" si="195"/>
        <v>0</v>
      </c>
      <c r="IJ255" s="12">
        <f t="shared" si="196"/>
        <v>0</v>
      </c>
      <c r="IK255" s="12">
        <f t="shared" si="197"/>
        <v>0</v>
      </c>
      <c r="IL255" s="12">
        <f t="shared" si="198"/>
        <v>0</v>
      </c>
      <c r="IM255" s="12">
        <f t="shared" si="199"/>
        <v>0</v>
      </c>
      <c r="IN255" s="12">
        <f t="shared" si="200"/>
        <v>0</v>
      </c>
      <c r="IO255" s="12">
        <f t="shared" si="201"/>
        <v>0</v>
      </c>
      <c r="IP255" s="12">
        <f t="shared" si="202"/>
        <v>0</v>
      </c>
      <c r="IQ255" s="12">
        <f t="shared" si="203"/>
        <v>0</v>
      </c>
      <c r="IR255" s="12">
        <f t="shared" si="204"/>
        <v>0</v>
      </c>
      <c r="IS255" s="12">
        <f t="shared" si="205"/>
        <v>0</v>
      </c>
      <c r="IT255" s="12">
        <f t="shared" si="206"/>
        <v>0</v>
      </c>
      <c r="IU255" s="12">
        <f t="shared" si="207"/>
        <v>0</v>
      </c>
      <c r="IV255" s="12">
        <f t="shared" si="208"/>
        <v>0</v>
      </c>
      <c r="IW255" s="12">
        <f t="shared" si="209"/>
        <v>0</v>
      </c>
      <c r="IX255" s="12">
        <f t="shared" si="210"/>
        <v>0</v>
      </c>
      <c r="IY255" s="12">
        <f t="shared" si="211"/>
        <v>0</v>
      </c>
      <c r="IZ255" s="12">
        <f t="shared" si="212"/>
        <v>0</v>
      </c>
      <c r="JA255" s="13">
        <f t="shared" si="213"/>
        <v>0</v>
      </c>
      <c r="JB255" s="13">
        <f t="shared" si="214"/>
        <v>0</v>
      </c>
      <c r="JC255" s="13">
        <f t="shared" si="215"/>
        <v>1</v>
      </c>
      <c r="JD255" s="13">
        <f t="shared" si="216"/>
        <v>0</v>
      </c>
      <c r="JE255" s="13">
        <f t="shared" si="217"/>
        <v>0</v>
      </c>
      <c r="JF255" s="13">
        <f t="shared" si="218"/>
        <v>1</v>
      </c>
      <c r="JG255" s="13">
        <f t="shared" si="219"/>
        <v>0</v>
      </c>
      <c r="JH255" s="13">
        <f t="shared" si="220"/>
        <v>0</v>
      </c>
      <c r="JI255" s="13">
        <f t="shared" si="221"/>
        <v>0</v>
      </c>
      <c r="JJ255" s="13">
        <f t="shared" si="222"/>
        <v>0</v>
      </c>
      <c r="JK255" s="13">
        <f t="shared" si="223"/>
        <v>0</v>
      </c>
      <c r="JL255" s="13">
        <f t="shared" si="224"/>
        <v>0</v>
      </c>
      <c r="JM255" s="13">
        <f t="shared" si="225"/>
        <v>0</v>
      </c>
      <c r="JN255" s="13">
        <f t="shared" si="226"/>
        <v>0</v>
      </c>
      <c r="JO255" s="13">
        <f t="shared" si="227"/>
        <v>0</v>
      </c>
      <c r="JP255" s="13">
        <f t="shared" si="228"/>
        <v>0</v>
      </c>
      <c r="JQ255" s="13">
        <f t="shared" si="229"/>
        <v>0</v>
      </c>
      <c r="JR255" s="13">
        <f t="shared" si="230"/>
        <v>0</v>
      </c>
      <c r="JS255" s="13">
        <f t="shared" si="231"/>
        <v>0</v>
      </c>
      <c r="JT255" s="13">
        <f t="shared" si="232"/>
        <v>0</v>
      </c>
      <c r="JU255" s="13">
        <f t="shared" si="233"/>
        <v>0</v>
      </c>
      <c r="JV255" s="12">
        <f t="shared" si="234"/>
        <v>0</v>
      </c>
      <c r="JW255" s="12">
        <f t="shared" si="235"/>
        <v>0</v>
      </c>
      <c r="JX255" s="12">
        <f t="shared" si="236"/>
        <v>0</v>
      </c>
      <c r="JY255" s="12">
        <f t="shared" si="237"/>
        <v>0</v>
      </c>
      <c r="JZ255" s="12">
        <f t="shared" si="238"/>
        <v>0</v>
      </c>
      <c r="KA255" s="12">
        <f t="shared" si="239"/>
        <v>0</v>
      </c>
      <c r="KB255" s="12">
        <f t="shared" si="240"/>
        <v>0</v>
      </c>
      <c r="KC255" s="12">
        <f t="shared" si="241"/>
        <v>0</v>
      </c>
      <c r="KD255" s="12">
        <f t="shared" si="797"/>
        <v>0</v>
      </c>
      <c r="KE255" s="12">
        <f t="shared" si="243"/>
        <v>0</v>
      </c>
      <c r="KF255" s="12">
        <f t="shared" si="244"/>
        <v>1</v>
      </c>
      <c r="KG255" s="12">
        <f t="shared" si="245"/>
        <v>0</v>
      </c>
      <c r="KH255" s="12">
        <f t="shared" si="246"/>
        <v>0</v>
      </c>
      <c r="KI255" s="12">
        <f t="shared" si="247"/>
        <v>0</v>
      </c>
      <c r="KJ255" s="12">
        <f t="shared" si="248"/>
        <v>0</v>
      </c>
      <c r="KK255" s="12">
        <f t="shared" si="249"/>
        <v>0</v>
      </c>
      <c r="KL255" s="12">
        <f t="shared" si="250"/>
        <v>0</v>
      </c>
      <c r="KM255" s="12">
        <f t="shared" si="251"/>
        <v>0</v>
      </c>
      <c r="KN255" s="12">
        <f t="shared" si="252"/>
        <v>0</v>
      </c>
      <c r="KO255" s="12">
        <f t="shared" si="253"/>
        <v>0</v>
      </c>
      <c r="KP255" s="12">
        <f t="shared" si="254"/>
        <v>0</v>
      </c>
      <c r="KQ255" s="12">
        <f t="shared" si="255"/>
        <v>0</v>
      </c>
      <c r="KR255" s="12">
        <f t="shared" si="256"/>
        <v>0</v>
      </c>
      <c r="KS255" s="12">
        <f t="shared" si="257"/>
        <v>0</v>
      </c>
      <c r="KT255" s="12">
        <f t="shared" si="258"/>
        <v>0</v>
      </c>
      <c r="KU255" s="12">
        <f t="shared" si="259"/>
        <v>0</v>
      </c>
      <c r="KV255" s="12">
        <f t="shared" si="260"/>
        <v>0</v>
      </c>
      <c r="KW255" s="12">
        <f t="shared" si="261"/>
        <v>0</v>
      </c>
      <c r="KX255" s="12">
        <f t="shared" si="262"/>
        <v>0</v>
      </c>
      <c r="KY255" s="12">
        <f t="shared" si="263"/>
        <v>0</v>
      </c>
      <c r="KZ255" s="12">
        <f t="shared" si="264"/>
        <v>0</v>
      </c>
      <c r="LA255" s="12">
        <f t="shared" si="265"/>
        <v>0</v>
      </c>
      <c r="LB255" s="12">
        <f t="shared" si="266"/>
        <v>0</v>
      </c>
      <c r="LC255" s="12">
        <f t="shared" si="267"/>
        <v>0</v>
      </c>
      <c r="LD255" s="12">
        <f t="shared" si="268"/>
        <v>0</v>
      </c>
      <c r="LE255" s="12">
        <f t="shared" si="269"/>
        <v>0</v>
      </c>
      <c r="LF255" s="12">
        <f t="shared" si="270"/>
        <v>0</v>
      </c>
      <c r="LG255" s="12">
        <f t="shared" si="271"/>
        <v>0</v>
      </c>
      <c r="LH255" s="12">
        <f t="shared" si="272"/>
        <v>0</v>
      </c>
      <c r="LI255" s="12">
        <f t="shared" si="273"/>
        <v>0</v>
      </c>
      <c r="LJ255" s="12">
        <f t="shared" si="274"/>
        <v>0</v>
      </c>
      <c r="LK255" s="12">
        <f t="shared" si="275"/>
        <v>0</v>
      </c>
      <c r="LL255" s="12">
        <f t="shared" si="276"/>
        <v>0</v>
      </c>
      <c r="LM255" s="12">
        <f t="shared" si="277"/>
        <v>0</v>
      </c>
      <c r="LN255" s="12">
        <f t="shared" si="278"/>
        <v>0</v>
      </c>
      <c r="LO255" s="12">
        <f t="shared" si="279"/>
        <v>0</v>
      </c>
      <c r="LP255" s="12">
        <f t="shared" si="280"/>
        <v>0</v>
      </c>
      <c r="LQ255" s="12">
        <f t="shared" si="281"/>
        <v>0</v>
      </c>
      <c r="LR255" s="12">
        <f t="shared" si="282"/>
        <v>1</v>
      </c>
      <c r="LS255" s="12">
        <f t="shared" si="283"/>
        <v>0</v>
      </c>
      <c r="LT255" s="13">
        <f t="shared" si="284"/>
        <v>0</v>
      </c>
      <c r="LU255" s="13">
        <f t="shared" si="285"/>
        <v>0</v>
      </c>
      <c r="LV255" s="13">
        <f t="shared" si="286"/>
        <v>1</v>
      </c>
      <c r="LW255" s="13">
        <f t="shared" si="287"/>
        <v>1</v>
      </c>
      <c r="LX255" s="13">
        <f t="shared" si="288"/>
        <v>0</v>
      </c>
      <c r="LY255" s="13">
        <f t="shared" si="289"/>
        <v>0</v>
      </c>
      <c r="LZ255" s="13">
        <f t="shared" si="290"/>
        <v>0</v>
      </c>
      <c r="MA255" s="13">
        <f t="shared" si="291"/>
        <v>0</v>
      </c>
      <c r="MB255" s="13">
        <f t="shared" si="292"/>
        <v>0</v>
      </c>
      <c r="MC255" s="13">
        <f t="shared" si="293"/>
        <v>0</v>
      </c>
      <c r="MD255" s="13">
        <f t="shared" si="294"/>
        <v>0</v>
      </c>
      <c r="ME255" s="13">
        <f t="shared" si="295"/>
        <v>0</v>
      </c>
      <c r="MF255" s="13">
        <f t="shared" si="296"/>
        <v>0</v>
      </c>
      <c r="MG255" s="13">
        <f t="shared" si="297"/>
        <v>0</v>
      </c>
      <c r="MH255" s="13">
        <f t="shared" si="298"/>
        <v>0</v>
      </c>
      <c r="MI255" s="13">
        <f t="shared" si="299"/>
        <v>0</v>
      </c>
      <c r="MJ255" s="13">
        <f t="shared" si="300"/>
        <v>1</v>
      </c>
      <c r="MK255" s="13">
        <f t="shared" si="301"/>
        <v>0</v>
      </c>
      <c r="ML255" s="14">
        <f t="shared" si="302"/>
        <v>0</v>
      </c>
      <c r="MM255" s="14">
        <f t="shared" si="303"/>
        <v>0</v>
      </c>
      <c r="MN255" s="14">
        <f t="shared" si="304"/>
        <v>0</v>
      </c>
      <c r="MO255" s="14">
        <f t="shared" si="305"/>
        <v>0</v>
      </c>
      <c r="MP255" s="14">
        <f t="shared" si="306"/>
        <v>0</v>
      </c>
      <c r="MQ255" s="14">
        <f t="shared" si="307"/>
        <v>0</v>
      </c>
      <c r="MR255" s="14">
        <f t="shared" si="308"/>
        <v>0</v>
      </c>
      <c r="MS255" s="14">
        <f t="shared" si="309"/>
        <v>0</v>
      </c>
      <c r="MT255" s="14">
        <f t="shared" si="310"/>
        <v>0</v>
      </c>
      <c r="MU255" s="14">
        <f t="shared" si="311"/>
        <v>0</v>
      </c>
      <c r="MV255" s="14">
        <f t="shared" si="312"/>
        <v>0</v>
      </c>
      <c r="MW255" s="14">
        <f t="shared" si="313"/>
        <v>0</v>
      </c>
      <c r="MX255" s="14">
        <f t="shared" si="314"/>
        <v>0</v>
      </c>
      <c r="MY255" s="14">
        <f t="shared" si="315"/>
        <v>0</v>
      </c>
      <c r="MZ255" s="14">
        <f t="shared" si="316"/>
        <v>0</v>
      </c>
      <c r="NA255" s="14">
        <f t="shared" si="317"/>
        <v>0</v>
      </c>
      <c r="NB255" s="14">
        <f t="shared" si="318"/>
        <v>0</v>
      </c>
    </row>
    <row r="256" ht="15.75" customHeight="1">
      <c r="A256" s="2">
        <v>724.0</v>
      </c>
      <c r="B256" s="2" t="s">
        <v>4566</v>
      </c>
      <c r="C256" s="2" t="s">
        <v>4567</v>
      </c>
      <c r="D256" s="2" t="s">
        <v>4568</v>
      </c>
      <c r="E256" s="2">
        <v>2022.0</v>
      </c>
      <c r="F256" s="2" t="s">
        <v>4569</v>
      </c>
      <c r="N256" s="2" t="s">
        <v>4570</v>
      </c>
      <c r="O256" s="2" t="s">
        <v>4571</v>
      </c>
      <c r="P256" s="2" t="s">
        <v>4572</v>
      </c>
      <c r="Q256" s="2" t="s">
        <v>4573</v>
      </c>
      <c r="R256" s="2" t="s">
        <v>4574</v>
      </c>
      <c r="S256" s="2" t="s">
        <v>4575</v>
      </c>
      <c r="T256" s="2" t="s">
        <v>4576</v>
      </c>
      <c r="Y256" s="2" t="s">
        <v>4577</v>
      </c>
      <c r="AB256" s="2" t="s">
        <v>3260</v>
      </c>
      <c r="AG256" s="2" t="s">
        <v>4578</v>
      </c>
      <c r="AI256" s="2" t="s">
        <v>4579</v>
      </c>
      <c r="AK256" s="2" t="s">
        <v>4580</v>
      </c>
      <c r="AL256" s="2" t="s">
        <v>2966</v>
      </c>
      <c r="AN256" s="2" t="s">
        <v>386</v>
      </c>
      <c r="AO256" s="2" t="s">
        <v>4581</v>
      </c>
      <c r="AP256" s="2" t="s">
        <v>386</v>
      </c>
      <c r="AQ256" s="2">
        <v>2820.0</v>
      </c>
      <c r="AR256" s="2" t="s">
        <v>4582</v>
      </c>
      <c r="AS256" s="2" t="b">
        <v>0</v>
      </c>
      <c r="AT256" s="3">
        <v>0.0</v>
      </c>
      <c r="AU256" s="4"/>
      <c r="AV256" s="4"/>
      <c r="AW256" s="5">
        <f t="shared" si="432"/>
        <v>0</v>
      </c>
      <c r="AX256" s="5">
        <f t="shared" si="4"/>
        <v>0</v>
      </c>
      <c r="AY256" s="5">
        <f t="shared" si="5"/>
        <v>0</v>
      </c>
      <c r="AZ256" s="5">
        <f t="shared" si="6"/>
        <v>0</v>
      </c>
      <c r="BA256" s="5">
        <f t="shared" si="7"/>
        <v>0</v>
      </c>
      <c r="BB256" s="5">
        <f t="shared" si="8"/>
        <v>1</v>
      </c>
      <c r="BC256" s="5">
        <f t="shared" si="9"/>
        <v>0</v>
      </c>
      <c r="BD256" s="5">
        <f t="shared" si="10"/>
        <v>0</v>
      </c>
      <c r="BE256" s="5">
        <f t="shared" si="11"/>
        <v>0</v>
      </c>
      <c r="BF256" s="5">
        <f t="shared" si="12"/>
        <v>0</v>
      </c>
      <c r="BG256" s="5">
        <f t="shared" si="13"/>
        <v>0</v>
      </c>
      <c r="BH256" s="5">
        <f t="shared" si="14"/>
        <v>0</v>
      </c>
      <c r="BI256" s="5">
        <f t="shared" si="15"/>
        <v>0</v>
      </c>
      <c r="BJ256" s="5">
        <f t="shared" si="16"/>
        <v>0</v>
      </c>
      <c r="BK256" s="5">
        <f t="shared" si="17"/>
        <v>0</v>
      </c>
      <c r="BL256" s="5">
        <f t="shared" si="18"/>
        <v>0</v>
      </c>
      <c r="BM256" s="5">
        <f t="shared" si="19"/>
        <v>0</v>
      </c>
      <c r="BN256" s="5">
        <f t="shared" si="20"/>
        <v>0</v>
      </c>
      <c r="BO256" s="5">
        <f t="shared" si="21"/>
        <v>0</v>
      </c>
      <c r="BP256" s="5">
        <f t="shared" si="22"/>
        <v>0</v>
      </c>
      <c r="BQ256" s="5">
        <f t="shared" si="23"/>
        <v>0</v>
      </c>
      <c r="BR256" s="5">
        <f t="shared" si="24"/>
        <v>0</v>
      </c>
      <c r="BS256" s="5">
        <f t="shared" si="25"/>
        <v>0</v>
      </c>
      <c r="BT256" s="5">
        <f t="shared" si="26"/>
        <v>0</v>
      </c>
      <c r="BU256" s="5">
        <f t="shared" si="27"/>
        <v>0</v>
      </c>
      <c r="BV256" s="5">
        <f t="shared" ref="BV256:BW256" si="874">IF(OR(ISNUMBER(SEARCH("grit",$D256)),ISNUMBER(SEARCH("grit",$T256)),ISNUMBER(SEARCH("grit",$R256)),ISNUMBER(SEARCH("grit",$S256)),
ISNUMBER(SEARCH("determination",$D256)),ISNUMBER(SEARCH("determination",$T256)),ISNUMBER(SEARCH("determination",$R256)),ISNUMBER(SEARCH("determination",$S256)),
ISNUMBER(SEARCH("tenacity",$D256)),ISNUMBER(SEARCH("tenacity",$T256)),ISNUMBER(SEARCH("tenacity",$R256)),ISNUMBER(SEARCH("tenacity",$S256)),
ISNUMBER(SEARCH("endurance",$D256)),ISNUMBER(SEARCH("endurance",$T256)),ISNUMBER(SEARCH("endurance",$R256)),ISNUMBER(SEARCH("endurance",$S256)),
ISNUMBER(SEARCH("fortitude",$D256)),ISNUMBER(SEARCH("fortitude",$T256)),ISNUMBER(SEARCH("fortitude",$R256)),ISNUMBER(SEARCH("fortitude",$S256)),
ISNUMBER(SEARCH("resolve",$D256)),ISNUMBER(SEARCH("resolve",$T256)),ISNUMBER(SEARCH("resolve",$R256)),ISNUMBER(SEARCH("resolve",$S256)),
ISNUMBER(SEARCH("stamina",$D256)),ISNUMBER(SEARCH("stamina",$T256)),ISNUMBER(SEARCH("stamina",$R256)),ISNUMBER(SEARCH("stamina",$S256)),
ISNUMBER(SEARCH("guts",$D256)),ISNUMBER(SEARCH("guts",$T256)),ISNUMBER(SEARCH("guts",$R256)),ISNUMBER(SEARCH("guts",$S256)),
ISNUMBER(SEARCH("spunk",$D256)),ISNUMBER(SEARCH("spunk",$T256)),ISNUMBER(SEARCH("spunk",$R256)),ISNUMBER(SEARCH("spunk",$S256))), 1, 0)</f>
        <v>0</v>
      </c>
      <c r="BW256" s="5">
        <f t="shared" si="874"/>
        <v>0</v>
      </c>
      <c r="BX256" s="5">
        <f t="shared" si="29"/>
        <v>0</v>
      </c>
      <c r="BY256" s="5">
        <f t="shared" si="30"/>
        <v>0</v>
      </c>
      <c r="BZ256" s="5">
        <f t="shared" si="31"/>
        <v>0</v>
      </c>
      <c r="CA256" s="5">
        <f t="shared" si="32"/>
        <v>0</v>
      </c>
      <c r="CB256" s="5">
        <f t="shared" si="33"/>
        <v>0</v>
      </c>
      <c r="CC256" s="5">
        <f t="shared" si="34"/>
        <v>0</v>
      </c>
      <c r="CD256" s="5">
        <f t="shared" si="35"/>
        <v>0</v>
      </c>
      <c r="CE256" s="5">
        <f t="shared" si="36"/>
        <v>0</v>
      </c>
      <c r="CF256" s="5">
        <f t="shared" si="37"/>
        <v>0</v>
      </c>
      <c r="CG256" s="5">
        <f t="shared" si="38"/>
        <v>0</v>
      </c>
      <c r="CH256" s="5">
        <f t="shared" si="39"/>
        <v>0</v>
      </c>
      <c r="CI256" s="5">
        <f t="shared" si="40"/>
        <v>0</v>
      </c>
      <c r="CJ256" s="5">
        <f t="shared" si="41"/>
        <v>0</v>
      </c>
      <c r="CK256" s="5">
        <f t="shared" si="42"/>
        <v>0</v>
      </c>
      <c r="CL256" s="5">
        <f t="shared" si="43"/>
        <v>0</v>
      </c>
      <c r="CM256" s="5">
        <f t="shared" si="44"/>
        <v>0</v>
      </c>
      <c r="CN256" s="5">
        <f t="shared" si="45"/>
        <v>0</v>
      </c>
      <c r="CO256" s="5">
        <f t="shared" si="46"/>
        <v>0</v>
      </c>
      <c r="CP256" s="6">
        <f t="shared" si="47"/>
        <v>0</v>
      </c>
      <c r="CQ256" s="6">
        <f t="shared" si="48"/>
        <v>0</v>
      </c>
      <c r="CR256" s="6">
        <f t="shared" si="49"/>
        <v>0</v>
      </c>
      <c r="CS256" s="6">
        <f t="shared" si="50"/>
        <v>0</v>
      </c>
      <c r="CT256" s="6">
        <f t="shared" si="584"/>
        <v>0</v>
      </c>
      <c r="CU256" s="6">
        <f t="shared" si="52"/>
        <v>0</v>
      </c>
      <c r="CV256" s="6">
        <f t="shared" si="53"/>
        <v>0</v>
      </c>
      <c r="CW256" s="6">
        <f t="shared" si="54"/>
        <v>0</v>
      </c>
      <c r="CX256" s="6">
        <f t="shared" si="55"/>
        <v>0</v>
      </c>
      <c r="CY256" s="6">
        <f t="shared" si="56"/>
        <v>0</v>
      </c>
      <c r="CZ256" s="6">
        <f t="shared" si="57"/>
        <v>0</v>
      </c>
      <c r="DA256" s="6">
        <f t="shared" si="58"/>
        <v>1</v>
      </c>
      <c r="DB256" s="6">
        <f t="shared" si="59"/>
        <v>0</v>
      </c>
      <c r="DC256" s="6">
        <f t="shared" si="60"/>
        <v>0</v>
      </c>
      <c r="DD256" s="6">
        <f t="shared" si="61"/>
        <v>0</v>
      </c>
      <c r="DE256" s="6">
        <f t="shared" si="62"/>
        <v>0</v>
      </c>
      <c r="DF256" s="6">
        <f t="shared" si="63"/>
        <v>0</v>
      </c>
      <c r="DG256" s="6">
        <f t="shared" si="64"/>
        <v>0</v>
      </c>
      <c r="DH256" s="6">
        <f t="shared" si="697"/>
        <v>0</v>
      </c>
      <c r="DI256" s="6">
        <f t="shared" si="66"/>
        <v>0</v>
      </c>
      <c r="DJ256" s="6">
        <f t="shared" si="653"/>
        <v>0</v>
      </c>
      <c r="DK256" s="7">
        <f t="shared" si="68"/>
        <v>0</v>
      </c>
      <c r="DL256" s="7">
        <f t="shared" si="498"/>
        <v>0</v>
      </c>
      <c r="DM256" s="7">
        <f t="shared" si="70"/>
        <v>0</v>
      </c>
      <c r="DN256" s="7">
        <f t="shared" si="71"/>
        <v>0</v>
      </c>
      <c r="DO256" s="7">
        <f t="shared" si="72"/>
        <v>1</v>
      </c>
      <c r="DP256" s="8">
        <f t="shared" si="73"/>
        <v>0</v>
      </c>
      <c r="DQ256" s="8">
        <f t="shared" si="74"/>
        <v>0</v>
      </c>
      <c r="DR256" s="7">
        <f t="shared" si="75"/>
        <v>0</v>
      </c>
      <c r="DS256" s="7">
        <f t="shared" si="76"/>
        <v>0</v>
      </c>
      <c r="DT256" s="7">
        <f t="shared" si="77"/>
        <v>0</v>
      </c>
      <c r="DU256" s="9">
        <f t="shared" si="78"/>
        <v>0</v>
      </c>
      <c r="DV256" s="9">
        <f t="shared" si="79"/>
        <v>0</v>
      </c>
      <c r="DW256" s="9">
        <f t="shared" si="80"/>
        <v>0</v>
      </c>
      <c r="DX256" s="9">
        <f t="shared" si="81"/>
        <v>0</v>
      </c>
      <c r="DY256" s="9">
        <f t="shared" si="82"/>
        <v>0</v>
      </c>
      <c r="DZ256" s="9">
        <f t="shared" si="83"/>
        <v>0</v>
      </c>
      <c r="EA256" s="9">
        <f t="shared" si="84"/>
        <v>0</v>
      </c>
      <c r="EB256" s="9">
        <f t="shared" si="85"/>
        <v>0</v>
      </c>
      <c r="EC256" s="9">
        <f t="shared" si="86"/>
        <v>0</v>
      </c>
      <c r="ED256" s="9">
        <f t="shared" si="87"/>
        <v>0</v>
      </c>
      <c r="EE256" s="9">
        <f t="shared" si="88"/>
        <v>0</v>
      </c>
      <c r="EF256" s="9">
        <f t="shared" si="89"/>
        <v>0</v>
      </c>
      <c r="EG256" s="9">
        <f t="shared" si="90"/>
        <v>0</v>
      </c>
      <c r="EH256" s="9">
        <f t="shared" si="91"/>
        <v>0</v>
      </c>
      <c r="EI256" s="9">
        <f t="shared" si="92"/>
        <v>0</v>
      </c>
      <c r="EJ256" s="10">
        <f t="shared" si="93"/>
        <v>0</v>
      </c>
      <c r="EK256" s="10">
        <f t="shared" si="94"/>
        <v>0</v>
      </c>
      <c r="EL256" s="10">
        <f t="shared" ref="EL256:EM256" si="875">IF(OR(ISNUMBER(SEARCH("ai software toolkit", $D256)), ISNUMBER(SEARCH("ai software toolkit", $T256)), ISNUMBER(SEARCH("ai software toolkit", $R256)), ISNUMBER(SEARCH("ai software toolkit", $S256))), 1, 0)</f>
        <v>0</v>
      </c>
      <c r="EM256" s="10">
        <f t="shared" si="875"/>
        <v>0</v>
      </c>
      <c r="EN256" s="10">
        <f t="shared" si="96"/>
        <v>0</v>
      </c>
      <c r="EO256" s="10">
        <f t="shared" si="97"/>
        <v>0</v>
      </c>
      <c r="EP256" s="10">
        <f t="shared" si="98"/>
        <v>0</v>
      </c>
      <c r="EQ256" s="10">
        <f t="shared" si="99"/>
        <v>0</v>
      </c>
      <c r="ER256" s="10">
        <f t="shared" si="100"/>
        <v>0</v>
      </c>
      <c r="ES256" s="10">
        <f t="shared" si="101"/>
        <v>0</v>
      </c>
      <c r="ET256" s="10">
        <f t="shared" si="102"/>
        <v>0</v>
      </c>
      <c r="EU256" s="10">
        <f t="shared" si="103"/>
        <v>0</v>
      </c>
      <c r="EV256" s="10">
        <f t="shared" si="104"/>
        <v>0</v>
      </c>
      <c r="EW256" s="10">
        <f t="shared" si="105"/>
        <v>0</v>
      </c>
      <c r="EX256" s="10">
        <f t="shared" si="106"/>
        <v>0</v>
      </c>
      <c r="EY256" s="10">
        <f t="shared" si="107"/>
        <v>0</v>
      </c>
      <c r="EZ256" s="10">
        <f t="shared" si="108"/>
        <v>0</v>
      </c>
      <c r="FA256" s="10">
        <f t="shared" si="109"/>
        <v>0</v>
      </c>
      <c r="FB256" s="10">
        <f t="shared" si="110"/>
        <v>0</v>
      </c>
      <c r="FC256" s="10">
        <f t="shared" si="111"/>
        <v>0</v>
      </c>
      <c r="FD256" s="10">
        <f t="shared" si="112"/>
        <v>0</v>
      </c>
      <c r="FE256" s="10">
        <f>IF(
OR(
ISNUMBER(SEARCH("internet of things",$D256)),ISNUMBER(SEARCH("internet of things",$T256)),ISNUMBER(SEARCH("internet of things",$R256)),ISNUMBER(SEARCH("internet of things",$S256)),
ISNUMBER(SEARCH("IOT",$D256)),ISNUMBER(SEARCH("IOT",$T256)),ISNUMBER(SEARCH("IOT",$R256)),ISNUMBER(SEARCH("IOT",$S256))), 1, 0)</f>
        <v>0</v>
      </c>
      <c r="FF256" s="10">
        <f t="shared" si="114"/>
        <v>0</v>
      </c>
      <c r="FG256" s="10">
        <f t="shared" si="115"/>
        <v>0</v>
      </c>
      <c r="FH256" s="10">
        <f t="shared" si="116"/>
        <v>0</v>
      </c>
      <c r="FI256" s="10">
        <f t="shared" si="117"/>
        <v>0</v>
      </c>
      <c r="FJ256" s="10">
        <f t="shared" si="118"/>
        <v>0</v>
      </c>
      <c r="FK256" s="10">
        <f t="shared" si="119"/>
        <v>0</v>
      </c>
      <c r="FL256" s="10">
        <f t="shared" si="120"/>
        <v>0</v>
      </c>
      <c r="FM256" s="10">
        <f t="shared" si="121"/>
        <v>0</v>
      </c>
      <c r="FN256" s="10">
        <f t="shared" si="122"/>
        <v>0</v>
      </c>
      <c r="FO256" s="10">
        <f t="shared" si="123"/>
        <v>0</v>
      </c>
      <c r="FP256" s="10">
        <f t="shared" si="124"/>
        <v>0</v>
      </c>
      <c r="FQ256" s="10">
        <f t="shared" si="125"/>
        <v>0</v>
      </c>
      <c r="FR256" s="11">
        <f t="shared" si="871"/>
        <v>0</v>
      </c>
      <c r="FS256" s="11">
        <f t="shared" si="127"/>
        <v>0</v>
      </c>
      <c r="FT256" s="11">
        <f t="shared" si="128"/>
        <v>0</v>
      </c>
      <c r="FU256" s="11">
        <f t="shared" si="129"/>
        <v>0</v>
      </c>
      <c r="FV256" s="11">
        <f t="shared" si="130"/>
        <v>0</v>
      </c>
      <c r="FW256" s="11">
        <f t="shared" si="131"/>
        <v>0</v>
      </c>
      <c r="FX256" s="11">
        <f t="shared" si="132"/>
        <v>0</v>
      </c>
      <c r="FY256" s="11">
        <f t="shared" si="133"/>
        <v>0</v>
      </c>
      <c r="FZ256" s="11">
        <f t="shared" si="134"/>
        <v>0</v>
      </c>
      <c r="GA256" s="11">
        <f t="shared" si="135"/>
        <v>0</v>
      </c>
      <c r="GB256" s="11">
        <f t="shared" si="136"/>
        <v>0</v>
      </c>
      <c r="GC256" s="11">
        <f t="shared" si="137"/>
        <v>0</v>
      </c>
      <c r="GD256" s="11">
        <f t="shared" si="138"/>
        <v>0</v>
      </c>
      <c r="GE256" s="11">
        <f t="shared" si="139"/>
        <v>0</v>
      </c>
      <c r="GF256" s="11">
        <f t="shared" si="140"/>
        <v>0</v>
      </c>
      <c r="GG256" s="11">
        <f t="shared" si="141"/>
        <v>0</v>
      </c>
      <c r="GH256" s="11">
        <f t="shared" si="142"/>
        <v>0</v>
      </c>
      <c r="GI256" s="11">
        <f t="shared" si="143"/>
        <v>0</v>
      </c>
      <c r="GJ256" s="11">
        <f t="shared" si="144"/>
        <v>0</v>
      </c>
      <c r="GK256" s="11">
        <f t="shared" si="145"/>
        <v>0</v>
      </c>
      <c r="GL256" s="11">
        <f t="shared" si="146"/>
        <v>0</v>
      </c>
      <c r="GM256" s="11">
        <f t="shared" si="147"/>
        <v>0</v>
      </c>
      <c r="GN256" s="11">
        <f t="shared" si="148"/>
        <v>0</v>
      </c>
      <c r="GO256" s="11">
        <f t="shared" si="149"/>
        <v>0</v>
      </c>
      <c r="GP256" s="11">
        <f t="shared" si="150"/>
        <v>0</v>
      </c>
      <c r="GQ256" s="11">
        <f t="shared" si="151"/>
        <v>0</v>
      </c>
      <c r="GR256" s="11">
        <f t="shared" si="152"/>
        <v>0</v>
      </c>
      <c r="GS256" s="11">
        <f t="shared" si="153"/>
        <v>0</v>
      </c>
      <c r="GT256" s="11">
        <f t="shared" si="154"/>
        <v>0</v>
      </c>
      <c r="GU256" s="12">
        <f t="shared" si="155"/>
        <v>0</v>
      </c>
      <c r="GV256" s="12">
        <f t="shared" si="156"/>
        <v>0</v>
      </c>
      <c r="GW256" s="12">
        <f t="shared" si="157"/>
        <v>0</v>
      </c>
      <c r="GX256" s="12">
        <f t="shared" si="158"/>
        <v>0</v>
      </c>
      <c r="GY256" s="12">
        <f t="shared" si="159"/>
        <v>0</v>
      </c>
      <c r="GZ256" s="12">
        <f t="shared" si="160"/>
        <v>0</v>
      </c>
      <c r="HA256" s="12">
        <f t="shared" si="161"/>
        <v>0</v>
      </c>
      <c r="HB256" s="12">
        <f t="shared" si="162"/>
        <v>0</v>
      </c>
      <c r="HC256" s="12">
        <f t="shared" si="163"/>
        <v>0</v>
      </c>
      <c r="HD256" s="12">
        <f t="shared" si="164"/>
        <v>0</v>
      </c>
      <c r="HE256" s="12">
        <f t="shared" si="165"/>
        <v>0</v>
      </c>
      <c r="HF256" s="12">
        <f t="shared" si="166"/>
        <v>0</v>
      </c>
      <c r="HG256" s="12">
        <f t="shared" si="167"/>
        <v>0</v>
      </c>
      <c r="HH256" s="12">
        <f t="shared" si="168"/>
        <v>0</v>
      </c>
      <c r="HI256" s="12">
        <f t="shared" si="169"/>
        <v>0</v>
      </c>
      <c r="HJ256" s="12">
        <f t="shared" si="170"/>
        <v>0</v>
      </c>
      <c r="HK256" s="12">
        <f t="shared" si="171"/>
        <v>0</v>
      </c>
      <c r="HL256" s="12">
        <f t="shared" si="172"/>
        <v>0</v>
      </c>
      <c r="HM256" s="12">
        <f t="shared" si="173"/>
        <v>0</v>
      </c>
      <c r="HN256" s="12">
        <f t="shared" si="174"/>
        <v>0</v>
      </c>
      <c r="HO256" s="12">
        <f t="shared" si="175"/>
        <v>0</v>
      </c>
      <c r="HP256" s="12">
        <f t="shared" si="176"/>
        <v>0</v>
      </c>
      <c r="HQ256" s="12">
        <f t="shared" si="177"/>
        <v>0</v>
      </c>
      <c r="HR256" s="12">
        <f t="shared" si="178"/>
        <v>0</v>
      </c>
      <c r="HS256" s="12">
        <f t="shared" si="179"/>
        <v>0</v>
      </c>
      <c r="HT256" s="12">
        <f t="shared" si="180"/>
        <v>0</v>
      </c>
      <c r="HU256" s="12">
        <f t="shared" si="181"/>
        <v>0</v>
      </c>
      <c r="HV256" s="12">
        <f t="shared" si="182"/>
        <v>0</v>
      </c>
      <c r="HW256" s="12">
        <f t="shared" si="183"/>
        <v>0</v>
      </c>
      <c r="HX256" s="12">
        <f t="shared" si="184"/>
        <v>0</v>
      </c>
      <c r="HY256" s="12">
        <f t="shared" si="185"/>
        <v>0</v>
      </c>
      <c r="HZ256" s="12">
        <f t="shared" si="186"/>
        <v>0</v>
      </c>
      <c r="IA256" s="12">
        <f t="shared" si="187"/>
        <v>0</v>
      </c>
      <c r="IB256" s="12">
        <f t="shared" si="188"/>
        <v>0</v>
      </c>
      <c r="IC256" s="12">
        <f t="shared" si="189"/>
        <v>0</v>
      </c>
      <c r="ID256" s="12">
        <f t="shared" si="190"/>
        <v>0</v>
      </c>
      <c r="IE256" s="12">
        <f t="shared" si="191"/>
        <v>0</v>
      </c>
      <c r="IF256" s="12">
        <f t="shared" si="192"/>
        <v>0</v>
      </c>
      <c r="IG256" s="12">
        <f t="shared" si="193"/>
        <v>0</v>
      </c>
      <c r="IH256" s="12">
        <f t="shared" si="194"/>
        <v>0</v>
      </c>
      <c r="II256" s="12">
        <f t="shared" si="195"/>
        <v>0</v>
      </c>
      <c r="IJ256" s="12">
        <f t="shared" si="196"/>
        <v>0</v>
      </c>
      <c r="IK256" s="12">
        <f t="shared" si="197"/>
        <v>0</v>
      </c>
      <c r="IL256" s="12">
        <f t="shared" si="198"/>
        <v>0</v>
      </c>
      <c r="IM256" s="12">
        <f t="shared" si="199"/>
        <v>0</v>
      </c>
      <c r="IN256" s="12">
        <f t="shared" si="200"/>
        <v>0</v>
      </c>
      <c r="IO256" s="12">
        <f t="shared" si="201"/>
        <v>0</v>
      </c>
      <c r="IP256" s="12">
        <f t="shared" si="202"/>
        <v>0</v>
      </c>
      <c r="IQ256" s="12">
        <f t="shared" si="203"/>
        <v>0</v>
      </c>
      <c r="IR256" s="12">
        <f t="shared" si="204"/>
        <v>0</v>
      </c>
      <c r="IS256" s="12">
        <f t="shared" si="205"/>
        <v>0</v>
      </c>
      <c r="IT256" s="12">
        <f t="shared" si="206"/>
        <v>0</v>
      </c>
      <c r="IU256" s="12">
        <f t="shared" si="207"/>
        <v>0</v>
      </c>
      <c r="IV256" s="12">
        <f t="shared" si="208"/>
        <v>0</v>
      </c>
      <c r="IW256" s="12">
        <f t="shared" si="209"/>
        <v>0</v>
      </c>
      <c r="IX256" s="12">
        <f t="shared" si="210"/>
        <v>0</v>
      </c>
      <c r="IY256" s="12">
        <f t="shared" si="211"/>
        <v>0</v>
      </c>
      <c r="IZ256" s="12">
        <f t="shared" si="212"/>
        <v>1</v>
      </c>
      <c r="JA256" s="13">
        <f t="shared" si="213"/>
        <v>0</v>
      </c>
      <c r="JB256" s="13">
        <f t="shared" si="214"/>
        <v>0</v>
      </c>
      <c r="JC256" s="13">
        <f t="shared" si="215"/>
        <v>0</v>
      </c>
      <c r="JD256" s="13">
        <f t="shared" si="216"/>
        <v>0</v>
      </c>
      <c r="JE256" s="13">
        <f t="shared" si="217"/>
        <v>0</v>
      </c>
      <c r="JF256" s="13">
        <f t="shared" si="218"/>
        <v>0</v>
      </c>
      <c r="JG256" s="13">
        <f t="shared" si="219"/>
        <v>0</v>
      </c>
      <c r="JH256" s="13">
        <f t="shared" si="220"/>
        <v>0</v>
      </c>
      <c r="JI256" s="13">
        <f t="shared" si="221"/>
        <v>0</v>
      </c>
      <c r="JJ256" s="13">
        <f t="shared" si="222"/>
        <v>0</v>
      </c>
      <c r="JK256" s="13">
        <f t="shared" si="223"/>
        <v>0</v>
      </c>
      <c r="JL256" s="13">
        <f t="shared" si="224"/>
        <v>0</v>
      </c>
      <c r="JM256" s="13">
        <f t="shared" si="225"/>
        <v>0</v>
      </c>
      <c r="JN256" s="13">
        <f t="shared" si="226"/>
        <v>0</v>
      </c>
      <c r="JO256" s="13">
        <f t="shared" si="227"/>
        <v>0</v>
      </c>
      <c r="JP256" s="13">
        <f t="shared" si="228"/>
        <v>0</v>
      </c>
      <c r="JQ256" s="13">
        <f t="shared" si="229"/>
        <v>0</v>
      </c>
      <c r="JR256" s="13">
        <f t="shared" si="230"/>
        <v>0</v>
      </c>
      <c r="JS256" s="13">
        <f t="shared" si="231"/>
        <v>0</v>
      </c>
      <c r="JT256" s="13">
        <f t="shared" si="232"/>
        <v>0</v>
      </c>
      <c r="JU256" s="13">
        <f t="shared" si="233"/>
        <v>0</v>
      </c>
      <c r="JV256" s="12">
        <f t="shared" si="234"/>
        <v>0</v>
      </c>
      <c r="JW256" s="12">
        <f t="shared" si="235"/>
        <v>0</v>
      </c>
      <c r="JX256" s="12">
        <f t="shared" si="236"/>
        <v>0</v>
      </c>
      <c r="JY256" s="12">
        <f t="shared" si="237"/>
        <v>0</v>
      </c>
      <c r="JZ256" s="12">
        <f t="shared" si="238"/>
        <v>0</v>
      </c>
      <c r="KA256" s="12">
        <f t="shared" si="239"/>
        <v>0</v>
      </c>
      <c r="KB256" s="12">
        <f t="shared" si="240"/>
        <v>0</v>
      </c>
      <c r="KC256" s="12">
        <f t="shared" si="241"/>
        <v>0</v>
      </c>
      <c r="KD256" s="12">
        <f t="shared" si="797"/>
        <v>0</v>
      </c>
      <c r="KE256" s="12">
        <f t="shared" si="243"/>
        <v>0</v>
      </c>
      <c r="KF256" s="12">
        <f t="shared" si="244"/>
        <v>0</v>
      </c>
      <c r="KG256" s="12">
        <f t="shared" si="245"/>
        <v>0</v>
      </c>
      <c r="KH256" s="12">
        <f t="shared" si="246"/>
        <v>0</v>
      </c>
      <c r="KI256" s="12">
        <f t="shared" si="247"/>
        <v>0</v>
      </c>
      <c r="KJ256" s="12">
        <f t="shared" si="248"/>
        <v>0</v>
      </c>
      <c r="KK256" s="12">
        <f t="shared" si="249"/>
        <v>0</v>
      </c>
      <c r="KL256" s="12">
        <f t="shared" si="250"/>
        <v>0</v>
      </c>
      <c r="KM256" s="12">
        <f t="shared" si="251"/>
        <v>0</v>
      </c>
      <c r="KN256" s="12">
        <f t="shared" si="252"/>
        <v>0</v>
      </c>
      <c r="KO256" s="12">
        <f t="shared" si="253"/>
        <v>0</v>
      </c>
      <c r="KP256" s="12">
        <f t="shared" si="254"/>
        <v>0</v>
      </c>
      <c r="KQ256" s="12">
        <f t="shared" si="255"/>
        <v>0</v>
      </c>
      <c r="KR256" s="12">
        <f t="shared" si="256"/>
        <v>0</v>
      </c>
      <c r="KS256" s="12">
        <f t="shared" si="257"/>
        <v>0</v>
      </c>
      <c r="KT256" s="12">
        <f t="shared" si="258"/>
        <v>0</v>
      </c>
      <c r="KU256" s="12">
        <f t="shared" si="259"/>
        <v>0</v>
      </c>
      <c r="KV256" s="12">
        <f t="shared" si="260"/>
        <v>0</v>
      </c>
      <c r="KW256" s="12">
        <f t="shared" si="261"/>
        <v>0</v>
      </c>
      <c r="KX256" s="12">
        <f t="shared" si="262"/>
        <v>0</v>
      </c>
      <c r="KY256" s="12">
        <f t="shared" si="263"/>
        <v>0</v>
      </c>
      <c r="KZ256" s="12">
        <f t="shared" si="264"/>
        <v>0</v>
      </c>
      <c r="LA256" s="12">
        <f t="shared" si="265"/>
        <v>0</v>
      </c>
      <c r="LB256" s="12">
        <f t="shared" si="266"/>
        <v>0</v>
      </c>
      <c r="LC256" s="12">
        <f t="shared" si="267"/>
        <v>0</v>
      </c>
      <c r="LD256" s="12">
        <f t="shared" si="268"/>
        <v>0</v>
      </c>
      <c r="LE256" s="12">
        <f t="shared" si="269"/>
        <v>0</v>
      </c>
      <c r="LF256" s="12">
        <f t="shared" si="270"/>
        <v>0</v>
      </c>
      <c r="LG256" s="12">
        <f t="shared" si="271"/>
        <v>0</v>
      </c>
      <c r="LH256" s="12">
        <f t="shared" si="272"/>
        <v>0</v>
      </c>
      <c r="LI256" s="12">
        <f t="shared" si="273"/>
        <v>0</v>
      </c>
      <c r="LJ256" s="12">
        <f t="shared" si="274"/>
        <v>0</v>
      </c>
      <c r="LK256" s="12">
        <f t="shared" si="275"/>
        <v>0</v>
      </c>
      <c r="LL256" s="12">
        <f t="shared" si="276"/>
        <v>0</v>
      </c>
      <c r="LM256" s="12">
        <f t="shared" si="277"/>
        <v>0</v>
      </c>
      <c r="LN256" s="12">
        <f t="shared" si="278"/>
        <v>0</v>
      </c>
      <c r="LO256" s="12">
        <f t="shared" si="279"/>
        <v>0</v>
      </c>
      <c r="LP256" s="12">
        <f t="shared" si="280"/>
        <v>0</v>
      </c>
      <c r="LQ256" s="12">
        <f t="shared" si="281"/>
        <v>0</v>
      </c>
      <c r="LR256" s="12">
        <f t="shared" si="282"/>
        <v>0</v>
      </c>
      <c r="LS256" s="12">
        <f t="shared" si="283"/>
        <v>0</v>
      </c>
      <c r="LT256" s="13">
        <f t="shared" si="284"/>
        <v>0</v>
      </c>
      <c r="LU256" s="13">
        <f t="shared" si="285"/>
        <v>0</v>
      </c>
      <c r="LV256" s="13">
        <f t="shared" si="286"/>
        <v>0</v>
      </c>
      <c r="LW256" s="13">
        <f t="shared" si="287"/>
        <v>0</v>
      </c>
      <c r="LX256" s="13">
        <f t="shared" si="288"/>
        <v>0</v>
      </c>
      <c r="LY256" s="13">
        <f t="shared" si="289"/>
        <v>0</v>
      </c>
      <c r="LZ256" s="13">
        <f t="shared" si="290"/>
        <v>0</v>
      </c>
      <c r="MA256" s="13">
        <f t="shared" si="291"/>
        <v>0</v>
      </c>
      <c r="MB256" s="13">
        <f t="shared" si="292"/>
        <v>0</v>
      </c>
      <c r="MC256" s="13">
        <f t="shared" si="293"/>
        <v>0</v>
      </c>
      <c r="MD256" s="13">
        <f t="shared" si="294"/>
        <v>0</v>
      </c>
      <c r="ME256" s="13">
        <f t="shared" si="295"/>
        <v>0</v>
      </c>
      <c r="MF256" s="13">
        <f t="shared" si="296"/>
        <v>0</v>
      </c>
      <c r="MG256" s="13">
        <f t="shared" si="297"/>
        <v>0</v>
      </c>
      <c r="MH256" s="13">
        <f t="shared" si="298"/>
        <v>0</v>
      </c>
      <c r="MI256" s="13">
        <f t="shared" si="299"/>
        <v>0</v>
      </c>
      <c r="MJ256" s="13">
        <f t="shared" si="300"/>
        <v>0</v>
      </c>
      <c r="MK256" s="13">
        <f t="shared" si="301"/>
        <v>0</v>
      </c>
      <c r="ML256" s="14">
        <f t="shared" si="302"/>
        <v>0</v>
      </c>
      <c r="MM256" s="14">
        <f t="shared" si="303"/>
        <v>0</v>
      </c>
      <c r="MN256" s="14">
        <f t="shared" si="304"/>
        <v>0</v>
      </c>
      <c r="MO256" s="14">
        <f t="shared" si="305"/>
        <v>0</v>
      </c>
      <c r="MP256" s="14">
        <f t="shared" si="306"/>
        <v>0</v>
      </c>
      <c r="MQ256" s="14">
        <f t="shared" si="307"/>
        <v>0</v>
      </c>
      <c r="MR256" s="14">
        <f t="shared" si="308"/>
        <v>0</v>
      </c>
      <c r="MS256" s="14">
        <f t="shared" si="309"/>
        <v>0</v>
      </c>
      <c r="MT256" s="14">
        <f t="shared" si="310"/>
        <v>0</v>
      </c>
      <c r="MU256" s="14">
        <f t="shared" si="311"/>
        <v>0</v>
      </c>
      <c r="MV256" s="14">
        <f t="shared" si="312"/>
        <v>0</v>
      </c>
      <c r="MW256" s="14">
        <f t="shared" si="313"/>
        <v>0</v>
      </c>
      <c r="MX256" s="14">
        <f t="shared" si="314"/>
        <v>0</v>
      </c>
      <c r="MY256" s="14">
        <f t="shared" si="315"/>
        <v>0</v>
      </c>
      <c r="MZ256" s="14">
        <f t="shared" si="316"/>
        <v>0</v>
      </c>
      <c r="NA256" s="14">
        <f t="shared" si="317"/>
        <v>0</v>
      </c>
      <c r="NB256" s="14">
        <f t="shared" si="318"/>
        <v>0</v>
      </c>
    </row>
    <row r="257" ht="15.75" customHeight="1">
      <c r="A257" s="2">
        <v>712.0</v>
      </c>
      <c r="B257" s="2" t="s">
        <v>4583</v>
      </c>
      <c r="C257" s="2" t="s">
        <v>4584</v>
      </c>
      <c r="D257" s="2" t="s">
        <v>4585</v>
      </c>
      <c r="E257" s="2">
        <v>2022.0</v>
      </c>
      <c r="F257" s="2" t="s">
        <v>4586</v>
      </c>
      <c r="N257" s="2" t="s">
        <v>4587</v>
      </c>
      <c r="O257" s="2" t="s">
        <v>4588</v>
      </c>
      <c r="P257" s="2" t="s">
        <v>4589</v>
      </c>
      <c r="Q257" s="2" t="s">
        <v>4590</v>
      </c>
      <c r="R257" s="2" t="s">
        <v>4591</v>
      </c>
      <c r="S257" s="2" t="s">
        <v>4592</v>
      </c>
      <c r="Y257" s="2" t="s">
        <v>4593</v>
      </c>
      <c r="AB257" s="2" t="s">
        <v>1080</v>
      </c>
      <c r="AG257" s="2" t="s">
        <v>4594</v>
      </c>
      <c r="AK257" s="2" t="s">
        <v>4595</v>
      </c>
      <c r="AL257" s="2" t="s">
        <v>2966</v>
      </c>
      <c r="AM257" s="2" t="s">
        <v>723</v>
      </c>
      <c r="AN257" s="2" t="s">
        <v>386</v>
      </c>
      <c r="AO257" s="2" t="s">
        <v>4596</v>
      </c>
      <c r="AP257" s="2" t="s">
        <v>386</v>
      </c>
      <c r="AQ257" s="2">
        <v>2773.0</v>
      </c>
      <c r="AR257" s="2" t="s">
        <v>4585</v>
      </c>
      <c r="AS257" s="2" t="b">
        <v>1</v>
      </c>
      <c r="AT257" s="3">
        <v>0.0</v>
      </c>
      <c r="AU257" s="4"/>
      <c r="AV257" s="4"/>
      <c r="AW257" s="5">
        <f t="shared" si="432"/>
        <v>0</v>
      </c>
      <c r="AX257" s="5">
        <f t="shared" si="4"/>
        <v>0</v>
      </c>
      <c r="AY257" s="5">
        <f t="shared" si="5"/>
        <v>0</v>
      </c>
      <c r="AZ257" s="5">
        <f t="shared" si="6"/>
        <v>0</v>
      </c>
      <c r="BA257" s="5">
        <f t="shared" si="7"/>
        <v>0</v>
      </c>
      <c r="BB257" s="5">
        <f t="shared" si="8"/>
        <v>1</v>
      </c>
      <c r="BC257" s="5">
        <f t="shared" si="9"/>
        <v>0</v>
      </c>
      <c r="BD257" s="5">
        <f t="shared" si="10"/>
        <v>0</v>
      </c>
      <c r="BE257" s="5">
        <f t="shared" si="11"/>
        <v>0</v>
      </c>
      <c r="BF257" s="5">
        <f t="shared" si="12"/>
        <v>0</v>
      </c>
      <c r="BG257" s="5">
        <f t="shared" si="13"/>
        <v>0</v>
      </c>
      <c r="BH257" s="5">
        <f t="shared" si="14"/>
        <v>0</v>
      </c>
      <c r="BI257" s="5">
        <f t="shared" si="15"/>
        <v>0</v>
      </c>
      <c r="BJ257" s="5">
        <f t="shared" si="16"/>
        <v>0</v>
      </c>
      <c r="BK257" s="5">
        <f t="shared" si="17"/>
        <v>0</v>
      </c>
      <c r="BL257" s="5">
        <f t="shared" si="18"/>
        <v>0</v>
      </c>
      <c r="BM257" s="5">
        <f t="shared" si="19"/>
        <v>0</v>
      </c>
      <c r="BN257" s="5">
        <f t="shared" si="20"/>
        <v>0</v>
      </c>
      <c r="BO257" s="5">
        <f t="shared" si="21"/>
        <v>0</v>
      </c>
      <c r="BP257" s="5">
        <f t="shared" si="22"/>
        <v>0</v>
      </c>
      <c r="BQ257" s="5">
        <f t="shared" si="23"/>
        <v>0</v>
      </c>
      <c r="BR257" s="5">
        <f t="shared" si="24"/>
        <v>0</v>
      </c>
      <c r="BS257" s="5">
        <f t="shared" si="25"/>
        <v>0</v>
      </c>
      <c r="BT257" s="5">
        <f t="shared" si="26"/>
        <v>0</v>
      </c>
      <c r="BU257" s="5">
        <f t="shared" si="27"/>
        <v>0</v>
      </c>
      <c r="BV257" s="5">
        <f t="shared" ref="BV257:BW257" si="876">IF(OR(ISNUMBER(SEARCH("grit",$D257)),ISNUMBER(SEARCH("grit",$T257)),ISNUMBER(SEARCH("grit",$R257)),ISNUMBER(SEARCH("grit",$S257)),
ISNUMBER(SEARCH("determination",$D257)),ISNUMBER(SEARCH("determination",$T257)),ISNUMBER(SEARCH("determination",$R257)),ISNUMBER(SEARCH("determination",$S257)),
ISNUMBER(SEARCH("tenacity",$D257)),ISNUMBER(SEARCH("tenacity",$T257)),ISNUMBER(SEARCH("tenacity",$R257)),ISNUMBER(SEARCH("tenacity",$S257)),
ISNUMBER(SEARCH("endurance",$D257)),ISNUMBER(SEARCH("endurance",$T257)),ISNUMBER(SEARCH("endurance",$R257)),ISNUMBER(SEARCH("endurance",$S257)),
ISNUMBER(SEARCH("fortitude",$D257)),ISNUMBER(SEARCH("fortitude",$T257)),ISNUMBER(SEARCH("fortitude",$R257)),ISNUMBER(SEARCH("fortitude",$S257)),
ISNUMBER(SEARCH("resolve",$D257)),ISNUMBER(SEARCH("resolve",$T257)),ISNUMBER(SEARCH("resolve",$R257)),ISNUMBER(SEARCH("resolve",$S257)),
ISNUMBER(SEARCH("stamina",$D257)),ISNUMBER(SEARCH("stamina",$T257)),ISNUMBER(SEARCH("stamina",$R257)),ISNUMBER(SEARCH("stamina",$S257)),
ISNUMBER(SEARCH("guts",$D257)),ISNUMBER(SEARCH("guts",$T257)),ISNUMBER(SEARCH("guts",$R257)),ISNUMBER(SEARCH("guts",$S257)),
ISNUMBER(SEARCH("spunk",$D257)),ISNUMBER(SEARCH("spunk",$T257)),ISNUMBER(SEARCH("spunk",$R257)),ISNUMBER(SEARCH("spunk",$S257))), 1, 0)</f>
        <v>0</v>
      </c>
      <c r="BW257" s="5">
        <f t="shared" si="876"/>
        <v>0</v>
      </c>
      <c r="BX257" s="5">
        <f t="shared" si="29"/>
        <v>0</v>
      </c>
      <c r="BY257" s="5">
        <f t="shared" si="30"/>
        <v>0</v>
      </c>
      <c r="BZ257" s="5">
        <f t="shared" si="31"/>
        <v>0</v>
      </c>
      <c r="CA257" s="5">
        <f t="shared" si="32"/>
        <v>0</v>
      </c>
      <c r="CB257" s="5">
        <f t="shared" si="33"/>
        <v>0</v>
      </c>
      <c r="CC257" s="5">
        <f t="shared" si="34"/>
        <v>0</v>
      </c>
      <c r="CD257" s="5">
        <f t="shared" si="35"/>
        <v>0</v>
      </c>
      <c r="CE257" s="5">
        <f t="shared" si="36"/>
        <v>0</v>
      </c>
      <c r="CF257" s="5">
        <f t="shared" si="37"/>
        <v>1</v>
      </c>
      <c r="CG257" s="5">
        <f t="shared" si="38"/>
        <v>1</v>
      </c>
      <c r="CH257" s="5">
        <f t="shared" si="39"/>
        <v>0</v>
      </c>
      <c r="CI257" s="5">
        <f t="shared" si="40"/>
        <v>0</v>
      </c>
      <c r="CJ257" s="5">
        <f t="shared" si="41"/>
        <v>0</v>
      </c>
      <c r="CK257" s="5">
        <f t="shared" si="42"/>
        <v>0</v>
      </c>
      <c r="CL257" s="5">
        <f t="shared" si="43"/>
        <v>0</v>
      </c>
      <c r="CM257" s="5">
        <f t="shared" si="44"/>
        <v>0</v>
      </c>
      <c r="CN257" s="5">
        <f t="shared" si="45"/>
        <v>0</v>
      </c>
      <c r="CO257" s="5">
        <f t="shared" si="46"/>
        <v>0</v>
      </c>
      <c r="CP257" s="6">
        <f t="shared" si="47"/>
        <v>0</v>
      </c>
      <c r="CQ257" s="6">
        <f t="shared" si="48"/>
        <v>0</v>
      </c>
      <c r="CR257" s="6">
        <f t="shared" si="49"/>
        <v>0</v>
      </c>
      <c r="CS257" s="6">
        <f t="shared" si="50"/>
        <v>0</v>
      </c>
      <c r="CT257" s="6">
        <f t="shared" si="584"/>
        <v>1</v>
      </c>
      <c r="CU257" s="6">
        <f t="shared" si="52"/>
        <v>0</v>
      </c>
      <c r="CV257" s="6">
        <f t="shared" si="53"/>
        <v>0</v>
      </c>
      <c r="CW257" s="6">
        <f t="shared" si="54"/>
        <v>0</v>
      </c>
      <c r="CX257" s="6">
        <f t="shared" si="55"/>
        <v>0</v>
      </c>
      <c r="CY257" s="6">
        <f t="shared" si="56"/>
        <v>0</v>
      </c>
      <c r="CZ257" s="6">
        <f t="shared" si="57"/>
        <v>0</v>
      </c>
      <c r="DA257" s="6">
        <f t="shared" si="58"/>
        <v>1</v>
      </c>
      <c r="DB257" s="6">
        <f t="shared" si="59"/>
        <v>0</v>
      </c>
      <c r="DC257" s="6">
        <f t="shared" si="60"/>
        <v>0</v>
      </c>
      <c r="DD257" s="6">
        <f t="shared" si="61"/>
        <v>0</v>
      </c>
      <c r="DE257" s="6">
        <f t="shared" si="62"/>
        <v>0</v>
      </c>
      <c r="DF257" s="6">
        <f t="shared" si="63"/>
        <v>0</v>
      </c>
      <c r="DG257" s="6">
        <f t="shared" si="64"/>
        <v>0</v>
      </c>
      <c r="DH257" s="6">
        <f t="shared" si="697"/>
        <v>0</v>
      </c>
      <c r="DI257" s="6">
        <f t="shared" si="66"/>
        <v>0</v>
      </c>
      <c r="DJ257" s="6">
        <f t="shared" si="653"/>
        <v>0</v>
      </c>
      <c r="DK257" s="7">
        <f t="shared" si="68"/>
        <v>0</v>
      </c>
      <c r="DL257" s="7">
        <f t="shared" si="498"/>
        <v>0</v>
      </c>
      <c r="DM257" s="7">
        <f t="shared" si="70"/>
        <v>0</v>
      </c>
      <c r="DN257" s="7">
        <f t="shared" si="71"/>
        <v>0</v>
      </c>
      <c r="DO257" s="7">
        <f t="shared" si="72"/>
        <v>1</v>
      </c>
      <c r="DP257" s="8">
        <f t="shared" si="73"/>
        <v>0</v>
      </c>
      <c r="DQ257" s="8">
        <f t="shared" si="74"/>
        <v>1</v>
      </c>
      <c r="DR257" s="7">
        <f t="shared" si="75"/>
        <v>0</v>
      </c>
      <c r="DS257" s="7">
        <f t="shared" si="76"/>
        <v>0</v>
      </c>
      <c r="DT257" s="7">
        <f t="shared" si="77"/>
        <v>0</v>
      </c>
      <c r="DU257" s="9">
        <f t="shared" si="78"/>
        <v>0</v>
      </c>
      <c r="DV257" s="9">
        <f t="shared" si="79"/>
        <v>0</v>
      </c>
      <c r="DW257" s="9">
        <f t="shared" si="80"/>
        <v>0</v>
      </c>
      <c r="DX257" s="9">
        <f t="shared" si="81"/>
        <v>0</v>
      </c>
      <c r="DY257" s="9">
        <f t="shared" si="82"/>
        <v>0</v>
      </c>
      <c r="DZ257" s="9">
        <f t="shared" si="83"/>
        <v>0</v>
      </c>
      <c r="EA257" s="9">
        <f t="shared" si="84"/>
        <v>0</v>
      </c>
      <c r="EB257" s="9">
        <f t="shared" si="85"/>
        <v>0</v>
      </c>
      <c r="EC257" s="9">
        <f t="shared" si="86"/>
        <v>0</v>
      </c>
      <c r="ED257" s="9">
        <f t="shared" si="87"/>
        <v>0</v>
      </c>
      <c r="EE257" s="9">
        <f t="shared" si="88"/>
        <v>0</v>
      </c>
      <c r="EF257" s="9">
        <f t="shared" si="89"/>
        <v>0</v>
      </c>
      <c r="EG257" s="9">
        <f t="shared" si="90"/>
        <v>0</v>
      </c>
      <c r="EH257" s="9">
        <f t="shared" si="91"/>
        <v>0</v>
      </c>
      <c r="EI257" s="9">
        <f t="shared" si="92"/>
        <v>0</v>
      </c>
      <c r="EJ257" s="10">
        <f t="shared" si="93"/>
        <v>0</v>
      </c>
      <c r="EK257" s="10">
        <f t="shared" si="94"/>
        <v>0</v>
      </c>
      <c r="EL257" s="10">
        <f t="shared" ref="EL257:EM257" si="877">IF(OR(ISNUMBER(SEARCH("ai software toolkit", $D257)), ISNUMBER(SEARCH("ai software toolkit", $T257)), ISNUMBER(SEARCH("ai software toolkit", $R257)), ISNUMBER(SEARCH("ai software toolkit", $S257))), 1, 0)</f>
        <v>0</v>
      </c>
      <c r="EM257" s="10">
        <f t="shared" si="877"/>
        <v>0</v>
      </c>
      <c r="EN257" s="10">
        <f t="shared" si="96"/>
        <v>0</v>
      </c>
      <c r="EO257" s="10">
        <f t="shared" si="97"/>
        <v>0</v>
      </c>
      <c r="EP257" s="10">
        <f t="shared" si="98"/>
        <v>0</v>
      </c>
      <c r="EQ257" s="10">
        <f t="shared" si="99"/>
        <v>0</v>
      </c>
      <c r="ER257" s="10">
        <f t="shared" si="100"/>
        <v>0</v>
      </c>
      <c r="ES257" s="10">
        <f t="shared" si="101"/>
        <v>0</v>
      </c>
      <c r="ET257" s="10">
        <f t="shared" si="102"/>
        <v>0</v>
      </c>
      <c r="EU257" s="10">
        <f t="shared" si="103"/>
        <v>0</v>
      </c>
      <c r="EV257" s="10">
        <f t="shared" si="104"/>
        <v>0</v>
      </c>
      <c r="EW257" s="10">
        <f t="shared" si="105"/>
        <v>0</v>
      </c>
      <c r="EX257" s="10">
        <f t="shared" si="106"/>
        <v>0</v>
      </c>
      <c r="EY257" s="10">
        <f t="shared" si="107"/>
        <v>0</v>
      </c>
      <c r="EZ257" s="10">
        <f t="shared" si="108"/>
        <v>0</v>
      </c>
      <c r="FA257" s="10">
        <f t="shared" si="109"/>
        <v>0</v>
      </c>
      <c r="FB257" s="10">
        <f t="shared" si="110"/>
        <v>0</v>
      </c>
      <c r="FC257" s="10">
        <f t="shared" si="111"/>
        <v>0</v>
      </c>
      <c r="FD257" s="10">
        <f t="shared" si="112"/>
        <v>0</v>
      </c>
      <c r="FE257" s="10">
        <f t="shared" ref="FE257:FE263" si="880">IF(
OR(
ISNUMBER(SEARCH("internet of things",$D257)),ISNUMBER(SEARCH("internet of things",$T257)),ISNUMBER(SEARCH("internet of things",$R257)),ISNUMBER(SEARCH("internet of things",$S257)), ISNUMBER(SEARCH("wearable",$D258)),ISNUMBER(SEARCH("wearable",$T258)),ISNUMBER(SEARCH("wearable",$R258)),ISNUMBER(SEARCH("wearable",$S258)),
ISNUMBER(SEARCH("IOT",$D257)),ISNUMBER(SEARCH("IOT",$T257)),ISNUMBER(SEARCH("IOT",$R257)),ISNUMBER(SEARCH("IOT",$S257))), 1, 0)</f>
        <v>0</v>
      </c>
      <c r="FF257" s="10">
        <f t="shared" si="114"/>
        <v>0</v>
      </c>
      <c r="FG257" s="10">
        <f t="shared" si="115"/>
        <v>0</v>
      </c>
      <c r="FH257" s="10">
        <f t="shared" si="116"/>
        <v>0</v>
      </c>
      <c r="FI257" s="10">
        <f t="shared" si="117"/>
        <v>0</v>
      </c>
      <c r="FJ257" s="10">
        <f t="shared" si="118"/>
        <v>0</v>
      </c>
      <c r="FK257" s="10">
        <f t="shared" si="119"/>
        <v>0</v>
      </c>
      <c r="FL257" s="10">
        <f t="shared" si="120"/>
        <v>0</v>
      </c>
      <c r="FM257" s="10">
        <f t="shared" si="121"/>
        <v>0</v>
      </c>
      <c r="FN257" s="10">
        <f t="shared" si="122"/>
        <v>0</v>
      </c>
      <c r="FO257" s="10">
        <f t="shared" si="123"/>
        <v>0</v>
      </c>
      <c r="FP257" s="10">
        <f t="shared" si="124"/>
        <v>0</v>
      </c>
      <c r="FQ257" s="10">
        <f t="shared" si="125"/>
        <v>0</v>
      </c>
      <c r="FR257" s="11">
        <f t="shared" si="871"/>
        <v>0</v>
      </c>
      <c r="FS257" s="11">
        <f t="shared" si="127"/>
        <v>0</v>
      </c>
      <c r="FT257" s="11">
        <f t="shared" si="128"/>
        <v>0</v>
      </c>
      <c r="FU257" s="11">
        <f t="shared" si="129"/>
        <v>0</v>
      </c>
      <c r="FV257" s="11">
        <f t="shared" si="130"/>
        <v>0</v>
      </c>
      <c r="FW257" s="11">
        <f t="shared" si="131"/>
        <v>0</v>
      </c>
      <c r="FX257" s="11">
        <f t="shared" si="132"/>
        <v>0</v>
      </c>
      <c r="FY257" s="11">
        <f t="shared" si="133"/>
        <v>0</v>
      </c>
      <c r="FZ257" s="11">
        <f t="shared" si="134"/>
        <v>0</v>
      </c>
      <c r="GA257" s="11">
        <f t="shared" si="135"/>
        <v>0</v>
      </c>
      <c r="GB257" s="11">
        <f t="shared" si="136"/>
        <v>0</v>
      </c>
      <c r="GC257" s="11">
        <f t="shared" si="137"/>
        <v>0</v>
      </c>
      <c r="GD257" s="11">
        <f t="shared" si="138"/>
        <v>0</v>
      </c>
      <c r="GE257" s="11">
        <f t="shared" si="139"/>
        <v>0</v>
      </c>
      <c r="GF257" s="11">
        <f t="shared" si="140"/>
        <v>0</v>
      </c>
      <c r="GG257" s="11">
        <f t="shared" si="141"/>
        <v>0</v>
      </c>
      <c r="GH257" s="11">
        <f t="shared" si="142"/>
        <v>0</v>
      </c>
      <c r="GI257" s="11">
        <f t="shared" si="143"/>
        <v>0</v>
      </c>
      <c r="GJ257" s="11">
        <f t="shared" si="144"/>
        <v>0</v>
      </c>
      <c r="GK257" s="11">
        <f t="shared" si="145"/>
        <v>0</v>
      </c>
      <c r="GL257" s="11">
        <f t="shared" si="146"/>
        <v>0</v>
      </c>
      <c r="GM257" s="11">
        <f t="shared" si="147"/>
        <v>0</v>
      </c>
      <c r="GN257" s="11">
        <f t="shared" si="148"/>
        <v>0</v>
      </c>
      <c r="GO257" s="11">
        <f t="shared" si="149"/>
        <v>0</v>
      </c>
      <c r="GP257" s="11">
        <f t="shared" si="150"/>
        <v>0</v>
      </c>
      <c r="GQ257" s="11">
        <f t="shared" si="151"/>
        <v>0</v>
      </c>
      <c r="GR257" s="11">
        <f t="shared" si="152"/>
        <v>0</v>
      </c>
      <c r="GS257" s="11">
        <f t="shared" si="153"/>
        <v>0</v>
      </c>
      <c r="GT257" s="11">
        <f t="shared" si="154"/>
        <v>0</v>
      </c>
      <c r="GU257" s="12">
        <f t="shared" si="155"/>
        <v>0</v>
      </c>
      <c r="GV257" s="12">
        <f t="shared" si="156"/>
        <v>0</v>
      </c>
      <c r="GW257" s="12">
        <f t="shared" si="157"/>
        <v>0</v>
      </c>
      <c r="GX257" s="12">
        <f t="shared" si="158"/>
        <v>0</v>
      </c>
      <c r="GY257" s="12">
        <f t="shared" si="159"/>
        <v>0</v>
      </c>
      <c r="GZ257" s="12">
        <f t="shared" si="160"/>
        <v>0</v>
      </c>
      <c r="HA257" s="12">
        <f t="shared" si="161"/>
        <v>0</v>
      </c>
      <c r="HB257" s="12">
        <f t="shared" si="162"/>
        <v>0</v>
      </c>
      <c r="HC257" s="12">
        <f t="shared" si="163"/>
        <v>0</v>
      </c>
      <c r="HD257" s="12">
        <f t="shared" si="164"/>
        <v>0</v>
      </c>
      <c r="HE257" s="12">
        <f t="shared" si="165"/>
        <v>0</v>
      </c>
      <c r="HF257" s="12">
        <f t="shared" si="166"/>
        <v>0</v>
      </c>
      <c r="HG257" s="12">
        <f t="shared" si="167"/>
        <v>0</v>
      </c>
      <c r="HH257" s="12">
        <f t="shared" si="168"/>
        <v>0</v>
      </c>
      <c r="HI257" s="12">
        <f t="shared" si="169"/>
        <v>0</v>
      </c>
      <c r="HJ257" s="12">
        <f t="shared" si="170"/>
        <v>0</v>
      </c>
      <c r="HK257" s="12">
        <f t="shared" si="171"/>
        <v>0</v>
      </c>
      <c r="HL257" s="12">
        <f t="shared" si="172"/>
        <v>0</v>
      </c>
      <c r="HM257" s="12">
        <f t="shared" si="173"/>
        <v>0</v>
      </c>
      <c r="HN257" s="12">
        <f t="shared" si="174"/>
        <v>0</v>
      </c>
      <c r="HO257" s="12">
        <f t="shared" si="175"/>
        <v>0</v>
      </c>
      <c r="HP257" s="12">
        <f t="shared" si="176"/>
        <v>0</v>
      </c>
      <c r="HQ257" s="12">
        <f t="shared" si="177"/>
        <v>0</v>
      </c>
      <c r="HR257" s="12">
        <f t="shared" si="178"/>
        <v>0</v>
      </c>
      <c r="HS257" s="12">
        <f t="shared" si="179"/>
        <v>0</v>
      </c>
      <c r="HT257" s="12">
        <f t="shared" si="180"/>
        <v>0</v>
      </c>
      <c r="HU257" s="12">
        <f t="shared" si="181"/>
        <v>0</v>
      </c>
      <c r="HV257" s="12">
        <f t="shared" si="182"/>
        <v>0</v>
      </c>
      <c r="HW257" s="12">
        <f t="shared" si="183"/>
        <v>0</v>
      </c>
      <c r="HX257" s="12">
        <f t="shared" si="184"/>
        <v>0</v>
      </c>
      <c r="HY257" s="12">
        <f t="shared" si="185"/>
        <v>0</v>
      </c>
      <c r="HZ257" s="12">
        <f t="shared" si="186"/>
        <v>0</v>
      </c>
      <c r="IA257" s="12">
        <f t="shared" si="187"/>
        <v>0</v>
      </c>
      <c r="IB257" s="12">
        <f t="shared" si="188"/>
        <v>0</v>
      </c>
      <c r="IC257" s="12">
        <f t="shared" si="189"/>
        <v>0</v>
      </c>
      <c r="ID257" s="12">
        <f t="shared" si="190"/>
        <v>0</v>
      </c>
      <c r="IE257" s="12">
        <f t="shared" si="191"/>
        <v>0</v>
      </c>
      <c r="IF257" s="12">
        <f t="shared" si="192"/>
        <v>0</v>
      </c>
      <c r="IG257" s="12">
        <f t="shared" si="193"/>
        <v>0</v>
      </c>
      <c r="IH257" s="12">
        <f t="shared" si="194"/>
        <v>0</v>
      </c>
      <c r="II257" s="12">
        <f t="shared" si="195"/>
        <v>0</v>
      </c>
      <c r="IJ257" s="12">
        <f t="shared" si="196"/>
        <v>0</v>
      </c>
      <c r="IK257" s="12">
        <f t="shared" si="197"/>
        <v>0</v>
      </c>
      <c r="IL257" s="12">
        <f t="shared" si="198"/>
        <v>0</v>
      </c>
      <c r="IM257" s="12">
        <f t="shared" si="199"/>
        <v>0</v>
      </c>
      <c r="IN257" s="12">
        <f t="shared" si="200"/>
        <v>0</v>
      </c>
      <c r="IO257" s="12">
        <f t="shared" si="201"/>
        <v>0</v>
      </c>
      <c r="IP257" s="12">
        <f t="shared" si="202"/>
        <v>0</v>
      </c>
      <c r="IQ257" s="12">
        <f t="shared" si="203"/>
        <v>0</v>
      </c>
      <c r="IR257" s="12">
        <f t="shared" si="204"/>
        <v>0</v>
      </c>
      <c r="IS257" s="12">
        <f t="shared" si="205"/>
        <v>0</v>
      </c>
      <c r="IT257" s="12">
        <f t="shared" si="206"/>
        <v>0</v>
      </c>
      <c r="IU257" s="12">
        <f t="shared" si="207"/>
        <v>0</v>
      </c>
      <c r="IV257" s="12">
        <f t="shared" si="208"/>
        <v>0</v>
      </c>
      <c r="IW257" s="12">
        <f t="shared" si="209"/>
        <v>0</v>
      </c>
      <c r="IX257" s="12">
        <f t="shared" si="210"/>
        <v>0</v>
      </c>
      <c r="IY257" s="12">
        <f t="shared" si="211"/>
        <v>0</v>
      </c>
      <c r="IZ257" s="12">
        <f t="shared" si="212"/>
        <v>0</v>
      </c>
      <c r="JA257" s="13">
        <f t="shared" si="213"/>
        <v>0</v>
      </c>
      <c r="JB257" s="13">
        <f t="shared" si="214"/>
        <v>0</v>
      </c>
      <c r="JC257" s="13">
        <f t="shared" si="215"/>
        <v>0</v>
      </c>
      <c r="JD257" s="13">
        <f t="shared" si="216"/>
        <v>0</v>
      </c>
      <c r="JE257" s="13">
        <f t="shared" si="217"/>
        <v>0</v>
      </c>
      <c r="JF257" s="13">
        <f t="shared" si="218"/>
        <v>0</v>
      </c>
      <c r="JG257" s="13">
        <f t="shared" si="219"/>
        <v>0</v>
      </c>
      <c r="JH257" s="13">
        <f t="shared" si="220"/>
        <v>0</v>
      </c>
      <c r="JI257" s="13">
        <f t="shared" si="221"/>
        <v>0</v>
      </c>
      <c r="JJ257" s="13">
        <f t="shared" si="222"/>
        <v>0</v>
      </c>
      <c r="JK257" s="13">
        <f t="shared" si="223"/>
        <v>0</v>
      </c>
      <c r="JL257" s="13">
        <f t="shared" si="224"/>
        <v>0</v>
      </c>
      <c r="JM257" s="13">
        <f t="shared" si="225"/>
        <v>0</v>
      </c>
      <c r="JN257" s="13">
        <f t="shared" si="226"/>
        <v>0</v>
      </c>
      <c r="JO257" s="13">
        <f t="shared" si="227"/>
        <v>0</v>
      </c>
      <c r="JP257" s="13">
        <f t="shared" si="228"/>
        <v>0</v>
      </c>
      <c r="JQ257" s="13">
        <f t="shared" si="229"/>
        <v>0</v>
      </c>
      <c r="JR257" s="13">
        <f t="shared" si="230"/>
        <v>0</v>
      </c>
      <c r="JS257" s="13">
        <f t="shared" si="231"/>
        <v>0</v>
      </c>
      <c r="JT257" s="13">
        <f t="shared" si="232"/>
        <v>0</v>
      </c>
      <c r="JU257" s="13">
        <f t="shared" si="233"/>
        <v>0</v>
      </c>
      <c r="JV257" s="12">
        <f t="shared" si="234"/>
        <v>0</v>
      </c>
      <c r="JW257" s="12">
        <f t="shared" si="235"/>
        <v>0</v>
      </c>
      <c r="JX257" s="12">
        <f t="shared" si="236"/>
        <v>0</v>
      </c>
      <c r="JY257" s="12">
        <f t="shared" si="237"/>
        <v>0</v>
      </c>
      <c r="JZ257" s="12">
        <f t="shared" si="238"/>
        <v>0</v>
      </c>
      <c r="KA257" s="12">
        <f t="shared" si="239"/>
        <v>0</v>
      </c>
      <c r="KB257" s="12">
        <f t="shared" si="240"/>
        <v>0</v>
      </c>
      <c r="KC257" s="12">
        <f t="shared" si="241"/>
        <v>0</v>
      </c>
      <c r="KD257" s="12">
        <f t="shared" si="797"/>
        <v>0</v>
      </c>
      <c r="KE257" s="12">
        <f t="shared" si="243"/>
        <v>0</v>
      </c>
      <c r="KF257" s="12">
        <f t="shared" si="244"/>
        <v>0</v>
      </c>
      <c r="KG257" s="12">
        <f t="shared" si="245"/>
        <v>0</v>
      </c>
      <c r="KH257" s="12">
        <f t="shared" si="246"/>
        <v>0</v>
      </c>
      <c r="KI257" s="12">
        <f t="shared" si="247"/>
        <v>0</v>
      </c>
      <c r="KJ257" s="12">
        <f t="shared" si="248"/>
        <v>0</v>
      </c>
      <c r="KK257" s="12">
        <f t="shared" si="249"/>
        <v>0</v>
      </c>
      <c r="KL257" s="12">
        <f t="shared" si="250"/>
        <v>0</v>
      </c>
      <c r="KM257" s="12">
        <f t="shared" si="251"/>
        <v>0</v>
      </c>
      <c r="KN257" s="12">
        <f t="shared" si="252"/>
        <v>0</v>
      </c>
      <c r="KO257" s="12">
        <f t="shared" si="253"/>
        <v>0</v>
      </c>
      <c r="KP257" s="12">
        <f t="shared" si="254"/>
        <v>0</v>
      </c>
      <c r="KQ257" s="12">
        <f t="shared" si="255"/>
        <v>0</v>
      </c>
      <c r="KR257" s="12">
        <f t="shared" si="256"/>
        <v>0</v>
      </c>
      <c r="KS257" s="12">
        <f t="shared" si="257"/>
        <v>0</v>
      </c>
      <c r="KT257" s="12">
        <f t="shared" si="258"/>
        <v>0</v>
      </c>
      <c r="KU257" s="12">
        <f t="shared" si="259"/>
        <v>0</v>
      </c>
      <c r="KV257" s="12">
        <f t="shared" si="260"/>
        <v>0</v>
      </c>
      <c r="KW257" s="12">
        <f t="shared" si="261"/>
        <v>0</v>
      </c>
      <c r="KX257" s="12">
        <f t="shared" si="262"/>
        <v>0</v>
      </c>
      <c r="KY257" s="12">
        <f t="shared" si="263"/>
        <v>0</v>
      </c>
      <c r="KZ257" s="12">
        <f t="shared" si="264"/>
        <v>0</v>
      </c>
      <c r="LA257" s="12">
        <f t="shared" si="265"/>
        <v>0</v>
      </c>
      <c r="LB257" s="12">
        <f t="shared" si="266"/>
        <v>0</v>
      </c>
      <c r="LC257" s="12">
        <f t="shared" si="267"/>
        <v>0</v>
      </c>
      <c r="LD257" s="12">
        <f t="shared" si="268"/>
        <v>0</v>
      </c>
      <c r="LE257" s="12">
        <f t="shared" si="269"/>
        <v>0</v>
      </c>
      <c r="LF257" s="12">
        <f t="shared" si="270"/>
        <v>0</v>
      </c>
      <c r="LG257" s="12">
        <f t="shared" si="271"/>
        <v>0</v>
      </c>
      <c r="LH257" s="12">
        <f t="shared" si="272"/>
        <v>0</v>
      </c>
      <c r="LI257" s="12">
        <f t="shared" si="273"/>
        <v>0</v>
      </c>
      <c r="LJ257" s="12">
        <f t="shared" si="274"/>
        <v>0</v>
      </c>
      <c r="LK257" s="12">
        <f t="shared" si="275"/>
        <v>0</v>
      </c>
      <c r="LL257" s="12">
        <f t="shared" si="276"/>
        <v>0</v>
      </c>
      <c r="LM257" s="12">
        <f t="shared" si="277"/>
        <v>0</v>
      </c>
      <c r="LN257" s="12">
        <f t="shared" si="278"/>
        <v>0</v>
      </c>
      <c r="LO257" s="12">
        <f t="shared" si="279"/>
        <v>0</v>
      </c>
      <c r="LP257" s="12">
        <f t="shared" si="280"/>
        <v>0</v>
      </c>
      <c r="LQ257" s="12">
        <f t="shared" si="281"/>
        <v>0</v>
      </c>
      <c r="LR257" s="12">
        <f t="shared" si="282"/>
        <v>0</v>
      </c>
      <c r="LS257" s="12">
        <f t="shared" si="283"/>
        <v>0</v>
      </c>
      <c r="LT257" s="13">
        <f t="shared" si="284"/>
        <v>0</v>
      </c>
      <c r="LU257" s="13">
        <f t="shared" si="285"/>
        <v>0</v>
      </c>
      <c r="LV257" s="13">
        <f t="shared" si="286"/>
        <v>0</v>
      </c>
      <c r="LW257" s="13">
        <f t="shared" si="287"/>
        <v>0</v>
      </c>
      <c r="LX257" s="13">
        <f t="shared" si="288"/>
        <v>0</v>
      </c>
      <c r="LY257" s="13">
        <f t="shared" si="289"/>
        <v>0</v>
      </c>
      <c r="LZ257" s="13">
        <f t="shared" si="290"/>
        <v>0</v>
      </c>
      <c r="MA257" s="13">
        <f t="shared" si="291"/>
        <v>0</v>
      </c>
      <c r="MB257" s="13">
        <f t="shared" si="292"/>
        <v>0</v>
      </c>
      <c r="MC257" s="13">
        <f t="shared" si="293"/>
        <v>0</v>
      </c>
      <c r="MD257" s="13">
        <f t="shared" si="294"/>
        <v>0</v>
      </c>
      <c r="ME257" s="13">
        <f t="shared" si="295"/>
        <v>0</v>
      </c>
      <c r="MF257" s="13">
        <f t="shared" si="296"/>
        <v>0</v>
      </c>
      <c r="MG257" s="13">
        <f t="shared" si="297"/>
        <v>0</v>
      </c>
      <c r="MH257" s="13">
        <f t="shared" si="298"/>
        <v>0</v>
      </c>
      <c r="MI257" s="13">
        <f t="shared" si="299"/>
        <v>0</v>
      </c>
      <c r="MJ257" s="13">
        <f t="shared" si="300"/>
        <v>0</v>
      </c>
      <c r="MK257" s="13">
        <f t="shared" si="301"/>
        <v>0</v>
      </c>
      <c r="ML257" s="14">
        <f t="shared" si="302"/>
        <v>0</v>
      </c>
      <c r="MM257" s="14">
        <f t="shared" si="303"/>
        <v>0</v>
      </c>
      <c r="MN257" s="14">
        <f t="shared" si="304"/>
        <v>0</v>
      </c>
      <c r="MO257" s="14">
        <f t="shared" si="305"/>
        <v>0</v>
      </c>
      <c r="MP257" s="14">
        <f t="shared" si="306"/>
        <v>0</v>
      </c>
      <c r="MQ257" s="14">
        <f t="shared" si="307"/>
        <v>0</v>
      </c>
      <c r="MR257" s="14">
        <f t="shared" si="308"/>
        <v>0</v>
      </c>
      <c r="MS257" s="14">
        <f t="shared" si="309"/>
        <v>0</v>
      </c>
      <c r="MT257" s="14">
        <f t="shared" si="310"/>
        <v>0</v>
      </c>
      <c r="MU257" s="14">
        <f t="shared" si="311"/>
        <v>0</v>
      </c>
      <c r="MV257" s="14">
        <f t="shared" si="312"/>
        <v>0</v>
      </c>
      <c r="MW257" s="14">
        <f t="shared" si="313"/>
        <v>0</v>
      </c>
      <c r="MX257" s="14">
        <f t="shared" si="314"/>
        <v>0</v>
      </c>
      <c r="MY257" s="14">
        <f t="shared" si="315"/>
        <v>0</v>
      </c>
      <c r="MZ257" s="14">
        <f t="shared" si="316"/>
        <v>0</v>
      </c>
      <c r="NA257" s="14">
        <f t="shared" si="317"/>
        <v>0</v>
      </c>
      <c r="NB257" s="14">
        <f t="shared" si="318"/>
        <v>0</v>
      </c>
    </row>
    <row r="258" ht="15.75" customHeight="1">
      <c r="A258" s="2">
        <v>744.0</v>
      </c>
      <c r="B258" s="2" t="s">
        <v>4597</v>
      </c>
      <c r="C258" s="2" t="s">
        <v>4598</v>
      </c>
      <c r="D258" s="2" t="s">
        <v>938</v>
      </c>
      <c r="E258" s="2">
        <v>2022.0</v>
      </c>
      <c r="F258" s="2" t="s">
        <v>4586</v>
      </c>
      <c r="N258" s="2" t="s">
        <v>4599</v>
      </c>
      <c r="O258" s="2" t="s">
        <v>4600</v>
      </c>
      <c r="P258" s="2" t="s">
        <v>4601</v>
      </c>
      <c r="Q258" s="2" t="s">
        <v>4602</v>
      </c>
      <c r="R258" s="2" t="s">
        <v>4603</v>
      </c>
      <c r="S258" s="2" t="s">
        <v>4604</v>
      </c>
      <c r="Y258" s="2" t="s">
        <v>4605</v>
      </c>
      <c r="AB258" s="2" t="s">
        <v>1080</v>
      </c>
      <c r="AG258" s="2" t="s">
        <v>4594</v>
      </c>
      <c r="AK258" s="2" t="s">
        <v>4595</v>
      </c>
      <c r="AL258" s="2" t="s">
        <v>2966</v>
      </c>
      <c r="AM258" s="2" t="s">
        <v>579</v>
      </c>
      <c r="AN258" s="2" t="s">
        <v>386</v>
      </c>
      <c r="AO258" s="2" t="s">
        <v>4606</v>
      </c>
      <c r="AP258" s="2" t="s">
        <v>386</v>
      </c>
      <c r="AQ258" s="2">
        <v>2914.0</v>
      </c>
      <c r="AR258" s="2" t="s">
        <v>4607</v>
      </c>
      <c r="AS258" s="2" t="b">
        <v>1</v>
      </c>
      <c r="AT258" s="3">
        <v>0.0</v>
      </c>
      <c r="AU258" s="4"/>
      <c r="AV258" s="4"/>
      <c r="AW258" s="5">
        <f t="shared" si="432"/>
        <v>0</v>
      </c>
      <c r="AX258" s="5">
        <f t="shared" si="4"/>
        <v>0</v>
      </c>
      <c r="AY258" s="5">
        <f t="shared" si="5"/>
        <v>0</v>
      </c>
      <c r="AZ258" s="5">
        <f t="shared" si="6"/>
        <v>0</v>
      </c>
      <c r="BA258" s="5">
        <f t="shared" si="7"/>
        <v>0</v>
      </c>
      <c r="BB258" s="5">
        <f t="shared" si="8"/>
        <v>0</v>
      </c>
      <c r="BC258" s="5">
        <f t="shared" si="9"/>
        <v>0</v>
      </c>
      <c r="BD258" s="5">
        <f t="shared" si="10"/>
        <v>0</v>
      </c>
      <c r="BE258" s="5">
        <f t="shared" si="11"/>
        <v>0</v>
      </c>
      <c r="BF258" s="5">
        <f t="shared" si="12"/>
        <v>0</v>
      </c>
      <c r="BG258" s="5">
        <f t="shared" si="13"/>
        <v>0</v>
      </c>
      <c r="BH258" s="5">
        <f t="shared" si="14"/>
        <v>0</v>
      </c>
      <c r="BI258" s="5">
        <f t="shared" si="15"/>
        <v>0</v>
      </c>
      <c r="BJ258" s="5">
        <f t="shared" si="16"/>
        <v>0</v>
      </c>
      <c r="BK258" s="5">
        <f t="shared" si="17"/>
        <v>0</v>
      </c>
      <c r="BL258" s="5">
        <f t="shared" si="18"/>
        <v>0</v>
      </c>
      <c r="BM258" s="5">
        <f t="shared" si="19"/>
        <v>0</v>
      </c>
      <c r="BN258" s="5">
        <f t="shared" si="20"/>
        <v>0</v>
      </c>
      <c r="BO258" s="5">
        <f t="shared" si="21"/>
        <v>0</v>
      </c>
      <c r="BP258" s="5">
        <f t="shared" si="22"/>
        <v>0</v>
      </c>
      <c r="BQ258" s="5">
        <f t="shared" si="23"/>
        <v>0</v>
      </c>
      <c r="BR258" s="5">
        <f t="shared" si="24"/>
        <v>0</v>
      </c>
      <c r="BS258" s="5">
        <f t="shared" si="25"/>
        <v>0</v>
      </c>
      <c r="BT258" s="5">
        <f t="shared" si="26"/>
        <v>0</v>
      </c>
      <c r="BU258" s="5">
        <f t="shared" si="27"/>
        <v>0</v>
      </c>
      <c r="BV258" s="5">
        <f t="shared" ref="BV258:BW258" si="878">IF(OR(ISNUMBER(SEARCH("grit",$D258)),ISNUMBER(SEARCH("grit",$T258)),ISNUMBER(SEARCH("grit",$R258)),ISNUMBER(SEARCH("grit",$S258)),
ISNUMBER(SEARCH("determination",$D258)),ISNUMBER(SEARCH("determination",$T258)),ISNUMBER(SEARCH("determination",$R258)),ISNUMBER(SEARCH("determination",$S258)),
ISNUMBER(SEARCH("tenacity",$D258)),ISNUMBER(SEARCH("tenacity",$T258)),ISNUMBER(SEARCH("tenacity",$R258)),ISNUMBER(SEARCH("tenacity",$S258)),
ISNUMBER(SEARCH("endurance",$D258)),ISNUMBER(SEARCH("endurance",$T258)),ISNUMBER(SEARCH("endurance",$R258)),ISNUMBER(SEARCH("endurance",$S258)),
ISNUMBER(SEARCH("fortitude",$D258)),ISNUMBER(SEARCH("fortitude",$T258)),ISNUMBER(SEARCH("fortitude",$R258)),ISNUMBER(SEARCH("fortitude",$S258)),
ISNUMBER(SEARCH("resolve",$D258)),ISNUMBER(SEARCH("resolve",$T258)),ISNUMBER(SEARCH("resolve",$R258)),ISNUMBER(SEARCH("resolve",$S258)),
ISNUMBER(SEARCH("stamina",$D258)),ISNUMBER(SEARCH("stamina",$T258)),ISNUMBER(SEARCH("stamina",$R258)),ISNUMBER(SEARCH("stamina",$S258)),
ISNUMBER(SEARCH("guts",$D258)),ISNUMBER(SEARCH("guts",$T258)),ISNUMBER(SEARCH("guts",$R258)),ISNUMBER(SEARCH("guts",$S258)),
ISNUMBER(SEARCH("spunk",$D258)),ISNUMBER(SEARCH("spunk",$T258)),ISNUMBER(SEARCH("spunk",$R258)),ISNUMBER(SEARCH("spunk",$S258))), 1, 0)</f>
        <v>0</v>
      </c>
      <c r="BW258" s="5">
        <f t="shared" si="878"/>
        <v>0</v>
      </c>
      <c r="BX258" s="5">
        <f t="shared" si="29"/>
        <v>0</v>
      </c>
      <c r="BY258" s="5">
        <f t="shared" si="30"/>
        <v>0</v>
      </c>
      <c r="BZ258" s="5">
        <f t="shared" si="31"/>
        <v>0</v>
      </c>
      <c r="CA258" s="5">
        <f t="shared" si="32"/>
        <v>0</v>
      </c>
      <c r="CB258" s="5">
        <f t="shared" si="33"/>
        <v>0</v>
      </c>
      <c r="CC258" s="5">
        <f t="shared" si="34"/>
        <v>0</v>
      </c>
      <c r="CD258" s="5">
        <f t="shared" si="35"/>
        <v>0</v>
      </c>
      <c r="CE258" s="5">
        <f t="shared" si="36"/>
        <v>0</v>
      </c>
      <c r="CF258" s="5">
        <f t="shared" si="37"/>
        <v>0</v>
      </c>
      <c r="CG258" s="5">
        <f t="shared" si="38"/>
        <v>0</v>
      </c>
      <c r="CH258" s="5">
        <f t="shared" si="39"/>
        <v>0</v>
      </c>
      <c r="CI258" s="5">
        <f t="shared" si="40"/>
        <v>0</v>
      </c>
      <c r="CJ258" s="5">
        <f t="shared" si="41"/>
        <v>0</v>
      </c>
      <c r="CK258" s="5">
        <f t="shared" si="42"/>
        <v>0</v>
      </c>
      <c r="CL258" s="5">
        <f t="shared" si="43"/>
        <v>0</v>
      </c>
      <c r="CM258" s="5">
        <f t="shared" si="44"/>
        <v>0</v>
      </c>
      <c r="CN258" s="5">
        <f t="shared" si="45"/>
        <v>0</v>
      </c>
      <c r="CO258" s="5">
        <f t="shared" si="46"/>
        <v>0</v>
      </c>
      <c r="CP258" s="6">
        <f t="shared" si="47"/>
        <v>0</v>
      </c>
      <c r="CQ258" s="6">
        <f t="shared" si="48"/>
        <v>0</v>
      </c>
      <c r="CR258" s="6">
        <f t="shared" si="49"/>
        <v>0</v>
      </c>
      <c r="CS258" s="6">
        <f t="shared" si="50"/>
        <v>0</v>
      </c>
      <c r="CT258" s="6">
        <f t="shared" si="584"/>
        <v>0</v>
      </c>
      <c r="CU258" s="6">
        <f t="shared" si="52"/>
        <v>0</v>
      </c>
      <c r="CV258" s="6">
        <f t="shared" si="53"/>
        <v>0</v>
      </c>
      <c r="CW258" s="6">
        <f t="shared" si="54"/>
        <v>0</v>
      </c>
      <c r="CX258" s="6">
        <f t="shared" si="55"/>
        <v>0</v>
      </c>
      <c r="CY258" s="6">
        <f t="shared" si="56"/>
        <v>0</v>
      </c>
      <c r="CZ258" s="6">
        <f t="shared" si="57"/>
        <v>0</v>
      </c>
      <c r="DA258" s="6">
        <f t="shared" si="58"/>
        <v>0</v>
      </c>
      <c r="DB258" s="6">
        <f t="shared" si="59"/>
        <v>0</v>
      </c>
      <c r="DC258" s="6">
        <f t="shared" si="60"/>
        <v>0</v>
      </c>
      <c r="DD258" s="6">
        <f t="shared" si="61"/>
        <v>0</v>
      </c>
      <c r="DE258" s="6">
        <f t="shared" si="62"/>
        <v>0</v>
      </c>
      <c r="DF258" s="6">
        <f t="shared" si="63"/>
        <v>0</v>
      </c>
      <c r="DG258" s="6">
        <f t="shared" si="64"/>
        <v>0</v>
      </c>
      <c r="DH258" s="6">
        <f t="shared" si="697"/>
        <v>0</v>
      </c>
      <c r="DI258" s="6">
        <f t="shared" si="66"/>
        <v>0</v>
      </c>
      <c r="DJ258" s="6">
        <f t="shared" si="653"/>
        <v>0</v>
      </c>
      <c r="DK258" s="7">
        <f t="shared" si="68"/>
        <v>0</v>
      </c>
      <c r="DL258" s="7">
        <f t="shared" si="498"/>
        <v>0</v>
      </c>
      <c r="DM258" s="7">
        <f t="shared" si="70"/>
        <v>0</v>
      </c>
      <c r="DN258" s="7">
        <f t="shared" si="71"/>
        <v>0</v>
      </c>
      <c r="DO258" s="7">
        <f t="shared" si="72"/>
        <v>1</v>
      </c>
      <c r="DP258" s="8">
        <f t="shared" si="73"/>
        <v>0</v>
      </c>
      <c r="DQ258" s="8">
        <f t="shared" si="74"/>
        <v>1</v>
      </c>
      <c r="DR258" s="7">
        <f t="shared" si="75"/>
        <v>0</v>
      </c>
      <c r="DS258" s="7">
        <f t="shared" si="76"/>
        <v>0</v>
      </c>
      <c r="DT258" s="7">
        <f t="shared" si="77"/>
        <v>0</v>
      </c>
      <c r="DU258" s="9">
        <f t="shared" si="78"/>
        <v>0</v>
      </c>
      <c r="DV258" s="9">
        <f t="shared" si="79"/>
        <v>0</v>
      </c>
      <c r="DW258" s="9">
        <f t="shared" si="80"/>
        <v>0</v>
      </c>
      <c r="DX258" s="9">
        <f t="shared" si="81"/>
        <v>0</v>
      </c>
      <c r="DY258" s="9">
        <f t="shared" si="82"/>
        <v>0</v>
      </c>
      <c r="DZ258" s="9">
        <f t="shared" si="83"/>
        <v>0</v>
      </c>
      <c r="EA258" s="9">
        <f t="shared" si="84"/>
        <v>0</v>
      </c>
      <c r="EB258" s="9">
        <f t="shared" si="85"/>
        <v>0</v>
      </c>
      <c r="EC258" s="9">
        <f t="shared" si="86"/>
        <v>0</v>
      </c>
      <c r="ED258" s="9">
        <f t="shared" si="87"/>
        <v>0</v>
      </c>
      <c r="EE258" s="9">
        <f t="shared" si="88"/>
        <v>0</v>
      </c>
      <c r="EF258" s="9">
        <f t="shared" si="89"/>
        <v>0</v>
      </c>
      <c r="EG258" s="9">
        <f t="shared" si="90"/>
        <v>0</v>
      </c>
      <c r="EH258" s="9">
        <f t="shared" si="91"/>
        <v>0</v>
      </c>
      <c r="EI258" s="9">
        <f t="shared" si="92"/>
        <v>0</v>
      </c>
      <c r="EJ258" s="10">
        <f t="shared" si="93"/>
        <v>0</v>
      </c>
      <c r="EK258" s="10">
        <f t="shared" si="94"/>
        <v>0</v>
      </c>
      <c r="EL258" s="10">
        <f t="shared" ref="EL258:EM258" si="879">IF(OR(ISNUMBER(SEARCH("ai software toolkit", $D258)), ISNUMBER(SEARCH("ai software toolkit", $T258)), ISNUMBER(SEARCH("ai software toolkit", $R258)), ISNUMBER(SEARCH("ai software toolkit", $S258))), 1, 0)</f>
        <v>0</v>
      </c>
      <c r="EM258" s="10">
        <f t="shared" si="879"/>
        <v>0</v>
      </c>
      <c r="EN258" s="10">
        <f t="shared" si="96"/>
        <v>0</v>
      </c>
      <c r="EO258" s="10">
        <f t="shared" si="97"/>
        <v>0</v>
      </c>
      <c r="EP258" s="10">
        <f t="shared" si="98"/>
        <v>0</v>
      </c>
      <c r="EQ258" s="10">
        <f t="shared" si="99"/>
        <v>0</v>
      </c>
      <c r="ER258" s="10">
        <f t="shared" si="100"/>
        <v>0</v>
      </c>
      <c r="ES258" s="10">
        <f t="shared" si="101"/>
        <v>0</v>
      </c>
      <c r="ET258" s="10">
        <f t="shared" si="102"/>
        <v>0</v>
      </c>
      <c r="EU258" s="10">
        <f t="shared" si="103"/>
        <v>0</v>
      </c>
      <c r="EV258" s="10">
        <f t="shared" si="104"/>
        <v>0</v>
      </c>
      <c r="EW258" s="10">
        <f t="shared" si="105"/>
        <v>0</v>
      </c>
      <c r="EX258" s="10">
        <f t="shared" si="106"/>
        <v>0</v>
      </c>
      <c r="EY258" s="10">
        <f t="shared" si="107"/>
        <v>0</v>
      </c>
      <c r="EZ258" s="10">
        <f t="shared" si="108"/>
        <v>0</v>
      </c>
      <c r="FA258" s="10">
        <f t="shared" si="109"/>
        <v>0</v>
      </c>
      <c r="FB258" s="10">
        <f t="shared" si="110"/>
        <v>0</v>
      </c>
      <c r="FC258" s="10">
        <f t="shared" si="111"/>
        <v>0</v>
      </c>
      <c r="FD258" s="10">
        <f t="shared" si="112"/>
        <v>0</v>
      </c>
      <c r="FE258" s="10">
        <f t="shared" si="880"/>
        <v>0</v>
      </c>
      <c r="FF258" s="10">
        <f t="shared" si="114"/>
        <v>0</v>
      </c>
      <c r="FG258" s="10">
        <f t="shared" si="115"/>
        <v>0</v>
      </c>
      <c r="FH258" s="10">
        <f t="shared" si="116"/>
        <v>0</v>
      </c>
      <c r="FI258" s="10">
        <f t="shared" si="117"/>
        <v>0</v>
      </c>
      <c r="FJ258" s="10">
        <f t="shared" si="118"/>
        <v>0</v>
      </c>
      <c r="FK258" s="10">
        <f t="shared" si="119"/>
        <v>0</v>
      </c>
      <c r="FL258" s="10">
        <f t="shared" si="120"/>
        <v>0</v>
      </c>
      <c r="FM258" s="10">
        <f t="shared" si="121"/>
        <v>0</v>
      </c>
      <c r="FN258" s="10">
        <f t="shared" si="122"/>
        <v>0</v>
      </c>
      <c r="FO258" s="10">
        <f t="shared" si="123"/>
        <v>0</v>
      </c>
      <c r="FP258" s="10">
        <f t="shared" si="124"/>
        <v>0</v>
      </c>
      <c r="FQ258" s="10">
        <f t="shared" si="125"/>
        <v>0</v>
      </c>
      <c r="FR258" s="11">
        <f>IF(
OR(
ISNUMBER(SEARCH("chatbot",$D258)),ISNUMBER(SEARCH("chatbot",$T258)),ISNUMBER(SEARCH("chatbot",$R256)),ISNUMBER(SEARCH("chatbot",$S258)),
ISNUMBER(SEARCH("virtual assistance",$D258)),ISNUMBER(SEARCH("virtual assistance",$T258)),ISNUMBER(SEARCH("virtual assistance",$R258)),ISNUMBER(SEARCH("virtual assistance",$S258))), 1, 0)</f>
        <v>0</v>
      </c>
      <c r="FS258" s="11">
        <f t="shared" si="127"/>
        <v>0</v>
      </c>
      <c r="FT258" s="11">
        <f t="shared" si="128"/>
        <v>0</v>
      </c>
      <c r="FU258" s="11">
        <f t="shared" si="129"/>
        <v>0</v>
      </c>
      <c r="FV258" s="11">
        <f t="shared" si="130"/>
        <v>0</v>
      </c>
      <c r="FW258" s="11">
        <f t="shared" si="131"/>
        <v>0</v>
      </c>
      <c r="FX258" s="11">
        <f t="shared" si="132"/>
        <v>0</v>
      </c>
      <c r="FY258" s="11">
        <f t="shared" si="133"/>
        <v>0</v>
      </c>
      <c r="FZ258" s="11">
        <f t="shared" si="134"/>
        <v>0</v>
      </c>
      <c r="GA258" s="11">
        <f t="shared" si="135"/>
        <v>0</v>
      </c>
      <c r="GB258" s="11">
        <f t="shared" si="136"/>
        <v>0</v>
      </c>
      <c r="GC258" s="11">
        <f t="shared" si="137"/>
        <v>0</v>
      </c>
      <c r="GD258" s="11">
        <f t="shared" si="138"/>
        <v>0</v>
      </c>
      <c r="GE258" s="11">
        <f t="shared" si="139"/>
        <v>0</v>
      </c>
      <c r="GF258" s="11">
        <f t="shared" si="140"/>
        <v>0</v>
      </c>
      <c r="GG258" s="11">
        <f t="shared" si="141"/>
        <v>0</v>
      </c>
      <c r="GH258" s="11">
        <f t="shared" si="142"/>
        <v>0</v>
      </c>
      <c r="GI258" s="11">
        <f t="shared" si="143"/>
        <v>0</v>
      </c>
      <c r="GJ258" s="11">
        <f t="shared" si="144"/>
        <v>0</v>
      </c>
      <c r="GK258" s="11">
        <f t="shared" si="145"/>
        <v>0</v>
      </c>
      <c r="GL258" s="11">
        <f t="shared" si="146"/>
        <v>0</v>
      </c>
      <c r="GM258" s="11">
        <f t="shared" si="147"/>
        <v>0</v>
      </c>
      <c r="GN258" s="11">
        <f t="shared" si="148"/>
        <v>0</v>
      </c>
      <c r="GO258" s="11">
        <f t="shared" si="149"/>
        <v>0</v>
      </c>
      <c r="GP258" s="11">
        <f t="shared" si="150"/>
        <v>0</v>
      </c>
      <c r="GQ258" s="11">
        <f t="shared" si="151"/>
        <v>0</v>
      </c>
      <c r="GR258" s="11">
        <f t="shared" si="152"/>
        <v>0</v>
      </c>
      <c r="GS258" s="11">
        <f t="shared" si="153"/>
        <v>0</v>
      </c>
      <c r="GT258" s="11">
        <f t="shared" si="154"/>
        <v>0</v>
      </c>
      <c r="GU258" s="12">
        <f t="shared" si="155"/>
        <v>0</v>
      </c>
      <c r="GV258" s="12">
        <f t="shared" si="156"/>
        <v>0</v>
      </c>
      <c r="GW258" s="12">
        <f t="shared" si="157"/>
        <v>0</v>
      </c>
      <c r="GX258" s="12">
        <f t="shared" si="158"/>
        <v>0</v>
      </c>
      <c r="GY258" s="12">
        <f t="shared" si="159"/>
        <v>0</v>
      </c>
      <c r="GZ258" s="12">
        <f t="shared" si="160"/>
        <v>0</v>
      </c>
      <c r="HA258" s="12">
        <f t="shared" si="161"/>
        <v>0</v>
      </c>
      <c r="HB258" s="12">
        <f t="shared" si="162"/>
        <v>0</v>
      </c>
      <c r="HC258" s="12">
        <f t="shared" si="163"/>
        <v>0</v>
      </c>
      <c r="HD258" s="12">
        <f t="shared" si="164"/>
        <v>0</v>
      </c>
      <c r="HE258" s="12">
        <f t="shared" si="165"/>
        <v>0</v>
      </c>
      <c r="HF258" s="12">
        <f t="shared" si="166"/>
        <v>0</v>
      </c>
      <c r="HG258" s="12">
        <f t="shared" si="167"/>
        <v>0</v>
      </c>
      <c r="HH258" s="12">
        <f t="shared" si="168"/>
        <v>0</v>
      </c>
      <c r="HI258" s="12">
        <f t="shared" si="169"/>
        <v>0</v>
      </c>
      <c r="HJ258" s="12">
        <f t="shared" si="170"/>
        <v>0</v>
      </c>
      <c r="HK258" s="12">
        <f t="shared" si="171"/>
        <v>0</v>
      </c>
      <c r="HL258" s="12">
        <f t="shared" si="172"/>
        <v>0</v>
      </c>
      <c r="HM258" s="12">
        <f t="shared" si="173"/>
        <v>0</v>
      </c>
      <c r="HN258" s="12">
        <f t="shared" si="174"/>
        <v>0</v>
      </c>
      <c r="HO258" s="12">
        <f t="shared" si="175"/>
        <v>0</v>
      </c>
      <c r="HP258" s="12">
        <f t="shared" si="176"/>
        <v>0</v>
      </c>
      <c r="HQ258" s="12">
        <f t="shared" si="177"/>
        <v>0</v>
      </c>
      <c r="HR258" s="12">
        <f t="shared" si="178"/>
        <v>0</v>
      </c>
      <c r="HS258" s="12">
        <f t="shared" si="179"/>
        <v>0</v>
      </c>
      <c r="HT258" s="12">
        <f t="shared" si="180"/>
        <v>0</v>
      </c>
      <c r="HU258" s="12">
        <f t="shared" si="181"/>
        <v>0</v>
      </c>
      <c r="HV258" s="12">
        <f t="shared" si="182"/>
        <v>0</v>
      </c>
      <c r="HW258" s="12">
        <f t="shared" si="183"/>
        <v>0</v>
      </c>
      <c r="HX258" s="12">
        <f t="shared" si="184"/>
        <v>0</v>
      </c>
      <c r="HY258" s="12">
        <f t="shared" si="185"/>
        <v>0</v>
      </c>
      <c r="HZ258" s="12">
        <f t="shared" si="186"/>
        <v>0</v>
      </c>
      <c r="IA258" s="12">
        <f t="shared" si="187"/>
        <v>0</v>
      </c>
      <c r="IB258" s="12">
        <f t="shared" si="188"/>
        <v>0</v>
      </c>
      <c r="IC258" s="12">
        <f t="shared" si="189"/>
        <v>0</v>
      </c>
      <c r="ID258" s="12">
        <f t="shared" si="190"/>
        <v>0</v>
      </c>
      <c r="IE258" s="12">
        <f t="shared" si="191"/>
        <v>0</v>
      </c>
      <c r="IF258" s="12">
        <f t="shared" si="192"/>
        <v>0</v>
      </c>
      <c r="IG258" s="12">
        <f t="shared" si="193"/>
        <v>0</v>
      </c>
      <c r="IH258" s="12">
        <f t="shared" si="194"/>
        <v>0</v>
      </c>
      <c r="II258" s="12">
        <f t="shared" si="195"/>
        <v>0</v>
      </c>
      <c r="IJ258" s="12">
        <f t="shared" si="196"/>
        <v>0</v>
      </c>
      <c r="IK258" s="12">
        <f t="shared" si="197"/>
        <v>0</v>
      </c>
      <c r="IL258" s="12">
        <f t="shared" si="198"/>
        <v>0</v>
      </c>
      <c r="IM258" s="12">
        <f t="shared" si="199"/>
        <v>0</v>
      </c>
      <c r="IN258" s="12">
        <f t="shared" si="200"/>
        <v>0</v>
      </c>
      <c r="IO258" s="12">
        <f t="shared" si="201"/>
        <v>0</v>
      </c>
      <c r="IP258" s="12">
        <f t="shared" si="202"/>
        <v>0</v>
      </c>
      <c r="IQ258" s="12">
        <f t="shared" si="203"/>
        <v>0</v>
      </c>
      <c r="IR258" s="12">
        <f t="shared" si="204"/>
        <v>0</v>
      </c>
      <c r="IS258" s="12">
        <f t="shared" si="205"/>
        <v>0</v>
      </c>
      <c r="IT258" s="12">
        <f t="shared" si="206"/>
        <v>0</v>
      </c>
      <c r="IU258" s="12">
        <f t="shared" si="207"/>
        <v>0</v>
      </c>
      <c r="IV258" s="12">
        <f t="shared" si="208"/>
        <v>0</v>
      </c>
      <c r="IW258" s="12">
        <f t="shared" si="209"/>
        <v>0</v>
      </c>
      <c r="IX258" s="12">
        <f t="shared" si="210"/>
        <v>0</v>
      </c>
      <c r="IY258" s="12">
        <f t="shared" si="211"/>
        <v>0</v>
      </c>
      <c r="IZ258" s="12">
        <f t="shared" si="212"/>
        <v>0</v>
      </c>
      <c r="JA258" s="13">
        <f t="shared" si="213"/>
        <v>0</v>
      </c>
      <c r="JB258" s="13">
        <f t="shared" si="214"/>
        <v>0</v>
      </c>
      <c r="JC258" s="13">
        <f t="shared" si="215"/>
        <v>0</v>
      </c>
      <c r="JD258" s="13">
        <f t="shared" si="216"/>
        <v>0</v>
      </c>
      <c r="JE258" s="13">
        <f t="shared" si="217"/>
        <v>0</v>
      </c>
      <c r="JF258" s="13">
        <f t="shared" si="218"/>
        <v>0</v>
      </c>
      <c r="JG258" s="13">
        <f t="shared" si="219"/>
        <v>0</v>
      </c>
      <c r="JH258" s="13">
        <f t="shared" si="220"/>
        <v>0</v>
      </c>
      <c r="JI258" s="13">
        <f t="shared" si="221"/>
        <v>0</v>
      </c>
      <c r="JJ258" s="13">
        <f t="shared" si="222"/>
        <v>0</v>
      </c>
      <c r="JK258" s="13">
        <f t="shared" si="223"/>
        <v>0</v>
      </c>
      <c r="JL258" s="13">
        <f t="shared" si="224"/>
        <v>0</v>
      </c>
      <c r="JM258" s="13">
        <f t="shared" si="225"/>
        <v>0</v>
      </c>
      <c r="JN258" s="13">
        <f t="shared" si="226"/>
        <v>0</v>
      </c>
      <c r="JO258" s="13">
        <f t="shared" si="227"/>
        <v>0</v>
      </c>
      <c r="JP258" s="13">
        <f t="shared" si="228"/>
        <v>0</v>
      </c>
      <c r="JQ258" s="13">
        <f t="shared" si="229"/>
        <v>0</v>
      </c>
      <c r="JR258" s="13">
        <f t="shared" si="230"/>
        <v>0</v>
      </c>
      <c r="JS258" s="13">
        <f t="shared" si="231"/>
        <v>0</v>
      </c>
      <c r="JT258" s="13">
        <f t="shared" si="232"/>
        <v>0</v>
      </c>
      <c r="JU258" s="13">
        <f t="shared" si="233"/>
        <v>0</v>
      </c>
      <c r="JV258" s="12">
        <f t="shared" si="234"/>
        <v>0</v>
      </c>
      <c r="JW258" s="12">
        <f t="shared" si="235"/>
        <v>0</v>
      </c>
      <c r="JX258" s="12">
        <f t="shared" si="236"/>
        <v>0</v>
      </c>
      <c r="JY258" s="12">
        <f t="shared" si="237"/>
        <v>0</v>
      </c>
      <c r="JZ258" s="12">
        <f t="shared" si="238"/>
        <v>0</v>
      </c>
      <c r="KA258" s="12">
        <f t="shared" si="239"/>
        <v>0</v>
      </c>
      <c r="KB258" s="12">
        <f t="shared" si="240"/>
        <v>0</v>
      </c>
      <c r="KC258" s="12">
        <f t="shared" si="241"/>
        <v>0</v>
      </c>
      <c r="KD258" s="12">
        <f t="shared" si="797"/>
        <v>0</v>
      </c>
      <c r="KE258" s="12">
        <f t="shared" si="243"/>
        <v>0</v>
      </c>
      <c r="KF258" s="12">
        <f t="shared" si="244"/>
        <v>0</v>
      </c>
      <c r="KG258" s="12">
        <f t="shared" si="245"/>
        <v>0</v>
      </c>
      <c r="KH258" s="12">
        <f t="shared" si="246"/>
        <v>0</v>
      </c>
      <c r="KI258" s="12">
        <f t="shared" si="247"/>
        <v>0</v>
      </c>
      <c r="KJ258" s="12">
        <f t="shared" si="248"/>
        <v>0</v>
      </c>
      <c r="KK258" s="12">
        <f t="shared" si="249"/>
        <v>0</v>
      </c>
      <c r="KL258" s="12">
        <f t="shared" si="250"/>
        <v>0</v>
      </c>
      <c r="KM258" s="12">
        <f t="shared" si="251"/>
        <v>0</v>
      </c>
      <c r="KN258" s="12">
        <f t="shared" si="252"/>
        <v>0</v>
      </c>
      <c r="KO258" s="12">
        <f t="shared" si="253"/>
        <v>0</v>
      </c>
      <c r="KP258" s="12">
        <f t="shared" si="254"/>
        <v>0</v>
      </c>
      <c r="KQ258" s="12">
        <f t="shared" si="255"/>
        <v>0</v>
      </c>
      <c r="KR258" s="12">
        <f t="shared" si="256"/>
        <v>0</v>
      </c>
      <c r="KS258" s="12">
        <f t="shared" si="257"/>
        <v>0</v>
      </c>
      <c r="KT258" s="12">
        <f t="shared" si="258"/>
        <v>0</v>
      </c>
      <c r="KU258" s="12">
        <f t="shared" si="259"/>
        <v>0</v>
      </c>
      <c r="KV258" s="12">
        <f t="shared" si="260"/>
        <v>0</v>
      </c>
      <c r="KW258" s="12">
        <f t="shared" si="261"/>
        <v>0</v>
      </c>
      <c r="KX258" s="12">
        <f t="shared" si="262"/>
        <v>0</v>
      </c>
      <c r="KY258" s="12">
        <f t="shared" si="263"/>
        <v>0</v>
      </c>
      <c r="KZ258" s="12">
        <f t="shared" si="264"/>
        <v>0</v>
      </c>
      <c r="LA258" s="12">
        <f t="shared" si="265"/>
        <v>0</v>
      </c>
      <c r="LB258" s="12">
        <f t="shared" si="266"/>
        <v>0</v>
      </c>
      <c r="LC258" s="12">
        <f t="shared" si="267"/>
        <v>0</v>
      </c>
      <c r="LD258" s="12">
        <f t="shared" si="268"/>
        <v>0</v>
      </c>
      <c r="LE258" s="12">
        <f t="shared" si="269"/>
        <v>0</v>
      </c>
      <c r="LF258" s="12">
        <f t="shared" si="270"/>
        <v>0</v>
      </c>
      <c r="LG258" s="12">
        <f t="shared" si="271"/>
        <v>0</v>
      </c>
      <c r="LH258" s="12">
        <f t="shared" si="272"/>
        <v>0</v>
      </c>
      <c r="LI258" s="12">
        <f t="shared" si="273"/>
        <v>0</v>
      </c>
      <c r="LJ258" s="12">
        <f t="shared" si="274"/>
        <v>0</v>
      </c>
      <c r="LK258" s="12">
        <f t="shared" si="275"/>
        <v>0</v>
      </c>
      <c r="LL258" s="12">
        <f t="shared" si="276"/>
        <v>0</v>
      </c>
      <c r="LM258" s="12">
        <f t="shared" si="277"/>
        <v>0</v>
      </c>
      <c r="LN258" s="12">
        <f t="shared" si="278"/>
        <v>0</v>
      </c>
      <c r="LO258" s="12">
        <f t="shared" si="279"/>
        <v>0</v>
      </c>
      <c r="LP258" s="12">
        <f t="shared" si="280"/>
        <v>0</v>
      </c>
      <c r="LQ258" s="12">
        <f t="shared" si="281"/>
        <v>0</v>
      </c>
      <c r="LR258" s="12">
        <f t="shared" si="282"/>
        <v>0</v>
      </c>
      <c r="LS258" s="12">
        <f t="shared" si="283"/>
        <v>0</v>
      </c>
      <c r="LT258" s="13">
        <f t="shared" si="284"/>
        <v>0</v>
      </c>
      <c r="LU258" s="13">
        <f t="shared" si="285"/>
        <v>0</v>
      </c>
      <c r="LV258" s="13">
        <f t="shared" si="286"/>
        <v>0</v>
      </c>
      <c r="LW258" s="13">
        <f t="shared" si="287"/>
        <v>0</v>
      </c>
      <c r="LX258" s="13">
        <f t="shared" si="288"/>
        <v>0</v>
      </c>
      <c r="LY258" s="13">
        <f t="shared" si="289"/>
        <v>0</v>
      </c>
      <c r="LZ258" s="13">
        <f t="shared" si="290"/>
        <v>0</v>
      </c>
      <c r="MA258" s="13">
        <f t="shared" si="291"/>
        <v>0</v>
      </c>
      <c r="MB258" s="13">
        <f t="shared" si="292"/>
        <v>0</v>
      </c>
      <c r="MC258" s="13">
        <f t="shared" si="293"/>
        <v>0</v>
      </c>
      <c r="MD258" s="13">
        <f t="shared" si="294"/>
        <v>0</v>
      </c>
      <c r="ME258" s="13">
        <f t="shared" si="295"/>
        <v>0</v>
      </c>
      <c r="MF258" s="13">
        <f t="shared" si="296"/>
        <v>0</v>
      </c>
      <c r="MG258" s="13">
        <f t="shared" si="297"/>
        <v>0</v>
      </c>
      <c r="MH258" s="13">
        <f t="shared" si="298"/>
        <v>0</v>
      </c>
      <c r="MI258" s="13">
        <f t="shared" si="299"/>
        <v>0</v>
      </c>
      <c r="MJ258" s="13">
        <f t="shared" si="300"/>
        <v>0</v>
      </c>
      <c r="MK258" s="13">
        <f t="shared" si="301"/>
        <v>0</v>
      </c>
      <c r="ML258" s="14">
        <f t="shared" si="302"/>
        <v>0</v>
      </c>
      <c r="MM258" s="14">
        <f t="shared" si="303"/>
        <v>0</v>
      </c>
      <c r="MN258" s="14">
        <f t="shared" si="304"/>
        <v>0</v>
      </c>
      <c r="MO258" s="14">
        <f t="shared" si="305"/>
        <v>0</v>
      </c>
      <c r="MP258" s="14">
        <f t="shared" si="306"/>
        <v>0</v>
      </c>
      <c r="MQ258" s="14">
        <f t="shared" si="307"/>
        <v>0</v>
      </c>
      <c r="MR258" s="14">
        <f t="shared" si="308"/>
        <v>0</v>
      </c>
      <c r="MS258" s="14">
        <f t="shared" si="309"/>
        <v>0</v>
      </c>
      <c r="MT258" s="14">
        <f t="shared" si="310"/>
        <v>0</v>
      </c>
      <c r="MU258" s="14">
        <f t="shared" si="311"/>
        <v>0</v>
      </c>
      <c r="MV258" s="14">
        <f t="shared" si="312"/>
        <v>0</v>
      </c>
      <c r="MW258" s="14">
        <f t="shared" si="313"/>
        <v>0</v>
      </c>
      <c r="MX258" s="14">
        <f t="shared" si="314"/>
        <v>0</v>
      </c>
      <c r="MY258" s="14">
        <f t="shared" si="315"/>
        <v>0</v>
      </c>
      <c r="MZ258" s="14">
        <f t="shared" si="316"/>
        <v>0</v>
      </c>
      <c r="NA258" s="14">
        <f t="shared" si="317"/>
        <v>0</v>
      </c>
      <c r="NB258" s="14">
        <f t="shared" si="318"/>
        <v>0</v>
      </c>
    </row>
    <row r="259" ht="15.75" customHeight="1">
      <c r="A259" s="2">
        <v>751.0</v>
      </c>
      <c r="B259" s="2" t="s">
        <v>4608</v>
      </c>
      <c r="C259" s="2" t="s">
        <v>4609</v>
      </c>
      <c r="D259" s="2" t="s">
        <v>4610</v>
      </c>
      <c r="E259" s="2">
        <v>2022.0</v>
      </c>
      <c r="F259" s="2" t="s">
        <v>4611</v>
      </c>
      <c r="N259" s="2" t="s">
        <v>4612</v>
      </c>
      <c r="O259" s="2" t="s">
        <v>4613</v>
      </c>
      <c r="P259" s="2" t="s">
        <v>4614</v>
      </c>
      <c r="Q259" s="2" t="s">
        <v>4615</v>
      </c>
      <c r="R259" s="2" t="s">
        <v>4616</v>
      </c>
      <c r="S259" s="2" t="s">
        <v>4617</v>
      </c>
      <c r="Y259" s="2" t="s">
        <v>4618</v>
      </c>
      <c r="AB259" s="2" t="s">
        <v>1022</v>
      </c>
      <c r="AG259" s="2" t="s">
        <v>4619</v>
      </c>
      <c r="AK259" s="2" t="s">
        <v>4620</v>
      </c>
      <c r="AL259" s="2" t="s">
        <v>2966</v>
      </c>
      <c r="AM259" s="2" t="s">
        <v>385</v>
      </c>
      <c r="AN259" s="2" t="s">
        <v>386</v>
      </c>
      <c r="AO259" s="2" t="s">
        <v>4621</v>
      </c>
      <c r="AP259" s="2" t="s">
        <v>386</v>
      </c>
      <c r="AQ259" s="2">
        <v>2929.0</v>
      </c>
      <c r="AR259" s="2" t="s">
        <v>4622</v>
      </c>
      <c r="AS259" s="2" t="b">
        <v>0</v>
      </c>
      <c r="AT259" s="3">
        <v>0.0</v>
      </c>
      <c r="AU259" s="4"/>
      <c r="AV259" s="4"/>
      <c r="AW259" s="5">
        <f t="shared" si="432"/>
        <v>0</v>
      </c>
      <c r="AX259" s="5">
        <f t="shared" si="4"/>
        <v>0</v>
      </c>
      <c r="AY259" s="5">
        <f t="shared" si="5"/>
        <v>0</v>
      </c>
      <c r="AZ259" s="5">
        <f t="shared" si="6"/>
        <v>0</v>
      </c>
      <c r="BA259" s="5">
        <f t="shared" si="7"/>
        <v>0</v>
      </c>
      <c r="BB259" s="5">
        <f t="shared" si="8"/>
        <v>0</v>
      </c>
      <c r="BC259" s="5">
        <f t="shared" si="9"/>
        <v>0</v>
      </c>
      <c r="BD259" s="5">
        <f t="shared" si="10"/>
        <v>0</v>
      </c>
      <c r="BE259" s="5">
        <f t="shared" si="11"/>
        <v>0</v>
      </c>
      <c r="BF259" s="5">
        <f t="shared" si="12"/>
        <v>0</v>
      </c>
      <c r="BG259" s="5">
        <f t="shared" si="13"/>
        <v>0</v>
      </c>
      <c r="BH259" s="5">
        <f t="shared" si="14"/>
        <v>0</v>
      </c>
      <c r="BI259" s="5">
        <f t="shared" si="15"/>
        <v>0</v>
      </c>
      <c r="BJ259" s="5">
        <f t="shared" si="16"/>
        <v>0</v>
      </c>
      <c r="BK259" s="5">
        <f t="shared" si="17"/>
        <v>0</v>
      </c>
      <c r="BL259" s="5">
        <f t="shared" si="18"/>
        <v>0</v>
      </c>
      <c r="BM259" s="5">
        <f t="shared" si="19"/>
        <v>0</v>
      </c>
      <c r="BN259" s="5">
        <f t="shared" si="20"/>
        <v>0</v>
      </c>
      <c r="BO259" s="5">
        <f t="shared" si="21"/>
        <v>0</v>
      </c>
      <c r="BP259" s="5">
        <f t="shared" si="22"/>
        <v>0</v>
      </c>
      <c r="BQ259" s="5">
        <f t="shared" si="23"/>
        <v>0</v>
      </c>
      <c r="BR259" s="5">
        <f t="shared" si="24"/>
        <v>0</v>
      </c>
      <c r="BS259" s="5">
        <f t="shared" si="25"/>
        <v>0</v>
      </c>
      <c r="BT259" s="5">
        <f t="shared" si="26"/>
        <v>0</v>
      </c>
      <c r="BU259" s="5">
        <f t="shared" si="27"/>
        <v>0</v>
      </c>
      <c r="BV259" s="5">
        <f t="shared" ref="BV259:BW259" si="881">IF(OR(ISNUMBER(SEARCH("grit",$D259)),ISNUMBER(SEARCH("grit",$T259)),ISNUMBER(SEARCH("grit",$R259)),ISNUMBER(SEARCH("grit",$S259)),
ISNUMBER(SEARCH("determination",$D259)),ISNUMBER(SEARCH("determination",$T259)),ISNUMBER(SEARCH("determination",$R259)),ISNUMBER(SEARCH("determination",$S259)),
ISNUMBER(SEARCH("tenacity",$D259)),ISNUMBER(SEARCH("tenacity",$T259)),ISNUMBER(SEARCH("tenacity",$R259)),ISNUMBER(SEARCH("tenacity",$S259)),
ISNUMBER(SEARCH("endurance",$D259)),ISNUMBER(SEARCH("endurance",$T259)),ISNUMBER(SEARCH("endurance",$R259)),ISNUMBER(SEARCH("endurance",$S259)),
ISNUMBER(SEARCH("fortitude",$D259)),ISNUMBER(SEARCH("fortitude",$T259)),ISNUMBER(SEARCH("fortitude",$R259)),ISNUMBER(SEARCH("fortitude",$S259)),
ISNUMBER(SEARCH("resolve",$D259)),ISNUMBER(SEARCH("resolve",$T259)),ISNUMBER(SEARCH("resolve",$R259)),ISNUMBER(SEARCH("resolve",$S259)),
ISNUMBER(SEARCH("stamina",$D259)),ISNUMBER(SEARCH("stamina",$T259)),ISNUMBER(SEARCH("stamina",$R259)),ISNUMBER(SEARCH("stamina",$S259)),
ISNUMBER(SEARCH("guts",$D259)),ISNUMBER(SEARCH("guts",$T259)),ISNUMBER(SEARCH("guts",$R259)),ISNUMBER(SEARCH("guts",$S259)),
ISNUMBER(SEARCH("spunk",$D259)),ISNUMBER(SEARCH("spunk",$T259)),ISNUMBER(SEARCH("spunk",$R259)),ISNUMBER(SEARCH("spunk",$S259))), 1, 0)</f>
        <v>0</v>
      </c>
      <c r="BW259" s="5">
        <f t="shared" si="881"/>
        <v>0</v>
      </c>
      <c r="BX259" s="5">
        <f t="shared" si="29"/>
        <v>0</v>
      </c>
      <c r="BY259" s="5">
        <f t="shared" si="30"/>
        <v>0</v>
      </c>
      <c r="BZ259" s="5">
        <f t="shared" si="31"/>
        <v>0</v>
      </c>
      <c r="CA259" s="5">
        <f t="shared" si="32"/>
        <v>0</v>
      </c>
      <c r="CB259" s="5">
        <f t="shared" si="33"/>
        <v>0</v>
      </c>
      <c r="CC259" s="5">
        <f t="shared" si="34"/>
        <v>0</v>
      </c>
      <c r="CD259" s="5">
        <f t="shared" si="35"/>
        <v>0</v>
      </c>
      <c r="CE259" s="5">
        <f t="shared" si="36"/>
        <v>0</v>
      </c>
      <c r="CF259" s="5">
        <f t="shared" si="37"/>
        <v>0</v>
      </c>
      <c r="CG259" s="5">
        <f t="shared" si="38"/>
        <v>0</v>
      </c>
      <c r="CH259" s="5">
        <f t="shared" si="39"/>
        <v>0</v>
      </c>
      <c r="CI259" s="5">
        <f t="shared" si="40"/>
        <v>0</v>
      </c>
      <c r="CJ259" s="5">
        <f t="shared" si="41"/>
        <v>0</v>
      </c>
      <c r="CK259" s="5">
        <f t="shared" si="42"/>
        <v>1</v>
      </c>
      <c r="CL259" s="5">
        <f t="shared" si="43"/>
        <v>0</v>
      </c>
      <c r="CM259" s="5">
        <f t="shared" si="44"/>
        <v>0</v>
      </c>
      <c r="CN259" s="5">
        <f t="shared" si="45"/>
        <v>0</v>
      </c>
      <c r="CO259" s="5">
        <f t="shared" si="46"/>
        <v>0</v>
      </c>
      <c r="CP259" s="6">
        <f t="shared" si="47"/>
        <v>0</v>
      </c>
      <c r="CQ259" s="6">
        <f t="shared" si="48"/>
        <v>0</v>
      </c>
      <c r="CR259" s="6">
        <f t="shared" si="49"/>
        <v>0</v>
      </c>
      <c r="CS259" s="6">
        <f t="shared" si="50"/>
        <v>1</v>
      </c>
      <c r="CT259" s="6">
        <f t="shared" si="584"/>
        <v>0</v>
      </c>
      <c r="CU259" s="6">
        <f t="shared" si="52"/>
        <v>0</v>
      </c>
      <c r="CV259" s="6">
        <f t="shared" si="53"/>
        <v>0</v>
      </c>
      <c r="CW259" s="6">
        <f t="shared" si="54"/>
        <v>0</v>
      </c>
      <c r="CX259" s="6">
        <f t="shared" si="55"/>
        <v>0</v>
      </c>
      <c r="CY259" s="6">
        <f t="shared" si="56"/>
        <v>0</v>
      </c>
      <c r="CZ259" s="6">
        <f t="shared" si="57"/>
        <v>0</v>
      </c>
      <c r="DA259" s="6">
        <f t="shared" si="58"/>
        <v>0</v>
      </c>
      <c r="DB259" s="6">
        <f t="shared" si="59"/>
        <v>0</v>
      </c>
      <c r="DC259" s="6">
        <f t="shared" si="60"/>
        <v>0</v>
      </c>
      <c r="DD259" s="6">
        <f t="shared" si="61"/>
        <v>0</v>
      </c>
      <c r="DE259" s="6">
        <f t="shared" si="62"/>
        <v>0</v>
      </c>
      <c r="DF259" s="6">
        <f t="shared" si="63"/>
        <v>0</v>
      </c>
      <c r="DG259" s="6">
        <f t="shared" si="64"/>
        <v>0</v>
      </c>
      <c r="DH259" s="6">
        <f t="shared" si="697"/>
        <v>0</v>
      </c>
      <c r="DI259" s="6">
        <f t="shared" si="66"/>
        <v>0</v>
      </c>
      <c r="DJ259" s="6">
        <f t="shared" si="653"/>
        <v>0</v>
      </c>
      <c r="DK259" s="7">
        <f t="shared" si="68"/>
        <v>0</v>
      </c>
      <c r="DL259" s="7">
        <f t="shared" si="498"/>
        <v>0</v>
      </c>
      <c r="DM259" s="7">
        <f t="shared" si="70"/>
        <v>0</v>
      </c>
      <c r="DN259" s="7">
        <f t="shared" si="71"/>
        <v>0</v>
      </c>
      <c r="DO259" s="7">
        <f t="shared" si="72"/>
        <v>0</v>
      </c>
      <c r="DP259" s="8">
        <f t="shared" si="73"/>
        <v>0</v>
      </c>
      <c r="DQ259" s="8">
        <f t="shared" si="74"/>
        <v>0</v>
      </c>
      <c r="DR259" s="7">
        <f t="shared" si="75"/>
        <v>0</v>
      </c>
      <c r="DS259" s="7">
        <f t="shared" si="76"/>
        <v>0</v>
      </c>
      <c r="DT259" s="7">
        <f t="shared" si="77"/>
        <v>0</v>
      </c>
      <c r="DU259" s="9">
        <f t="shared" si="78"/>
        <v>0</v>
      </c>
      <c r="DV259" s="9">
        <f t="shared" si="79"/>
        <v>0</v>
      </c>
      <c r="DW259" s="9">
        <f t="shared" si="80"/>
        <v>0</v>
      </c>
      <c r="DX259" s="9">
        <f t="shared" si="81"/>
        <v>0</v>
      </c>
      <c r="DY259" s="9">
        <f t="shared" si="82"/>
        <v>0</v>
      </c>
      <c r="DZ259" s="9">
        <f t="shared" si="83"/>
        <v>0</v>
      </c>
      <c r="EA259" s="9">
        <f t="shared" si="84"/>
        <v>0</v>
      </c>
      <c r="EB259" s="9">
        <f t="shared" si="85"/>
        <v>0</v>
      </c>
      <c r="EC259" s="9">
        <f t="shared" si="86"/>
        <v>0</v>
      </c>
      <c r="ED259" s="9">
        <f t="shared" si="87"/>
        <v>0</v>
      </c>
      <c r="EE259" s="9">
        <f t="shared" si="88"/>
        <v>0</v>
      </c>
      <c r="EF259" s="9">
        <f t="shared" si="89"/>
        <v>0</v>
      </c>
      <c r="EG259" s="9">
        <f t="shared" si="90"/>
        <v>0</v>
      </c>
      <c r="EH259" s="9">
        <f t="shared" si="91"/>
        <v>0</v>
      </c>
      <c r="EI259" s="9">
        <f t="shared" si="92"/>
        <v>0</v>
      </c>
      <c r="EJ259" s="10">
        <f t="shared" si="93"/>
        <v>0</v>
      </c>
      <c r="EK259" s="10">
        <f t="shared" si="94"/>
        <v>0</v>
      </c>
      <c r="EL259" s="10">
        <f t="shared" ref="EL259:EM259" si="882">IF(OR(ISNUMBER(SEARCH("ai software toolkit", $D259)), ISNUMBER(SEARCH("ai software toolkit", $T259)), ISNUMBER(SEARCH("ai software toolkit", $R259)), ISNUMBER(SEARCH("ai software toolkit", $S259))), 1, 0)</f>
        <v>0</v>
      </c>
      <c r="EM259" s="10">
        <f t="shared" si="882"/>
        <v>0</v>
      </c>
      <c r="EN259" s="10">
        <f t="shared" si="96"/>
        <v>0</v>
      </c>
      <c r="EO259" s="10">
        <f t="shared" si="97"/>
        <v>0</v>
      </c>
      <c r="EP259" s="10">
        <f t="shared" si="98"/>
        <v>0</v>
      </c>
      <c r="EQ259" s="10">
        <f t="shared" si="99"/>
        <v>0</v>
      </c>
      <c r="ER259" s="10">
        <f t="shared" si="100"/>
        <v>0</v>
      </c>
      <c r="ES259" s="10">
        <f t="shared" si="101"/>
        <v>0</v>
      </c>
      <c r="ET259" s="10">
        <f t="shared" si="102"/>
        <v>0</v>
      </c>
      <c r="EU259" s="10">
        <f t="shared" si="103"/>
        <v>0</v>
      </c>
      <c r="EV259" s="10">
        <f t="shared" si="104"/>
        <v>0</v>
      </c>
      <c r="EW259" s="10">
        <f t="shared" si="105"/>
        <v>0</v>
      </c>
      <c r="EX259" s="10">
        <f t="shared" si="106"/>
        <v>0</v>
      </c>
      <c r="EY259" s="10">
        <f t="shared" si="107"/>
        <v>0</v>
      </c>
      <c r="EZ259" s="10">
        <f t="shared" si="108"/>
        <v>0</v>
      </c>
      <c r="FA259" s="10">
        <f t="shared" si="109"/>
        <v>0</v>
      </c>
      <c r="FB259" s="10">
        <f t="shared" si="110"/>
        <v>0</v>
      </c>
      <c r="FC259" s="10">
        <f t="shared" si="111"/>
        <v>0</v>
      </c>
      <c r="FD259" s="10">
        <f t="shared" si="112"/>
        <v>0</v>
      </c>
      <c r="FE259" s="10">
        <f t="shared" si="880"/>
        <v>0</v>
      </c>
      <c r="FF259" s="10">
        <f t="shared" si="114"/>
        <v>0</v>
      </c>
      <c r="FG259" s="10">
        <f t="shared" si="115"/>
        <v>0</v>
      </c>
      <c r="FH259" s="10">
        <f t="shared" si="116"/>
        <v>0</v>
      </c>
      <c r="FI259" s="10">
        <f t="shared" si="117"/>
        <v>0</v>
      </c>
      <c r="FJ259" s="10">
        <f t="shared" si="118"/>
        <v>0</v>
      </c>
      <c r="FK259" s="10">
        <f t="shared" si="119"/>
        <v>0</v>
      </c>
      <c r="FL259" s="10">
        <f t="shared" si="120"/>
        <v>0</v>
      </c>
      <c r="FM259" s="10">
        <f t="shared" si="121"/>
        <v>0</v>
      </c>
      <c r="FN259" s="10">
        <f t="shared" si="122"/>
        <v>0</v>
      </c>
      <c r="FO259" s="10">
        <f t="shared" si="123"/>
        <v>0</v>
      </c>
      <c r="FP259" s="10">
        <f t="shared" si="124"/>
        <v>0</v>
      </c>
      <c r="FQ259" s="10">
        <f t="shared" si="125"/>
        <v>0</v>
      </c>
      <c r="FR259" s="11">
        <f t="shared" ref="FR259:FR262" si="885">IF(
OR(
ISNUMBER(SEARCH("chatbot",$D259)),ISNUMBER(SEARCH("chatbot",$T259)),ISNUMBER(SEARCH("chatbot",#REF!)),ISNUMBER(SEARCH("chatbot",$S259)),
ISNUMBER(SEARCH("virtual assistance",$D259)),ISNUMBER(SEARCH("virtual assistance",$T259)),ISNUMBER(SEARCH("virtual assistance",$R259)),ISNUMBER(SEARCH("virtual assistance",$S259))), 1, 0)</f>
        <v>0</v>
      </c>
      <c r="FS259" s="11">
        <f t="shared" si="127"/>
        <v>0</v>
      </c>
      <c r="FT259" s="11">
        <f t="shared" si="128"/>
        <v>0</v>
      </c>
      <c r="FU259" s="11">
        <f t="shared" si="129"/>
        <v>0</v>
      </c>
      <c r="FV259" s="11">
        <f t="shared" si="130"/>
        <v>0</v>
      </c>
      <c r="FW259" s="11">
        <f t="shared" si="131"/>
        <v>0</v>
      </c>
      <c r="FX259" s="11">
        <f t="shared" si="132"/>
        <v>0</v>
      </c>
      <c r="FY259" s="11">
        <f t="shared" si="133"/>
        <v>0</v>
      </c>
      <c r="FZ259" s="11">
        <f t="shared" si="134"/>
        <v>0</v>
      </c>
      <c r="GA259" s="11">
        <f t="shared" si="135"/>
        <v>0</v>
      </c>
      <c r="GB259" s="11">
        <f t="shared" si="136"/>
        <v>0</v>
      </c>
      <c r="GC259" s="11">
        <f t="shared" si="137"/>
        <v>0</v>
      </c>
      <c r="GD259" s="11">
        <f t="shared" si="138"/>
        <v>0</v>
      </c>
      <c r="GE259" s="11">
        <f t="shared" si="139"/>
        <v>0</v>
      </c>
      <c r="GF259" s="11">
        <f t="shared" si="140"/>
        <v>0</v>
      </c>
      <c r="GG259" s="11">
        <f t="shared" si="141"/>
        <v>0</v>
      </c>
      <c r="GH259" s="11">
        <f t="shared" si="142"/>
        <v>0</v>
      </c>
      <c r="GI259" s="11">
        <f t="shared" si="143"/>
        <v>0</v>
      </c>
      <c r="GJ259" s="11">
        <f t="shared" si="144"/>
        <v>0</v>
      </c>
      <c r="GK259" s="11">
        <f t="shared" si="145"/>
        <v>0</v>
      </c>
      <c r="GL259" s="11">
        <f t="shared" si="146"/>
        <v>0</v>
      </c>
      <c r="GM259" s="11">
        <f t="shared" si="147"/>
        <v>0</v>
      </c>
      <c r="GN259" s="11">
        <f t="shared" si="148"/>
        <v>0</v>
      </c>
      <c r="GO259" s="11">
        <f t="shared" si="149"/>
        <v>0</v>
      </c>
      <c r="GP259" s="11">
        <f t="shared" si="150"/>
        <v>0</v>
      </c>
      <c r="GQ259" s="11">
        <f t="shared" si="151"/>
        <v>0</v>
      </c>
      <c r="GR259" s="11">
        <f t="shared" si="152"/>
        <v>0</v>
      </c>
      <c r="GS259" s="11">
        <f t="shared" si="153"/>
        <v>0</v>
      </c>
      <c r="GT259" s="11">
        <f t="shared" si="154"/>
        <v>0</v>
      </c>
      <c r="GU259" s="12">
        <f t="shared" si="155"/>
        <v>0</v>
      </c>
      <c r="GV259" s="12">
        <f t="shared" si="156"/>
        <v>0</v>
      </c>
      <c r="GW259" s="12">
        <f t="shared" si="157"/>
        <v>0</v>
      </c>
      <c r="GX259" s="12">
        <f t="shared" si="158"/>
        <v>0</v>
      </c>
      <c r="GY259" s="12">
        <f t="shared" si="159"/>
        <v>0</v>
      </c>
      <c r="GZ259" s="12">
        <f t="shared" si="160"/>
        <v>0</v>
      </c>
      <c r="HA259" s="12">
        <f t="shared" si="161"/>
        <v>0</v>
      </c>
      <c r="HB259" s="12">
        <f t="shared" si="162"/>
        <v>0</v>
      </c>
      <c r="HC259" s="12">
        <f t="shared" si="163"/>
        <v>0</v>
      </c>
      <c r="HD259" s="12">
        <f t="shared" si="164"/>
        <v>0</v>
      </c>
      <c r="HE259" s="12">
        <f t="shared" si="165"/>
        <v>0</v>
      </c>
      <c r="HF259" s="12">
        <f t="shared" si="166"/>
        <v>0</v>
      </c>
      <c r="HG259" s="12">
        <f t="shared" si="167"/>
        <v>0</v>
      </c>
      <c r="HH259" s="12">
        <f t="shared" si="168"/>
        <v>0</v>
      </c>
      <c r="HI259" s="12">
        <f t="shared" si="169"/>
        <v>0</v>
      </c>
      <c r="HJ259" s="12">
        <f t="shared" si="170"/>
        <v>0</v>
      </c>
      <c r="HK259" s="12">
        <f t="shared" si="171"/>
        <v>0</v>
      </c>
      <c r="HL259" s="12">
        <f t="shared" si="172"/>
        <v>0</v>
      </c>
      <c r="HM259" s="12">
        <f t="shared" si="173"/>
        <v>0</v>
      </c>
      <c r="HN259" s="12">
        <f t="shared" si="174"/>
        <v>0</v>
      </c>
      <c r="HO259" s="12">
        <f t="shared" si="175"/>
        <v>0</v>
      </c>
      <c r="HP259" s="12">
        <f t="shared" si="176"/>
        <v>0</v>
      </c>
      <c r="HQ259" s="12">
        <f t="shared" si="177"/>
        <v>0</v>
      </c>
      <c r="HR259" s="12">
        <f t="shared" si="178"/>
        <v>0</v>
      </c>
      <c r="HS259" s="12">
        <f t="shared" si="179"/>
        <v>0</v>
      </c>
      <c r="HT259" s="12">
        <f t="shared" si="180"/>
        <v>0</v>
      </c>
      <c r="HU259" s="12">
        <f t="shared" si="181"/>
        <v>0</v>
      </c>
      <c r="HV259" s="12">
        <f t="shared" si="182"/>
        <v>0</v>
      </c>
      <c r="HW259" s="12">
        <f t="shared" si="183"/>
        <v>0</v>
      </c>
      <c r="HX259" s="12">
        <f t="shared" si="184"/>
        <v>0</v>
      </c>
      <c r="HY259" s="12">
        <f t="shared" si="185"/>
        <v>0</v>
      </c>
      <c r="HZ259" s="12">
        <f t="shared" si="186"/>
        <v>0</v>
      </c>
      <c r="IA259" s="12">
        <f t="shared" si="187"/>
        <v>0</v>
      </c>
      <c r="IB259" s="12">
        <f t="shared" si="188"/>
        <v>0</v>
      </c>
      <c r="IC259" s="12">
        <f t="shared" si="189"/>
        <v>0</v>
      </c>
      <c r="ID259" s="12">
        <f t="shared" si="190"/>
        <v>0</v>
      </c>
      <c r="IE259" s="12">
        <f t="shared" si="191"/>
        <v>0</v>
      </c>
      <c r="IF259" s="12">
        <f t="shared" si="192"/>
        <v>0</v>
      </c>
      <c r="IG259" s="12">
        <f t="shared" si="193"/>
        <v>0</v>
      </c>
      <c r="IH259" s="12">
        <f t="shared" si="194"/>
        <v>0</v>
      </c>
      <c r="II259" s="12">
        <f t="shared" si="195"/>
        <v>0</v>
      </c>
      <c r="IJ259" s="12">
        <f t="shared" si="196"/>
        <v>0</v>
      </c>
      <c r="IK259" s="12">
        <f t="shared" si="197"/>
        <v>0</v>
      </c>
      <c r="IL259" s="12">
        <f t="shared" si="198"/>
        <v>0</v>
      </c>
      <c r="IM259" s="12">
        <f t="shared" si="199"/>
        <v>0</v>
      </c>
      <c r="IN259" s="12">
        <f t="shared" si="200"/>
        <v>0</v>
      </c>
      <c r="IO259" s="12">
        <f t="shared" si="201"/>
        <v>0</v>
      </c>
      <c r="IP259" s="12">
        <f t="shared" si="202"/>
        <v>0</v>
      </c>
      <c r="IQ259" s="12">
        <f t="shared" si="203"/>
        <v>0</v>
      </c>
      <c r="IR259" s="12">
        <f t="shared" si="204"/>
        <v>0</v>
      </c>
      <c r="IS259" s="12">
        <f t="shared" si="205"/>
        <v>0</v>
      </c>
      <c r="IT259" s="12">
        <f t="shared" si="206"/>
        <v>0</v>
      </c>
      <c r="IU259" s="12">
        <f t="shared" si="207"/>
        <v>0</v>
      </c>
      <c r="IV259" s="12">
        <f t="shared" si="208"/>
        <v>0</v>
      </c>
      <c r="IW259" s="12">
        <f t="shared" si="209"/>
        <v>0</v>
      </c>
      <c r="IX259" s="12">
        <f t="shared" si="210"/>
        <v>0</v>
      </c>
      <c r="IY259" s="12">
        <f t="shared" si="211"/>
        <v>0</v>
      </c>
      <c r="IZ259" s="12">
        <f t="shared" si="212"/>
        <v>0</v>
      </c>
      <c r="JA259" s="13">
        <f t="shared" si="213"/>
        <v>0</v>
      </c>
      <c r="JB259" s="13">
        <f t="shared" si="214"/>
        <v>0</v>
      </c>
      <c r="JC259" s="13">
        <f t="shared" si="215"/>
        <v>1</v>
      </c>
      <c r="JD259" s="13">
        <f t="shared" si="216"/>
        <v>0</v>
      </c>
      <c r="JE259" s="13">
        <f t="shared" si="217"/>
        <v>0</v>
      </c>
      <c r="JF259" s="13">
        <f t="shared" si="218"/>
        <v>0</v>
      </c>
      <c r="JG259" s="13">
        <f t="shared" si="219"/>
        <v>0</v>
      </c>
      <c r="JH259" s="13">
        <f t="shared" si="220"/>
        <v>0</v>
      </c>
      <c r="JI259" s="13">
        <f t="shared" si="221"/>
        <v>0</v>
      </c>
      <c r="JJ259" s="13">
        <f t="shared" si="222"/>
        <v>0</v>
      </c>
      <c r="JK259" s="13">
        <f t="shared" si="223"/>
        <v>0</v>
      </c>
      <c r="JL259" s="13">
        <f t="shared" si="224"/>
        <v>0</v>
      </c>
      <c r="JM259" s="13">
        <f t="shared" si="225"/>
        <v>0</v>
      </c>
      <c r="JN259" s="13">
        <f t="shared" si="226"/>
        <v>0</v>
      </c>
      <c r="JO259" s="13">
        <f t="shared" si="227"/>
        <v>0</v>
      </c>
      <c r="JP259" s="13">
        <f t="shared" si="228"/>
        <v>0</v>
      </c>
      <c r="JQ259" s="13">
        <f t="shared" si="229"/>
        <v>0</v>
      </c>
      <c r="JR259" s="13">
        <f t="shared" si="230"/>
        <v>0</v>
      </c>
      <c r="JS259" s="13">
        <f t="shared" si="231"/>
        <v>0</v>
      </c>
      <c r="JT259" s="13">
        <f t="shared" si="232"/>
        <v>0</v>
      </c>
      <c r="JU259" s="13">
        <f t="shared" si="233"/>
        <v>0</v>
      </c>
      <c r="JV259" s="12">
        <f t="shared" si="234"/>
        <v>0</v>
      </c>
      <c r="JW259" s="12">
        <f t="shared" si="235"/>
        <v>0</v>
      </c>
      <c r="JX259" s="12">
        <f t="shared" si="236"/>
        <v>0</v>
      </c>
      <c r="JY259" s="12">
        <f t="shared" si="237"/>
        <v>0</v>
      </c>
      <c r="JZ259" s="12">
        <f t="shared" si="238"/>
        <v>0</v>
      </c>
      <c r="KA259" s="12">
        <f t="shared" si="239"/>
        <v>0</v>
      </c>
      <c r="KB259" s="12">
        <f t="shared" si="240"/>
        <v>0</v>
      </c>
      <c r="KC259" s="12">
        <f t="shared" si="241"/>
        <v>0</v>
      </c>
      <c r="KD259" s="12">
        <f t="shared" si="797"/>
        <v>0</v>
      </c>
      <c r="KE259" s="12">
        <f t="shared" si="243"/>
        <v>0</v>
      </c>
      <c r="KF259" s="12">
        <f t="shared" si="244"/>
        <v>0</v>
      </c>
      <c r="KG259" s="12">
        <f t="shared" si="245"/>
        <v>0</v>
      </c>
      <c r="KH259" s="12">
        <f t="shared" si="246"/>
        <v>0</v>
      </c>
      <c r="KI259" s="12">
        <f t="shared" si="247"/>
        <v>0</v>
      </c>
      <c r="KJ259" s="12">
        <f t="shared" si="248"/>
        <v>0</v>
      </c>
      <c r="KK259" s="12">
        <f t="shared" si="249"/>
        <v>0</v>
      </c>
      <c r="KL259" s="12">
        <f t="shared" si="250"/>
        <v>0</v>
      </c>
      <c r="KM259" s="12">
        <f t="shared" si="251"/>
        <v>0</v>
      </c>
      <c r="KN259" s="12">
        <f t="shared" si="252"/>
        <v>0</v>
      </c>
      <c r="KO259" s="12">
        <f t="shared" si="253"/>
        <v>0</v>
      </c>
      <c r="KP259" s="12">
        <f t="shared" si="254"/>
        <v>0</v>
      </c>
      <c r="KQ259" s="12">
        <f t="shared" si="255"/>
        <v>0</v>
      </c>
      <c r="KR259" s="12">
        <f t="shared" si="256"/>
        <v>0</v>
      </c>
      <c r="KS259" s="12">
        <f t="shared" si="257"/>
        <v>0</v>
      </c>
      <c r="KT259" s="12">
        <f t="shared" si="258"/>
        <v>0</v>
      </c>
      <c r="KU259" s="12">
        <f t="shared" si="259"/>
        <v>0</v>
      </c>
      <c r="KV259" s="12">
        <f t="shared" si="260"/>
        <v>0</v>
      </c>
      <c r="KW259" s="12">
        <f t="shared" si="261"/>
        <v>0</v>
      </c>
      <c r="KX259" s="12">
        <f t="shared" si="262"/>
        <v>0</v>
      </c>
      <c r="KY259" s="12">
        <f t="shared" si="263"/>
        <v>0</v>
      </c>
      <c r="KZ259" s="12">
        <f t="shared" si="264"/>
        <v>0</v>
      </c>
      <c r="LA259" s="12">
        <f t="shared" si="265"/>
        <v>0</v>
      </c>
      <c r="LB259" s="12">
        <f t="shared" si="266"/>
        <v>0</v>
      </c>
      <c r="LC259" s="12">
        <f t="shared" si="267"/>
        <v>0</v>
      </c>
      <c r="LD259" s="12">
        <f t="shared" si="268"/>
        <v>0</v>
      </c>
      <c r="LE259" s="12">
        <f t="shared" si="269"/>
        <v>0</v>
      </c>
      <c r="LF259" s="12">
        <f t="shared" si="270"/>
        <v>0</v>
      </c>
      <c r="LG259" s="12">
        <f t="shared" si="271"/>
        <v>0</v>
      </c>
      <c r="LH259" s="12">
        <f t="shared" si="272"/>
        <v>0</v>
      </c>
      <c r="LI259" s="12">
        <f t="shared" si="273"/>
        <v>0</v>
      </c>
      <c r="LJ259" s="12">
        <f t="shared" si="274"/>
        <v>0</v>
      </c>
      <c r="LK259" s="12">
        <f t="shared" si="275"/>
        <v>0</v>
      </c>
      <c r="LL259" s="12">
        <f t="shared" si="276"/>
        <v>0</v>
      </c>
      <c r="LM259" s="12">
        <f t="shared" si="277"/>
        <v>0</v>
      </c>
      <c r="LN259" s="12">
        <f t="shared" si="278"/>
        <v>0</v>
      </c>
      <c r="LO259" s="12">
        <f t="shared" si="279"/>
        <v>0</v>
      </c>
      <c r="LP259" s="12">
        <f t="shared" si="280"/>
        <v>0</v>
      </c>
      <c r="LQ259" s="12">
        <f t="shared" si="281"/>
        <v>0</v>
      </c>
      <c r="LR259" s="12">
        <f t="shared" si="282"/>
        <v>0</v>
      </c>
      <c r="LS259" s="12">
        <f t="shared" si="283"/>
        <v>0</v>
      </c>
      <c r="LT259" s="13">
        <f t="shared" si="284"/>
        <v>0</v>
      </c>
      <c r="LU259" s="13">
        <f t="shared" si="285"/>
        <v>0</v>
      </c>
      <c r="LV259" s="13">
        <f t="shared" si="286"/>
        <v>1</v>
      </c>
      <c r="LW259" s="13">
        <f t="shared" si="287"/>
        <v>1</v>
      </c>
      <c r="LX259" s="13">
        <f t="shared" si="288"/>
        <v>0</v>
      </c>
      <c r="LY259" s="13">
        <f t="shared" si="289"/>
        <v>0</v>
      </c>
      <c r="LZ259" s="13">
        <f t="shared" si="290"/>
        <v>0</v>
      </c>
      <c r="MA259" s="13">
        <f t="shared" si="291"/>
        <v>0</v>
      </c>
      <c r="MB259" s="13">
        <f t="shared" si="292"/>
        <v>0</v>
      </c>
      <c r="MC259" s="13">
        <f t="shared" si="293"/>
        <v>0</v>
      </c>
      <c r="MD259" s="13">
        <f t="shared" si="294"/>
        <v>0</v>
      </c>
      <c r="ME259" s="13">
        <f t="shared" si="295"/>
        <v>0</v>
      </c>
      <c r="MF259" s="13">
        <f t="shared" si="296"/>
        <v>0</v>
      </c>
      <c r="MG259" s="13">
        <f t="shared" si="297"/>
        <v>0</v>
      </c>
      <c r="MH259" s="13">
        <f t="shared" si="298"/>
        <v>0</v>
      </c>
      <c r="MI259" s="13">
        <f t="shared" si="299"/>
        <v>0</v>
      </c>
      <c r="MJ259" s="13">
        <f t="shared" si="300"/>
        <v>0</v>
      </c>
      <c r="MK259" s="13">
        <f t="shared" si="301"/>
        <v>0</v>
      </c>
      <c r="ML259" s="14">
        <f t="shared" si="302"/>
        <v>0</v>
      </c>
      <c r="MM259" s="14">
        <f t="shared" si="303"/>
        <v>0</v>
      </c>
      <c r="MN259" s="14">
        <f t="shared" si="304"/>
        <v>0</v>
      </c>
      <c r="MO259" s="14">
        <f t="shared" si="305"/>
        <v>0</v>
      </c>
      <c r="MP259" s="14">
        <f t="shared" si="306"/>
        <v>0</v>
      </c>
      <c r="MQ259" s="14">
        <f t="shared" si="307"/>
        <v>0</v>
      </c>
      <c r="MR259" s="14">
        <f t="shared" si="308"/>
        <v>0</v>
      </c>
      <c r="MS259" s="14">
        <f t="shared" si="309"/>
        <v>0</v>
      </c>
      <c r="MT259" s="14">
        <f t="shared" si="310"/>
        <v>0</v>
      </c>
      <c r="MU259" s="14">
        <f t="shared" si="311"/>
        <v>0</v>
      </c>
      <c r="MV259" s="14">
        <f t="shared" si="312"/>
        <v>0</v>
      </c>
      <c r="MW259" s="14">
        <f t="shared" si="313"/>
        <v>0</v>
      </c>
      <c r="MX259" s="14">
        <f t="shared" si="314"/>
        <v>0</v>
      </c>
      <c r="MY259" s="14">
        <f t="shared" si="315"/>
        <v>1</v>
      </c>
      <c r="MZ259" s="14">
        <f t="shared" si="316"/>
        <v>0</v>
      </c>
      <c r="NA259" s="14">
        <f t="shared" si="317"/>
        <v>0</v>
      </c>
      <c r="NB259" s="14">
        <f t="shared" si="318"/>
        <v>0</v>
      </c>
    </row>
    <row r="260" ht="15.75" customHeight="1">
      <c r="A260" s="2">
        <v>568.0</v>
      </c>
      <c r="B260" s="2" t="s">
        <v>4623</v>
      </c>
      <c r="C260" s="2" t="s">
        <v>4624</v>
      </c>
      <c r="D260" s="2" t="s">
        <v>4625</v>
      </c>
      <c r="E260" s="2">
        <v>2022.0</v>
      </c>
      <c r="F260" s="2" t="s">
        <v>527</v>
      </c>
      <c r="G260" s="2">
        <v>12.0</v>
      </c>
      <c r="H260" s="2" t="s">
        <v>392</v>
      </c>
      <c r="I260" s="2" t="s">
        <v>4626</v>
      </c>
      <c r="N260" s="2" t="s">
        <v>4627</v>
      </c>
      <c r="O260" s="2" t="s">
        <v>4628</v>
      </c>
      <c r="P260" s="2" t="s">
        <v>4629</v>
      </c>
      <c r="Q260" s="2" t="s">
        <v>4630</v>
      </c>
      <c r="R260" s="2" t="s">
        <v>4631</v>
      </c>
      <c r="T260" s="2" t="s">
        <v>4632</v>
      </c>
      <c r="Y260" s="2" t="s">
        <v>4633</v>
      </c>
      <c r="AB260" s="2" t="s">
        <v>3128</v>
      </c>
      <c r="AG260" s="2" t="s">
        <v>537</v>
      </c>
      <c r="AJ260" s="2">
        <v>3.6289273E7</v>
      </c>
      <c r="AK260" s="2" t="s">
        <v>538</v>
      </c>
      <c r="AL260" s="2" t="s">
        <v>384</v>
      </c>
      <c r="AM260" s="2" t="s">
        <v>484</v>
      </c>
      <c r="AN260" s="2" t="s">
        <v>386</v>
      </c>
      <c r="AO260" s="2" t="s">
        <v>4634</v>
      </c>
      <c r="AP260" s="2" t="s">
        <v>386</v>
      </c>
      <c r="AQ260" s="2">
        <v>2189.0</v>
      </c>
      <c r="AR260" s="2" t="s">
        <v>4635</v>
      </c>
      <c r="AS260" s="2" t="b">
        <v>1</v>
      </c>
      <c r="AT260" s="3">
        <v>0.0</v>
      </c>
      <c r="AU260" s="4"/>
      <c r="AV260" s="4"/>
      <c r="AW260" s="5">
        <f t="shared" si="432"/>
        <v>0</v>
      </c>
      <c r="AX260" s="5">
        <f t="shared" si="4"/>
        <v>0</v>
      </c>
      <c r="AY260" s="5">
        <f t="shared" si="5"/>
        <v>0</v>
      </c>
      <c r="AZ260" s="5">
        <f t="shared" si="6"/>
        <v>0</v>
      </c>
      <c r="BA260" s="5">
        <f t="shared" si="7"/>
        <v>0</v>
      </c>
      <c r="BB260" s="5">
        <f t="shared" si="8"/>
        <v>0</v>
      </c>
      <c r="BC260" s="5">
        <f t="shared" si="9"/>
        <v>0</v>
      </c>
      <c r="BD260" s="5">
        <f t="shared" si="10"/>
        <v>0</v>
      </c>
      <c r="BE260" s="5">
        <f t="shared" si="11"/>
        <v>0</v>
      </c>
      <c r="BF260" s="5">
        <f t="shared" si="12"/>
        <v>0</v>
      </c>
      <c r="BG260" s="5">
        <f t="shared" si="13"/>
        <v>0</v>
      </c>
      <c r="BH260" s="5">
        <f t="shared" si="14"/>
        <v>0</v>
      </c>
      <c r="BI260" s="5">
        <f t="shared" si="15"/>
        <v>0</v>
      </c>
      <c r="BJ260" s="5">
        <f t="shared" si="16"/>
        <v>0</v>
      </c>
      <c r="BK260" s="5">
        <f t="shared" si="17"/>
        <v>0</v>
      </c>
      <c r="BL260" s="5">
        <f t="shared" si="18"/>
        <v>0</v>
      </c>
      <c r="BM260" s="5">
        <f t="shared" si="19"/>
        <v>0</v>
      </c>
      <c r="BN260" s="5">
        <f t="shared" si="20"/>
        <v>0</v>
      </c>
      <c r="BO260" s="5">
        <f t="shared" si="21"/>
        <v>0</v>
      </c>
      <c r="BP260" s="5">
        <f t="shared" si="22"/>
        <v>0</v>
      </c>
      <c r="BQ260" s="5">
        <f t="shared" si="23"/>
        <v>0</v>
      </c>
      <c r="BR260" s="5">
        <f t="shared" si="24"/>
        <v>0</v>
      </c>
      <c r="BS260" s="5">
        <f t="shared" si="25"/>
        <v>0</v>
      </c>
      <c r="BT260" s="5">
        <f t="shared" si="26"/>
        <v>1</v>
      </c>
      <c r="BU260" s="5">
        <f t="shared" si="27"/>
        <v>0</v>
      </c>
      <c r="BV260" s="5">
        <f t="shared" ref="BV260:BW260" si="883">IF(OR(ISNUMBER(SEARCH("grit",$D260)),ISNUMBER(SEARCH("grit",$T260)),ISNUMBER(SEARCH("grit",$R260)),ISNUMBER(SEARCH("grit",$S260)),
ISNUMBER(SEARCH("determination",$D260)),ISNUMBER(SEARCH("determination",$T260)),ISNUMBER(SEARCH("determination",$R260)),ISNUMBER(SEARCH("determination",$S260)),
ISNUMBER(SEARCH("tenacity",$D260)),ISNUMBER(SEARCH("tenacity",$T260)),ISNUMBER(SEARCH("tenacity",$R260)),ISNUMBER(SEARCH("tenacity",$S260)),
ISNUMBER(SEARCH("endurance",$D260)),ISNUMBER(SEARCH("endurance",$T260)),ISNUMBER(SEARCH("endurance",$R260)),ISNUMBER(SEARCH("endurance",$S260)),
ISNUMBER(SEARCH("fortitude",$D260)),ISNUMBER(SEARCH("fortitude",$T260)),ISNUMBER(SEARCH("fortitude",$R260)),ISNUMBER(SEARCH("fortitude",$S260)),
ISNUMBER(SEARCH("resolve",$D260)),ISNUMBER(SEARCH("resolve",$T260)),ISNUMBER(SEARCH("resolve",$R260)),ISNUMBER(SEARCH("resolve",$S260)),
ISNUMBER(SEARCH("stamina",$D260)),ISNUMBER(SEARCH("stamina",$T260)),ISNUMBER(SEARCH("stamina",$R260)),ISNUMBER(SEARCH("stamina",$S260)),
ISNUMBER(SEARCH("guts",$D260)),ISNUMBER(SEARCH("guts",$T260)),ISNUMBER(SEARCH("guts",$R260)),ISNUMBER(SEARCH("guts",$S260)),
ISNUMBER(SEARCH("spunk",$D260)),ISNUMBER(SEARCH("spunk",$T260)),ISNUMBER(SEARCH("spunk",$R260)),ISNUMBER(SEARCH("spunk",$S260))), 1, 0)</f>
        <v>0</v>
      </c>
      <c r="BW260" s="5">
        <f t="shared" si="883"/>
        <v>0</v>
      </c>
      <c r="BX260" s="5">
        <f t="shared" si="29"/>
        <v>0</v>
      </c>
      <c r="BY260" s="5">
        <f t="shared" si="30"/>
        <v>0</v>
      </c>
      <c r="BZ260" s="5">
        <f t="shared" si="31"/>
        <v>0</v>
      </c>
      <c r="CA260" s="5">
        <f t="shared" si="32"/>
        <v>0</v>
      </c>
      <c r="CB260" s="5">
        <f t="shared" si="33"/>
        <v>0</v>
      </c>
      <c r="CC260" s="5">
        <f t="shared" si="34"/>
        <v>0</v>
      </c>
      <c r="CD260" s="5">
        <f t="shared" si="35"/>
        <v>0</v>
      </c>
      <c r="CE260" s="5">
        <f t="shared" si="36"/>
        <v>0</v>
      </c>
      <c r="CF260" s="5">
        <f t="shared" si="37"/>
        <v>0</v>
      </c>
      <c r="CG260" s="5">
        <f t="shared" si="38"/>
        <v>0</v>
      </c>
      <c r="CH260" s="5">
        <f t="shared" si="39"/>
        <v>0</v>
      </c>
      <c r="CI260" s="5">
        <f t="shared" si="40"/>
        <v>0</v>
      </c>
      <c r="CJ260" s="5">
        <f t="shared" si="41"/>
        <v>0</v>
      </c>
      <c r="CK260" s="5">
        <f t="shared" si="42"/>
        <v>0</v>
      </c>
      <c r="CL260" s="5">
        <f t="shared" si="43"/>
        <v>0</v>
      </c>
      <c r="CM260" s="5">
        <f t="shared" si="44"/>
        <v>0</v>
      </c>
      <c r="CN260" s="5">
        <f t="shared" si="45"/>
        <v>0</v>
      </c>
      <c r="CO260" s="5">
        <f t="shared" si="46"/>
        <v>0</v>
      </c>
      <c r="CP260" s="6">
        <f t="shared" si="47"/>
        <v>0</v>
      </c>
      <c r="CQ260" s="6">
        <f t="shared" si="48"/>
        <v>0</v>
      </c>
      <c r="CR260" s="6">
        <f t="shared" si="49"/>
        <v>0</v>
      </c>
      <c r="CS260" s="6">
        <f t="shared" si="50"/>
        <v>0</v>
      </c>
      <c r="CT260" s="6">
        <f t="shared" si="584"/>
        <v>0</v>
      </c>
      <c r="CU260" s="6">
        <f t="shared" si="52"/>
        <v>0</v>
      </c>
      <c r="CV260" s="6">
        <f t="shared" si="53"/>
        <v>0</v>
      </c>
      <c r="CW260" s="6">
        <f t="shared" si="54"/>
        <v>0</v>
      </c>
      <c r="CX260" s="6">
        <f t="shared" si="55"/>
        <v>0</v>
      </c>
      <c r="CY260" s="6">
        <f t="shared" si="56"/>
        <v>0</v>
      </c>
      <c r="CZ260" s="6">
        <f t="shared" si="57"/>
        <v>0</v>
      </c>
      <c r="DA260" s="6">
        <f t="shared" si="58"/>
        <v>0</v>
      </c>
      <c r="DB260" s="6">
        <f t="shared" si="59"/>
        <v>1</v>
      </c>
      <c r="DC260" s="6">
        <f t="shared" si="60"/>
        <v>0</v>
      </c>
      <c r="DD260" s="6">
        <f t="shared" si="61"/>
        <v>0</v>
      </c>
      <c r="DE260" s="6">
        <f t="shared" si="62"/>
        <v>0</v>
      </c>
      <c r="DF260" s="6">
        <f t="shared" si="63"/>
        <v>0</v>
      </c>
      <c r="DG260" s="6">
        <f t="shared" si="64"/>
        <v>0</v>
      </c>
      <c r="DH260" s="6">
        <f t="shared" si="697"/>
        <v>0</v>
      </c>
      <c r="DI260" s="6">
        <f t="shared" si="66"/>
        <v>0</v>
      </c>
      <c r="DJ260" s="6">
        <f t="shared" si="653"/>
        <v>0</v>
      </c>
      <c r="DK260" s="7">
        <f t="shared" si="68"/>
        <v>0</v>
      </c>
      <c r="DL260" s="7">
        <f t="shared" si="498"/>
        <v>0</v>
      </c>
      <c r="DM260" s="7">
        <f t="shared" si="70"/>
        <v>0</v>
      </c>
      <c r="DN260" s="7">
        <f t="shared" si="71"/>
        <v>0</v>
      </c>
      <c r="DO260" s="7">
        <f t="shared" si="72"/>
        <v>0</v>
      </c>
      <c r="DP260" s="8">
        <f t="shared" si="73"/>
        <v>0</v>
      </c>
      <c r="DQ260" s="8">
        <f t="shared" si="74"/>
        <v>1</v>
      </c>
      <c r="DR260" s="7">
        <f t="shared" si="75"/>
        <v>0</v>
      </c>
      <c r="DS260" s="7">
        <f t="shared" si="76"/>
        <v>0</v>
      </c>
      <c r="DT260" s="7">
        <f t="shared" si="77"/>
        <v>0</v>
      </c>
      <c r="DU260" s="9">
        <f t="shared" si="78"/>
        <v>0</v>
      </c>
      <c r="DV260" s="9">
        <f t="shared" si="79"/>
        <v>0</v>
      </c>
      <c r="DW260" s="9">
        <f t="shared" si="80"/>
        <v>0</v>
      </c>
      <c r="DX260" s="9">
        <f t="shared" si="81"/>
        <v>0</v>
      </c>
      <c r="DY260" s="9">
        <f t="shared" si="82"/>
        <v>0</v>
      </c>
      <c r="DZ260" s="9">
        <f t="shared" si="83"/>
        <v>0</v>
      </c>
      <c r="EA260" s="9">
        <f t="shared" si="84"/>
        <v>0</v>
      </c>
      <c r="EB260" s="9">
        <f t="shared" si="85"/>
        <v>0</v>
      </c>
      <c r="EC260" s="9">
        <f t="shared" si="86"/>
        <v>0</v>
      </c>
      <c r="ED260" s="9">
        <f t="shared" si="87"/>
        <v>0</v>
      </c>
      <c r="EE260" s="9">
        <f t="shared" si="88"/>
        <v>0</v>
      </c>
      <c r="EF260" s="9">
        <f t="shared" si="89"/>
        <v>0</v>
      </c>
      <c r="EG260" s="9">
        <f t="shared" si="90"/>
        <v>0</v>
      </c>
      <c r="EH260" s="9">
        <f t="shared" si="91"/>
        <v>0</v>
      </c>
      <c r="EI260" s="9">
        <f t="shared" si="92"/>
        <v>0</v>
      </c>
      <c r="EJ260" s="10">
        <f t="shared" si="93"/>
        <v>0</v>
      </c>
      <c r="EK260" s="10">
        <f t="shared" si="94"/>
        <v>0</v>
      </c>
      <c r="EL260" s="10">
        <f t="shared" ref="EL260:EM260" si="884">IF(OR(ISNUMBER(SEARCH("ai software toolkit", $D260)), ISNUMBER(SEARCH("ai software toolkit", $T260)), ISNUMBER(SEARCH("ai software toolkit", $R260)), ISNUMBER(SEARCH("ai software toolkit", $S260))), 1, 0)</f>
        <v>0</v>
      </c>
      <c r="EM260" s="10">
        <f t="shared" si="884"/>
        <v>0</v>
      </c>
      <c r="EN260" s="10">
        <f t="shared" si="96"/>
        <v>0</v>
      </c>
      <c r="EO260" s="10">
        <f t="shared" si="97"/>
        <v>0</v>
      </c>
      <c r="EP260" s="10">
        <f t="shared" si="98"/>
        <v>0</v>
      </c>
      <c r="EQ260" s="10">
        <f t="shared" si="99"/>
        <v>0</v>
      </c>
      <c r="ER260" s="10">
        <f t="shared" si="100"/>
        <v>0</v>
      </c>
      <c r="ES260" s="10">
        <f t="shared" si="101"/>
        <v>0</v>
      </c>
      <c r="ET260" s="10">
        <f t="shared" si="102"/>
        <v>0</v>
      </c>
      <c r="EU260" s="10">
        <f t="shared" si="103"/>
        <v>0</v>
      </c>
      <c r="EV260" s="10">
        <f t="shared" si="104"/>
        <v>0</v>
      </c>
      <c r="EW260" s="10">
        <f t="shared" si="105"/>
        <v>0</v>
      </c>
      <c r="EX260" s="10">
        <f t="shared" si="106"/>
        <v>0</v>
      </c>
      <c r="EY260" s="10">
        <f t="shared" si="107"/>
        <v>0</v>
      </c>
      <c r="EZ260" s="10">
        <f t="shared" si="108"/>
        <v>0</v>
      </c>
      <c r="FA260" s="10">
        <f t="shared" si="109"/>
        <v>0</v>
      </c>
      <c r="FB260" s="10">
        <f t="shared" si="110"/>
        <v>0</v>
      </c>
      <c r="FC260" s="10">
        <f t="shared" si="111"/>
        <v>0</v>
      </c>
      <c r="FD260" s="10">
        <f t="shared" si="112"/>
        <v>0</v>
      </c>
      <c r="FE260" s="10">
        <f t="shared" si="880"/>
        <v>0</v>
      </c>
      <c r="FF260" s="10">
        <f t="shared" si="114"/>
        <v>0</v>
      </c>
      <c r="FG260" s="10">
        <f t="shared" si="115"/>
        <v>0</v>
      </c>
      <c r="FH260" s="10">
        <f t="shared" si="116"/>
        <v>0</v>
      </c>
      <c r="FI260" s="10">
        <f t="shared" si="117"/>
        <v>0</v>
      </c>
      <c r="FJ260" s="10">
        <f t="shared" si="118"/>
        <v>0</v>
      </c>
      <c r="FK260" s="10">
        <f t="shared" si="119"/>
        <v>0</v>
      </c>
      <c r="FL260" s="10">
        <f t="shared" si="120"/>
        <v>0</v>
      </c>
      <c r="FM260" s="10">
        <f t="shared" si="121"/>
        <v>0</v>
      </c>
      <c r="FN260" s="10">
        <f t="shared" si="122"/>
        <v>0</v>
      </c>
      <c r="FO260" s="10">
        <f t="shared" si="123"/>
        <v>0</v>
      </c>
      <c r="FP260" s="10">
        <f t="shared" si="124"/>
        <v>0</v>
      </c>
      <c r="FQ260" s="10">
        <f t="shared" si="125"/>
        <v>0</v>
      </c>
      <c r="FR260" s="11">
        <f t="shared" si="885"/>
        <v>0</v>
      </c>
      <c r="FS260" s="11">
        <f t="shared" si="127"/>
        <v>0</v>
      </c>
      <c r="FT260" s="11">
        <f t="shared" si="128"/>
        <v>0</v>
      </c>
      <c r="FU260" s="11">
        <f t="shared" si="129"/>
        <v>0</v>
      </c>
      <c r="FV260" s="11">
        <f t="shared" si="130"/>
        <v>0</v>
      </c>
      <c r="FW260" s="11">
        <f t="shared" si="131"/>
        <v>0</v>
      </c>
      <c r="FX260" s="11">
        <f t="shared" si="132"/>
        <v>0</v>
      </c>
      <c r="FY260" s="11">
        <f t="shared" si="133"/>
        <v>0</v>
      </c>
      <c r="FZ260" s="11">
        <f t="shared" si="134"/>
        <v>0</v>
      </c>
      <c r="GA260" s="11">
        <f t="shared" si="135"/>
        <v>0</v>
      </c>
      <c r="GB260" s="11">
        <f t="shared" si="136"/>
        <v>0</v>
      </c>
      <c r="GC260" s="11">
        <f t="shared" si="137"/>
        <v>0</v>
      </c>
      <c r="GD260" s="11">
        <f t="shared" si="138"/>
        <v>0</v>
      </c>
      <c r="GE260" s="11">
        <f t="shared" si="139"/>
        <v>0</v>
      </c>
      <c r="GF260" s="11">
        <f t="shared" si="140"/>
        <v>0</v>
      </c>
      <c r="GG260" s="11">
        <f t="shared" si="141"/>
        <v>0</v>
      </c>
      <c r="GH260" s="11">
        <f t="shared" si="142"/>
        <v>0</v>
      </c>
      <c r="GI260" s="11">
        <f t="shared" si="143"/>
        <v>0</v>
      </c>
      <c r="GJ260" s="11">
        <f t="shared" si="144"/>
        <v>0</v>
      </c>
      <c r="GK260" s="11">
        <f t="shared" si="145"/>
        <v>0</v>
      </c>
      <c r="GL260" s="11">
        <f t="shared" si="146"/>
        <v>0</v>
      </c>
      <c r="GM260" s="11">
        <f t="shared" si="147"/>
        <v>0</v>
      </c>
      <c r="GN260" s="11">
        <f t="shared" si="148"/>
        <v>0</v>
      </c>
      <c r="GO260" s="11">
        <f t="shared" si="149"/>
        <v>0</v>
      </c>
      <c r="GP260" s="11">
        <f t="shared" si="150"/>
        <v>0</v>
      </c>
      <c r="GQ260" s="11">
        <f t="shared" si="151"/>
        <v>0</v>
      </c>
      <c r="GR260" s="11">
        <f t="shared" si="152"/>
        <v>0</v>
      </c>
      <c r="GS260" s="11">
        <f t="shared" si="153"/>
        <v>0</v>
      </c>
      <c r="GT260" s="11">
        <f t="shared" si="154"/>
        <v>0</v>
      </c>
      <c r="GU260" s="12">
        <f t="shared" si="155"/>
        <v>0</v>
      </c>
      <c r="GV260" s="12">
        <f t="shared" si="156"/>
        <v>0</v>
      </c>
      <c r="GW260" s="12">
        <f t="shared" si="157"/>
        <v>0</v>
      </c>
      <c r="GX260" s="12">
        <f t="shared" si="158"/>
        <v>0</v>
      </c>
      <c r="GY260" s="12">
        <f t="shared" si="159"/>
        <v>0</v>
      </c>
      <c r="GZ260" s="12">
        <f t="shared" si="160"/>
        <v>0</v>
      </c>
      <c r="HA260" s="12">
        <f t="shared" si="161"/>
        <v>0</v>
      </c>
      <c r="HB260" s="12">
        <f t="shared" si="162"/>
        <v>0</v>
      </c>
      <c r="HC260" s="12">
        <f t="shared" si="163"/>
        <v>0</v>
      </c>
      <c r="HD260" s="12">
        <f t="shared" si="164"/>
        <v>0</v>
      </c>
      <c r="HE260" s="12">
        <f t="shared" si="165"/>
        <v>0</v>
      </c>
      <c r="HF260" s="12">
        <f t="shared" si="166"/>
        <v>0</v>
      </c>
      <c r="HG260" s="12">
        <f t="shared" si="167"/>
        <v>0</v>
      </c>
      <c r="HH260" s="12">
        <f t="shared" si="168"/>
        <v>0</v>
      </c>
      <c r="HI260" s="12">
        <f t="shared" si="169"/>
        <v>0</v>
      </c>
      <c r="HJ260" s="12">
        <f t="shared" si="170"/>
        <v>0</v>
      </c>
      <c r="HK260" s="12">
        <f t="shared" si="171"/>
        <v>0</v>
      </c>
      <c r="HL260" s="12">
        <f t="shared" si="172"/>
        <v>0</v>
      </c>
      <c r="HM260" s="12">
        <f t="shared" si="173"/>
        <v>0</v>
      </c>
      <c r="HN260" s="12">
        <f t="shared" si="174"/>
        <v>0</v>
      </c>
      <c r="HO260" s="12">
        <f t="shared" si="175"/>
        <v>0</v>
      </c>
      <c r="HP260" s="12">
        <f t="shared" si="176"/>
        <v>0</v>
      </c>
      <c r="HQ260" s="12">
        <f t="shared" si="177"/>
        <v>0</v>
      </c>
      <c r="HR260" s="12">
        <f t="shared" si="178"/>
        <v>0</v>
      </c>
      <c r="HS260" s="12">
        <f t="shared" si="179"/>
        <v>0</v>
      </c>
      <c r="HT260" s="12">
        <f t="shared" si="180"/>
        <v>0</v>
      </c>
      <c r="HU260" s="12">
        <f t="shared" si="181"/>
        <v>0</v>
      </c>
      <c r="HV260" s="12">
        <f t="shared" si="182"/>
        <v>0</v>
      </c>
      <c r="HW260" s="12">
        <f t="shared" si="183"/>
        <v>0</v>
      </c>
      <c r="HX260" s="12">
        <f t="shared" si="184"/>
        <v>0</v>
      </c>
      <c r="HY260" s="12">
        <f t="shared" si="185"/>
        <v>0</v>
      </c>
      <c r="HZ260" s="12">
        <f t="shared" si="186"/>
        <v>0</v>
      </c>
      <c r="IA260" s="12">
        <f t="shared" si="187"/>
        <v>0</v>
      </c>
      <c r="IB260" s="12">
        <f t="shared" si="188"/>
        <v>0</v>
      </c>
      <c r="IC260" s="12">
        <f t="shared" si="189"/>
        <v>0</v>
      </c>
      <c r="ID260" s="12">
        <f t="shared" si="190"/>
        <v>0</v>
      </c>
      <c r="IE260" s="12">
        <f t="shared" si="191"/>
        <v>0</v>
      </c>
      <c r="IF260" s="12">
        <f t="shared" si="192"/>
        <v>0</v>
      </c>
      <c r="IG260" s="12">
        <f t="shared" si="193"/>
        <v>0</v>
      </c>
      <c r="IH260" s="12">
        <f t="shared" si="194"/>
        <v>0</v>
      </c>
      <c r="II260" s="12">
        <f t="shared" si="195"/>
        <v>0</v>
      </c>
      <c r="IJ260" s="12">
        <f t="shared" si="196"/>
        <v>0</v>
      </c>
      <c r="IK260" s="12">
        <f t="shared" si="197"/>
        <v>0</v>
      </c>
      <c r="IL260" s="12">
        <f t="shared" si="198"/>
        <v>0</v>
      </c>
      <c r="IM260" s="12">
        <f t="shared" si="199"/>
        <v>0</v>
      </c>
      <c r="IN260" s="12">
        <f t="shared" si="200"/>
        <v>0</v>
      </c>
      <c r="IO260" s="12">
        <f t="shared" si="201"/>
        <v>0</v>
      </c>
      <c r="IP260" s="12">
        <f t="shared" si="202"/>
        <v>0</v>
      </c>
      <c r="IQ260" s="12">
        <f t="shared" si="203"/>
        <v>0</v>
      </c>
      <c r="IR260" s="12">
        <f t="shared" si="204"/>
        <v>0</v>
      </c>
      <c r="IS260" s="12">
        <f t="shared" si="205"/>
        <v>0</v>
      </c>
      <c r="IT260" s="12">
        <f t="shared" si="206"/>
        <v>0</v>
      </c>
      <c r="IU260" s="12">
        <f t="shared" si="207"/>
        <v>0</v>
      </c>
      <c r="IV260" s="12">
        <f t="shared" si="208"/>
        <v>0</v>
      </c>
      <c r="IW260" s="12">
        <f t="shared" si="209"/>
        <v>0</v>
      </c>
      <c r="IX260" s="12">
        <f t="shared" si="210"/>
        <v>0</v>
      </c>
      <c r="IY260" s="12">
        <f t="shared" si="211"/>
        <v>0</v>
      </c>
      <c r="IZ260" s="12">
        <f t="shared" si="212"/>
        <v>1</v>
      </c>
      <c r="JA260" s="13">
        <f t="shared" si="213"/>
        <v>0</v>
      </c>
      <c r="JB260" s="13">
        <f t="shared" si="214"/>
        <v>0</v>
      </c>
      <c r="JC260" s="13">
        <f t="shared" si="215"/>
        <v>0</v>
      </c>
      <c r="JD260" s="13">
        <f t="shared" si="216"/>
        <v>0</v>
      </c>
      <c r="JE260" s="13">
        <f t="shared" si="217"/>
        <v>0</v>
      </c>
      <c r="JF260" s="13">
        <f t="shared" si="218"/>
        <v>0</v>
      </c>
      <c r="JG260" s="13">
        <f t="shared" si="219"/>
        <v>0</v>
      </c>
      <c r="JH260" s="13">
        <f t="shared" si="220"/>
        <v>0</v>
      </c>
      <c r="JI260" s="13">
        <f t="shared" si="221"/>
        <v>0</v>
      </c>
      <c r="JJ260" s="13">
        <f t="shared" si="222"/>
        <v>0</v>
      </c>
      <c r="JK260" s="13">
        <f t="shared" si="223"/>
        <v>0</v>
      </c>
      <c r="JL260" s="13">
        <f t="shared" si="224"/>
        <v>0</v>
      </c>
      <c r="JM260" s="13">
        <f t="shared" si="225"/>
        <v>0</v>
      </c>
      <c r="JN260" s="13">
        <f t="shared" si="226"/>
        <v>0</v>
      </c>
      <c r="JO260" s="13">
        <f t="shared" si="227"/>
        <v>0</v>
      </c>
      <c r="JP260" s="13">
        <f t="shared" si="228"/>
        <v>0</v>
      </c>
      <c r="JQ260" s="13">
        <f t="shared" si="229"/>
        <v>0</v>
      </c>
      <c r="JR260" s="13">
        <f t="shared" si="230"/>
        <v>0</v>
      </c>
      <c r="JS260" s="13">
        <f t="shared" si="231"/>
        <v>0</v>
      </c>
      <c r="JT260" s="13">
        <f t="shared" si="232"/>
        <v>0</v>
      </c>
      <c r="JU260" s="13">
        <f t="shared" si="233"/>
        <v>0</v>
      </c>
      <c r="JV260" s="12">
        <f t="shared" si="234"/>
        <v>0</v>
      </c>
      <c r="JW260" s="12">
        <f t="shared" si="235"/>
        <v>0</v>
      </c>
      <c r="JX260" s="12">
        <f t="shared" si="236"/>
        <v>0</v>
      </c>
      <c r="JY260" s="12">
        <f t="shared" si="237"/>
        <v>0</v>
      </c>
      <c r="JZ260" s="12">
        <f t="shared" si="238"/>
        <v>0</v>
      </c>
      <c r="KA260" s="12">
        <f t="shared" si="239"/>
        <v>0</v>
      </c>
      <c r="KB260" s="12">
        <f t="shared" si="240"/>
        <v>0</v>
      </c>
      <c r="KC260" s="12">
        <f t="shared" si="241"/>
        <v>0</v>
      </c>
      <c r="KD260" s="12">
        <f t="shared" si="797"/>
        <v>0</v>
      </c>
      <c r="KE260" s="12">
        <f t="shared" si="243"/>
        <v>0</v>
      </c>
      <c r="KF260" s="12">
        <f t="shared" si="244"/>
        <v>0</v>
      </c>
      <c r="KG260" s="12">
        <f t="shared" si="245"/>
        <v>0</v>
      </c>
      <c r="KH260" s="12">
        <f t="shared" si="246"/>
        <v>0</v>
      </c>
      <c r="KI260" s="12">
        <f t="shared" si="247"/>
        <v>0</v>
      </c>
      <c r="KJ260" s="12">
        <f t="shared" si="248"/>
        <v>0</v>
      </c>
      <c r="KK260" s="12">
        <f t="shared" si="249"/>
        <v>0</v>
      </c>
      <c r="KL260" s="12">
        <f t="shared" si="250"/>
        <v>0</v>
      </c>
      <c r="KM260" s="12">
        <f t="shared" si="251"/>
        <v>0</v>
      </c>
      <c r="KN260" s="12">
        <f t="shared" si="252"/>
        <v>0</v>
      </c>
      <c r="KO260" s="12">
        <f t="shared" si="253"/>
        <v>0</v>
      </c>
      <c r="KP260" s="12">
        <f t="shared" si="254"/>
        <v>0</v>
      </c>
      <c r="KQ260" s="12">
        <f t="shared" si="255"/>
        <v>0</v>
      </c>
      <c r="KR260" s="12">
        <f t="shared" si="256"/>
        <v>0</v>
      </c>
      <c r="KS260" s="12">
        <f t="shared" si="257"/>
        <v>0</v>
      </c>
      <c r="KT260" s="12">
        <f t="shared" si="258"/>
        <v>0</v>
      </c>
      <c r="KU260" s="12">
        <f t="shared" si="259"/>
        <v>0</v>
      </c>
      <c r="KV260" s="12">
        <f t="shared" si="260"/>
        <v>0</v>
      </c>
      <c r="KW260" s="12">
        <f t="shared" si="261"/>
        <v>0</v>
      </c>
      <c r="KX260" s="12">
        <f t="shared" si="262"/>
        <v>0</v>
      </c>
      <c r="KY260" s="12">
        <f t="shared" si="263"/>
        <v>0</v>
      </c>
      <c r="KZ260" s="12">
        <f t="shared" si="264"/>
        <v>0</v>
      </c>
      <c r="LA260" s="12">
        <f t="shared" si="265"/>
        <v>0</v>
      </c>
      <c r="LB260" s="12">
        <f t="shared" si="266"/>
        <v>0</v>
      </c>
      <c r="LC260" s="12">
        <f t="shared" si="267"/>
        <v>0</v>
      </c>
      <c r="LD260" s="12">
        <f t="shared" si="268"/>
        <v>0</v>
      </c>
      <c r="LE260" s="12">
        <f t="shared" si="269"/>
        <v>0</v>
      </c>
      <c r="LF260" s="12">
        <f t="shared" si="270"/>
        <v>0</v>
      </c>
      <c r="LG260" s="12">
        <f t="shared" si="271"/>
        <v>0</v>
      </c>
      <c r="LH260" s="12">
        <f t="shared" si="272"/>
        <v>0</v>
      </c>
      <c r="LI260" s="12">
        <f t="shared" si="273"/>
        <v>0</v>
      </c>
      <c r="LJ260" s="12">
        <f t="shared" si="274"/>
        <v>0</v>
      </c>
      <c r="LK260" s="12">
        <f t="shared" si="275"/>
        <v>0</v>
      </c>
      <c r="LL260" s="12">
        <f t="shared" si="276"/>
        <v>0</v>
      </c>
      <c r="LM260" s="12">
        <f t="shared" si="277"/>
        <v>0</v>
      </c>
      <c r="LN260" s="12">
        <f t="shared" si="278"/>
        <v>0</v>
      </c>
      <c r="LO260" s="12">
        <f t="shared" si="279"/>
        <v>0</v>
      </c>
      <c r="LP260" s="12">
        <f t="shared" si="280"/>
        <v>0</v>
      </c>
      <c r="LQ260" s="12">
        <f t="shared" si="281"/>
        <v>0</v>
      </c>
      <c r="LR260" s="12">
        <f t="shared" si="282"/>
        <v>0</v>
      </c>
      <c r="LS260" s="12">
        <f t="shared" si="283"/>
        <v>0</v>
      </c>
      <c r="LT260" s="13">
        <f t="shared" si="284"/>
        <v>0</v>
      </c>
      <c r="LU260" s="13">
        <f t="shared" si="285"/>
        <v>0</v>
      </c>
      <c r="LV260" s="13">
        <f t="shared" si="286"/>
        <v>0</v>
      </c>
      <c r="LW260" s="13">
        <f t="shared" si="287"/>
        <v>0</v>
      </c>
      <c r="LX260" s="13">
        <f t="shared" si="288"/>
        <v>0</v>
      </c>
      <c r="LY260" s="13">
        <f t="shared" si="289"/>
        <v>0</v>
      </c>
      <c r="LZ260" s="13">
        <f t="shared" si="290"/>
        <v>0</v>
      </c>
      <c r="MA260" s="13">
        <f t="shared" si="291"/>
        <v>0</v>
      </c>
      <c r="MB260" s="13">
        <f t="shared" si="292"/>
        <v>0</v>
      </c>
      <c r="MC260" s="13">
        <f t="shared" si="293"/>
        <v>0</v>
      </c>
      <c r="MD260" s="13">
        <f t="shared" si="294"/>
        <v>0</v>
      </c>
      <c r="ME260" s="13">
        <f t="shared" si="295"/>
        <v>0</v>
      </c>
      <c r="MF260" s="13">
        <f t="shared" si="296"/>
        <v>0</v>
      </c>
      <c r="MG260" s="13">
        <f t="shared" si="297"/>
        <v>0</v>
      </c>
      <c r="MH260" s="13">
        <f t="shared" si="298"/>
        <v>0</v>
      </c>
      <c r="MI260" s="13">
        <f t="shared" si="299"/>
        <v>0</v>
      </c>
      <c r="MJ260" s="13">
        <f t="shared" si="300"/>
        <v>0</v>
      </c>
      <c r="MK260" s="13">
        <f t="shared" si="301"/>
        <v>0</v>
      </c>
      <c r="ML260" s="14">
        <f t="shared" si="302"/>
        <v>0</v>
      </c>
      <c r="MM260" s="14">
        <f t="shared" si="303"/>
        <v>0</v>
      </c>
      <c r="MN260" s="14">
        <f t="shared" si="304"/>
        <v>0</v>
      </c>
      <c r="MO260" s="14">
        <f t="shared" si="305"/>
        <v>0</v>
      </c>
      <c r="MP260" s="14">
        <f t="shared" si="306"/>
        <v>0</v>
      </c>
      <c r="MQ260" s="14">
        <f t="shared" si="307"/>
        <v>0</v>
      </c>
      <c r="MR260" s="14">
        <f t="shared" si="308"/>
        <v>0</v>
      </c>
      <c r="MS260" s="14">
        <f t="shared" si="309"/>
        <v>0</v>
      </c>
      <c r="MT260" s="14">
        <f t="shared" si="310"/>
        <v>0</v>
      </c>
      <c r="MU260" s="14">
        <f t="shared" si="311"/>
        <v>0</v>
      </c>
      <c r="MV260" s="14">
        <f t="shared" si="312"/>
        <v>0</v>
      </c>
      <c r="MW260" s="14">
        <f t="shared" si="313"/>
        <v>0</v>
      </c>
      <c r="MX260" s="14">
        <f t="shared" si="314"/>
        <v>0</v>
      </c>
      <c r="MY260" s="14">
        <f t="shared" si="315"/>
        <v>0</v>
      </c>
      <c r="MZ260" s="14">
        <f t="shared" si="316"/>
        <v>0</v>
      </c>
      <c r="NA260" s="14">
        <f t="shared" si="317"/>
        <v>0</v>
      </c>
      <c r="NB260" s="14">
        <f t="shared" si="318"/>
        <v>0</v>
      </c>
    </row>
    <row r="261" ht="15.75" customHeight="1">
      <c r="A261" s="2">
        <v>743.0</v>
      </c>
      <c r="B261" s="2" t="s">
        <v>4636</v>
      </c>
      <c r="C261" s="2" t="s">
        <v>4637</v>
      </c>
      <c r="D261" s="2" t="s">
        <v>4638</v>
      </c>
      <c r="E261" s="2">
        <v>2022.0</v>
      </c>
      <c r="F261" s="2" t="s">
        <v>779</v>
      </c>
      <c r="N261" s="2" t="s">
        <v>4639</v>
      </c>
      <c r="O261" s="2" t="s">
        <v>4640</v>
      </c>
      <c r="P261" s="2" t="s">
        <v>4641</v>
      </c>
      <c r="Q261" s="2" t="s">
        <v>4642</v>
      </c>
      <c r="R261" s="2" t="s">
        <v>4643</v>
      </c>
      <c r="S261" s="2" t="s">
        <v>4644</v>
      </c>
      <c r="T261" s="2" t="s">
        <v>4645</v>
      </c>
      <c r="AB261" s="2" t="s">
        <v>668</v>
      </c>
      <c r="AG261" s="2" t="s">
        <v>791</v>
      </c>
      <c r="AK261" s="2" t="s">
        <v>792</v>
      </c>
      <c r="AL261" s="2" t="s">
        <v>2966</v>
      </c>
      <c r="AN261" s="2" t="s">
        <v>386</v>
      </c>
      <c r="AO261" s="2" t="s">
        <v>4646</v>
      </c>
      <c r="AP261" s="2" t="s">
        <v>386</v>
      </c>
      <c r="AQ261" s="2">
        <v>2913.0</v>
      </c>
      <c r="AR261" s="2" t="s">
        <v>4647</v>
      </c>
      <c r="AS261" s="2" t="b">
        <v>0</v>
      </c>
      <c r="AT261" s="3">
        <v>0.0</v>
      </c>
      <c r="AU261" s="4"/>
      <c r="AV261" s="4"/>
      <c r="AW261" s="5">
        <f t="shared" si="432"/>
        <v>0</v>
      </c>
      <c r="AX261" s="5">
        <f t="shared" si="4"/>
        <v>0</v>
      </c>
      <c r="AY261" s="5">
        <f t="shared" si="5"/>
        <v>0</v>
      </c>
      <c r="AZ261" s="5">
        <f t="shared" si="6"/>
        <v>0</v>
      </c>
      <c r="BA261" s="5">
        <f t="shared" si="7"/>
        <v>0</v>
      </c>
      <c r="BB261" s="5">
        <f t="shared" si="8"/>
        <v>1</v>
      </c>
      <c r="BC261" s="5">
        <f t="shared" si="9"/>
        <v>0</v>
      </c>
      <c r="BD261" s="5">
        <f t="shared" si="10"/>
        <v>0</v>
      </c>
      <c r="BE261" s="5">
        <f t="shared" si="11"/>
        <v>0</v>
      </c>
      <c r="BF261" s="5">
        <f t="shared" si="12"/>
        <v>0</v>
      </c>
      <c r="BG261" s="5">
        <f t="shared" si="13"/>
        <v>0</v>
      </c>
      <c r="BH261" s="5">
        <f t="shared" si="14"/>
        <v>0</v>
      </c>
      <c r="BI261" s="5">
        <f t="shared" si="15"/>
        <v>0</v>
      </c>
      <c r="BJ261" s="5">
        <f t="shared" si="16"/>
        <v>0</v>
      </c>
      <c r="BK261" s="5">
        <f t="shared" si="17"/>
        <v>0</v>
      </c>
      <c r="BL261" s="5">
        <f t="shared" si="18"/>
        <v>0</v>
      </c>
      <c r="BM261" s="5">
        <f t="shared" si="19"/>
        <v>0</v>
      </c>
      <c r="BN261" s="5">
        <f t="shared" si="20"/>
        <v>0</v>
      </c>
      <c r="BO261" s="5">
        <f t="shared" si="21"/>
        <v>0</v>
      </c>
      <c r="BP261" s="5">
        <f t="shared" si="22"/>
        <v>0</v>
      </c>
      <c r="BQ261" s="5">
        <f t="shared" si="23"/>
        <v>0</v>
      </c>
      <c r="BR261" s="5">
        <f t="shared" si="24"/>
        <v>0</v>
      </c>
      <c r="BS261" s="5">
        <f t="shared" si="25"/>
        <v>0</v>
      </c>
      <c r="BT261" s="5">
        <f t="shared" si="26"/>
        <v>0</v>
      </c>
      <c r="BU261" s="5">
        <f t="shared" si="27"/>
        <v>0</v>
      </c>
      <c r="BV261" s="5">
        <f t="shared" ref="BV261:BW261" si="886">IF(OR(ISNUMBER(SEARCH("grit",$D261)),ISNUMBER(SEARCH("grit",$T261)),ISNUMBER(SEARCH("grit",$R261)),ISNUMBER(SEARCH("grit",$S261)),
ISNUMBER(SEARCH("determination",$D261)),ISNUMBER(SEARCH("determination",$T261)),ISNUMBER(SEARCH("determination",$R261)),ISNUMBER(SEARCH("determination",$S261)),
ISNUMBER(SEARCH("tenacity",$D261)),ISNUMBER(SEARCH("tenacity",$T261)),ISNUMBER(SEARCH("tenacity",$R261)),ISNUMBER(SEARCH("tenacity",$S261)),
ISNUMBER(SEARCH("endurance",$D261)),ISNUMBER(SEARCH("endurance",$T261)),ISNUMBER(SEARCH("endurance",$R261)),ISNUMBER(SEARCH("endurance",$S261)),
ISNUMBER(SEARCH("fortitude",$D261)),ISNUMBER(SEARCH("fortitude",$T261)),ISNUMBER(SEARCH("fortitude",$R261)),ISNUMBER(SEARCH("fortitude",$S261)),
ISNUMBER(SEARCH("resolve",$D261)),ISNUMBER(SEARCH("resolve",$T261)),ISNUMBER(SEARCH("resolve",$R261)),ISNUMBER(SEARCH("resolve",$S261)),
ISNUMBER(SEARCH("stamina",$D261)),ISNUMBER(SEARCH("stamina",$T261)),ISNUMBER(SEARCH("stamina",$R261)),ISNUMBER(SEARCH("stamina",$S261)),
ISNUMBER(SEARCH("guts",$D261)),ISNUMBER(SEARCH("guts",$T261)),ISNUMBER(SEARCH("guts",$R261)),ISNUMBER(SEARCH("guts",$S261)),
ISNUMBER(SEARCH("spunk",$D261)),ISNUMBER(SEARCH("spunk",$T261)),ISNUMBER(SEARCH("spunk",$R261)),ISNUMBER(SEARCH("spunk",$S261))), 1, 0)</f>
        <v>0</v>
      </c>
      <c r="BW261" s="5">
        <f t="shared" si="886"/>
        <v>0</v>
      </c>
      <c r="BX261" s="5">
        <f t="shared" si="29"/>
        <v>0</v>
      </c>
      <c r="BY261" s="5">
        <f t="shared" si="30"/>
        <v>0</v>
      </c>
      <c r="BZ261" s="5">
        <f t="shared" si="31"/>
        <v>0</v>
      </c>
      <c r="CA261" s="5">
        <f t="shared" si="32"/>
        <v>0</v>
      </c>
      <c r="CB261" s="5">
        <f t="shared" si="33"/>
        <v>0</v>
      </c>
      <c r="CC261" s="5">
        <f t="shared" si="34"/>
        <v>0</v>
      </c>
      <c r="CD261" s="5">
        <f t="shared" si="35"/>
        <v>0</v>
      </c>
      <c r="CE261" s="5">
        <f t="shared" si="36"/>
        <v>0</v>
      </c>
      <c r="CF261" s="5">
        <f t="shared" si="37"/>
        <v>0</v>
      </c>
      <c r="CG261" s="5">
        <f t="shared" si="38"/>
        <v>0</v>
      </c>
      <c r="CH261" s="5">
        <f t="shared" si="39"/>
        <v>0</v>
      </c>
      <c r="CI261" s="5">
        <f t="shared" si="40"/>
        <v>0</v>
      </c>
      <c r="CJ261" s="5">
        <f t="shared" si="41"/>
        <v>0</v>
      </c>
      <c r="CK261" s="5">
        <f t="shared" si="42"/>
        <v>1</v>
      </c>
      <c r="CL261" s="5">
        <f t="shared" si="43"/>
        <v>0</v>
      </c>
      <c r="CM261" s="5">
        <f t="shared" si="44"/>
        <v>0</v>
      </c>
      <c r="CN261" s="5">
        <f t="shared" si="45"/>
        <v>0</v>
      </c>
      <c r="CO261" s="5">
        <f t="shared" si="46"/>
        <v>0</v>
      </c>
      <c r="CP261" s="6">
        <f t="shared" si="47"/>
        <v>0</v>
      </c>
      <c r="CQ261" s="6">
        <f t="shared" si="48"/>
        <v>0</v>
      </c>
      <c r="CR261" s="6">
        <f t="shared" si="49"/>
        <v>0</v>
      </c>
      <c r="CS261" s="6">
        <f t="shared" si="50"/>
        <v>0</v>
      </c>
      <c r="CT261" s="6">
        <f t="shared" si="584"/>
        <v>0</v>
      </c>
      <c r="CU261" s="6">
        <f t="shared" si="52"/>
        <v>0</v>
      </c>
      <c r="CV261" s="6">
        <f t="shared" si="53"/>
        <v>0</v>
      </c>
      <c r="CW261" s="6">
        <f t="shared" si="54"/>
        <v>0</v>
      </c>
      <c r="CX261" s="6">
        <f t="shared" si="55"/>
        <v>0</v>
      </c>
      <c r="CY261" s="6">
        <f t="shared" si="56"/>
        <v>0</v>
      </c>
      <c r="CZ261" s="6">
        <f t="shared" si="57"/>
        <v>0</v>
      </c>
      <c r="DA261" s="6">
        <f t="shared" si="58"/>
        <v>1</v>
      </c>
      <c r="DB261" s="6">
        <f t="shared" si="59"/>
        <v>0</v>
      </c>
      <c r="DC261" s="6">
        <f t="shared" si="60"/>
        <v>0</v>
      </c>
      <c r="DD261" s="6">
        <f t="shared" si="61"/>
        <v>0</v>
      </c>
      <c r="DE261" s="6">
        <f t="shared" si="62"/>
        <v>0</v>
      </c>
      <c r="DF261" s="6">
        <f t="shared" si="63"/>
        <v>0</v>
      </c>
      <c r="DG261" s="6">
        <f t="shared" si="64"/>
        <v>0</v>
      </c>
      <c r="DH261" s="6">
        <f t="shared" si="697"/>
        <v>0</v>
      </c>
      <c r="DI261" s="6">
        <f t="shared" si="66"/>
        <v>0</v>
      </c>
      <c r="DJ261" s="6">
        <f t="shared" si="653"/>
        <v>0</v>
      </c>
      <c r="DK261" s="7">
        <f t="shared" si="68"/>
        <v>0</v>
      </c>
      <c r="DL261" s="7">
        <f t="shared" si="498"/>
        <v>0</v>
      </c>
      <c r="DM261" s="7">
        <f t="shared" si="70"/>
        <v>0</v>
      </c>
      <c r="DN261" s="7">
        <f t="shared" si="71"/>
        <v>0</v>
      </c>
      <c r="DO261" s="7">
        <f t="shared" si="72"/>
        <v>0</v>
      </c>
      <c r="DP261" s="8">
        <f t="shared" si="73"/>
        <v>0</v>
      </c>
      <c r="DQ261" s="8">
        <f t="shared" si="74"/>
        <v>1</v>
      </c>
      <c r="DR261" s="7">
        <f t="shared" si="75"/>
        <v>0</v>
      </c>
      <c r="DS261" s="7">
        <f t="shared" si="76"/>
        <v>0</v>
      </c>
      <c r="DT261" s="7">
        <f t="shared" si="77"/>
        <v>1</v>
      </c>
      <c r="DU261" s="9">
        <f t="shared" si="78"/>
        <v>0</v>
      </c>
      <c r="DV261" s="9">
        <f t="shared" si="79"/>
        <v>0</v>
      </c>
      <c r="DW261" s="9">
        <f t="shared" si="80"/>
        <v>0</v>
      </c>
      <c r="DX261" s="9">
        <f t="shared" si="81"/>
        <v>0</v>
      </c>
      <c r="DY261" s="9">
        <f t="shared" si="82"/>
        <v>0</v>
      </c>
      <c r="DZ261" s="9">
        <f t="shared" si="83"/>
        <v>0</v>
      </c>
      <c r="EA261" s="9">
        <f t="shared" si="84"/>
        <v>0</v>
      </c>
      <c r="EB261" s="9">
        <f t="shared" si="85"/>
        <v>0</v>
      </c>
      <c r="EC261" s="9">
        <f t="shared" si="86"/>
        <v>0</v>
      </c>
      <c r="ED261" s="9">
        <f t="shared" si="87"/>
        <v>0</v>
      </c>
      <c r="EE261" s="9">
        <f t="shared" si="88"/>
        <v>0</v>
      </c>
      <c r="EF261" s="9">
        <f t="shared" si="89"/>
        <v>0</v>
      </c>
      <c r="EG261" s="9">
        <f t="shared" si="90"/>
        <v>0</v>
      </c>
      <c r="EH261" s="9">
        <f t="shared" si="91"/>
        <v>0</v>
      </c>
      <c r="EI261" s="9">
        <f t="shared" si="92"/>
        <v>0</v>
      </c>
      <c r="EJ261" s="10">
        <f t="shared" si="93"/>
        <v>0</v>
      </c>
      <c r="EK261" s="10">
        <f t="shared" si="94"/>
        <v>0</v>
      </c>
      <c r="EL261" s="10">
        <f t="shared" ref="EL261:EM261" si="887">IF(OR(ISNUMBER(SEARCH("ai software toolkit", $D261)), ISNUMBER(SEARCH("ai software toolkit", $T261)), ISNUMBER(SEARCH("ai software toolkit", $R261)), ISNUMBER(SEARCH("ai software toolkit", $S261))), 1, 0)</f>
        <v>0</v>
      </c>
      <c r="EM261" s="10">
        <f t="shared" si="887"/>
        <v>0</v>
      </c>
      <c r="EN261" s="10">
        <f t="shared" si="96"/>
        <v>0</v>
      </c>
      <c r="EO261" s="10">
        <f t="shared" si="97"/>
        <v>0</v>
      </c>
      <c r="EP261" s="10">
        <f t="shared" si="98"/>
        <v>0</v>
      </c>
      <c r="EQ261" s="10">
        <f t="shared" si="99"/>
        <v>0</v>
      </c>
      <c r="ER261" s="10">
        <f t="shared" si="100"/>
        <v>0</v>
      </c>
      <c r="ES261" s="10">
        <f t="shared" si="101"/>
        <v>0</v>
      </c>
      <c r="ET261" s="10">
        <f t="shared" si="102"/>
        <v>0</v>
      </c>
      <c r="EU261" s="10">
        <f t="shared" si="103"/>
        <v>0</v>
      </c>
      <c r="EV261" s="10">
        <f t="shared" si="104"/>
        <v>0</v>
      </c>
      <c r="EW261" s="10">
        <f t="shared" si="105"/>
        <v>0</v>
      </c>
      <c r="EX261" s="10">
        <f t="shared" si="106"/>
        <v>0</v>
      </c>
      <c r="EY261" s="10">
        <f t="shared" si="107"/>
        <v>0</v>
      </c>
      <c r="EZ261" s="10">
        <f t="shared" si="108"/>
        <v>0</v>
      </c>
      <c r="FA261" s="10">
        <f t="shared" si="109"/>
        <v>0</v>
      </c>
      <c r="FB261" s="10">
        <f t="shared" si="110"/>
        <v>0</v>
      </c>
      <c r="FC261" s="10">
        <f t="shared" si="111"/>
        <v>0</v>
      </c>
      <c r="FD261" s="10">
        <f t="shared" si="112"/>
        <v>0</v>
      </c>
      <c r="FE261" s="10">
        <f t="shared" si="880"/>
        <v>0</v>
      </c>
      <c r="FF261" s="10">
        <f t="shared" si="114"/>
        <v>0</v>
      </c>
      <c r="FG261" s="10">
        <f t="shared" si="115"/>
        <v>0</v>
      </c>
      <c r="FH261" s="10">
        <f t="shared" si="116"/>
        <v>0</v>
      </c>
      <c r="FI261" s="10">
        <f t="shared" si="117"/>
        <v>0</v>
      </c>
      <c r="FJ261" s="10">
        <f t="shared" si="118"/>
        <v>0</v>
      </c>
      <c r="FK261" s="10">
        <f t="shared" si="119"/>
        <v>0</v>
      </c>
      <c r="FL261" s="10">
        <f t="shared" si="120"/>
        <v>0</v>
      </c>
      <c r="FM261" s="10">
        <f t="shared" si="121"/>
        <v>0</v>
      </c>
      <c r="FN261" s="10">
        <f t="shared" si="122"/>
        <v>0</v>
      </c>
      <c r="FO261" s="10">
        <f t="shared" si="123"/>
        <v>0</v>
      </c>
      <c r="FP261" s="10">
        <f t="shared" si="124"/>
        <v>0</v>
      </c>
      <c r="FQ261" s="10">
        <f t="shared" si="125"/>
        <v>0</v>
      </c>
      <c r="FR261" s="11">
        <f t="shared" si="885"/>
        <v>0</v>
      </c>
      <c r="FS261" s="11">
        <f t="shared" si="127"/>
        <v>0</v>
      </c>
      <c r="FT261" s="11">
        <f t="shared" si="128"/>
        <v>0</v>
      </c>
      <c r="FU261" s="11">
        <f t="shared" si="129"/>
        <v>0</v>
      </c>
      <c r="FV261" s="11">
        <f t="shared" si="130"/>
        <v>0</v>
      </c>
      <c r="FW261" s="11">
        <f t="shared" si="131"/>
        <v>0</v>
      </c>
      <c r="FX261" s="11">
        <f t="shared" si="132"/>
        <v>0</v>
      </c>
      <c r="FY261" s="11">
        <f t="shared" si="133"/>
        <v>0</v>
      </c>
      <c r="FZ261" s="11">
        <f t="shared" si="134"/>
        <v>1</v>
      </c>
      <c r="GA261" s="11">
        <f t="shared" si="135"/>
        <v>0</v>
      </c>
      <c r="GB261" s="11">
        <f t="shared" si="136"/>
        <v>0</v>
      </c>
      <c r="GC261" s="11">
        <f t="shared" si="137"/>
        <v>0</v>
      </c>
      <c r="GD261" s="11">
        <f t="shared" si="138"/>
        <v>0</v>
      </c>
      <c r="GE261" s="11">
        <f t="shared" si="139"/>
        <v>0</v>
      </c>
      <c r="GF261" s="11">
        <f t="shared" si="140"/>
        <v>0</v>
      </c>
      <c r="GG261" s="11">
        <f t="shared" si="141"/>
        <v>0</v>
      </c>
      <c r="GH261" s="11">
        <f t="shared" si="142"/>
        <v>0</v>
      </c>
      <c r="GI261" s="11">
        <f t="shared" si="143"/>
        <v>0</v>
      </c>
      <c r="GJ261" s="11">
        <f t="shared" si="144"/>
        <v>0</v>
      </c>
      <c r="GK261" s="11">
        <f t="shared" si="145"/>
        <v>0</v>
      </c>
      <c r="GL261" s="11">
        <f t="shared" si="146"/>
        <v>0</v>
      </c>
      <c r="GM261" s="11">
        <f t="shared" si="147"/>
        <v>0</v>
      </c>
      <c r="GN261" s="11">
        <f t="shared" si="148"/>
        <v>0</v>
      </c>
      <c r="GO261" s="11">
        <f t="shared" si="149"/>
        <v>0</v>
      </c>
      <c r="GP261" s="11">
        <f t="shared" si="150"/>
        <v>0</v>
      </c>
      <c r="GQ261" s="11">
        <f t="shared" si="151"/>
        <v>0</v>
      </c>
      <c r="GR261" s="11">
        <f t="shared" si="152"/>
        <v>0</v>
      </c>
      <c r="GS261" s="11">
        <f t="shared" si="153"/>
        <v>0</v>
      </c>
      <c r="GT261" s="11">
        <f t="shared" si="154"/>
        <v>1</v>
      </c>
      <c r="GU261" s="12">
        <f t="shared" si="155"/>
        <v>0</v>
      </c>
      <c r="GV261" s="12">
        <f t="shared" si="156"/>
        <v>0</v>
      </c>
      <c r="GW261" s="12">
        <f t="shared" si="157"/>
        <v>0</v>
      </c>
      <c r="GX261" s="12">
        <f t="shared" si="158"/>
        <v>0</v>
      </c>
      <c r="GY261" s="12">
        <f t="shared" si="159"/>
        <v>0</v>
      </c>
      <c r="GZ261" s="12">
        <f t="shared" si="160"/>
        <v>0</v>
      </c>
      <c r="HA261" s="12">
        <f t="shared" si="161"/>
        <v>0</v>
      </c>
      <c r="HB261" s="12">
        <f t="shared" si="162"/>
        <v>0</v>
      </c>
      <c r="HC261" s="12">
        <f t="shared" si="163"/>
        <v>0</v>
      </c>
      <c r="HD261" s="12">
        <f t="shared" si="164"/>
        <v>0</v>
      </c>
      <c r="HE261" s="12">
        <f t="shared" si="165"/>
        <v>0</v>
      </c>
      <c r="HF261" s="12">
        <f t="shared" si="166"/>
        <v>0</v>
      </c>
      <c r="HG261" s="12">
        <f t="shared" si="167"/>
        <v>0</v>
      </c>
      <c r="HH261" s="12">
        <f t="shared" si="168"/>
        <v>0</v>
      </c>
      <c r="HI261" s="12">
        <f t="shared" si="169"/>
        <v>0</v>
      </c>
      <c r="HJ261" s="12">
        <f t="shared" si="170"/>
        <v>0</v>
      </c>
      <c r="HK261" s="12">
        <f t="shared" si="171"/>
        <v>0</v>
      </c>
      <c r="HL261" s="12">
        <f t="shared" si="172"/>
        <v>0</v>
      </c>
      <c r="HM261" s="12">
        <f t="shared" si="173"/>
        <v>0</v>
      </c>
      <c r="HN261" s="12">
        <f t="shared" si="174"/>
        <v>0</v>
      </c>
      <c r="HO261" s="12">
        <f t="shared" si="175"/>
        <v>0</v>
      </c>
      <c r="HP261" s="12">
        <f t="shared" si="176"/>
        <v>0</v>
      </c>
      <c r="HQ261" s="12">
        <f t="shared" si="177"/>
        <v>0</v>
      </c>
      <c r="HR261" s="12">
        <f t="shared" si="178"/>
        <v>0</v>
      </c>
      <c r="HS261" s="12">
        <f t="shared" si="179"/>
        <v>0</v>
      </c>
      <c r="HT261" s="12">
        <f t="shared" si="180"/>
        <v>0</v>
      </c>
      <c r="HU261" s="12">
        <f t="shared" si="181"/>
        <v>0</v>
      </c>
      <c r="HV261" s="12">
        <f t="shared" si="182"/>
        <v>0</v>
      </c>
      <c r="HW261" s="12">
        <f t="shared" si="183"/>
        <v>0</v>
      </c>
      <c r="HX261" s="12">
        <f t="shared" si="184"/>
        <v>0</v>
      </c>
      <c r="HY261" s="12">
        <f t="shared" si="185"/>
        <v>0</v>
      </c>
      <c r="HZ261" s="12">
        <f t="shared" si="186"/>
        <v>0</v>
      </c>
      <c r="IA261" s="12">
        <f t="shared" si="187"/>
        <v>0</v>
      </c>
      <c r="IB261" s="12">
        <f t="shared" si="188"/>
        <v>0</v>
      </c>
      <c r="IC261" s="12">
        <f t="shared" si="189"/>
        <v>0</v>
      </c>
      <c r="ID261" s="12">
        <f t="shared" si="190"/>
        <v>0</v>
      </c>
      <c r="IE261" s="12">
        <f t="shared" si="191"/>
        <v>0</v>
      </c>
      <c r="IF261" s="12">
        <f t="shared" si="192"/>
        <v>0</v>
      </c>
      <c r="IG261" s="12">
        <f t="shared" si="193"/>
        <v>0</v>
      </c>
      <c r="IH261" s="12">
        <f t="shared" si="194"/>
        <v>0</v>
      </c>
      <c r="II261" s="12">
        <f t="shared" si="195"/>
        <v>0</v>
      </c>
      <c r="IJ261" s="12">
        <f t="shared" si="196"/>
        <v>0</v>
      </c>
      <c r="IK261" s="12">
        <f t="shared" si="197"/>
        <v>0</v>
      </c>
      <c r="IL261" s="12">
        <f t="shared" si="198"/>
        <v>0</v>
      </c>
      <c r="IM261" s="12">
        <f t="shared" si="199"/>
        <v>0</v>
      </c>
      <c r="IN261" s="12">
        <f t="shared" si="200"/>
        <v>0</v>
      </c>
      <c r="IO261" s="12">
        <f t="shared" si="201"/>
        <v>0</v>
      </c>
      <c r="IP261" s="12">
        <f t="shared" si="202"/>
        <v>0</v>
      </c>
      <c r="IQ261" s="12">
        <f t="shared" si="203"/>
        <v>0</v>
      </c>
      <c r="IR261" s="12">
        <f t="shared" si="204"/>
        <v>0</v>
      </c>
      <c r="IS261" s="12">
        <f t="shared" si="205"/>
        <v>0</v>
      </c>
      <c r="IT261" s="12">
        <f t="shared" si="206"/>
        <v>0</v>
      </c>
      <c r="IU261" s="12">
        <f t="shared" si="207"/>
        <v>0</v>
      </c>
      <c r="IV261" s="12">
        <f t="shared" si="208"/>
        <v>0</v>
      </c>
      <c r="IW261" s="12">
        <f t="shared" si="209"/>
        <v>0</v>
      </c>
      <c r="IX261" s="12">
        <f t="shared" si="210"/>
        <v>0</v>
      </c>
      <c r="IY261" s="12">
        <f t="shared" si="211"/>
        <v>0</v>
      </c>
      <c r="IZ261" s="12">
        <f t="shared" si="212"/>
        <v>0</v>
      </c>
      <c r="JA261" s="13">
        <f t="shared" si="213"/>
        <v>0</v>
      </c>
      <c r="JB261" s="13">
        <f t="shared" si="214"/>
        <v>0</v>
      </c>
      <c r="JC261" s="13">
        <f t="shared" si="215"/>
        <v>1</v>
      </c>
      <c r="JD261" s="13">
        <f t="shared" si="216"/>
        <v>0</v>
      </c>
      <c r="JE261" s="13">
        <f t="shared" si="217"/>
        <v>0</v>
      </c>
      <c r="JF261" s="13">
        <f t="shared" si="218"/>
        <v>0</v>
      </c>
      <c r="JG261" s="13">
        <f t="shared" si="219"/>
        <v>0</v>
      </c>
      <c r="JH261" s="13">
        <f t="shared" si="220"/>
        <v>0</v>
      </c>
      <c r="JI261" s="13">
        <f t="shared" si="221"/>
        <v>0</v>
      </c>
      <c r="JJ261" s="13">
        <f t="shared" si="222"/>
        <v>0</v>
      </c>
      <c r="JK261" s="13">
        <f t="shared" si="223"/>
        <v>0</v>
      </c>
      <c r="JL261" s="13">
        <f t="shared" si="224"/>
        <v>0</v>
      </c>
      <c r="JM261" s="13">
        <f t="shared" si="225"/>
        <v>0</v>
      </c>
      <c r="JN261" s="13">
        <f t="shared" si="226"/>
        <v>0</v>
      </c>
      <c r="JO261" s="13">
        <f t="shared" si="227"/>
        <v>0</v>
      </c>
      <c r="JP261" s="13">
        <f t="shared" si="228"/>
        <v>0</v>
      </c>
      <c r="JQ261" s="13">
        <f t="shared" si="229"/>
        <v>0</v>
      </c>
      <c r="JR261" s="13">
        <f t="shared" si="230"/>
        <v>0</v>
      </c>
      <c r="JS261" s="13">
        <f t="shared" si="231"/>
        <v>0</v>
      </c>
      <c r="JT261" s="13">
        <f t="shared" si="232"/>
        <v>0</v>
      </c>
      <c r="JU261" s="13">
        <f t="shared" si="233"/>
        <v>0</v>
      </c>
      <c r="JV261" s="12">
        <f t="shared" si="234"/>
        <v>0</v>
      </c>
      <c r="JW261" s="12">
        <f t="shared" si="235"/>
        <v>0</v>
      </c>
      <c r="JX261" s="12">
        <f t="shared" si="236"/>
        <v>0</v>
      </c>
      <c r="JY261" s="12">
        <f t="shared" si="237"/>
        <v>0</v>
      </c>
      <c r="JZ261" s="12">
        <f t="shared" si="238"/>
        <v>0</v>
      </c>
      <c r="KA261" s="12">
        <f t="shared" si="239"/>
        <v>0</v>
      </c>
      <c r="KB261" s="12">
        <f t="shared" si="240"/>
        <v>0</v>
      </c>
      <c r="KC261" s="12">
        <f t="shared" si="241"/>
        <v>0</v>
      </c>
      <c r="KD261" s="12">
        <f t="shared" si="797"/>
        <v>0</v>
      </c>
      <c r="KE261" s="12">
        <f t="shared" si="243"/>
        <v>0</v>
      </c>
      <c r="KF261" s="12">
        <f t="shared" si="244"/>
        <v>0</v>
      </c>
      <c r="KG261" s="12">
        <f t="shared" si="245"/>
        <v>0</v>
      </c>
      <c r="KH261" s="12">
        <f t="shared" si="246"/>
        <v>0</v>
      </c>
      <c r="KI261" s="12">
        <f t="shared" si="247"/>
        <v>0</v>
      </c>
      <c r="KJ261" s="12">
        <f t="shared" si="248"/>
        <v>0</v>
      </c>
      <c r="KK261" s="12">
        <f t="shared" si="249"/>
        <v>0</v>
      </c>
      <c r="KL261" s="12">
        <f t="shared" si="250"/>
        <v>0</v>
      </c>
      <c r="KM261" s="12">
        <f t="shared" si="251"/>
        <v>0</v>
      </c>
      <c r="KN261" s="12">
        <f t="shared" si="252"/>
        <v>0</v>
      </c>
      <c r="KO261" s="12">
        <f t="shared" si="253"/>
        <v>0</v>
      </c>
      <c r="KP261" s="12">
        <f t="shared" si="254"/>
        <v>0</v>
      </c>
      <c r="KQ261" s="12">
        <f t="shared" si="255"/>
        <v>0</v>
      </c>
      <c r="KR261" s="12">
        <f t="shared" si="256"/>
        <v>0</v>
      </c>
      <c r="KS261" s="12">
        <f t="shared" si="257"/>
        <v>0</v>
      </c>
      <c r="KT261" s="12">
        <f t="shared" si="258"/>
        <v>0</v>
      </c>
      <c r="KU261" s="12">
        <f t="shared" si="259"/>
        <v>0</v>
      </c>
      <c r="KV261" s="12">
        <f t="shared" si="260"/>
        <v>0</v>
      </c>
      <c r="KW261" s="12">
        <f t="shared" si="261"/>
        <v>0</v>
      </c>
      <c r="KX261" s="12">
        <f t="shared" si="262"/>
        <v>0</v>
      </c>
      <c r="KY261" s="12">
        <f t="shared" si="263"/>
        <v>0</v>
      </c>
      <c r="KZ261" s="12">
        <f t="shared" si="264"/>
        <v>0</v>
      </c>
      <c r="LA261" s="12">
        <f t="shared" si="265"/>
        <v>0</v>
      </c>
      <c r="LB261" s="12">
        <f t="shared" si="266"/>
        <v>0</v>
      </c>
      <c r="LC261" s="12">
        <f t="shared" si="267"/>
        <v>0</v>
      </c>
      <c r="LD261" s="12">
        <f t="shared" si="268"/>
        <v>0</v>
      </c>
      <c r="LE261" s="12">
        <f t="shared" si="269"/>
        <v>0</v>
      </c>
      <c r="LF261" s="12">
        <f t="shared" si="270"/>
        <v>0</v>
      </c>
      <c r="LG261" s="12">
        <f t="shared" si="271"/>
        <v>0</v>
      </c>
      <c r="LH261" s="12">
        <f t="shared" si="272"/>
        <v>0</v>
      </c>
      <c r="LI261" s="12">
        <f t="shared" si="273"/>
        <v>0</v>
      </c>
      <c r="LJ261" s="12">
        <f t="shared" si="274"/>
        <v>0</v>
      </c>
      <c r="LK261" s="12">
        <f t="shared" si="275"/>
        <v>0</v>
      </c>
      <c r="LL261" s="12">
        <f t="shared" si="276"/>
        <v>0</v>
      </c>
      <c r="LM261" s="12">
        <f t="shared" si="277"/>
        <v>0</v>
      </c>
      <c r="LN261" s="12">
        <f t="shared" si="278"/>
        <v>0</v>
      </c>
      <c r="LO261" s="12">
        <f t="shared" si="279"/>
        <v>0</v>
      </c>
      <c r="LP261" s="12">
        <f t="shared" si="280"/>
        <v>0</v>
      </c>
      <c r="LQ261" s="12">
        <f t="shared" si="281"/>
        <v>0</v>
      </c>
      <c r="LR261" s="12">
        <f t="shared" si="282"/>
        <v>0</v>
      </c>
      <c r="LS261" s="12">
        <f t="shared" si="283"/>
        <v>0</v>
      </c>
      <c r="LT261" s="13">
        <f t="shared" si="284"/>
        <v>0</v>
      </c>
      <c r="LU261" s="13">
        <f t="shared" si="285"/>
        <v>0</v>
      </c>
      <c r="LV261" s="13">
        <f t="shared" si="286"/>
        <v>0</v>
      </c>
      <c r="LW261" s="13">
        <f t="shared" si="287"/>
        <v>0</v>
      </c>
      <c r="LX261" s="13">
        <f t="shared" si="288"/>
        <v>0</v>
      </c>
      <c r="LY261" s="13">
        <f t="shared" si="289"/>
        <v>0</v>
      </c>
      <c r="LZ261" s="13">
        <f t="shared" si="290"/>
        <v>0</v>
      </c>
      <c r="MA261" s="13">
        <f t="shared" si="291"/>
        <v>0</v>
      </c>
      <c r="MB261" s="13">
        <f t="shared" si="292"/>
        <v>0</v>
      </c>
      <c r="MC261" s="13">
        <f t="shared" si="293"/>
        <v>0</v>
      </c>
      <c r="MD261" s="13">
        <f t="shared" si="294"/>
        <v>0</v>
      </c>
      <c r="ME261" s="13">
        <f t="shared" si="295"/>
        <v>0</v>
      </c>
      <c r="MF261" s="13">
        <f t="shared" si="296"/>
        <v>0</v>
      </c>
      <c r="MG261" s="13">
        <f t="shared" si="297"/>
        <v>0</v>
      </c>
      <c r="MH261" s="13">
        <f t="shared" si="298"/>
        <v>0</v>
      </c>
      <c r="MI261" s="13">
        <f t="shared" si="299"/>
        <v>0</v>
      </c>
      <c r="MJ261" s="13">
        <f t="shared" si="300"/>
        <v>0</v>
      </c>
      <c r="MK261" s="13">
        <f t="shared" si="301"/>
        <v>0</v>
      </c>
      <c r="ML261" s="14">
        <f t="shared" si="302"/>
        <v>0</v>
      </c>
      <c r="MM261" s="14">
        <f t="shared" si="303"/>
        <v>0</v>
      </c>
      <c r="MN261" s="14">
        <f t="shared" si="304"/>
        <v>0</v>
      </c>
      <c r="MO261" s="14">
        <f t="shared" si="305"/>
        <v>0</v>
      </c>
      <c r="MP261" s="14">
        <f t="shared" si="306"/>
        <v>0</v>
      </c>
      <c r="MQ261" s="14">
        <f t="shared" si="307"/>
        <v>0</v>
      </c>
      <c r="MR261" s="14">
        <f t="shared" si="308"/>
        <v>0</v>
      </c>
      <c r="MS261" s="14">
        <f t="shared" si="309"/>
        <v>0</v>
      </c>
      <c r="MT261" s="14">
        <f t="shared" si="310"/>
        <v>0</v>
      </c>
      <c r="MU261" s="14">
        <f t="shared" si="311"/>
        <v>0</v>
      </c>
      <c r="MV261" s="14">
        <f t="shared" si="312"/>
        <v>0</v>
      </c>
      <c r="MW261" s="14">
        <f t="shared" si="313"/>
        <v>0</v>
      </c>
      <c r="MX261" s="14">
        <f t="shared" si="314"/>
        <v>0</v>
      </c>
      <c r="MY261" s="14">
        <f t="shared" si="315"/>
        <v>0</v>
      </c>
      <c r="MZ261" s="14">
        <f t="shared" si="316"/>
        <v>0</v>
      </c>
      <c r="NA261" s="14">
        <f t="shared" si="317"/>
        <v>0</v>
      </c>
      <c r="NB261" s="14">
        <f t="shared" si="318"/>
        <v>0</v>
      </c>
    </row>
    <row r="262" ht="15.75" customHeight="1">
      <c r="A262" s="2">
        <v>728.0</v>
      </c>
      <c r="B262" s="2" t="s">
        <v>4648</v>
      </c>
      <c r="C262" s="2" t="s">
        <v>4649</v>
      </c>
      <c r="D262" s="2" t="s">
        <v>4650</v>
      </c>
      <c r="E262" s="2">
        <v>2022.0</v>
      </c>
      <c r="F262" s="2" t="s">
        <v>4651</v>
      </c>
      <c r="G262" s="2">
        <v>2022.0</v>
      </c>
      <c r="I262" s="2" t="s">
        <v>4652</v>
      </c>
      <c r="N262" s="2" t="s">
        <v>4653</v>
      </c>
      <c r="O262" s="2" t="s">
        <v>4654</v>
      </c>
      <c r="P262" s="2" t="s">
        <v>4655</v>
      </c>
      <c r="Q262" s="2" t="s">
        <v>4656</v>
      </c>
      <c r="R262" s="2" t="s">
        <v>4657</v>
      </c>
      <c r="T262" s="2" t="s">
        <v>4658</v>
      </c>
      <c r="Y262" s="2" t="s">
        <v>4659</v>
      </c>
      <c r="AB262" s="2" t="s">
        <v>1237</v>
      </c>
      <c r="AG262" s="2" t="s">
        <v>4660</v>
      </c>
      <c r="AK262" s="2" t="s">
        <v>4661</v>
      </c>
      <c r="AL262" s="2" t="s">
        <v>384</v>
      </c>
      <c r="AM262" s="2" t="s">
        <v>1306</v>
      </c>
      <c r="AN262" s="2" t="s">
        <v>386</v>
      </c>
      <c r="AO262" s="2" t="s">
        <v>4662</v>
      </c>
      <c r="AP262" s="2" t="s">
        <v>386</v>
      </c>
      <c r="AQ262" s="2">
        <v>2865.0</v>
      </c>
      <c r="AR262" s="2" t="s">
        <v>4663</v>
      </c>
      <c r="AS262" s="2" t="b">
        <v>1</v>
      </c>
      <c r="AT262" s="3">
        <v>0.0</v>
      </c>
      <c r="AU262" s="4"/>
      <c r="AV262" s="4"/>
      <c r="AW262" s="5">
        <f t="shared" si="432"/>
        <v>0</v>
      </c>
      <c r="AX262" s="5">
        <f t="shared" si="4"/>
        <v>0</v>
      </c>
      <c r="AY262" s="5">
        <f t="shared" si="5"/>
        <v>0</v>
      </c>
      <c r="AZ262" s="5">
        <f t="shared" si="6"/>
        <v>0</v>
      </c>
      <c r="BA262" s="5">
        <f t="shared" si="7"/>
        <v>0</v>
      </c>
      <c r="BB262" s="5">
        <f t="shared" si="8"/>
        <v>0</v>
      </c>
      <c r="BC262" s="5">
        <f t="shared" si="9"/>
        <v>0</v>
      </c>
      <c r="BD262" s="5">
        <f t="shared" si="10"/>
        <v>0</v>
      </c>
      <c r="BE262" s="5">
        <f t="shared" si="11"/>
        <v>0</v>
      </c>
      <c r="BF262" s="5">
        <f t="shared" si="12"/>
        <v>0</v>
      </c>
      <c r="BG262" s="5">
        <f t="shared" si="13"/>
        <v>0</v>
      </c>
      <c r="BH262" s="5">
        <f t="shared" si="14"/>
        <v>0</v>
      </c>
      <c r="BI262" s="5">
        <f t="shared" si="15"/>
        <v>0</v>
      </c>
      <c r="BJ262" s="5">
        <f t="shared" si="16"/>
        <v>0</v>
      </c>
      <c r="BK262" s="5">
        <f t="shared" si="17"/>
        <v>0</v>
      </c>
      <c r="BL262" s="5">
        <f t="shared" si="18"/>
        <v>0</v>
      </c>
      <c r="BM262" s="5">
        <f t="shared" si="19"/>
        <v>0</v>
      </c>
      <c r="BN262" s="5">
        <f t="shared" si="20"/>
        <v>0</v>
      </c>
      <c r="BO262" s="5">
        <f t="shared" si="21"/>
        <v>0</v>
      </c>
      <c r="BP262" s="5">
        <f t="shared" si="22"/>
        <v>0</v>
      </c>
      <c r="BQ262" s="5">
        <f t="shared" si="23"/>
        <v>0</v>
      </c>
      <c r="BR262" s="5">
        <f t="shared" si="24"/>
        <v>0</v>
      </c>
      <c r="BS262" s="5">
        <f t="shared" si="25"/>
        <v>1</v>
      </c>
      <c r="BT262" s="5">
        <f t="shared" si="26"/>
        <v>0</v>
      </c>
      <c r="BU262" s="5">
        <f t="shared" si="27"/>
        <v>0</v>
      </c>
      <c r="BV262" s="5">
        <f t="shared" ref="BV262:BW262" si="888">IF(OR(ISNUMBER(SEARCH("grit",$D262)),ISNUMBER(SEARCH("grit",$T262)),ISNUMBER(SEARCH("grit",$R262)),ISNUMBER(SEARCH("grit",$S262)),
ISNUMBER(SEARCH("determination",$D262)),ISNUMBER(SEARCH("determination",$T262)),ISNUMBER(SEARCH("determination",$R262)),ISNUMBER(SEARCH("determination",$S262)),
ISNUMBER(SEARCH("tenacity",$D262)),ISNUMBER(SEARCH("tenacity",$T262)),ISNUMBER(SEARCH("tenacity",$R262)),ISNUMBER(SEARCH("tenacity",$S262)),
ISNUMBER(SEARCH("endurance",$D262)),ISNUMBER(SEARCH("endurance",$T262)),ISNUMBER(SEARCH("endurance",$R262)),ISNUMBER(SEARCH("endurance",$S262)),
ISNUMBER(SEARCH("fortitude",$D262)),ISNUMBER(SEARCH("fortitude",$T262)),ISNUMBER(SEARCH("fortitude",$R262)),ISNUMBER(SEARCH("fortitude",$S262)),
ISNUMBER(SEARCH("resolve",$D262)),ISNUMBER(SEARCH("resolve",$T262)),ISNUMBER(SEARCH("resolve",$R262)),ISNUMBER(SEARCH("resolve",$S262)),
ISNUMBER(SEARCH("stamina",$D262)),ISNUMBER(SEARCH("stamina",$T262)),ISNUMBER(SEARCH("stamina",$R262)),ISNUMBER(SEARCH("stamina",$S262)),
ISNUMBER(SEARCH("guts",$D262)),ISNUMBER(SEARCH("guts",$T262)),ISNUMBER(SEARCH("guts",$R262)),ISNUMBER(SEARCH("guts",$S262)),
ISNUMBER(SEARCH("spunk",$D262)),ISNUMBER(SEARCH("spunk",$T262)),ISNUMBER(SEARCH("spunk",$R262)),ISNUMBER(SEARCH("spunk",$S262))), 1, 0)</f>
        <v>0</v>
      </c>
      <c r="BW262" s="5">
        <f t="shared" si="888"/>
        <v>0</v>
      </c>
      <c r="BX262" s="5">
        <f t="shared" si="29"/>
        <v>0</v>
      </c>
      <c r="BY262" s="5">
        <f t="shared" si="30"/>
        <v>0</v>
      </c>
      <c r="BZ262" s="5">
        <f t="shared" si="31"/>
        <v>0</v>
      </c>
      <c r="CA262" s="5">
        <f t="shared" si="32"/>
        <v>0</v>
      </c>
      <c r="CB262" s="5">
        <f t="shared" si="33"/>
        <v>0</v>
      </c>
      <c r="CC262" s="5">
        <f t="shared" si="34"/>
        <v>0</v>
      </c>
      <c r="CD262" s="5">
        <f t="shared" si="35"/>
        <v>0</v>
      </c>
      <c r="CE262" s="5">
        <f t="shared" si="36"/>
        <v>0</v>
      </c>
      <c r="CF262" s="5">
        <f t="shared" si="37"/>
        <v>0</v>
      </c>
      <c r="CG262" s="5">
        <f t="shared" si="38"/>
        <v>0</v>
      </c>
      <c r="CH262" s="5">
        <f t="shared" si="39"/>
        <v>0</v>
      </c>
      <c r="CI262" s="5">
        <f t="shared" si="40"/>
        <v>0</v>
      </c>
      <c r="CJ262" s="5">
        <f t="shared" si="41"/>
        <v>0</v>
      </c>
      <c r="CK262" s="5">
        <f t="shared" si="42"/>
        <v>0</v>
      </c>
      <c r="CL262" s="5">
        <f t="shared" si="43"/>
        <v>0</v>
      </c>
      <c r="CM262" s="5">
        <f t="shared" si="44"/>
        <v>0</v>
      </c>
      <c r="CN262" s="5">
        <f t="shared" si="45"/>
        <v>0</v>
      </c>
      <c r="CO262" s="5">
        <f t="shared" si="46"/>
        <v>0</v>
      </c>
      <c r="CP262" s="6">
        <f t="shared" si="47"/>
        <v>0</v>
      </c>
      <c r="CQ262" s="6">
        <f t="shared" si="48"/>
        <v>0</v>
      </c>
      <c r="CR262" s="6">
        <f t="shared" si="49"/>
        <v>0</v>
      </c>
      <c r="CS262" s="6">
        <f t="shared" si="50"/>
        <v>0</v>
      </c>
      <c r="CT262" s="6">
        <f t="shared" si="584"/>
        <v>0</v>
      </c>
      <c r="CU262" s="6">
        <f t="shared" si="52"/>
        <v>0</v>
      </c>
      <c r="CV262" s="6">
        <f t="shared" si="53"/>
        <v>0</v>
      </c>
      <c r="CW262" s="6">
        <f t="shared" si="54"/>
        <v>0</v>
      </c>
      <c r="CX262" s="6">
        <f t="shared" si="55"/>
        <v>0</v>
      </c>
      <c r="CY262" s="6">
        <f t="shared" si="56"/>
        <v>0</v>
      </c>
      <c r="CZ262" s="6">
        <f t="shared" si="57"/>
        <v>0</v>
      </c>
      <c r="DA262" s="6">
        <f t="shared" si="58"/>
        <v>0</v>
      </c>
      <c r="DB262" s="6">
        <f t="shared" si="59"/>
        <v>0</v>
      </c>
      <c r="DC262" s="6">
        <f t="shared" si="60"/>
        <v>0</v>
      </c>
      <c r="DD262" s="6">
        <f t="shared" si="61"/>
        <v>0</v>
      </c>
      <c r="DE262" s="6">
        <f t="shared" si="62"/>
        <v>0</v>
      </c>
      <c r="DF262" s="6">
        <f t="shared" si="63"/>
        <v>0</v>
      </c>
      <c r="DG262" s="6">
        <f t="shared" si="64"/>
        <v>0</v>
      </c>
      <c r="DH262" s="6">
        <f t="shared" si="697"/>
        <v>0</v>
      </c>
      <c r="DI262" s="6">
        <f t="shared" si="66"/>
        <v>0</v>
      </c>
      <c r="DJ262" s="6">
        <f t="shared" si="653"/>
        <v>0</v>
      </c>
      <c r="DK262" s="7">
        <f t="shared" si="68"/>
        <v>0</v>
      </c>
      <c r="DL262" s="7">
        <f t="shared" si="498"/>
        <v>0</v>
      </c>
      <c r="DM262" s="7">
        <f t="shared" si="70"/>
        <v>0</v>
      </c>
      <c r="DN262" s="7">
        <f t="shared" si="71"/>
        <v>0</v>
      </c>
      <c r="DO262" s="7">
        <f t="shared" si="72"/>
        <v>0</v>
      </c>
      <c r="DP262" s="8">
        <f t="shared" si="73"/>
        <v>0</v>
      </c>
      <c r="DQ262" s="8">
        <f t="shared" si="74"/>
        <v>1</v>
      </c>
      <c r="DR262" s="7">
        <f t="shared" si="75"/>
        <v>0</v>
      </c>
      <c r="DS262" s="7">
        <f t="shared" si="76"/>
        <v>0</v>
      </c>
      <c r="DT262" s="7">
        <f t="shared" si="77"/>
        <v>0</v>
      </c>
      <c r="DU262" s="9">
        <f t="shared" si="78"/>
        <v>0</v>
      </c>
      <c r="DV262" s="9">
        <f t="shared" si="79"/>
        <v>0</v>
      </c>
      <c r="DW262" s="9">
        <f t="shared" si="80"/>
        <v>0</v>
      </c>
      <c r="DX262" s="9">
        <f t="shared" si="81"/>
        <v>0</v>
      </c>
      <c r="DY262" s="9">
        <f t="shared" si="82"/>
        <v>0</v>
      </c>
      <c r="DZ262" s="9">
        <f t="shared" si="83"/>
        <v>0</v>
      </c>
      <c r="EA262" s="9">
        <f t="shared" si="84"/>
        <v>0</v>
      </c>
      <c r="EB262" s="9">
        <f t="shared" si="85"/>
        <v>0</v>
      </c>
      <c r="EC262" s="9">
        <f t="shared" si="86"/>
        <v>0</v>
      </c>
      <c r="ED262" s="9">
        <f t="shared" si="87"/>
        <v>0</v>
      </c>
      <c r="EE262" s="9">
        <f t="shared" si="88"/>
        <v>0</v>
      </c>
      <c r="EF262" s="9">
        <f t="shared" si="89"/>
        <v>0</v>
      </c>
      <c r="EG262" s="9">
        <f t="shared" si="90"/>
        <v>0</v>
      </c>
      <c r="EH262" s="9">
        <f t="shared" si="91"/>
        <v>0</v>
      </c>
      <c r="EI262" s="9">
        <f t="shared" si="92"/>
        <v>0</v>
      </c>
      <c r="EJ262" s="10">
        <f t="shared" si="93"/>
        <v>0</v>
      </c>
      <c r="EK262" s="10">
        <f t="shared" si="94"/>
        <v>0</v>
      </c>
      <c r="EL262" s="10">
        <f t="shared" ref="EL262:EM262" si="889">IF(OR(ISNUMBER(SEARCH("ai software toolkit", $D262)), ISNUMBER(SEARCH("ai software toolkit", $T262)), ISNUMBER(SEARCH("ai software toolkit", $R262)), ISNUMBER(SEARCH("ai software toolkit", $S262))), 1, 0)</f>
        <v>0</v>
      </c>
      <c r="EM262" s="10">
        <f t="shared" si="889"/>
        <v>0</v>
      </c>
      <c r="EN262" s="10">
        <f t="shared" si="96"/>
        <v>0</v>
      </c>
      <c r="EO262" s="10">
        <f t="shared" si="97"/>
        <v>0</v>
      </c>
      <c r="EP262" s="10">
        <f t="shared" si="98"/>
        <v>0</v>
      </c>
      <c r="EQ262" s="10">
        <f t="shared" si="99"/>
        <v>0</v>
      </c>
      <c r="ER262" s="10">
        <f t="shared" si="100"/>
        <v>0</v>
      </c>
      <c r="ES262" s="10">
        <f t="shared" si="101"/>
        <v>0</v>
      </c>
      <c r="ET262" s="10">
        <f t="shared" si="102"/>
        <v>0</v>
      </c>
      <c r="EU262" s="10">
        <f t="shared" si="103"/>
        <v>0</v>
      </c>
      <c r="EV262" s="10">
        <f t="shared" si="104"/>
        <v>0</v>
      </c>
      <c r="EW262" s="10">
        <f t="shared" si="105"/>
        <v>0</v>
      </c>
      <c r="EX262" s="10">
        <f t="shared" si="106"/>
        <v>0</v>
      </c>
      <c r="EY262" s="10">
        <f t="shared" si="107"/>
        <v>0</v>
      </c>
      <c r="EZ262" s="10">
        <f t="shared" si="108"/>
        <v>0</v>
      </c>
      <c r="FA262" s="10">
        <f t="shared" si="109"/>
        <v>0</v>
      </c>
      <c r="FB262" s="10">
        <f t="shared" si="110"/>
        <v>0</v>
      </c>
      <c r="FC262" s="10">
        <f t="shared" si="111"/>
        <v>0</v>
      </c>
      <c r="FD262" s="10">
        <f t="shared" si="112"/>
        <v>0</v>
      </c>
      <c r="FE262" s="10">
        <f t="shared" si="880"/>
        <v>0</v>
      </c>
      <c r="FF262" s="10">
        <f t="shared" si="114"/>
        <v>0</v>
      </c>
      <c r="FG262" s="10">
        <f t="shared" si="115"/>
        <v>0</v>
      </c>
      <c r="FH262" s="10">
        <f t="shared" si="116"/>
        <v>0</v>
      </c>
      <c r="FI262" s="10">
        <f t="shared" si="117"/>
        <v>0</v>
      </c>
      <c r="FJ262" s="10">
        <f t="shared" si="118"/>
        <v>0</v>
      </c>
      <c r="FK262" s="10">
        <f t="shared" si="119"/>
        <v>0</v>
      </c>
      <c r="FL262" s="10">
        <f t="shared" si="120"/>
        <v>0</v>
      </c>
      <c r="FM262" s="10">
        <f t="shared" si="121"/>
        <v>0</v>
      </c>
      <c r="FN262" s="10">
        <f t="shared" si="122"/>
        <v>0</v>
      </c>
      <c r="FO262" s="10">
        <f t="shared" si="123"/>
        <v>0</v>
      </c>
      <c r="FP262" s="10">
        <f t="shared" si="124"/>
        <v>0</v>
      </c>
      <c r="FQ262" s="10">
        <f t="shared" si="125"/>
        <v>0</v>
      </c>
      <c r="FR262" s="11">
        <f t="shared" si="885"/>
        <v>0</v>
      </c>
      <c r="FS262" s="11">
        <f t="shared" si="127"/>
        <v>0</v>
      </c>
      <c r="FT262" s="11">
        <f t="shared" si="128"/>
        <v>0</v>
      </c>
      <c r="FU262" s="11">
        <f t="shared" si="129"/>
        <v>0</v>
      </c>
      <c r="FV262" s="11">
        <f t="shared" si="130"/>
        <v>0</v>
      </c>
      <c r="FW262" s="11">
        <f t="shared" si="131"/>
        <v>0</v>
      </c>
      <c r="FX262" s="11">
        <f t="shared" si="132"/>
        <v>0</v>
      </c>
      <c r="FY262" s="11">
        <f t="shared" si="133"/>
        <v>0</v>
      </c>
      <c r="FZ262" s="11">
        <f t="shared" si="134"/>
        <v>0</v>
      </c>
      <c r="GA262" s="11">
        <f t="shared" si="135"/>
        <v>0</v>
      </c>
      <c r="GB262" s="11">
        <f t="shared" si="136"/>
        <v>0</v>
      </c>
      <c r="GC262" s="11">
        <f t="shared" si="137"/>
        <v>0</v>
      </c>
      <c r="GD262" s="11">
        <f t="shared" si="138"/>
        <v>0</v>
      </c>
      <c r="GE262" s="11">
        <f t="shared" si="139"/>
        <v>0</v>
      </c>
      <c r="GF262" s="11">
        <f t="shared" si="140"/>
        <v>0</v>
      </c>
      <c r="GG262" s="11">
        <f t="shared" si="141"/>
        <v>0</v>
      </c>
      <c r="GH262" s="11">
        <f t="shared" si="142"/>
        <v>0</v>
      </c>
      <c r="GI262" s="11">
        <f t="shared" si="143"/>
        <v>0</v>
      </c>
      <c r="GJ262" s="11">
        <f t="shared" si="144"/>
        <v>0</v>
      </c>
      <c r="GK262" s="11">
        <f t="shared" si="145"/>
        <v>0</v>
      </c>
      <c r="GL262" s="11">
        <f t="shared" si="146"/>
        <v>0</v>
      </c>
      <c r="GM262" s="11">
        <f t="shared" si="147"/>
        <v>0</v>
      </c>
      <c r="GN262" s="11">
        <f t="shared" si="148"/>
        <v>0</v>
      </c>
      <c r="GO262" s="11">
        <f t="shared" si="149"/>
        <v>0</v>
      </c>
      <c r="GP262" s="11">
        <f t="shared" si="150"/>
        <v>0</v>
      </c>
      <c r="GQ262" s="11">
        <f t="shared" si="151"/>
        <v>0</v>
      </c>
      <c r="GR262" s="11">
        <f t="shared" si="152"/>
        <v>0</v>
      </c>
      <c r="GS262" s="11">
        <f t="shared" si="153"/>
        <v>0</v>
      </c>
      <c r="GT262" s="11">
        <f t="shared" si="154"/>
        <v>0</v>
      </c>
      <c r="GU262" s="12">
        <f t="shared" si="155"/>
        <v>0</v>
      </c>
      <c r="GV262" s="12">
        <f t="shared" si="156"/>
        <v>0</v>
      </c>
      <c r="GW262" s="12">
        <f t="shared" si="157"/>
        <v>0</v>
      </c>
      <c r="GX262" s="12">
        <f t="shared" si="158"/>
        <v>0</v>
      </c>
      <c r="GY262" s="12">
        <f t="shared" si="159"/>
        <v>0</v>
      </c>
      <c r="GZ262" s="12">
        <f t="shared" si="160"/>
        <v>0</v>
      </c>
      <c r="HA262" s="12">
        <f t="shared" si="161"/>
        <v>0</v>
      </c>
      <c r="HB262" s="12">
        <f t="shared" si="162"/>
        <v>0</v>
      </c>
      <c r="HC262" s="12">
        <f t="shared" si="163"/>
        <v>0</v>
      </c>
      <c r="HD262" s="12">
        <f t="shared" si="164"/>
        <v>0</v>
      </c>
      <c r="HE262" s="12">
        <f t="shared" si="165"/>
        <v>0</v>
      </c>
      <c r="HF262" s="12">
        <f t="shared" si="166"/>
        <v>0</v>
      </c>
      <c r="HG262" s="12">
        <f t="shared" si="167"/>
        <v>0</v>
      </c>
      <c r="HH262" s="12">
        <f t="shared" si="168"/>
        <v>0</v>
      </c>
      <c r="HI262" s="12">
        <f t="shared" si="169"/>
        <v>0</v>
      </c>
      <c r="HJ262" s="12">
        <f t="shared" si="170"/>
        <v>0</v>
      </c>
      <c r="HK262" s="12">
        <f t="shared" si="171"/>
        <v>0</v>
      </c>
      <c r="HL262" s="12">
        <f t="shared" si="172"/>
        <v>0</v>
      </c>
      <c r="HM262" s="12">
        <f t="shared" si="173"/>
        <v>0</v>
      </c>
      <c r="HN262" s="12">
        <f t="shared" si="174"/>
        <v>0</v>
      </c>
      <c r="HO262" s="12">
        <f t="shared" si="175"/>
        <v>0</v>
      </c>
      <c r="HP262" s="12">
        <f t="shared" si="176"/>
        <v>0</v>
      </c>
      <c r="HQ262" s="12">
        <f t="shared" si="177"/>
        <v>0</v>
      </c>
      <c r="HR262" s="12">
        <f t="shared" si="178"/>
        <v>0</v>
      </c>
      <c r="HS262" s="12">
        <f t="shared" si="179"/>
        <v>0</v>
      </c>
      <c r="HT262" s="12">
        <f t="shared" si="180"/>
        <v>0</v>
      </c>
      <c r="HU262" s="12">
        <f t="shared" si="181"/>
        <v>0</v>
      </c>
      <c r="HV262" s="12">
        <f t="shared" si="182"/>
        <v>1</v>
      </c>
      <c r="HW262" s="12">
        <f t="shared" si="183"/>
        <v>0</v>
      </c>
      <c r="HX262" s="12">
        <f t="shared" si="184"/>
        <v>0</v>
      </c>
      <c r="HY262" s="12">
        <f t="shared" si="185"/>
        <v>0</v>
      </c>
      <c r="HZ262" s="12">
        <f t="shared" si="186"/>
        <v>0</v>
      </c>
      <c r="IA262" s="12">
        <f t="shared" si="187"/>
        <v>0</v>
      </c>
      <c r="IB262" s="12">
        <f t="shared" si="188"/>
        <v>0</v>
      </c>
      <c r="IC262" s="12">
        <f t="shared" si="189"/>
        <v>0</v>
      </c>
      <c r="ID262" s="12">
        <f t="shared" si="190"/>
        <v>0</v>
      </c>
      <c r="IE262" s="12">
        <f t="shared" si="191"/>
        <v>0</v>
      </c>
      <c r="IF262" s="12">
        <f t="shared" si="192"/>
        <v>0</v>
      </c>
      <c r="IG262" s="12">
        <f t="shared" si="193"/>
        <v>0</v>
      </c>
      <c r="IH262" s="12">
        <f t="shared" si="194"/>
        <v>0</v>
      </c>
      <c r="II262" s="12">
        <f t="shared" si="195"/>
        <v>0</v>
      </c>
      <c r="IJ262" s="12">
        <f t="shared" si="196"/>
        <v>0</v>
      </c>
      <c r="IK262" s="12">
        <f t="shared" si="197"/>
        <v>0</v>
      </c>
      <c r="IL262" s="12">
        <f t="shared" si="198"/>
        <v>0</v>
      </c>
      <c r="IM262" s="12">
        <f t="shared" si="199"/>
        <v>0</v>
      </c>
      <c r="IN262" s="12">
        <f t="shared" si="200"/>
        <v>0</v>
      </c>
      <c r="IO262" s="12">
        <f t="shared" si="201"/>
        <v>0</v>
      </c>
      <c r="IP262" s="12">
        <f t="shared" si="202"/>
        <v>0</v>
      </c>
      <c r="IQ262" s="12">
        <f t="shared" si="203"/>
        <v>0</v>
      </c>
      <c r="IR262" s="12">
        <f t="shared" si="204"/>
        <v>0</v>
      </c>
      <c r="IS262" s="12">
        <f t="shared" si="205"/>
        <v>0</v>
      </c>
      <c r="IT262" s="12">
        <f t="shared" si="206"/>
        <v>0</v>
      </c>
      <c r="IU262" s="12">
        <f t="shared" si="207"/>
        <v>0</v>
      </c>
      <c r="IV262" s="12">
        <f t="shared" si="208"/>
        <v>0</v>
      </c>
      <c r="IW262" s="12">
        <f t="shared" si="209"/>
        <v>0</v>
      </c>
      <c r="IX262" s="12">
        <f t="shared" si="210"/>
        <v>0</v>
      </c>
      <c r="IY262" s="12">
        <f t="shared" si="211"/>
        <v>0</v>
      </c>
      <c r="IZ262" s="12">
        <f t="shared" si="212"/>
        <v>0</v>
      </c>
      <c r="JA262" s="13">
        <f t="shared" si="213"/>
        <v>0</v>
      </c>
      <c r="JB262" s="13">
        <f t="shared" si="214"/>
        <v>0</v>
      </c>
      <c r="JC262" s="13">
        <f t="shared" si="215"/>
        <v>0</v>
      </c>
      <c r="JD262" s="13">
        <f t="shared" si="216"/>
        <v>0</v>
      </c>
      <c r="JE262" s="13">
        <f t="shared" si="217"/>
        <v>0</v>
      </c>
      <c r="JF262" s="13">
        <f t="shared" si="218"/>
        <v>0</v>
      </c>
      <c r="JG262" s="13">
        <f t="shared" si="219"/>
        <v>0</v>
      </c>
      <c r="JH262" s="13">
        <f t="shared" si="220"/>
        <v>0</v>
      </c>
      <c r="JI262" s="13">
        <f t="shared" si="221"/>
        <v>0</v>
      </c>
      <c r="JJ262" s="13">
        <f t="shared" si="222"/>
        <v>0</v>
      </c>
      <c r="JK262" s="13">
        <f t="shared" si="223"/>
        <v>0</v>
      </c>
      <c r="JL262" s="13">
        <f t="shared" si="224"/>
        <v>0</v>
      </c>
      <c r="JM262" s="13">
        <f t="shared" si="225"/>
        <v>0</v>
      </c>
      <c r="JN262" s="13">
        <f t="shared" si="226"/>
        <v>0</v>
      </c>
      <c r="JO262" s="13">
        <f t="shared" si="227"/>
        <v>0</v>
      </c>
      <c r="JP262" s="13">
        <f t="shared" si="228"/>
        <v>0</v>
      </c>
      <c r="JQ262" s="13">
        <f t="shared" si="229"/>
        <v>0</v>
      </c>
      <c r="JR262" s="13">
        <f t="shared" si="230"/>
        <v>0</v>
      </c>
      <c r="JS262" s="13">
        <f t="shared" si="231"/>
        <v>0</v>
      </c>
      <c r="JT262" s="13">
        <f t="shared" si="232"/>
        <v>0</v>
      </c>
      <c r="JU262" s="13">
        <f t="shared" si="233"/>
        <v>0</v>
      </c>
      <c r="JV262" s="12">
        <f t="shared" si="234"/>
        <v>0</v>
      </c>
      <c r="JW262" s="12">
        <f t="shared" si="235"/>
        <v>0</v>
      </c>
      <c r="JX262" s="12">
        <f t="shared" si="236"/>
        <v>0</v>
      </c>
      <c r="JY262" s="12">
        <f t="shared" si="237"/>
        <v>0</v>
      </c>
      <c r="JZ262" s="12">
        <f t="shared" si="238"/>
        <v>0</v>
      </c>
      <c r="KA262" s="12">
        <f t="shared" si="239"/>
        <v>0</v>
      </c>
      <c r="KB262" s="12">
        <f t="shared" si="240"/>
        <v>0</v>
      </c>
      <c r="KC262" s="12">
        <f t="shared" si="241"/>
        <v>0</v>
      </c>
      <c r="KD262" s="12">
        <f t="shared" si="797"/>
        <v>0</v>
      </c>
      <c r="KE262" s="12">
        <f t="shared" si="243"/>
        <v>0</v>
      </c>
      <c r="KF262" s="12">
        <f t="shared" si="244"/>
        <v>0</v>
      </c>
      <c r="KG262" s="12">
        <f t="shared" si="245"/>
        <v>0</v>
      </c>
      <c r="KH262" s="12">
        <f t="shared" si="246"/>
        <v>0</v>
      </c>
      <c r="KI262" s="12">
        <f t="shared" si="247"/>
        <v>0</v>
      </c>
      <c r="KJ262" s="12">
        <f t="shared" si="248"/>
        <v>0</v>
      </c>
      <c r="KK262" s="12">
        <f t="shared" si="249"/>
        <v>0</v>
      </c>
      <c r="KL262" s="12">
        <f t="shared" si="250"/>
        <v>0</v>
      </c>
      <c r="KM262" s="12">
        <f t="shared" si="251"/>
        <v>0</v>
      </c>
      <c r="KN262" s="12">
        <f t="shared" si="252"/>
        <v>0</v>
      </c>
      <c r="KO262" s="12">
        <f t="shared" si="253"/>
        <v>0</v>
      </c>
      <c r="KP262" s="12">
        <f t="shared" si="254"/>
        <v>0</v>
      </c>
      <c r="KQ262" s="12">
        <f t="shared" si="255"/>
        <v>0</v>
      </c>
      <c r="KR262" s="12">
        <f t="shared" si="256"/>
        <v>0</v>
      </c>
      <c r="KS262" s="12">
        <f t="shared" si="257"/>
        <v>0</v>
      </c>
      <c r="KT262" s="12">
        <f t="shared" si="258"/>
        <v>0</v>
      </c>
      <c r="KU262" s="12">
        <f t="shared" si="259"/>
        <v>0</v>
      </c>
      <c r="KV262" s="12">
        <f t="shared" si="260"/>
        <v>0</v>
      </c>
      <c r="KW262" s="12">
        <f t="shared" si="261"/>
        <v>0</v>
      </c>
      <c r="KX262" s="12">
        <f t="shared" si="262"/>
        <v>0</v>
      </c>
      <c r="KY262" s="12">
        <f t="shared" si="263"/>
        <v>0</v>
      </c>
      <c r="KZ262" s="12">
        <f t="shared" si="264"/>
        <v>0</v>
      </c>
      <c r="LA262" s="12">
        <f t="shared" si="265"/>
        <v>0</v>
      </c>
      <c r="LB262" s="12">
        <f t="shared" si="266"/>
        <v>0</v>
      </c>
      <c r="LC262" s="12">
        <f t="shared" si="267"/>
        <v>0</v>
      </c>
      <c r="LD262" s="12">
        <f t="shared" si="268"/>
        <v>0</v>
      </c>
      <c r="LE262" s="12">
        <f t="shared" si="269"/>
        <v>0</v>
      </c>
      <c r="LF262" s="12">
        <f t="shared" si="270"/>
        <v>0</v>
      </c>
      <c r="LG262" s="12">
        <f t="shared" si="271"/>
        <v>0</v>
      </c>
      <c r="LH262" s="12">
        <f t="shared" si="272"/>
        <v>0</v>
      </c>
      <c r="LI262" s="12">
        <f t="shared" si="273"/>
        <v>0</v>
      </c>
      <c r="LJ262" s="12">
        <f t="shared" si="274"/>
        <v>0</v>
      </c>
      <c r="LK262" s="12">
        <f t="shared" si="275"/>
        <v>0</v>
      </c>
      <c r="LL262" s="12">
        <f t="shared" si="276"/>
        <v>0</v>
      </c>
      <c r="LM262" s="12">
        <f t="shared" si="277"/>
        <v>0</v>
      </c>
      <c r="LN262" s="12">
        <f t="shared" si="278"/>
        <v>0</v>
      </c>
      <c r="LO262" s="12">
        <f t="shared" si="279"/>
        <v>0</v>
      </c>
      <c r="LP262" s="12">
        <f t="shared" si="280"/>
        <v>0</v>
      </c>
      <c r="LQ262" s="12">
        <f t="shared" si="281"/>
        <v>0</v>
      </c>
      <c r="LR262" s="12">
        <f t="shared" si="282"/>
        <v>0</v>
      </c>
      <c r="LS262" s="12">
        <f t="shared" si="283"/>
        <v>0</v>
      </c>
      <c r="LT262" s="13">
        <f t="shared" si="284"/>
        <v>0</v>
      </c>
      <c r="LU262" s="13">
        <f t="shared" si="285"/>
        <v>0</v>
      </c>
      <c r="LV262" s="13">
        <f t="shared" si="286"/>
        <v>0</v>
      </c>
      <c r="LW262" s="13">
        <f t="shared" si="287"/>
        <v>0</v>
      </c>
      <c r="LX262" s="13">
        <f t="shared" si="288"/>
        <v>0</v>
      </c>
      <c r="LY262" s="13">
        <f t="shared" si="289"/>
        <v>0</v>
      </c>
      <c r="LZ262" s="13">
        <f t="shared" si="290"/>
        <v>0</v>
      </c>
      <c r="MA262" s="13">
        <f t="shared" si="291"/>
        <v>0</v>
      </c>
      <c r="MB262" s="13">
        <f t="shared" si="292"/>
        <v>0</v>
      </c>
      <c r="MC262" s="13">
        <f t="shared" si="293"/>
        <v>0</v>
      </c>
      <c r="MD262" s="13">
        <f t="shared" si="294"/>
        <v>0</v>
      </c>
      <c r="ME262" s="13">
        <f t="shared" si="295"/>
        <v>0</v>
      </c>
      <c r="MF262" s="13">
        <f t="shared" si="296"/>
        <v>0</v>
      </c>
      <c r="MG262" s="13">
        <f t="shared" si="297"/>
        <v>0</v>
      </c>
      <c r="MH262" s="13">
        <f t="shared" si="298"/>
        <v>0</v>
      </c>
      <c r="MI262" s="13">
        <f t="shared" si="299"/>
        <v>0</v>
      </c>
      <c r="MJ262" s="13">
        <f t="shared" si="300"/>
        <v>0</v>
      </c>
      <c r="MK262" s="13">
        <f t="shared" si="301"/>
        <v>0</v>
      </c>
      <c r="ML262" s="14">
        <f t="shared" si="302"/>
        <v>0</v>
      </c>
      <c r="MM262" s="14">
        <f t="shared" si="303"/>
        <v>0</v>
      </c>
      <c r="MN262" s="14">
        <f t="shared" si="304"/>
        <v>0</v>
      </c>
      <c r="MO262" s="14">
        <f t="shared" si="305"/>
        <v>0</v>
      </c>
      <c r="MP262" s="14">
        <f t="shared" si="306"/>
        <v>0</v>
      </c>
      <c r="MQ262" s="14">
        <f t="shared" si="307"/>
        <v>0</v>
      </c>
      <c r="MR262" s="14">
        <f t="shared" si="308"/>
        <v>0</v>
      </c>
      <c r="MS262" s="14">
        <f t="shared" si="309"/>
        <v>0</v>
      </c>
      <c r="MT262" s="14">
        <f t="shared" si="310"/>
        <v>0</v>
      </c>
      <c r="MU262" s="14">
        <f t="shared" si="311"/>
        <v>0</v>
      </c>
      <c r="MV262" s="14">
        <f t="shared" si="312"/>
        <v>0</v>
      </c>
      <c r="MW262" s="14">
        <f t="shared" si="313"/>
        <v>0</v>
      </c>
      <c r="MX262" s="14">
        <f t="shared" si="314"/>
        <v>0</v>
      </c>
      <c r="MY262" s="14">
        <f t="shared" si="315"/>
        <v>0</v>
      </c>
      <c r="MZ262" s="14">
        <f t="shared" si="316"/>
        <v>0</v>
      </c>
      <c r="NA262" s="14">
        <f t="shared" si="317"/>
        <v>0</v>
      </c>
      <c r="NB262" s="14">
        <f t="shared" si="318"/>
        <v>0</v>
      </c>
    </row>
    <row r="263" ht="15.75" customHeight="1">
      <c r="A263" s="2">
        <v>537.0</v>
      </c>
      <c r="B263" s="2" t="s">
        <v>4664</v>
      </c>
      <c r="C263" s="2" t="s">
        <v>4665</v>
      </c>
      <c r="D263" s="2" t="s">
        <v>4666</v>
      </c>
      <c r="E263" s="2">
        <v>2023.0</v>
      </c>
      <c r="F263" s="2" t="s">
        <v>4667</v>
      </c>
      <c r="N263" s="2" t="s">
        <v>4668</v>
      </c>
      <c r="O263" s="2" t="s">
        <v>4669</v>
      </c>
      <c r="P263" s="2" t="s">
        <v>4670</v>
      </c>
      <c r="Q263" s="2" t="s">
        <v>4671</v>
      </c>
      <c r="R263" s="2" t="s">
        <v>4672</v>
      </c>
      <c r="S263" s="2" t="s">
        <v>4673</v>
      </c>
      <c r="T263" s="2" t="s">
        <v>4674</v>
      </c>
      <c r="Y263" s="2" t="s">
        <v>4675</v>
      </c>
      <c r="AB263" s="2" t="s">
        <v>554</v>
      </c>
      <c r="AG263" s="2" t="s">
        <v>4676</v>
      </c>
      <c r="AK263" s="2" t="s">
        <v>4677</v>
      </c>
      <c r="AL263" s="2" t="s">
        <v>2966</v>
      </c>
      <c r="AN263" s="2" t="s">
        <v>386</v>
      </c>
      <c r="AO263" s="2" t="s">
        <v>4678</v>
      </c>
      <c r="AP263" s="2" t="s">
        <v>386</v>
      </c>
      <c r="AQ263" s="2">
        <v>2086.0</v>
      </c>
      <c r="AR263" s="2" t="s">
        <v>4679</v>
      </c>
      <c r="AS263" s="2" t="b">
        <v>1</v>
      </c>
      <c r="AT263" s="3">
        <v>0.0</v>
      </c>
      <c r="AU263" s="4"/>
      <c r="AV263" s="4"/>
      <c r="AW263" s="5">
        <f t="shared" si="432"/>
        <v>0</v>
      </c>
      <c r="AX263" s="5">
        <f t="shared" si="4"/>
        <v>0</v>
      </c>
      <c r="AY263" s="5">
        <f t="shared" si="5"/>
        <v>0</v>
      </c>
      <c r="AZ263" s="5">
        <f t="shared" si="6"/>
        <v>0</v>
      </c>
      <c r="BA263" s="5">
        <f t="shared" si="7"/>
        <v>0</v>
      </c>
      <c r="BB263" s="5">
        <f t="shared" si="8"/>
        <v>0</v>
      </c>
      <c r="BC263" s="5">
        <f t="shared" si="9"/>
        <v>0</v>
      </c>
      <c r="BD263" s="5">
        <f t="shared" si="10"/>
        <v>0</v>
      </c>
      <c r="BE263" s="5">
        <f t="shared" si="11"/>
        <v>0</v>
      </c>
      <c r="BF263" s="5">
        <f t="shared" si="12"/>
        <v>0</v>
      </c>
      <c r="BG263" s="5">
        <f t="shared" si="13"/>
        <v>0</v>
      </c>
      <c r="BH263" s="5">
        <f t="shared" si="14"/>
        <v>0</v>
      </c>
      <c r="BI263" s="5">
        <f t="shared" si="15"/>
        <v>0</v>
      </c>
      <c r="BJ263" s="5">
        <f t="shared" si="16"/>
        <v>0</v>
      </c>
      <c r="BK263" s="5">
        <f t="shared" si="17"/>
        <v>0</v>
      </c>
      <c r="BL263" s="5">
        <f t="shared" si="18"/>
        <v>0</v>
      </c>
      <c r="BM263" s="5">
        <f t="shared" si="19"/>
        <v>0</v>
      </c>
      <c r="BN263" s="5">
        <f t="shared" si="20"/>
        <v>0</v>
      </c>
      <c r="BO263" s="5">
        <f t="shared" si="21"/>
        <v>0</v>
      </c>
      <c r="BP263" s="5">
        <f t="shared" si="22"/>
        <v>0</v>
      </c>
      <c r="BQ263" s="5">
        <f t="shared" si="23"/>
        <v>0</v>
      </c>
      <c r="BR263" s="5">
        <f t="shared" si="24"/>
        <v>0</v>
      </c>
      <c r="BS263" s="5">
        <f t="shared" si="25"/>
        <v>0</v>
      </c>
      <c r="BT263" s="5">
        <f t="shared" si="26"/>
        <v>0</v>
      </c>
      <c r="BU263" s="5">
        <f t="shared" si="27"/>
        <v>1</v>
      </c>
      <c r="BV263" s="5">
        <f t="shared" ref="BV263:BW263" si="890">IF(OR(ISNUMBER(SEARCH("grit",$D263)),ISNUMBER(SEARCH("grit",$T263)),ISNUMBER(SEARCH("grit",$R263)),ISNUMBER(SEARCH("grit",$S263)),
ISNUMBER(SEARCH("determination",$D263)),ISNUMBER(SEARCH("determination",$T263)),ISNUMBER(SEARCH("determination",$R263)),ISNUMBER(SEARCH("determination",$S263)),
ISNUMBER(SEARCH("tenacity",$D263)),ISNUMBER(SEARCH("tenacity",$T263)),ISNUMBER(SEARCH("tenacity",$R263)),ISNUMBER(SEARCH("tenacity",$S263)),
ISNUMBER(SEARCH("endurance",$D263)),ISNUMBER(SEARCH("endurance",$T263)),ISNUMBER(SEARCH("endurance",$R263)),ISNUMBER(SEARCH("endurance",$S263)),
ISNUMBER(SEARCH("fortitude",$D263)),ISNUMBER(SEARCH("fortitude",$T263)),ISNUMBER(SEARCH("fortitude",$R263)),ISNUMBER(SEARCH("fortitude",$S263)),
ISNUMBER(SEARCH("resolve",$D263)),ISNUMBER(SEARCH("resolve",$T263)),ISNUMBER(SEARCH("resolve",$R263)),ISNUMBER(SEARCH("resolve",$S263)),
ISNUMBER(SEARCH("stamina",$D263)),ISNUMBER(SEARCH("stamina",$T263)),ISNUMBER(SEARCH("stamina",$R263)),ISNUMBER(SEARCH("stamina",$S263)),
ISNUMBER(SEARCH("guts",$D263)),ISNUMBER(SEARCH("guts",$T263)),ISNUMBER(SEARCH("guts",$R263)),ISNUMBER(SEARCH("guts",$S263)),
ISNUMBER(SEARCH("spunk",$D263)),ISNUMBER(SEARCH("spunk",$T263)),ISNUMBER(SEARCH("spunk",$R263)),ISNUMBER(SEARCH("spunk",$S263))), 1, 0)</f>
        <v>0</v>
      </c>
      <c r="BW263" s="5">
        <f t="shared" si="890"/>
        <v>0</v>
      </c>
      <c r="BX263" s="5">
        <f t="shared" si="29"/>
        <v>0</v>
      </c>
      <c r="BY263" s="5">
        <f t="shared" si="30"/>
        <v>0</v>
      </c>
      <c r="BZ263" s="5">
        <f t="shared" si="31"/>
        <v>0</v>
      </c>
      <c r="CA263" s="5">
        <f t="shared" si="32"/>
        <v>0</v>
      </c>
      <c r="CB263" s="5">
        <f t="shared" si="33"/>
        <v>0</v>
      </c>
      <c r="CC263" s="5">
        <f t="shared" si="34"/>
        <v>0</v>
      </c>
      <c r="CD263" s="5">
        <f t="shared" si="35"/>
        <v>0</v>
      </c>
      <c r="CE263" s="5">
        <f t="shared" si="36"/>
        <v>0</v>
      </c>
      <c r="CF263" s="5">
        <f t="shared" si="37"/>
        <v>0</v>
      </c>
      <c r="CG263" s="5">
        <f t="shared" si="38"/>
        <v>0</v>
      </c>
      <c r="CH263" s="5">
        <f t="shared" si="39"/>
        <v>0</v>
      </c>
      <c r="CI263" s="5">
        <f t="shared" si="40"/>
        <v>0</v>
      </c>
      <c r="CJ263" s="5">
        <f t="shared" si="41"/>
        <v>0</v>
      </c>
      <c r="CK263" s="5">
        <f t="shared" si="42"/>
        <v>0</v>
      </c>
      <c r="CL263" s="5">
        <f t="shared" si="43"/>
        <v>1</v>
      </c>
      <c r="CM263" s="5">
        <f t="shared" si="44"/>
        <v>0</v>
      </c>
      <c r="CN263" s="5">
        <f t="shared" si="45"/>
        <v>0</v>
      </c>
      <c r="CO263" s="5">
        <f t="shared" si="46"/>
        <v>0</v>
      </c>
      <c r="CP263" s="6">
        <f t="shared" si="47"/>
        <v>0</v>
      </c>
      <c r="CQ263" s="6">
        <f t="shared" si="48"/>
        <v>0</v>
      </c>
      <c r="CR263" s="6">
        <f t="shared" si="49"/>
        <v>1</v>
      </c>
      <c r="CS263" s="6">
        <f t="shared" si="50"/>
        <v>1</v>
      </c>
      <c r="CT263" s="6">
        <f t="shared" si="584"/>
        <v>0</v>
      </c>
      <c r="CU263" s="6">
        <f t="shared" si="52"/>
        <v>0</v>
      </c>
      <c r="CV263" s="6">
        <f t="shared" si="53"/>
        <v>1</v>
      </c>
      <c r="CW263" s="6">
        <f t="shared" si="54"/>
        <v>0</v>
      </c>
      <c r="CX263" s="6">
        <f t="shared" si="55"/>
        <v>0</v>
      </c>
      <c r="CY263" s="6">
        <f t="shared" si="56"/>
        <v>0</v>
      </c>
      <c r="CZ263" s="6">
        <f t="shared" si="57"/>
        <v>0</v>
      </c>
      <c r="DA263" s="6">
        <f t="shared" si="58"/>
        <v>0</v>
      </c>
      <c r="DB263" s="6">
        <f t="shared" si="59"/>
        <v>0</v>
      </c>
      <c r="DC263" s="6">
        <f t="shared" si="60"/>
        <v>0</v>
      </c>
      <c r="DD263" s="6">
        <f t="shared" si="61"/>
        <v>0</v>
      </c>
      <c r="DE263" s="6">
        <f t="shared" si="62"/>
        <v>0</v>
      </c>
      <c r="DF263" s="6">
        <f t="shared" si="63"/>
        <v>0</v>
      </c>
      <c r="DG263" s="6">
        <f t="shared" si="64"/>
        <v>0</v>
      </c>
      <c r="DH263" s="6">
        <f t="shared" si="697"/>
        <v>0</v>
      </c>
      <c r="DI263" s="6">
        <f t="shared" si="66"/>
        <v>0</v>
      </c>
      <c r="DJ263" s="6">
        <f t="shared" si="653"/>
        <v>0</v>
      </c>
      <c r="DK263" s="7">
        <f t="shared" si="68"/>
        <v>0</v>
      </c>
      <c r="DL263" s="7">
        <f t="shared" si="498"/>
        <v>0</v>
      </c>
      <c r="DM263" s="7">
        <f t="shared" si="70"/>
        <v>0</v>
      </c>
      <c r="DN263" s="7">
        <f t="shared" si="71"/>
        <v>0</v>
      </c>
      <c r="DO263" s="7">
        <f t="shared" si="72"/>
        <v>0</v>
      </c>
      <c r="DP263" s="8">
        <f t="shared" si="73"/>
        <v>0</v>
      </c>
      <c r="DQ263" s="8">
        <f t="shared" si="74"/>
        <v>1</v>
      </c>
      <c r="DR263" s="7">
        <f t="shared" si="75"/>
        <v>0</v>
      </c>
      <c r="DS263" s="7">
        <f t="shared" si="76"/>
        <v>0</v>
      </c>
      <c r="DT263" s="7">
        <f t="shared" si="77"/>
        <v>0</v>
      </c>
      <c r="DU263" s="9">
        <f t="shared" si="78"/>
        <v>0</v>
      </c>
      <c r="DV263" s="9">
        <f t="shared" si="79"/>
        <v>0</v>
      </c>
      <c r="DW263" s="9">
        <f t="shared" si="80"/>
        <v>0</v>
      </c>
      <c r="DX263" s="9">
        <f t="shared" si="81"/>
        <v>0</v>
      </c>
      <c r="DY263" s="9">
        <f t="shared" si="82"/>
        <v>0</v>
      </c>
      <c r="DZ263" s="9">
        <f t="shared" si="83"/>
        <v>0</v>
      </c>
      <c r="EA263" s="9">
        <f t="shared" si="84"/>
        <v>0</v>
      </c>
      <c r="EB263" s="9">
        <f t="shared" si="85"/>
        <v>0</v>
      </c>
      <c r="EC263" s="9">
        <f t="shared" si="86"/>
        <v>0</v>
      </c>
      <c r="ED263" s="9">
        <f t="shared" si="87"/>
        <v>0</v>
      </c>
      <c r="EE263" s="9">
        <f t="shared" si="88"/>
        <v>0</v>
      </c>
      <c r="EF263" s="9">
        <f t="shared" si="89"/>
        <v>0</v>
      </c>
      <c r="EG263" s="9">
        <f t="shared" si="90"/>
        <v>0</v>
      </c>
      <c r="EH263" s="9">
        <f t="shared" si="91"/>
        <v>0</v>
      </c>
      <c r="EI263" s="9">
        <f t="shared" si="92"/>
        <v>0</v>
      </c>
      <c r="EJ263" s="10">
        <f t="shared" si="93"/>
        <v>0</v>
      </c>
      <c r="EK263" s="10">
        <f t="shared" si="94"/>
        <v>0</v>
      </c>
      <c r="EL263" s="10">
        <f t="shared" ref="EL263:EM263" si="891">IF(OR(ISNUMBER(SEARCH("ai software toolkit", $D263)), ISNUMBER(SEARCH("ai software toolkit", $T263)), ISNUMBER(SEARCH("ai software toolkit", $R263)), ISNUMBER(SEARCH("ai software toolkit", $S263))), 1, 0)</f>
        <v>0</v>
      </c>
      <c r="EM263" s="10">
        <f t="shared" si="891"/>
        <v>0</v>
      </c>
      <c r="EN263" s="10">
        <f t="shared" si="96"/>
        <v>0</v>
      </c>
      <c r="EO263" s="10">
        <f t="shared" si="97"/>
        <v>0</v>
      </c>
      <c r="EP263" s="10">
        <f t="shared" si="98"/>
        <v>0</v>
      </c>
      <c r="EQ263" s="10">
        <f t="shared" si="99"/>
        <v>0</v>
      </c>
      <c r="ER263" s="10">
        <f t="shared" si="100"/>
        <v>0</v>
      </c>
      <c r="ES263" s="10">
        <f t="shared" si="101"/>
        <v>0</v>
      </c>
      <c r="ET263" s="10">
        <f t="shared" si="102"/>
        <v>0</v>
      </c>
      <c r="EU263" s="10">
        <f t="shared" si="103"/>
        <v>0</v>
      </c>
      <c r="EV263" s="10">
        <f t="shared" si="104"/>
        <v>0</v>
      </c>
      <c r="EW263" s="10">
        <f t="shared" si="105"/>
        <v>0</v>
      </c>
      <c r="EX263" s="10">
        <f t="shared" si="106"/>
        <v>0</v>
      </c>
      <c r="EY263" s="10">
        <f t="shared" si="107"/>
        <v>0</v>
      </c>
      <c r="EZ263" s="10">
        <f t="shared" si="108"/>
        <v>0</v>
      </c>
      <c r="FA263" s="10">
        <f t="shared" si="109"/>
        <v>0</v>
      </c>
      <c r="FB263" s="10">
        <f t="shared" si="110"/>
        <v>0</v>
      </c>
      <c r="FC263" s="10">
        <f t="shared" si="111"/>
        <v>0</v>
      </c>
      <c r="FD263" s="10">
        <f t="shared" si="112"/>
        <v>0</v>
      </c>
      <c r="FE263" s="10">
        <f t="shared" si="880"/>
        <v>0</v>
      </c>
      <c r="FF263" s="10">
        <f t="shared" si="114"/>
        <v>0</v>
      </c>
      <c r="FG263" s="10">
        <f t="shared" si="115"/>
        <v>0</v>
      </c>
      <c r="FH263" s="10">
        <f t="shared" si="116"/>
        <v>0</v>
      </c>
      <c r="FI263" s="10">
        <f t="shared" si="117"/>
        <v>0</v>
      </c>
      <c r="FJ263" s="10">
        <f t="shared" si="118"/>
        <v>0</v>
      </c>
      <c r="FK263" s="10">
        <f t="shared" si="119"/>
        <v>0</v>
      </c>
      <c r="FL263" s="10">
        <f t="shared" si="120"/>
        <v>0</v>
      </c>
      <c r="FM263" s="10">
        <f t="shared" si="121"/>
        <v>0</v>
      </c>
      <c r="FN263" s="10">
        <f t="shared" si="122"/>
        <v>0</v>
      </c>
      <c r="FO263" s="10">
        <f t="shared" si="123"/>
        <v>0</v>
      </c>
      <c r="FP263" s="10">
        <f t="shared" si="124"/>
        <v>0</v>
      </c>
      <c r="FQ263" s="10">
        <f t="shared" si="125"/>
        <v>0</v>
      </c>
      <c r="FR263" s="11">
        <f>IF(
OR(
ISNUMBER(SEARCH("chatbot",$D263)),ISNUMBER(SEARCH("chatbot",$T263)),ISNUMBER(SEARCH("chatbot",$R262)),ISNUMBER(SEARCH("chatbot",$S263)),
ISNUMBER(SEARCH("virtual assistance",$D263)),ISNUMBER(SEARCH("virtual assistance",$T263)),ISNUMBER(SEARCH("virtual assistance",$R263)),ISNUMBER(SEARCH("virtual assistance",$S263))), 1, 0)</f>
        <v>0</v>
      </c>
      <c r="FS263" s="11">
        <f t="shared" si="127"/>
        <v>0</v>
      </c>
      <c r="FT263" s="11">
        <f t="shared" si="128"/>
        <v>0</v>
      </c>
      <c r="FU263" s="11">
        <f t="shared" si="129"/>
        <v>0</v>
      </c>
      <c r="FV263" s="11">
        <f t="shared" si="130"/>
        <v>0</v>
      </c>
      <c r="FW263" s="11">
        <f t="shared" si="131"/>
        <v>0</v>
      </c>
      <c r="FX263" s="11">
        <f t="shared" si="132"/>
        <v>0</v>
      </c>
      <c r="FY263" s="11">
        <f t="shared" si="133"/>
        <v>0</v>
      </c>
      <c r="FZ263" s="11">
        <f t="shared" si="134"/>
        <v>0</v>
      </c>
      <c r="GA263" s="11">
        <f t="shared" si="135"/>
        <v>0</v>
      </c>
      <c r="GB263" s="11">
        <f t="shared" si="136"/>
        <v>0</v>
      </c>
      <c r="GC263" s="11">
        <f t="shared" si="137"/>
        <v>0</v>
      </c>
      <c r="GD263" s="11">
        <f t="shared" si="138"/>
        <v>0</v>
      </c>
      <c r="GE263" s="11">
        <f t="shared" si="139"/>
        <v>0</v>
      </c>
      <c r="GF263" s="11">
        <f t="shared" si="140"/>
        <v>0</v>
      </c>
      <c r="GG263" s="11">
        <f t="shared" si="141"/>
        <v>0</v>
      </c>
      <c r="GH263" s="11">
        <f t="shared" si="142"/>
        <v>0</v>
      </c>
      <c r="GI263" s="11">
        <f t="shared" si="143"/>
        <v>0</v>
      </c>
      <c r="GJ263" s="11">
        <f t="shared" si="144"/>
        <v>0</v>
      </c>
      <c r="GK263" s="11">
        <f t="shared" si="145"/>
        <v>0</v>
      </c>
      <c r="GL263" s="11">
        <f t="shared" si="146"/>
        <v>0</v>
      </c>
      <c r="GM263" s="11">
        <f t="shared" si="147"/>
        <v>0</v>
      </c>
      <c r="GN263" s="11">
        <f t="shared" si="148"/>
        <v>0</v>
      </c>
      <c r="GO263" s="11">
        <f t="shared" si="149"/>
        <v>0</v>
      </c>
      <c r="GP263" s="11">
        <f t="shared" si="150"/>
        <v>0</v>
      </c>
      <c r="GQ263" s="11">
        <f t="shared" si="151"/>
        <v>0</v>
      </c>
      <c r="GR263" s="11">
        <f t="shared" si="152"/>
        <v>0</v>
      </c>
      <c r="GS263" s="11">
        <f t="shared" si="153"/>
        <v>0</v>
      </c>
      <c r="GT263" s="11">
        <f t="shared" si="154"/>
        <v>0</v>
      </c>
      <c r="GU263" s="12">
        <f t="shared" si="155"/>
        <v>0</v>
      </c>
      <c r="GV263" s="12">
        <f t="shared" si="156"/>
        <v>0</v>
      </c>
      <c r="GW263" s="12">
        <f t="shared" si="157"/>
        <v>0</v>
      </c>
      <c r="GX263" s="12">
        <f t="shared" si="158"/>
        <v>0</v>
      </c>
      <c r="GY263" s="12">
        <f t="shared" si="159"/>
        <v>0</v>
      </c>
      <c r="GZ263" s="12">
        <f t="shared" si="160"/>
        <v>0</v>
      </c>
      <c r="HA263" s="12">
        <f t="shared" si="161"/>
        <v>0</v>
      </c>
      <c r="HB263" s="12">
        <f t="shared" si="162"/>
        <v>0</v>
      </c>
      <c r="HC263" s="12">
        <f t="shared" si="163"/>
        <v>0</v>
      </c>
      <c r="HD263" s="12">
        <f t="shared" si="164"/>
        <v>0</v>
      </c>
      <c r="HE263" s="12">
        <f t="shared" si="165"/>
        <v>0</v>
      </c>
      <c r="HF263" s="12">
        <f t="shared" si="166"/>
        <v>0</v>
      </c>
      <c r="HG263" s="12">
        <f t="shared" si="167"/>
        <v>0</v>
      </c>
      <c r="HH263" s="12">
        <f t="shared" si="168"/>
        <v>0</v>
      </c>
      <c r="HI263" s="12">
        <f t="shared" si="169"/>
        <v>0</v>
      </c>
      <c r="HJ263" s="12">
        <f t="shared" si="170"/>
        <v>0</v>
      </c>
      <c r="HK263" s="12">
        <f t="shared" si="171"/>
        <v>0</v>
      </c>
      <c r="HL263" s="12">
        <f t="shared" si="172"/>
        <v>0</v>
      </c>
      <c r="HM263" s="12">
        <f t="shared" si="173"/>
        <v>0</v>
      </c>
      <c r="HN263" s="12">
        <f t="shared" si="174"/>
        <v>0</v>
      </c>
      <c r="HO263" s="12">
        <f t="shared" si="175"/>
        <v>0</v>
      </c>
      <c r="HP263" s="12">
        <f t="shared" si="176"/>
        <v>0</v>
      </c>
      <c r="HQ263" s="12">
        <f t="shared" si="177"/>
        <v>0</v>
      </c>
      <c r="HR263" s="12">
        <f t="shared" si="178"/>
        <v>0</v>
      </c>
      <c r="HS263" s="12">
        <f t="shared" si="179"/>
        <v>0</v>
      </c>
      <c r="HT263" s="12">
        <f t="shared" si="180"/>
        <v>0</v>
      </c>
      <c r="HU263" s="12">
        <f t="shared" si="181"/>
        <v>0</v>
      </c>
      <c r="HV263" s="12">
        <f t="shared" si="182"/>
        <v>0</v>
      </c>
      <c r="HW263" s="12">
        <f t="shared" si="183"/>
        <v>0</v>
      </c>
      <c r="HX263" s="12">
        <f t="shared" si="184"/>
        <v>0</v>
      </c>
      <c r="HY263" s="12">
        <f t="shared" si="185"/>
        <v>0</v>
      </c>
      <c r="HZ263" s="12">
        <f t="shared" si="186"/>
        <v>0</v>
      </c>
      <c r="IA263" s="12">
        <f t="shared" si="187"/>
        <v>0</v>
      </c>
      <c r="IB263" s="12">
        <f t="shared" si="188"/>
        <v>0</v>
      </c>
      <c r="IC263" s="12">
        <f t="shared" si="189"/>
        <v>0</v>
      </c>
      <c r="ID263" s="12">
        <f t="shared" si="190"/>
        <v>0</v>
      </c>
      <c r="IE263" s="12">
        <f t="shared" si="191"/>
        <v>0</v>
      </c>
      <c r="IF263" s="12">
        <f t="shared" si="192"/>
        <v>0</v>
      </c>
      <c r="IG263" s="12">
        <f t="shared" si="193"/>
        <v>0</v>
      </c>
      <c r="IH263" s="12">
        <f t="shared" si="194"/>
        <v>0</v>
      </c>
      <c r="II263" s="12">
        <f t="shared" si="195"/>
        <v>0</v>
      </c>
      <c r="IJ263" s="12">
        <f t="shared" si="196"/>
        <v>0</v>
      </c>
      <c r="IK263" s="12">
        <f t="shared" si="197"/>
        <v>0</v>
      </c>
      <c r="IL263" s="12">
        <f t="shared" si="198"/>
        <v>0</v>
      </c>
      <c r="IM263" s="12">
        <f t="shared" si="199"/>
        <v>0</v>
      </c>
      <c r="IN263" s="12">
        <f t="shared" si="200"/>
        <v>0</v>
      </c>
      <c r="IO263" s="12">
        <f t="shared" si="201"/>
        <v>0</v>
      </c>
      <c r="IP263" s="12">
        <f t="shared" si="202"/>
        <v>0</v>
      </c>
      <c r="IQ263" s="12">
        <f t="shared" si="203"/>
        <v>0</v>
      </c>
      <c r="IR263" s="12">
        <f t="shared" si="204"/>
        <v>0</v>
      </c>
      <c r="IS263" s="12">
        <f t="shared" si="205"/>
        <v>0</v>
      </c>
      <c r="IT263" s="12">
        <f t="shared" si="206"/>
        <v>0</v>
      </c>
      <c r="IU263" s="12">
        <f t="shared" si="207"/>
        <v>0</v>
      </c>
      <c r="IV263" s="12">
        <f t="shared" si="208"/>
        <v>0</v>
      </c>
      <c r="IW263" s="12">
        <f t="shared" si="209"/>
        <v>0</v>
      </c>
      <c r="IX263" s="12">
        <f t="shared" si="210"/>
        <v>0</v>
      </c>
      <c r="IY263" s="12">
        <f t="shared" si="211"/>
        <v>0</v>
      </c>
      <c r="IZ263" s="12">
        <f t="shared" si="212"/>
        <v>1</v>
      </c>
      <c r="JA263" s="13">
        <f t="shared" si="213"/>
        <v>0</v>
      </c>
      <c r="JB263" s="13">
        <f t="shared" si="214"/>
        <v>0</v>
      </c>
      <c r="JC263" s="13">
        <f t="shared" si="215"/>
        <v>0</v>
      </c>
      <c r="JD263" s="13">
        <f t="shared" si="216"/>
        <v>0</v>
      </c>
      <c r="JE263" s="13">
        <f t="shared" si="217"/>
        <v>0</v>
      </c>
      <c r="JF263" s="13">
        <f t="shared" si="218"/>
        <v>0</v>
      </c>
      <c r="JG263" s="13">
        <f t="shared" si="219"/>
        <v>0</v>
      </c>
      <c r="JH263" s="13">
        <f t="shared" si="220"/>
        <v>0</v>
      </c>
      <c r="JI263" s="13">
        <f t="shared" si="221"/>
        <v>0</v>
      </c>
      <c r="JJ263" s="13">
        <f t="shared" si="222"/>
        <v>0</v>
      </c>
      <c r="JK263" s="13">
        <f t="shared" si="223"/>
        <v>0</v>
      </c>
      <c r="JL263" s="13">
        <f t="shared" si="224"/>
        <v>0</v>
      </c>
      <c r="JM263" s="13">
        <f t="shared" si="225"/>
        <v>0</v>
      </c>
      <c r="JN263" s="13">
        <f t="shared" si="226"/>
        <v>0</v>
      </c>
      <c r="JO263" s="13">
        <f t="shared" si="227"/>
        <v>0</v>
      </c>
      <c r="JP263" s="13">
        <f t="shared" si="228"/>
        <v>0</v>
      </c>
      <c r="JQ263" s="13">
        <f t="shared" si="229"/>
        <v>0</v>
      </c>
      <c r="JR263" s="13">
        <f t="shared" si="230"/>
        <v>0</v>
      </c>
      <c r="JS263" s="13">
        <f t="shared" si="231"/>
        <v>0</v>
      </c>
      <c r="JT263" s="13">
        <f t="shared" si="232"/>
        <v>0</v>
      </c>
      <c r="JU263" s="13">
        <f t="shared" si="233"/>
        <v>0</v>
      </c>
      <c r="JV263" s="12">
        <f t="shared" si="234"/>
        <v>0</v>
      </c>
      <c r="JW263" s="12">
        <f t="shared" si="235"/>
        <v>0</v>
      </c>
      <c r="JX263" s="12">
        <f t="shared" si="236"/>
        <v>0</v>
      </c>
      <c r="JY263" s="12">
        <f t="shared" si="237"/>
        <v>0</v>
      </c>
      <c r="JZ263" s="12">
        <f t="shared" si="238"/>
        <v>0</v>
      </c>
      <c r="KA263" s="12">
        <f t="shared" si="239"/>
        <v>0</v>
      </c>
      <c r="KB263" s="12">
        <f t="shared" si="240"/>
        <v>0</v>
      </c>
      <c r="KC263" s="12">
        <f t="shared" si="241"/>
        <v>0</v>
      </c>
      <c r="KD263" s="12">
        <f t="shared" si="797"/>
        <v>0</v>
      </c>
      <c r="KE263" s="12">
        <f t="shared" si="243"/>
        <v>0</v>
      </c>
      <c r="KF263" s="12">
        <f t="shared" si="244"/>
        <v>0</v>
      </c>
      <c r="KG263" s="12">
        <f t="shared" si="245"/>
        <v>0</v>
      </c>
      <c r="KH263" s="12">
        <f t="shared" si="246"/>
        <v>0</v>
      </c>
      <c r="KI263" s="12">
        <f t="shared" si="247"/>
        <v>0</v>
      </c>
      <c r="KJ263" s="12">
        <f t="shared" si="248"/>
        <v>0</v>
      </c>
      <c r="KK263" s="12">
        <f t="shared" si="249"/>
        <v>0</v>
      </c>
      <c r="KL263" s="12">
        <f t="shared" si="250"/>
        <v>0</v>
      </c>
      <c r="KM263" s="12">
        <f t="shared" si="251"/>
        <v>0</v>
      </c>
      <c r="KN263" s="12">
        <f t="shared" si="252"/>
        <v>0</v>
      </c>
      <c r="KO263" s="12">
        <f t="shared" si="253"/>
        <v>0</v>
      </c>
      <c r="KP263" s="12">
        <f t="shared" si="254"/>
        <v>0</v>
      </c>
      <c r="KQ263" s="12">
        <f t="shared" si="255"/>
        <v>0</v>
      </c>
      <c r="KR263" s="12">
        <f t="shared" si="256"/>
        <v>0</v>
      </c>
      <c r="KS263" s="12">
        <f t="shared" si="257"/>
        <v>0</v>
      </c>
      <c r="KT263" s="12">
        <f t="shared" si="258"/>
        <v>0</v>
      </c>
      <c r="KU263" s="12">
        <f t="shared" si="259"/>
        <v>0</v>
      </c>
      <c r="KV263" s="12">
        <f t="shared" si="260"/>
        <v>0</v>
      </c>
      <c r="KW263" s="12">
        <f t="shared" si="261"/>
        <v>0</v>
      </c>
      <c r="KX263" s="12">
        <f t="shared" si="262"/>
        <v>0</v>
      </c>
      <c r="KY263" s="12">
        <f t="shared" si="263"/>
        <v>0</v>
      </c>
      <c r="KZ263" s="12">
        <f t="shared" si="264"/>
        <v>0</v>
      </c>
      <c r="LA263" s="12">
        <f t="shared" si="265"/>
        <v>0</v>
      </c>
      <c r="LB263" s="12">
        <f t="shared" si="266"/>
        <v>0</v>
      </c>
      <c r="LC263" s="12">
        <f t="shared" si="267"/>
        <v>0</v>
      </c>
      <c r="LD263" s="12">
        <f t="shared" si="268"/>
        <v>0</v>
      </c>
      <c r="LE263" s="12">
        <f t="shared" si="269"/>
        <v>0</v>
      </c>
      <c r="LF263" s="12">
        <f t="shared" si="270"/>
        <v>0</v>
      </c>
      <c r="LG263" s="12">
        <f t="shared" si="271"/>
        <v>0</v>
      </c>
      <c r="LH263" s="12">
        <f t="shared" si="272"/>
        <v>0</v>
      </c>
      <c r="LI263" s="12">
        <f t="shared" si="273"/>
        <v>0</v>
      </c>
      <c r="LJ263" s="12">
        <f t="shared" si="274"/>
        <v>0</v>
      </c>
      <c r="LK263" s="12">
        <f t="shared" si="275"/>
        <v>0</v>
      </c>
      <c r="LL263" s="12">
        <f t="shared" si="276"/>
        <v>0</v>
      </c>
      <c r="LM263" s="12">
        <f t="shared" si="277"/>
        <v>0</v>
      </c>
      <c r="LN263" s="12">
        <f t="shared" si="278"/>
        <v>0</v>
      </c>
      <c r="LO263" s="12">
        <f t="shared" si="279"/>
        <v>0</v>
      </c>
      <c r="LP263" s="12">
        <f t="shared" si="280"/>
        <v>0</v>
      </c>
      <c r="LQ263" s="12">
        <f t="shared" si="281"/>
        <v>0</v>
      </c>
      <c r="LR263" s="12">
        <f t="shared" si="282"/>
        <v>0</v>
      </c>
      <c r="LS263" s="12">
        <f t="shared" si="283"/>
        <v>0</v>
      </c>
      <c r="LT263" s="13">
        <f t="shared" si="284"/>
        <v>0</v>
      </c>
      <c r="LU263" s="13">
        <f t="shared" si="285"/>
        <v>0</v>
      </c>
      <c r="LV263" s="13">
        <f t="shared" si="286"/>
        <v>0</v>
      </c>
      <c r="LW263" s="13">
        <f t="shared" si="287"/>
        <v>0</v>
      </c>
      <c r="LX263" s="13">
        <f t="shared" si="288"/>
        <v>0</v>
      </c>
      <c r="LY263" s="13">
        <f t="shared" si="289"/>
        <v>0</v>
      </c>
      <c r="LZ263" s="13">
        <f t="shared" si="290"/>
        <v>0</v>
      </c>
      <c r="MA263" s="13">
        <f t="shared" si="291"/>
        <v>1</v>
      </c>
      <c r="MB263" s="13">
        <f t="shared" si="292"/>
        <v>0</v>
      </c>
      <c r="MC263" s="13">
        <f t="shared" si="293"/>
        <v>0</v>
      </c>
      <c r="MD263" s="13">
        <f t="shared" si="294"/>
        <v>0</v>
      </c>
      <c r="ME263" s="13">
        <f t="shared" si="295"/>
        <v>0</v>
      </c>
      <c r="MF263" s="13">
        <f t="shared" si="296"/>
        <v>0</v>
      </c>
      <c r="MG263" s="13">
        <f t="shared" si="297"/>
        <v>0</v>
      </c>
      <c r="MH263" s="13">
        <f t="shared" si="298"/>
        <v>0</v>
      </c>
      <c r="MI263" s="13">
        <f t="shared" si="299"/>
        <v>0</v>
      </c>
      <c r="MJ263" s="13">
        <f t="shared" si="300"/>
        <v>0</v>
      </c>
      <c r="MK263" s="13">
        <f t="shared" si="301"/>
        <v>0</v>
      </c>
      <c r="ML263" s="14">
        <f t="shared" si="302"/>
        <v>0</v>
      </c>
      <c r="MM263" s="14">
        <f t="shared" si="303"/>
        <v>0</v>
      </c>
      <c r="MN263" s="14">
        <f t="shared" si="304"/>
        <v>0</v>
      </c>
      <c r="MO263" s="14">
        <f t="shared" si="305"/>
        <v>0</v>
      </c>
      <c r="MP263" s="14">
        <f t="shared" si="306"/>
        <v>0</v>
      </c>
      <c r="MQ263" s="14">
        <f t="shared" si="307"/>
        <v>0</v>
      </c>
      <c r="MR263" s="14">
        <f t="shared" si="308"/>
        <v>0</v>
      </c>
      <c r="MS263" s="14">
        <f t="shared" si="309"/>
        <v>0</v>
      </c>
      <c r="MT263" s="14">
        <f t="shared" si="310"/>
        <v>0</v>
      </c>
      <c r="MU263" s="14">
        <f t="shared" si="311"/>
        <v>0</v>
      </c>
      <c r="MV263" s="14">
        <f t="shared" si="312"/>
        <v>0</v>
      </c>
      <c r="MW263" s="14">
        <f t="shared" si="313"/>
        <v>0</v>
      </c>
      <c r="MX263" s="14">
        <f t="shared" si="314"/>
        <v>0</v>
      </c>
      <c r="MY263" s="14">
        <f t="shared" si="315"/>
        <v>0</v>
      </c>
      <c r="MZ263" s="14">
        <f t="shared" si="316"/>
        <v>0</v>
      </c>
      <c r="NA263" s="14">
        <f t="shared" si="317"/>
        <v>0</v>
      </c>
      <c r="NB263" s="14">
        <f t="shared" si="318"/>
        <v>0</v>
      </c>
    </row>
    <row r="264" ht="15.75" customHeight="1">
      <c r="A264" s="2">
        <v>768.0</v>
      </c>
      <c r="B264" s="2" t="s">
        <v>4680</v>
      </c>
      <c r="D264" s="2" t="s">
        <v>4681</v>
      </c>
      <c r="E264" s="2">
        <v>2023.0</v>
      </c>
      <c r="J264" s="2" t="s">
        <v>4682</v>
      </c>
      <c r="K264" s="2" t="s">
        <v>4682</v>
      </c>
      <c r="O264" s="2" t="s">
        <v>4683</v>
      </c>
      <c r="R264" s="2" t="s">
        <v>4684</v>
      </c>
      <c r="AB264" s="2" t="s">
        <v>1022</v>
      </c>
      <c r="AG264" s="2" t="s">
        <v>4685</v>
      </c>
      <c r="AP264" s="2" t="s">
        <v>4686</v>
      </c>
      <c r="AQ264" s="2">
        <v>1.0</v>
      </c>
      <c r="AR264" s="2" t="s">
        <v>4687</v>
      </c>
      <c r="AS264" s="2" t="b">
        <v>0</v>
      </c>
      <c r="AT264" s="3">
        <v>0.0</v>
      </c>
      <c r="AU264" s="4"/>
      <c r="AV264" s="4"/>
      <c r="AW264" s="5">
        <f t="shared" si="432"/>
        <v>0</v>
      </c>
      <c r="AX264" s="5">
        <f t="shared" si="4"/>
        <v>0</v>
      </c>
      <c r="AY264" s="5">
        <f t="shared" si="5"/>
        <v>0</v>
      </c>
      <c r="AZ264" s="5">
        <f t="shared" si="6"/>
        <v>0</v>
      </c>
      <c r="BA264" s="5">
        <f t="shared" si="7"/>
        <v>0</v>
      </c>
      <c r="BB264" s="5">
        <f t="shared" si="8"/>
        <v>0</v>
      </c>
      <c r="BC264" s="5">
        <f t="shared" si="9"/>
        <v>0</v>
      </c>
      <c r="BD264" s="5">
        <f t="shared" si="10"/>
        <v>0</v>
      </c>
      <c r="BE264" s="5">
        <f t="shared" si="11"/>
        <v>0</v>
      </c>
      <c r="BF264" s="5">
        <f t="shared" si="12"/>
        <v>0</v>
      </c>
      <c r="BG264" s="5">
        <f t="shared" si="13"/>
        <v>0</v>
      </c>
      <c r="BH264" s="5">
        <f t="shared" si="14"/>
        <v>0</v>
      </c>
      <c r="BI264" s="5">
        <f t="shared" si="15"/>
        <v>0</v>
      </c>
      <c r="BJ264" s="5">
        <f t="shared" si="16"/>
        <v>0</v>
      </c>
      <c r="BK264" s="5">
        <f t="shared" si="17"/>
        <v>0</v>
      </c>
      <c r="BL264" s="5">
        <f t="shared" si="18"/>
        <v>0</v>
      </c>
      <c r="BM264" s="5">
        <f t="shared" si="19"/>
        <v>0</v>
      </c>
      <c r="BN264" s="5">
        <f t="shared" si="20"/>
        <v>0</v>
      </c>
      <c r="BO264" s="5">
        <f t="shared" si="21"/>
        <v>0</v>
      </c>
      <c r="BP264" s="5">
        <f t="shared" si="22"/>
        <v>0</v>
      </c>
      <c r="BQ264" s="5">
        <f t="shared" si="23"/>
        <v>0</v>
      </c>
      <c r="BR264" s="5">
        <f t="shared" si="24"/>
        <v>0</v>
      </c>
      <c r="BS264" s="5">
        <f t="shared" si="25"/>
        <v>0</v>
      </c>
      <c r="BT264" s="5">
        <f t="shared" si="26"/>
        <v>0</v>
      </c>
      <c r="BU264" s="5">
        <f t="shared" si="27"/>
        <v>0</v>
      </c>
      <c r="BV264" s="5">
        <f t="shared" ref="BV264:BW264" si="892">IF(OR(ISNUMBER(SEARCH("grit",$D264)),ISNUMBER(SEARCH("grit",$T264)),ISNUMBER(SEARCH("grit",$R264)),ISNUMBER(SEARCH("grit",$S264)),
ISNUMBER(SEARCH("determination",$D264)),ISNUMBER(SEARCH("determination",$T264)),ISNUMBER(SEARCH("determination",$R264)),ISNUMBER(SEARCH("determination",$S264)),
ISNUMBER(SEARCH("tenacity",$D264)),ISNUMBER(SEARCH("tenacity",$T264)),ISNUMBER(SEARCH("tenacity",$R264)),ISNUMBER(SEARCH("tenacity",$S264)),
ISNUMBER(SEARCH("endurance",$D264)),ISNUMBER(SEARCH("endurance",$T264)),ISNUMBER(SEARCH("endurance",$R264)),ISNUMBER(SEARCH("endurance",$S264)),
ISNUMBER(SEARCH("fortitude",$D264)),ISNUMBER(SEARCH("fortitude",$T264)),ISNUMBER(SEARCH("fortitude",$R264)),ISNUMBER(SEARCH("fortitude",$S264)),
ISNUMBER(SEARCH("resolve",$D264)),ISNUMBER(SEARCH("resolve",$T264)),ISNUMBER(SEARCH("resolve",$R264)),ISNUMBER(SEARCH("resolve",$S264)),
ISNUMBER(SEARCH("stamina",$D264)),ISNUMBER(SEARCH("stamina",$T264)),ISNUMBER(SEARCH("stamina",$R264)),ISNUMBER(SEARCH("stamina",$S264)),
ISNUMBER(SEARCH("guts",$D264)),ISNUMBER(SEARCH("guts",$T264)),ISNUMBER(SEARCH("guts",$R264)),ISNUMBER(SEARCH("guts",$S264)),
ISNUMBER(SEARCH("spunk",$D264)),ISNUMBER(SEARCH("spunk",$T264)),ISNUMBER(SEARCH("spunk",$R264)),ISNUMBER(SEARCH("spunk",$S264))), 1, 0)</f>
        <v>0</v>
      </c>
      <c r="BW264" s="5">
        <f t="shared" si="892"/>
        <v>0</v>
      </c>
      <c r="BX264" s="5">
        <f t="shared" si="29"/>
        <v>0</v>
      </c>
      <c r="BY264" s="5">
        <f t="shared" si="30"/>
        <v>0</v>
      </c>
      <c r="BZ264" s="5">
        <f t="shared" si="31"/>
        <v>0</v>
      </c>
      <c r="CA264" s="5">
        <f t="shared" si="32"/>
        <v>0</v>
      </c>
      <c r="CB264" s="5">
        <f t="shared" si="33"/>
        <v>0</v>
      </c>
      <c r="CC264" s="5">
        <f t="shared" si="34"/>
        <v>0</v>
      </c>
      <c r="CD264" s="5">
        <f t="shared" si="35"/>
        <v>0</v>
      </c>
      <c r="CE264" s="5">
        <f t="shared" si="36"/>
        <v>0</v>
      </c>
      <c r="CF264" s="5">
        <f t="shared" si="37"/>
        <v>0</v>
      </c>
      <c r="CG264" s="5">
        <f t="shared" si="38"/>
        <v>0</v>
      </c>
      <c r="CH264" s="5">
        <f t="shared" si="39"/>
        <v>0</v>
      </c>
      <c r="CI264" s="5">
        <f t="shared" si="40"/>
        <v>0</v>
      </c>
      <c r="CJ264" s="5">
        <f t="shared" si="41"/>
        <v>0</v>
      </c>
      <c r="CK264" s="5">
        <f t="shared" si="42"/>
        <v>0</v>
      </c>
      <c r="CL264" s="5">
        <f t="shared" si="43"/>
        <v>0</v>
      </c>
      <c r="CM264" s="5">
        <f t="shared" si="44"/>
        <v>0</v>
      </c>
      <c r="CN264" s="5">
        <f t="shared" si="45"/>
        <v>0</v>
      </c>
      <c r="CO264" s="5">
        <f t="shared" si="46"/>
        <v>0</v>
      </c>
      <c r="CP264" s="6">
        <f t="shared" si="47"/>
        <v>0</v>
      </c>
      <c r="CQ264" s="6">
        <f t="shared" si="48"/>
        <v>0</v>
      </c>
      <c r="CR264" s="6">
        <f t="shared" si="49"/>
        <v>0</v>
      </c>
      <c r="CS264" s="6">
        <f t="shared" si="50"/>
        <v>0</v>
      </c>
      <c r="CT264" s="6">
        <f t="shared" si="584"/>
        <v>0</v>
      </c>
      <c r="CU264" s="6">
        <f t="shared" si="52"/>
        <v>0</v>
      </c>
      <c r="CV264" s="6">
        <f t="shared" si="53"/>
        <v>0</v>
      </c>
      <c r="CW264" s="6">
        <f t="shared" si="54"/>
        <v>0</v>
      </c>
      <c r="CX264" s="6">
        <f t="shared" si="55"/>
        <v>0</v>
      </c>
      <c r="CY264" s="6">
        <f t="shared" si="56"/>
        <v>0</v>
      </c>
      <c r="CZ264" s="6">
        <f t="shared" si="57"/>
        <v>0</v>
      </c>
      <c r="DA264" s="6">
        <f t="shared" si="58"/>
        <v>0</v>
      </c>
      <c r="DB264" s="6">
        <f t="shared" si="59"/>
        <v>0</v>
      </c>
      <c r="DC264" s="6">
        <f t="shared" si="60"/>
        <v>0</v>
      </c>
      <c r="DD264" s="6">
        <f t="shared" si="61"/>
        <v>0</v>
      </c>
      <c r="DE264" s="6">
        <f t="shared" si="62"/>
        <v>0</v>
      </c>
      <c r="DF264" s="6">
        <f t="shared" si="63"/>
        <v>0</v>
      </c>
      <c r="DG264" s="6">
        <f t="shared" si="64"/>
        <v>0</v>
      </c>
      <c r="DH264" s="6">
        <f t="shared" si="697"/>
        <v>0</v>
      </c>
      <c r="DI264" s="6">
        <f t="shared" si="66"/>
        <v>0</v>
      </c>
      <c r="DJ264" s="6">
        <f t="shared" si="653"/>
        <v>0</v>
      </c>
      <c r="DK264" s="7">
        <f t="shared" si="68"/>
        <v>0</v>
      </c>
      <c r="DL264" s="7">
        <f t="shared" si="498"/>
        <v>0</v>
      </c>
      <c r="DM264" s="7">
        <f t="shared" si="70"/>
        <v>0</v>
      </c>
      <c r="DN264" s="7">
        <f t="shared" si="71"/>
        <v>0</v>
      </c>
      <c r="DO264" s="7">
        <f t="shared" si="72"/>
        <v>0</v>
      </c>
      <c r="DP264" s="8">
        <f t="shared" si="73"/>
        <v>0</v>
      </c>
      <c r="DQ264" s="8">
        <f t="shared" si="74"/>
        <v>1</v>
      </c>
      <c r="DR264" s="7">
        <f t="shared" si="75"/>
        <v>0</v>
      </c>
      <c r="DS264" s="7">
        <f t="shared" si="76"/>
        <v>0</v>
      </c>
      <c r="DT264" s="7">
        <f t="shared" si="77"/>
        <v>0</v>
      </c>
      <c r="DU264" s="9">
        <f t="shared" si="78"/>
        <v>0</v>
      </c>
      <c r="DV264" s="9">
        <f t="shared" si="79"/>
        <v>0</v>
      </c>
      <c r="DW264" s="9">
        <f t="shared" si="80"/>
        <v>0</v>
      </c>
      <c r="DX264" s="9">
        <f t="shared" si="81"/>
        <v>0</v>
      </c>
      <c r="DY264" s="9">
        <f t="shared" si="82"/>
        <v>0</v>
      </c>
      <c r="DZ264" s="9">
        <f t="shared" si="83"/>
        <v>0</v>
      </c>
      <c r="EA264" s="9">
        <f t="shared" si="84"/>
        <v>0</v>
      </c>
      <c r="EB264" s="9">
        <f t="shared" si="85"/>
        <v>0</v>
      </c>
      <c r="EC264" s="9">
        <f t="shared" si="86"/>
        <v>0</v>
      </c>
      <c r="ED264" s="9">
        <f t="shared" si="87"/>
        <v>0</v>
      </c>
      <c r="EE264" s="9">
        <f t="shared" si="88"/>
        <v>0</v>
      </c>
      <c r="EF264" s="9">
        <f t="shared" si="89"/>
        <v>0</v>
      </c>
      <c r="EG264" s="9">
        <f t="shared" si="90"/>
        <v>0</v>
      </c>
      <c r="EH264" s="9">
        <f t="shared" si="91"/>
        <v>0</v>
      </c>
      <c r="EI264" s="9">
        <f t="shared" si="92"/>
        <v>0</v>
      </c>
      <c r="EJ264" s="10">
        <f t="shared" si="93"/>
        <v>0</v>
      </c>
      <c r="EK264" s="10">
        <f t="shared" si="94"/>
        <v>0</v>
      </c>
      <c r="EL264" s="10">
        <f t="shared" ref="EL264:EM264" si="893">IF(OR(ISNUMBER(SEARCH("ai software toolkit", $D264)), ISNUMBER(SEARCH("ai software toolkit", $T264)), ISNUMBER(SEARCH("ai software toolkit", $R264)), ISNUMBER(SEARCH("ai software toolkit", $S264))), 1, 0)</f>
        <v>0</v>
      </c>
      <c r="EM264" s="10">
        <f t="shared" si="893"/>
        <v>0</v>
      </c>
      <c r="EN264" s="10">
        <f t="shared" si="96"/>
        <v>0</v>
      </c>
      <c r="EO264" s="10">
        <f t="shared" si="97"/>
        <v>0</v>
      </c>
      <c r="EP264" s="10">
        <f t="shared" si="98"/>
        <v>0</v>
      </c>
      <c r="EQ264" s="10">
        <f t="shared" si="99"/>
        <v>0</v>
      </c>
      <c r="ER264" s="10">
        <f t="shared" si="100"/>
        <v>0</v>
      </c>
      <c r="ES264" s="10">
        <f t="shared" si="101"/>
        <v>0</v>
      </c>
      <c r="ET264" s="10">
        <f t="shared" si="102"/>
        <v>0</v>
      </c>
      <c r="EU264" s="10">
        <f t="shared" si="103"/>
        <v>0</v>
      </c>
      <c r="EV264" s="10">
        <f t="shared" si="104"/>
        <v>0</v>
      </c>
      <c r="EW264" s="10">
        <f t="shared" si="105"/>
        <v>0</v>
      </c>
      <c r="EX264" s="10">
        <f t="shared" si="106"/>
        <v>0</v>
      </c>
      <c r="EY264" s="10">
        <f t="shared" si="107"/>
        <v>0</v>
      </c>
      <c r="EZ264" s="10">
        <f t="shared" si="108"/>
        <v>0</v>
      </c>
      <c r="FA264" s="10">
        <f t="shared" si="109"/>
        <v>0</v>
      </c>
      <c r="FB264" s="10">
        <f t="shared" si="110"/>
        <v>0</v>
      </c>
      <c r="FC264" s="10">
        <f t="shared" si="111"/>
        <v>0</v>
      </c>
      <c r="FD264" s="10">
        <f t="shared" si="112"/>
        <v>0</v>
      </c>
      <c r="FE264" s="10">
        <f>IF(
OR(
ISNUMBER(SEARCH("internet of things",$D264)),ISNUMBER(SEARCH("internet of things",$T264)),ISNUMBER(SEARCH("internet of things",$R264)),ISNUMBER(SEARCH("internet of things",$S264)), ISNUMBER(SEARCH("wearable",#REF!)),ISNUMBER(SEARCH("wearable",#REF!)),ISNUMBER(SEARCH("wearable",#REF!)),ISNUMBER(SEARCH("wearable",#REF!)),
ISNUMBER(SEARCH("IOT",$D264)),ISNUMBER(SEARCH("IOT",$T264)),ISNUMBER(SEARCH("IOT",$R264)),ISNUMBER(SEARCH("IOT",$S264))), 1, 0)</f>
        <v>0</v>
      </c>
      <c r="FF264" s="10">
        <f t="shared" si="114"/>
        <v>0</v>
      </c>
      <c r="FG264" s="10">
        <f t="shared" si="115"/>
        <v>0</v>
      </c>
      <c r="FH264" s="10">
        <f t="shared" si="116"/>
        <v>0</v>
      </c>
      <c r="FI264" s="10">
        <f t="shared" si="117"/>
        <v>0</v>
      </c>
      <c r="FJ264" s="10">
        <f t="shared" si="118"/>
        <v>0</v>
      </c>
      <c r="FK264" s="10">
        <f t="shared" si="119"/>
        <v>0</v>
      </c>
      <c r="FL264" s="10">
        <f t="shared" si="120"/>
        <v>0</v>
      </c>
      <c r="FM264" s="10">
        <f t="shared" si="121"/>
        <v>0</v>
      </c>
      <c r="FN264" s="10">
        <f t="shared" si="122"/>
        <v>0</v>
      </c>
      <c r="FO264" s="10">
        <f t="shared" si="123"/>
        <v>0</v>
      </c>
      <c r="FP264" s="10">
        <f t="shared" si="124"/>
        <v>0</v>
      </c>
      <c r="FQ264" s="10">
        <f t="shared" si="125"/>
        <v>0</v>
      </c>
      <c r="FR264" s="11">
        <f>IF(
OR(
ISNUMBER(SEARCH("chatbot",$D264)),ISNUMBER(SEARCH("chatbot",$T264)),ISNUMBER(SEARCH("chatbot",#REF!)),ISNUMBER(SEARCH("chatbot",$S264)),
ISNUMBER(SEARCH("virtual assistance",$D264)),ISNUMBER(SEARCH("virtual assistance",$T264)),ISNUMBER(SEARCH("virtual assistance",$R264)),ISNUMBER(SEARCH("virtual assistance",$S264))), 1, 0)</f>
        <v>0</v>
      </c>
      <c r="FS264" s="11">
        <f t="shared" si="127"/>
        <v>0</v>
      </c>
      <c r="FT264" s="11">
        <f t="shared" si="128"/>
        <v>0</v>
      </c>
      <c r="FU264" s="11">
        <f t="shared" si="129"/>
        <v>0</v>
      </c>
      <c r="FV264" s="11">
        <f t="shared" si="130"/>
        <v>0</v>
      </c>
      <c r="FW264" s="11">
        <f t="shared" si="131"/>
        <v>0</v>
      </c>
      <c r="FX264" s="11">
        <f t="shared" si="132"/>
        <v>0</v>
      </c>
      <c r="FY264" s="11">
        <f t="shared" si="133"/>
        <v>0</v>
      </c>
      <c r="FZ264" s="11">
        <f t="shared" si="134"/>
        <v>0</v>
      </c>
      <c r="GA264" s="11">
        <f t="shared" si="135"/>
        <v>0</v>
      </c>
      <c r="GB264" s="11">
        <f t="shared" si="136"/>
        <v>0</v>
      </c>
      <c r="GC264" s="11">
        <f t="shared" si="137"/>
        <v>0</v>
      </c>
      <c r="GD264" s="11">
        <f t="shared" si="138"/>
        <v>0</v>
      </c>
      <c r="GE264" s="11">
        <f t="shared" si="139"/>
        <v>0</v>
      </c>
      <c r="GF264" s="11">
        <f t="shared" si="140"/>
        <v>0</v>
      </c>
      <c r="GG264" s="11">
        <f t="shared" si="141"/>
        <v>0</v>
      </c>
      <c r="GH264" s="11">
        <f t="shared" si="142"/>
        <v>0</v>
      </c>
      <c r="GI264" s="11">
        <f t="shared" si="143"/>
        <v>0</v>
      </c>
      <c r="GJ264" s="11">
        <f t="shared" si="144"/>
        <v>0</v>
      </c>
      <c r="GK264" s="11">
        <f t="shared" si="145"/>
        <v>0</v>
      </c>
      <c r="GL264" s="11">
        <f t="shared" si="146"/>
        <v>0</v>
      </c>
      <c r="GM264" s="11">
        <f t="shared" si="147"/>
        <v>0</v>
      </c>
      <c r="GN264" s="11">
        <f t="shared" si="148"/>
        <v>0</v>
      </c>
      <c r="GO264" s="11">
        <f t="shared" si="149"/>
        <v>0</v>
      </c>
      <c r="GP264" s="11">
        <f t="shared" si="150"/>
        <v>0</v>
      </c>
      <c r="GQ264" s="11">
        <f t="shared" si="151"/>
        <v>0</v>
      </c>
      <c r="GR264" s="11">
        <f t="shared" si="152"/>
        <v>0</v>
      </c>
      <c r="GS264" s="11">
        <f t="shared" si="153"/>
        <v>0</v>
      </c>
      <c r="GT264" s="11">
        <f t="shared" si="154"/>
        <v>0</v>
      </c>
      <c r="GU264" s="12">
        <f t="shared" si="155"/>
        <v>0</v>
      </c>
      <c r="GV264" s="12">
        <f t="shared" si="156"/>
        <v>0</v>
      </c>
      <c r="GW264" s="12">
        <f t="shared" si="157"/>
        <v>0</v>
      </c>
      <c r="GX264" s="12">
        <f t="shared" si="158"/>
        <v>0</v>
      </c>
      <c r="GY264" s="12">
        <f t="shared" si="159"/>
        <v>0</v>
      </c>
      <c r="GZ264" s="12">
        <f t="shared" si="160"/>
        <v>0</v>
      </c>
      <c r="HA264" s="12">
        <f t="shared" si="161"/>
        <v>0</v>
      </c>
      <c r="HB264" s="12">
        <f t="shared" si="162"/>
        <v>0</v>
      </c>
      <c r="HC264" s="12">
        <f t="shared" si="163"/>
        <v>0</v>
      </c>
      <c r="HD264" s="12">
        <f t="shared" si="164"/>
        <v>0</v>
      </c>
      <c r="HE264" s="12">
        <f t="shared" si="165"/>
        <v>0</v>
      </c>
      <c r="HF264" s="12">
        <f t="shared" si="166"/>
        <v>0</v>
      </c>
      <c r="HG264" s="12">
        <f t="shared" si="167"/>
        <v>0</v>
      </c>
      <c r="HH264" s="12">
        <f t="shared" si="168"/>
        <v>0</v>
      </c>
      <c r="HI264" s="12">
        <f t="shared" si="169"/>
        <v>0</v>
      </c>
      <c r="HJ264" s="12">
        <f t="shared" si="170"/>
        <v>0</v>
      </c>
      <c r="HK264" s="12">
        <f t="shared" si="171"/>
        <v>0</v>
      </c>
      <c r="HL264" s="12">
        <f t="shared" si="172"/>
        <v>0</v>
      </c>
      <c r="HM264" s="12">
        <f t="shared" si="173"/>
        <v>0</v>
      </c>
      <c r="HN264" s="12">
        <f t="shared" si="174"/>
        <v>0</v>
      </c>
      <c r="HO264" s="12">
        <f t="shared" si="175"/>
        <v>0</v>
      </c>
      <c r="HP264" s="12">
        <f t="shared" si="176"/>
        <v>0</v>
      </c>
      <c r="HQ264" s="12">
        <f t="shared" si="177"/>
        <v>0</v>
      </c>
      <c r="HR264" s="12">
        <f t="shared" si="178"/>
        <v>0</v>
      </c>
      <c r="HS264" s="12">
        <f t="shared" si="179"/>
        <v>0</v>
      </c>
      <c r="HT264" s="12">
        <f t="shared" si="180"/>
        <v>0</v>
      </c>
      <c r="HU264" s="12">
        <f t="shared" si="181"/>
        <v>0</v>
      </c>
      <c r="HV264" s="12">
        <f t="shared" si="182"/>
        <v>0</v>
      </c>
      <c r="HW264" s="12">
        <f t="shared" si="183"/>
        <v>0</v>
      </c>
      <c r="HX264" s="12">
        <f t="shared" si="184"/>
        <v>0</v>
      </c>
      <c r="HY264" s="12">
        <f t="shared" si="185"/>
        <v>0</v>
      </c>
      <c r="HZ264" s="12">
        <f t="shared" si="186"/>
        <v>0</v>
      </c>
      <c r="IA264" s="12">
        <f t="shared" si="187"/>
        <v>0</v>
      </c>
      <c r="IB264" s="12">
        <f t="shared" si="188"/>
        <v>0</v>
      </c>
      <c r="IC264" s="12">
        <f t="shared" si="189"/>
        <v>0</v>
      </c>
      <c r="ID264" s="12">
        <f t="shared" si="190"/>
        <v>0</v>
      </c>
      <c r="IE264" s="12">
        <f t="shared" si="191"/>
        <v>0</v>
      </c>
      <c r="IF264" s="12">
        <f t="shared" si="192"/>
        <v>0</v>
      </c>
      <c r="IG264" s="12">
        <f t="shared" si="193"/>
        <v>0</v>
      </c>
      <c r="IH264" s="12">
        <f t="shared" si="194"/>
        <v>0</v>
      </c>
      <c r="II264" s="12">
        <f t="shared" si="195"/>
        <v>0</v>
      </c>
      <c r="IJ264" s="12">
        <f t="shared" si="196"/>
        <v>0</v>
      </c>
      <c r="IK264" s="12">
        <f t="shared" si="197"/>
        <v>0</v>
      </c>
      <c r="IL264" s="12">
        <f t="shared" si="198"/>
        <v>0</v>
      </c>
      <c r="IM264" s="12">
        <f t="shared" si="199"/>
        <v>0</v>
      </c>
      <c r="IN264" s="12">
        <f t="shared" si="200"/>
        <v>0</v>
      </c>
      <c r="IO264" s="12">
        <f t="shared" si="201"/>
        <v>0</v>
      </c>
      <c r="IP264" s="12">
        <f t="shared" si="202"/>
        <v>0</v>
      </c>
      <c r="IQ264" s="12">
        <f t="shared" si="203"/>
        <v>0</v>
      </c>
      <c r="IR264" s="12">
        <f t="shared" si="204"/>
        <v>0</v>
      </c>
      <c r="IS264" s="12">
        <f t="shared" si="205"/>
        <v>0</v>
      </c>
      <c r="IT264" s="12">
        <f t="shared" si="206"/>
        <v>0</v>
      </c>
      <c r="IU264" s="12">
        <f t="shared" si="207"/>
        <v>0</v>
      </c>
      <c r="IV264" s="12">
        <f t="shared" si="208"/>
        <v>0</v>
      </c>
      <c r="IW264" s="12">
        <f t="shared" si="209"/>
        <v>0</v>
      </c>
      <c r="IX264" s="12">
        <f t="shared" si="210"/>
        <v>0</v>
      </c>
      <c r="IY264" s="12">
        <f t="shared" si="211"/>
        <v>0</v>
      </c>
      <c r="IZ264" s="12">
        <f t="shared" si="212"/>
        <v>1</v>
      </c>
      <c r="JA264" s="13">
        <f t="shared" si="213"/>
        <v>0</v>
      </c>
      <c r="JB264" s="13">
        <f t="shared" si="214"/>
        <v>0</v>
      </c>
      <c r="JC264" s="13">
        <f t="shared" si="215"/>
        <v>0</v>
      </c>
      <c r="JD264" s="13">
        <f t="shared" si="216"/>
        <v>0</v>
      </c>
      <c r="JE264" s="13">
        <f t="shared" si="217"/>
        <v>0</v>
      </c>
      <c r="JF264" s="13">
        <f t="shared" si="218"/>
        <v>0</v>
      </c>
      <c r="JG264" s="13">
        <f t="shared" si="219"/>
        <v>0</v>
      </c>
      <c r="JH264" s="13">
        <f t="shared" si="220"/>
        <v>0</v>
      </c>
      <c r="JI264" s="13">
        <f t="shared" si="221"/>
        <v>0</v>
      </c>
      <c r="JJ264" s="13">
        <f t="shared" si="222"/>
        <v>0</v>
      </c>
      <c r="JK264" s="13">
        <f t="shared" si="223"/>
        <v>0</v>
      </c>
      <c r="JL264" s="13">
        <f t="shared" si="224"/>
        <v>0</v>
      </c>
      <c r="JM264" s="13">
        <f t="shared" si="225"/>
        <v>0</v>
      </c>
      <c r="JN264" s="13">
        <f t="shared" si="226"/>
        <v>0</v>
      </c>
      <c r="JO264" s="13">
        <f t="shared" si="227"/>
        <v>0</v>
      </c>
      <c r="JP264" s="13">
        <f t="shared" si="228"/>
        <v>0</v>
      </c>
      <c r="JQ264" s="13">
        <f t="shared" si="229"/>
        <v>0</v>
      </c>
      <c r="JR264" s="13">
        <f t="shared" si="230"/>
        <v>0</v>
      </c>
      <c r="JS264" s="13">
        <f t="shared" si="231"/>
        <v>0</v>
      </c>
      <c r="JT264" s="13">
        <f t="shared" si="232"/>
        <v>0</v>
      </c>
      <c r="JU264" s="13">
        <f t="shared" si="233"/>
        <v>0</v>
      </c>
      <c r="JV264" s="12">
        <f t="shared" si="234"/>
        <v>0</v>
      </c>
      <c r="JW264" s="12">
        <f t="shared" si="235"/>
        <v>0</v>
      </c>
      <c r="JX264" s="12">
        <f t="shared" si="236"/>
        <v>0</v>
      </c>
      <c r="JY264" s="12">
        <f t="shared" si="237"/>
        <v>0</v>
      </c>
      <c r="JZ264" s="12">
        <f t="shared" si="238"/>
        <v>0</v>
      </c>
      <c r="KA264" s="12">
        <f t="shared" si="239"/>
        <v>0</v>
      </c>
      <c r="KB264" s="12">
        <f t="shared" si="240"/>
        <v>0</v>
      </c>
      <c r="KC264" s="12">
        <f t="shared" si="241"/>
        <v>0</v>
      </c>
      <c r="KD264" s="12">
        <f t="shared" si="797"/>
        <v>0</v>
      </c>
      <c r="KE264" s="12">
        <f t="shared" si="243"/>
        <v>0</v>
      </c>
      <c r="KF264" s="12">
        <f t="shared" si="244"/>
        <v>0</v>
      </c>
      <c r="KG264" s="12">
        <f t="shared" si="245"/>
        <v>0</v>
      </c>
      <c r="KH264" s="12">
        <f t="shared" si="246"/>
        <v>0</v>
      </c>
      <c r="KI264" s="12">
        <f t="shared" si="247"/>
        <v>0</v>
      </c>
      <c r="KJ264" s="12">
        <f t="shared" si="248"/>
        <v>0</v>
      </c>
      <c r="KK264" s="12">
        <f t="shared" si="249"/>
        <v>0</v>
      </c>
      <c r="KL264" s="12">
        <f t="shared" si="250"/>
        <v>0</v>
      </c>
      <c r="KM264" s="12">
        <f t="shared" si="251"/>
        <v>0</v>
      </c>
      <c r="KN264" s="12">
        <f t="shared" si="252"/>
        <v>0</v>
      </c>
      <c r="KO264" s="12">
        <f t="shared" si="253"/>
        <v>0</v>
      </c>
      <c r="KP264" s="12">
        <f t="shared" si="254"/>
        <v>0</v>
      </c>
      <c r="KQ264" s="12">
        <f t="shared" si="255"/>
        <v>0</v>
      </c>
      <c r="KR264" s="12">
        <f t="shared" si="256"/>
        <v>0</v>
      </c>
      <c r="KS264" s="12">
        <f t="shared" si="257"/>
        <v>0</v>
      </c>
      <c r="KT264" s="12">
        <f t="shared" si="258"/>
        <v>0</v>
      </c>
      <c r="KU264" s="12">
        <f t="shared" si="259"/>
        <v>0</v>
      </c>
      <c r="KV264" s="12">
        <f t="shared" si="260"/>
        <v>0</v>
      </c>
      <c r="KW264" s="12">
        <f t="shared" si="261"/>
        <v>0</v>
      </c>
      <c r="KX264" s="12">
        <f t="shared" si="262"/>
        <v>0</v>
      </c>
      <c r="KY264" s="12">
        <f t="shared" si="263"/>
        <v>0</v>
      </c>
      <c r="KZ264" s="12">
        <f t="shared" si="264"/>
        <v>0</v>
      </c>
      <c r="LA264" s="12">
        <f t="shared" si="265"/>
        <v>0</v>
      </c>
      <c r="LB264" s="12">
        <f t="shared" si="266"/>
        <v>0</v>
      </c>
      <c r="LC264" s="12">
        <f t="shared" si="267"/>
        <v>0</v>
      </c>
      <c r="LD264" s="12">
        <f t="shared" si="268"/>
        <v>0</v>
      </c>
      <c r="LE264" s="12">
        <f t="shared" si="269"/>
        <v>0</v>
      </c>
      <c r="LF264" s="12">
        <f t="shared" si="270"/>
        <v>0</v>
      </c>
      <c r="LG264" s="12">
        <f t="shared" si="271"/>
        <v>0</v>
      </c>
      <c r="LH264" s="12">
        <f t="shared" si="272"/>
        <v>0</v>
      </c>
      <c r="LI264" s="12">
        <f t="shared" si="273"/>
        <v>0</v>
      </c>
      <c r="LJ264" s="12">
        <f t="shared" si="274"/>
        <v>0</v>
      </c>
      <c r="LK264" s="12">
        <f t="shared" si="275"/>
        <v>0</v>
      </c>
      <c r="LL264" s="12">
        <f t="shared" si="276"/>
        <v>0</v>
      </c>
      <c r="LM264" s="12">
        <f t="shared" si="277"/>
        <v>0</v>
      </c>
      <c r="LN264" s="12">
        <f t="shared" si="278"/>
        <v>0</v>
      </c>
      <c r="LO264" s="12">
        <f t="shared" si="279"/>
        <v>0</v>
      </c>
      <c r="LP264" s="12">
        <f t="shared" si="280"/>
        <v>0</v>
      </c>
      <c r="LQ264" s="12">
        <f t="shared" si="281"/>
        <v>0</v>
      </c>
      <c r="LR264" s="12">
        <f t="shared" si="282"/>
        <v>0</v>
      </c>
      <c r="LS264" s="12">
        <f t="shared" si="283"/>
        <v>0</v>
      </c>
      <c r="LT264" s="13">
        <f t="shared" si="284"/>
        <v>0</v>
      </c>
      <c r="LU264" s="13">
        <f t="shared" si="285"/>
        <v>0</v>
      </c>
      <c r="LV264" s="13">
        <f t="shared" si="286"/>
        <v>0</v>
      </c>
      <c r="LW264" s="13">
        <f t="shared" si="287"/>
        <v>0</v>
      </c>
      <c r="LX264" s="13">
        <f t="shared" si="288"/>
        <v>0</v>
      </c>
      <c r="LY264" s="13">
        <f t="shared" si="289"/>
        <v>0</v>
      </c>
      <c r="LZ264" s="13">
        <f t="shared" si="290"/>
        <v>0</v>
      </c>
      <c r="MA264" s="13">
        <f t="shared" si="291"/>
        <v>0</v>
      </c>
      <c r="MB264" s="13">
        <f t="shared" si="292"/>
        <v>0</v>
      </c>
      <c r="MC264" s="13">
        <f t="shared" si="293"/>
        <v>0</v>
      </c>
      <c r="MD264" s="13">
        <f t="shared" si="294"/>
        <v>0</v>
      </c>
      <c r="ME264" s="13">
        <f t="shared" si="295"/>
        <v>0</v>
      </c>
      <c r="MF264" s="13">
        <f t="shared" si="296"/>
        <v>0</v>
      </c>
      <c r="MG264" s="13">
        <f t="shared" si="297"/>
        <v>0</v>
      </c>
      <c r="MH264" s="13">
        <f t="shared" si="298"/>
        <v>0</v>
      </c>
      <c r="MI264" s="13">
        <f t="shared" si="299"/>
        <v>0</v>
      </c>
      <c r="MJ264" s="13">
        <f t="shared" si="300"/>
        <v>0</v>
      </c>
      <c r="MK264" s="13">
        <f t="shared" si="301"/>
        <v>0</v>
      </c>
      <c r="ML264" s="14">
        <f t="shared" si="302"/>
        <v>1</v>
      </c>
      <c r="MM264" s="14">
        <f t="shared" si="303"/>
        <v>0</v>
      </c>
      <c r="MN264" s="14">
        <f t="shared" si="304"/>
        <v>0</v>
      </c>
      <c r="MO264" s="14">
        <f t="shared" si="305"/>
        <v>0</v>
      </c>
      <c r="MP264" s="14">
        <f t="shared" si="306"/>
        <v>0</v>
      </c>
      <c r="MQ264" s="14">
        <f t="shared" si="307"/>
        <v>0</v>
      </c>
      <c r="MR264" s="14">
        <f t="shared" si="308"/>
        <v>0</v>
      </c>
      <c r="MS264" s="14">
        <f t="shared" si="309"/>
        <v>0</v>
      </c>
      <c r="MT264" s="14">
        <f t="shared" si="310"/>
        <v>0</v>
      </c>
      <c r="MU264" s="14">
        <f t="shared" si="311"/>
        <v>0</v>
      </c>
      <c r="MV264" s="14">
        <f t="shared" si="312"/>
        <v>0</v>
      </c>
      <c r="MW264" s="14">
        <f t="shared" si="313"/>
        <v>0</v>
      </c>
      <c r="MX264" s="14">
        <f t="shared" si="314"/>
        <v>0</v>
      </c>
      <c r="MY264" s="14">
        <f t="shared" si="315"/>
        <v>0</v>
      </c>
      <c r="MZ264" s="14">
        <f t="shared" si="316"/>
        <v>0</v>
      </c>
      <c r="NA264" s="14">
        <f t="shared" si="317"/>
        <v>0</v>
      </c>
      <c r="NB264" s="14">
        <f t="shared" si="318"/>
        <v>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2023-09-20T18:00:02Z</dcterms:created>
  <dc:creator>openpyxl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0x010100DBDC1BD1E6CD4241BB39B07C8FA6523C</vt:lpwstr>
  </property>
  <property fmtid="{D5CDD505-2E9C-101B-9397-08002B2CF9AE}" pid="3" name="MediaServiceImageTags">
    <vt:lpwstr/>
  </property>
</Properties>
</file>